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2.xml" ContentType="application/vnd.openxmlformats-officedocument.drawing+xml"/>
  <Override PartName="/xl/charts/chart29.xml" ContentType="application/vnd.openxmlformats-officedocument.drawingml.chart+xml"/>
  <Override PartName="/xl/drawings/drawing13.xml" ContentType="application/vnd.openxmlformats-officedocument.drawing+xml"/>
  <Override PartName="/xl/charts/chart3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4.xml" ContentType="application/vnd.openxmlformats-officedocument.drawing+xml"/>
  <Override PartName="/xl/charts/chart3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5.xml" ContentType="application/vnd.openxmlformats-officedocument.drawing+xml"/>
  <Override PartName="/xl/charts/chart3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A Real Statistics 2020\Examples\"/>
    </mc:Choice>
  </mc:AlternateContent>
  <xr:revisionPtr revIDLastSave="0" documentId="13_ncr:1_{DC033705-F7B6-4DEF-AE54-DBA5405A968F}" xr6:coauthVersionLast="45" xr6:coauthVersionMax="45" xr10:uidLastSave="{00000000-0000-0000-0000-000000000000}"/>
  <bookViews>
    <workbookView xWindow="-110" yWindow="-110" windowWidth="19420" windowHeight="10420" tabRatio="805" xr2:uid="{00000000-000D-0000-FFFF-FFFF00000000}"/>
  </bookViews>
  <sheets>
    <sheet name="TOC0" sheetId="405" r:id="rId1"/>
    <sheet name="TOC" sheetId="1" r:id="rId2"/>
    <sheet name="Cov" sheetId="660" r:id="rId3"/>
    <sheet name="Corr" sheetId="487" r:id="rId4"/>
    <sheet name="Corr A" sheetId="690" r:id="rId5"/>
    <sheet name="Corr B" sheetId="811" r:id="rId6"/>
    <sheet name="Scatter" sheetId="54" r:id="rId7"/>
    <sheet name="Scatter 1" sheetId="661" r:id="rId8"/>
    <sheet name="Scatter 2" sheetId="812" r:id="rId9"/>
    <sheet name="Corr 0" sheetId="64" r:id="rId10"/>
    <sheet name="Corr 0a" sheetId="580" r:id="rId11"/>
    <sheet name="Corr 0b" sheetId="709" r:id="rId12"/>
    <sheet name="Corr 1" sheetId="56" r:id="rId13"/>
    <sheet name="Corr 1a" sheetId="572" r:id="rId14"/>
    <sheet name="Corr 2" sheetId="55" r:id="rId15"/>
    <sheet name="Corr 3" sheetId="57" r:id="rId16"/>
    <sheet name="Corr 3a" sheetId="627" r:id="rId17"/>
    <sheet name="Corr 3b" sheetId="631" r:id="rId18"/>
    <sheet name="Corr 4" sheetId="379" r:id="rId19"/>
    <sheet name="Corr 5" sheetId="688" r:id="rId20"/>
    <sheet name="Corr Power" sheetId="383" r:id="rId21"/>
    <sheet name="2 Corr" sheetId="60" r:id="rId22"/>
    <sheet name="2 Corr Dep 1" sheetId="781" r:id="rId23"/>
    <sheet name="2 Corr Dep 2" sheetId="782" r:id="rId24"/>
    <sheet name="2 Corr Dep 3" sheetId="783" r:id="rId25"/>
    <sheet name="Corr and T" sheetId="638" r:id="rId26"/>
    <sheet name="Corr and Chi-sq" sheetId="80" r:id="rId27"/>
    <sheet name="Biserial" sheetId="694" r:id="rId28"/>
    <sheet name="Spearman Rho 1" sheetId="59" r:id="rId29"/>
    <sheet name="Spearman Rho 1a" sheetId="582" r:id="rId30"/>
    <sheet name="Spearman Rho 2" sheetId="71" r:id="rId31"/>
    <sheet name="Spearman Rho 2a" sheetId="665" r:id="rId32"/>
    <sheet name="Spearman Rho 3" sheetId="815" r:id="rId33"/>
    <sheet name="Kendall's Tau" sheetId="581" r:id="rId34"/>
    <sheet name="Kendall Tau 1" sheetId="489" r:id="rId35"/>
    <sheet name="Kendall Tau 2" sheetId="62" r:id="rId36"/>
    <sheet name="Kendall Tau 3" sheetId="494" r:id="rId37"/>
    <sheet name="Box-Cox 1" sheetId="696" r:id="rId38"/>
    <sheet name="Box-Cox 2" sheetId="697" r:id="rId39"/>
    <sheet name="Box-Cox 3" sheetId="698" r:id="rId40"/>
    <sheet name="Polychoric 1" sheetId="717" r:id="rId41"/>
    <sheet name="Polychoric 2" sheetId="716" r:id="rId42"/>
    <sheet name="Polychoric 3" sheetId="718" r:id="rId43"/>
    <sheet name="Polychoric 4" sheetId="719" r:id="rId44"/>
    <sheet name="Polychoric 5" sheetId="720" r:id="rId45"/>
    <sheet name="OChisq" sheetId="795" r:id="rId46"/>
    <sheet name="OChiSq 1" sheetId="796" r:id="rId47"/>
    <sheet name="OChisq 2" sheetId="797" r:id="rId48"/>
    <sheet name="Pearson Table" sheetId="649" r:id="rId49"/>
    <sheet name="Sp Rho Table" sheetId="42" r:id="rId50"/>
    <sheet name="Ken Tau Table" sheetId="43" r:id="rId51"/>
    <sheet name="Split-half" sheetId="722" r:id="rId52"/>
    <sheet name="Split-half 1" sheetId="723" r:id="rId53"/>
    <sheet name="Split-half 2" sheetId="724" r:id="rId54"/>
    <sheet name="Split-half 3" sheetId="725" r:id="rId55"/>
    <sheet name="Split-half 4" sheetId="726" r:id="rId56"/>
    <sheet name="KRF20" sheetId="727" r:id="rId57"/>
    <sheet name="Cronbach" sheetId="728" r:id="rId58"/>
    <sheet name="Cronbach 1" sheetId="729" r:id="rId59"/>
    <sheet name="Cronbach 2" sheetId="730" r:id="rId60"/>
    <sheet name="Cronbach 3" sheetId="731" r:id="rId61"/>
    <sheet name="Cronbach 4" sheetId="732" r:id="rId62"/>
    <sheet name="Cronbach 5" sheetId="733" r:id="rId63"/>
    <sheet name="Kappa" sheetId="734" r:id="rId64"/>
    <sheet name=" Kappa A" sheetId="813" r:id="rId65"/>
    <sheet name="Kappa 0" sheetId="735" r:id="rId66"/>
    <sheet name="Kappa 1" sheetId="736" r:id="rId67"/>
    <sheet name="FKappa" sheetId="737" r:id="rId68"/>
    <sheet name="Kendall W" sheetId="738" r:id="rId69"/>
    <sheet name="Kendall W 1" sheetId="739" r:id="rId70"/>
    <sheet name="Krip cat" sheetId="742" r:id="rId71"/>
    <sheet name="Krip ser" sheetId="753" r:id="rId72"/>
    <sheet name="Krip ord" sheetId="743" r:id="rId73"/>
    <sheet name="Krip int" sheetId="747" r:id="rId74"/>
    <sheet name="Krip ratio" sheetId="746" r:id="rId75"/>
    <sheet name="K rating" sheetId="748" r:id="rId76"/>
    <sheet name="K summary" sheetId="749" r:id="rId77"/>
    <sheet name="Gwet cat" sheetId="745" r:id="rId78"/>
    <sheet name="Gwet int" sheetId="751" r:id="rId79"/>
    <sheet name="Gwet" sheetId="750" r:id="rId80"/>
    <sheet name="Bland" sheetId="740" r:id="rId81"/>
    <sheet name="Bland 1" sheetId="794" r:id="rId82"/>
    <sheet name="Lin" sheetId="801" r:id="rId83"/>
    <sheet name="Item" sheetId="741" r:id="rId84"/>
    <sheet name="Rasch A" sheetId="802" r:id="rId85"/>
    <sheet name="Rasch B" sheetId="803" r:id="rId86"/>
    <sheet name="Rasch C" sheetId="804" r:id="rId87"/>
    <sheet name="Rasch D" sheetId="805" r:id="rId88"/>
    <sheet name="Rasch E" sheetId="807" r:id="rId89"/>
    <sheet name="Rasch F" sheetId="808" r:id="rId90"/>
    <sheet name="Rasch G" sheetId="809" r:id="rId91"/>
    <sheet name="PROX" sheetId="810" r:id="rId92"/>
    <sheet name="UCON" sheetId="814" r:id="rId93"/>
  </sheets>
  <definedNames>
    <definedName name="DataRange">#REF!</definedName>
    <definedName name="solver_adj" localSheetId="44" hidden="1">'Polychoric 5'!$M$11</definedName>
    <definedName name="solver_eng" localSheetId="14" hidden="1">1</definedName>
    <definedName name="solver_eng" localSheetId="44" hidden="1">1</definedName>
    <definedName name="solver_lhs1" localSheetId="44" hidden="1">'Polychoric 5'!$M$11</definedName>
    <definedName name="solver_lhs2" localSheetId="44" hidden="1">'Polychoric 5'!$M$11</definedName>
    <definedName name="solver_neg" localSheetId="14" hidden="1">1</definedName>
    <definedName name="solver_neg" localSheetId="44" hidden="1">2</definedName>
    <definedName name="solver_num" localSheetId="14" hidden="1">0</definedName>
    <definedName name="solver_num" localSheetId="44" hidden="1">2</definedName>
    <definedName name="solver_opt" localSheetId="14" hidden="1">'Corr 2'!$T$37</definedName>
    <definedName name="solver_opt" localSheetId="44" hidden="1">'Polychoric 5'!$M$14</definedName>
    <definedName name="solver_rel1" localSheetId="44" hidden="1">1</definedName>
    <definedName name="solver_rel2" localSheetId="44" hidden="1">3</definedName>
    <definedName name="solver_rhs1" localSheetId="44" hidden="1">1</definedName>
    <definedName name="solver_rhs2" localSheetId="44" hidden="1">-1</definedName>
    <definedName name="solver_typ" localSheetId="14" hidden="1">1</definedName>
    <definedName name="solver_typ" localSheetId="44" hidden="1">1</definedName>
    <definedName name="solver_val" localSheetId="14" hidden="1">0</definedName>
    <definedName name="solver_val" localSheetId="44" hidden="1">0</definedName>
    <definedName name="solver_ver" localSheetId="14" hidden="1">3</definedName>
    <definedName name="solver_ver" localSheetId="44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B107" i="814" l="1" a="1"/>
  <c r="BB107" i="814" s="1"/>
  <c r="BB94" i="814" a="1"/>
  <c r="BB94" i="814" s="1"/>
  <c r="BT28" i="814" a="1"/>
  <c r="BT28" i="814" s="1"/>
  <c r="BF20" i="814" a="1"/>
  <c r="BP31" i="814" s="1"/>
  <c r="AR20" i="814" a="1"/>
  <c r="BC31" i="814" s="1"/>
  <c r="BT17" i="814" a="1"/>
  <c r="BU22" i="814" s="1"/>
  <c r="BT7" i="814" a="1"/>
  <c r="BU12" i="814" s="1"/>
  <c r="BF7" i="814" a="1"/>
  <c r="BQ18" i="814" s="1"/>
  <c r="AR7" i="814" a="1"/>
  <c r="AY4" i="810" a="1"/>
  <c r="AY6" i="810" s="1"/>
  <c r="AU7" i="810"/>
  <c r="AV5" i="810"/>
  <c r="AU4" i="810" a="1"/>
  <c r="AU8" i="810" s="1"/>
  <c r="AO3" i="810" a="1"/>
  <c r="AK10" i="810"/>
  <c r="AJ10" i="810"/>
  <c r="AJ4" i="810"/>
  <c r="AK3" i="810"/>
  <c r="AJ3" i="810" a="1"/>
  <c r="AM11" i="810" s="1"/>
  <c r="P12" i="809"/>
  <c r="P11" i="809"/>
  <c r="V8" i="809"/>
  <c r="S7" i="809"/>
  <c r="O5" i="809"/>
  <c r="N5" i="809"/>
  <c r="M4" i="809" a="1"/>
  <c r="R13" i="809" s="1"/>
  <c r="AK17" i="808" a="1"/>
  <c r="AT26" i="808" s="1"/>
  <c r="R17" i="808" a="1"/>
  <c r="S26" i="808" s="1"/>
  <c r="O25" i="808"/>
  <c r="M24" i="808"/>
  <c r="M23" i="808"/>
  <c r="O22" i="808"/>
  <c r="N20" i="808"/>
  <c r="M20" i="808"/>
  <c r="M18" i="808"/>
  <c r="O17" i="808"/>
  <c r="N17" i="808"/>
  <c r="M17" i="808" a="1"/>
  <c r="M25" i="808" s="1"/>
  <c r="U9" i="808"/>
  <c r="U6" i="808"/>
  <c r="U5" i="808" a="1"/>
  <c r="U8" i="808" s="1"/>
  <c r="AW13" i="808"/>
  <c r="AS13" i="808"/>
  <c r="AO10" i="808"/>
  <c r="AV7" i="808"/>
  <c r="AT4" i="808"/>
  <c r="AR4" i="808"/>
  <c r="AK4" i="808" a="1"/>
  <c r="AS14" i="808" s="1"/>
  <c r="Y32" i="807"/>
  <c r="W32" i="807"/>
  <c r="M22" i="807" a="1"/>
  <c r="U30" i="807" s="1"/>
  <c r="M9" i="807" a="1"/>
  <c r="Y17" i="807" s="1"/>
  <c r="M22" i="805" a="1"/>
  <c r="M9" i="805" a="1"/>
  <c r="O20" i="805" s="1"/>
  <c r="AA41" i="803"/>
  <c r="AA38" i="803"/>
  <c r="T36" i="803"/>
  <c r="AA33" i="803"/>
  <c r="O32" i="803" a="1"/>
  <c r="X43" i="803" s="1"/>
  <c r="O17" i="803" a="1"/>
  <c r="AA27" i="803" s="1"/>
  <c r="BM25" i="802" a="1"/>
  <c r="BS36" i="802" s="1"/>
  <c r="BM12" i="802" a="1"/>
  <c r="BP19" i="802" s="1"/>
  <c r="D23" i="801" a="1"/>
  <c r="AC18" i="740"/>
  <c r="AB18" i="740"/>
  <c r="AB18" i="740" a="1"/>
  <c r="AB19" i="740" s="1"/>
  <c r="AC13" i="740"/>
  <c r="AQ10" i="740" a="1"/>
  <c r="O16" i="750"/>
  <c r="N11" i="750" a="1"/>
  <c r="N15" i="750" s="1"/>
  <c r="N5" i="750"/>
  <c r="N4" i="750"/>
  <c r="N4" i="750" a="1"/>
  <c r="J12" i="750"/>
  <c r="I12" i="750"/>
  <c r="J11" i="750"/>
  <c r="K9" i="750"/>
  <c r="I9" i="750"/>
  <c r="K7" i="750"/>
  <c r="J7" i="750"/>
  <c r="I6" i="750"/>
  <c r="J4" i="750"/>
  <c r="I4" i="750"/>
  <c r="I4" i="750" a="1"/>
  <c r="K11" i="750" s="1"/>
  <c r="Z24" i="751" a="1"/>
  <c r="AA27" i="751" s="1"/>
  <c r="W24" i="751" a="1"/>
  <c r="X27" i="751" s="1"/>
  <c r="Z30" i="745"/>
  <c r="Z24" i="745" a="1"/>
  <c r="Z24" i="745" s="1"/>
  <c r="W24" i="745" a="1"/>
  <c r="AF13" i="745"/>
  <c r="AE13" i="745"/>
  <c r="AE7" i="745"/>
  <c r="AE7" i="745" a="1"/>
  <c r="AE11" i="745" s="1"/>
  <c r="AI8" i="745"/>
  <c r="AH8" i="745"/>
  <c r="AI7" i="745"/>
  <c r="AI6" i="745"/>
  <c r="AH6" i="745" a="1"/>
  <c r="AH7" i="745" s="1"/>
  <c r="W24" i="748" a="1"/>
  <c r="AA26" i="748"/>
  <c r="Z21" i="748" a="1"/>
  <c r="Z25" i="748" s="1"/>
  <c r="AB7" i="748" a="1"/>
  <c r="AB9" i="748" s="1"/>
  <c r="AF6" i="748"/>
  <c r="AE6" i="748" a="1"/>
  <c r="AE7" i="748" s="1"/>
  <c r="W24" i="746" a="1"/>
  <c r="X25" i="746" s="1"/>
  <c r="Z21" i="746" a="1"/>
  <c r="AA24" i="746" s="1"/>
  <c r="W24" i="747" a="1"/>
  <c r="X25" i="747" s="1"/>
  <c r="Z24" i="747"/>
  <c r="Z21" i="747" a="1"/>
  <c r="AA27" i="747" s="1"/>
  <c r="AC7" i="747" a="1"/>
  <c r="AF6" i="747" a="1"/>
  <c r="W24" i="743" a="1"/>
  <c r="X27" i="743" s="1"/>
  <c r="Z21" i="743" a="1"/>
  <c r="J8" i="753"/>
  <c r="J8" i="753" a="1"/>
  <c r="J7" i="753" a="1"/>
  <c r="J7" i="753" s="1"/>
  <c r="J6" i="753" a="1"/>
  <c r="J6" i="753" s="1"/>
  <c r="J5" i="753" a="1"/>
  <c r="J5" i="753" s="1"/>
  <c r="AO4" i="753" a="1"/>
  <c r="AO4" i="753" s="1"/>
  <c r="AK11" i="753"/>
  <c r="AK9" i="753"/>
  <c r="AI4" i="753" a="1"/>
  <c r="AL13" i="753" s="1"/>
  <c r="AD13" i="753"/>
  <c r="AG12" i="753"/>
  <c r="AG6" i="753"/>
  <c r="AF6" i="753"/>
  <c r="AD4" i="753" a="1"/>
  <c r="AE12" i="753" s="1"/>
  <c r="Y4" i="753" a="1"/>
  <c r="AB13" i="753" s="1"/>
  <c r="T10" i="753"/>
  <c r="V9" i="753"/>
  <c r="T6" i="753"/>
  <c r="T4" i="753" a="1"/>
  <c r="W12" i="753" s="1"/>
  <c r="O4" i="753" a="1"/>
  <c r="P8" i="753" s="1"/>
  <c r="J4" i="753" a="1"/>
  <c r="J4" i="753" s="1"/>
  <c r="X24" i="742"/>
  <c r="W24" i="742" a="1"/>
  <c r="X27" i="742" s="1"/>
  <c r="Z21" i="742" a="1"/>
  <c r="AA24" i="742" s="1"/>
  <c r="AC7" i="742" a="1"/>
  <c r="AF6" i="742" a="1"/>
  <c r="AG9" i="742" s="1"/>
  <c r="Y7" i="739"/>
  <c r="Y6" i="739" a="1"/>
  <c r="U10" i="739"/>
  <c r="U8" i="739"/>
  <c r="U6" i="739"/>
  <c r="U6" i="739" a="1"/>
  <c r="V9" i="739" s="1"/>
  <c r="M16" i="738" a="1"/>
  <c r="C44" i="737"/>
  <c r="B39" i="737" a="1"/>
  <c r="B44" i="737" s="1"/>
  <c r="G30" i="737" a="1"/>
  <c r="G35" i="737" s="1"/>
  <c r="F32" i="737"/>
  <c r="F30" i="737" a="1"/>
  <c r="F35" i="737" s="1"/>
  <c r="E30" i="737" a="1"/>
  <c r="E31" i="737" s="1"/>
  <c r="D30" i="737" a="1"/>
  <c r="D33" i="737" s="1"/>
  <c r="B30" i="737" a="1"/>
  <c r="C34" i="737" s="1"/>
  <c r="R46" i="736" a="1"/>
  <c r="S46" i="736" s="1"/>
  <c r="G46" i="736" a="1"/>
  <c r="H49" i="736" s="1"/>
  <c r="S41" i="736"/>
  <c r="R41" i="736" a="1"/>
  <c r="S42" i="736" s="1"/>
  <c r="G41" i="736" a="1"/>
  <c r="H44" i="736" s="1"/>
  <c r="AA7" i="736" a="1"/>
  <c r="AB10" i="736" s="1"/>
  <c r="Y7" i="736"/>
  <c r="X7" i="736" a="1"/>
  <c r="Y10" i="736" s="1"/>
  <c r="S47" i="735"/>
  <c r="R47" i="735"/>
  <c r="R45" i="735"/>
  <c r="R45" i="735" a="1"/>
  <c r="S48" i="735" s="1"/>
  <c r="H47" i="735"/>
  <c r="G47" i="735"/>
  <c r="G45" i="735"/>
  <c r="G45" i="735" a="1"/>
  <c r="H48" i="735" s="1"/>
  <c r="R37" i="735"/>
  <c r="R36" i="735"/>
  <c r="S35" i="735"/>
  <c r="R34" i="735" a="1"/>
  <c r="S34" i="735" s="1"/>
  <c r="G34" i="735" a="1"/>
  <c r="R26" i="735"/>
  <c r="S25" i="735"/>
  <c r="R23" i="735"/>
  <c r="R23" i="735" a="1"/>
  <c r="S24" i="735" s="1"/>
  <c r="G23" i="735" a="1"/>
  <c r="G26" i="735" s="1"/>
  <c r="AB11" i="734"/>
  <c r="AA11" i="734"/>
  <c r="AA9" i="734"/>
  <c r="AA8" i="734" a="1"/>
  <c r="AA8" i="734" s="1"/>
  <c r="X5" i="734"/>
  <c r="X4" i="734"/>
  <c r="W4" i="734" a="1"/>
  <c r="X7" i="734" s="1"/>
  <c r="M18" i="731" a="1"/>
  <c r="N19" i="731" s="1"/>
  <c r="R8" i="730"/>
  <c r="O8" i="730"/>
  <c r="M8" i="730" a="1"/>
  <c r="T8" i="730" s="1"/>
  <c r="P7" i="726" a="1"/>
  <c r="P7" i="726" s="1"/>
  <c r="P6" i="726" a="1"/>
  <c r="P6" i="726" s="1"/>
  <c r="G10" i="724" a="1"/>
  <c r="G10" i="724" s="1"/>
  <c r="G8" i="724" a="1"/>
  <c r="G8" i="724" s="1"/>
  <c r="R29" i="723" a="1"/>
  <c r="R29" i="723" s="1"/>
  <c r="R28" i="723" a="1"/>
  <c r="R28" i="723" s="1"/>
  <c r="O7" i="723" a="1"/>
  <c r="O7" i="723" s="1"/>
  <c r="O6" i="723"/>
  <c r="O6" i="723" a="1"/>
  <c r="AA3" i="797" a="1"/>
  <c r="AB3" i="797" s="1"/>
  <c r="Y3" i="797" a="1"/>
  <c r="Y3" i="797" s="1"/>
  <c r="N14" i="796"/>
  <c r="R10" i="796"/>
  <c r="S9" i="796"/>
  <c r="R8" i="796"/>
  <c r="S6" i="796"/>
  <c r="R6" i="796"/>
  <c r="S4" i="796"/>
  <c r="R4" i="796"/>
  <c r="R4" i="796" a="1"/>
  <c r="S7" i="796" s="1"/>
  <c r="I3" i="796" a="1"/>
  <c r="I16" i="796" s="1"/>
  <c r="W18" i="719"/>
  <c r="V17" i="719"/>
  <c r="V15" i="719" a="1"/>
  <c r="V4" i="719" a="1"/>
  <c r="W7" i="719" s="1"/>
  <c r="P11" i="698"/>
  <c r="P4" i="698" a="1"/>
  <c r="P9" i="698" s="1"/>
  <c r="N4" i="698" a="1"/>
  <c r="N13" i="698" s="1"/>
  <c r="L10" i="698"/>
  <c r="L9" i="698"/>
  <c r="L7" i="698"/>
  <c r="L4" i="698"/>
  <c r="L4" i="698" a="1"/>
  <c r="L11" i="698" s="1"/>
  <c r="K4" i="698" a="1"/>
  <c r="J4" i="698" a="1"/>
  <c r="J11" i="698" s="1"/>
  <c r="I4" i="698" a="1"/>
  <c r="H6" i="698"/>
  <c r="H4" i="698"/>
  <c r="H4" i="698" a="1"/>
  <c r="H12" i="698" s="1"/>
  <c r="G4" i="698" a="1"/>
  <c r="F12" i="698"/>
  <c r="F8" i="698"/>
  <c r="F4" i="698" a="1"/>
  <c r="E4" i="698" a="1"/>
  <c r="E11" i="698" s="1"/>
  <c r="D4" i="698" a="1"/>
  <c r="D8" i="698" s="1"/>
  <c r="E30" i="697" a="1"/>
  <c r="Y18" i="697"/>
  <c r="Y16" i="697"/>
  <c r="Y14" i="697"/>
  <c r="Y12" i="697" a="1"/>
  <c r="AZ11" i="697" a="1"/>
  <c r="AP12" i="697"/>
  <c r="AP4" i="697" a="1"/>
  <c r="AP6" i="697" s="1"/>
  <c r="O4" i="697" a="1"/>
  <c r="O4" i="697" s="1"/>
  <c r="AE7" i="494"/>
  <c r="AD7" i="494"/>
  <c r="AD4" i="494" a="1"/>
  <c r="AE4" i="494" s="1"/>
  <c r="AA4" i="494" a="1"/>
  <c r="AA9" i="494" s="1"/>
  <c r="D4" i="494" a="1"/>
  <c r="D18" i="494" s="1"/>
  <c r="D15" i="62"/>
  <c r="D4" i="62" a="1"/>
  <c r="D17" i="62" s="1"/>
  <c r="W16" i="489"/>
  <c r="V13" i="489" a="1"/>
  <c r="W14" i="489" s="1"/>
  <c r="S15" i="489"/>
  <c r="T14" i="489"/>
  <c r="S14" i="489"/>
  <c r="S13" i="489" a="1"/>
  <c r="S17" i="489" s="1"/>
  <c r="T6" i="489" a="1"/>
  <c r="T6" i="489" s="1"/>
  <c r="P4" i="489" a="1"/>
  <c r="Q9" i="489" s="1"/>
  <c r="M4" i="489" a="1"/>
  <c r="M8" i="489" s="1"/>
  <c r="D15" i="489"/>
  <c r="E14" i="489"/>
  <c r="D4" i="489" a="1"/>
  <c r="E15" i="489" s="1"/>
  <c r="D4" i="581" a="1"/>
  <c r="E4" i="581" s="1"/>
  <c r="D11" i="815" a="1"/>
  <c r="D11" i="815" s="1"/>
  <c r="D10" i="815"/>
  <c r="D10" i="815" a="1"/>
  <c r="D9" i="815" a="1"/>
  <c r="D9" i="815" s="1"/>
  <c r="D8" i="815" a="1"/>
  <c r="D8" i="815" s="1"/>
  <c r="D7" i="815" a="1"/>
  <c r="D7" i="815" s="1"/>
  <c r="D6" i="815" a="1"/>
  <c r="D6" i="815" s="1"/>
  <c r="G17" i="665" a="1"/>
  <c r="H19" i="665" s="1"/>
  <c r="Q14" i="71" a="1"/>
  <c r="Q14" i="71" s="1"/>
  <c r="M14" i="71" a="1"/>
  <c r="N18" i="71" s="1"/>
  <c r="K8" i="71"/>
  <c r="J5" i="71" a="1"/>
  <c r="K9" i="71" s="1"/>
  <c r="F16" i="582" a="1"/>
  <c r="G16" i="582" s="1"/>
  <c r="N21" i="59" a="1"/>
  <c r="O23" i="59" s="1"/>
  <c r="N17" i="694" a="1"/>
  <c r="O20" i="694" s="1"/>
  <c r="I8" i="783"/>
  <c r="H7" i="783"/>
  <c r="G5" i="783" a="1"/>
  <c r="G7" i="783" s="1"/>
  <c r="E25" i="782" a="1"/>
  <c r="E27" i="782" s="1"/>
  <c r="E21" i="782" a="1"/>
  <c r="F22" i="782" s="1"/>
  <c r="E33" i="781" a="1"/>
  <c r="F35" i="781" s="1"/>
  <c r="E31" i="781"/>
  <c r="F30" i="781"/>
  <c r="F29" i="781"/>
  <c r="F28" i="781"/>
  <c r="E27" i="781"/>
  <c r="E27" i="781" a="1"/>
  <c r="E30" i="781" s="1"/>
  <c r="S4" i="60" a="1"/>
  <c r="T7" i="60" s="1"/>
  <c r="J4" i="60" a="1"/>
  <c r="K7" i="60" s="1"/>
  <c r="Y20" i="688"/>
  <c r="X20" i="688" a="1"/>
  <c r="X22" i="688" s="1"/>
  <c r="X16" i="688" a="1"/>
  <c r="X16" i="688" s="1"/>
  <c r="A15" i="627" a="1"/>
  <c r="B18" i="627" s="1"/>
  <c r="G16" i="57" a="1"/>
  <c r="H19" i="57" s="1"/>
  <c r="N14" i="57" a="1"/>
  <c r="O17" i="57" s="1"/>
  <c r="M20" i="580"/>
  <c r="M17" i="580" a="1"/>
  <c r="M18" i="580" s="1"/>
  <c r="G17" i="580" a="1"/>
  <c r="H20" i="580" s="1"/>
  <c r="J16" i="580" a="1"/>
  <c r="J17" i="580" s="1"/>
  <c r="D19" i="580"/>
  <c r="D17" i="580"/>
  <c r="D16" i="580" a="1"/>
  <c r="E19" i="580" s="1"/>
  <c r="AF23" i="64" a="1"/>
  <c r="AF26" i="64" s="1"/>
  <c r="AF17" i="64" a="1"/>
  <c r="AG20" i="64" s="1"/>
  <c r="AF11" i="64" a="1"/>
  <c r="AG14" i="64" s="1"/>
  <c r="AF8" i="64"/>
  <c r="AG7" i="64"/>
  <c r="AF5" i="64" a="1"/>
  <c r="AG8" i="64" s="1"/>
  <c r="R14" i="810" a="1"/>
  <c r="R14" i="810" s="1"/>
  <c r="R13" i="810" a="1"/>
  <c r="R13" i="810" s="1"/>
  <c r="R12" i="810" a="1"/>
  <c r="R12" i="810" s="1"/>
  <c r="R11" i="810" a="1"/>
  <c r="R11" i="810" s="1"/>
  <c r="R10" i="810"/>
  <c r="R10" i="810" a="1"/>
  <c r="R8" i="810" a="1"/>
  <c r="R8" i="810" s="1"/>
  <c r="R7" i="810" a="1"/>
  <c r="R7" i="810" s="1"/>
  <c r="R6" i="810" a="1"/>
  <c r="R6" i="810" s="1"/>
  <c r="R5" i="810" a="1"/>
  <c r="R5" i="810" s="1"/>
  <c r="R4" i="810" a="1"/>
  <c r="R4" i="810" s="1"/>
  <c r="AC25" i="741" a="1"/>
  <c r="AC25" i="741" s="1"/>
  <c r="AB25" i="741" a="1"/>
  <c r="AB25" i="741" s="1"/>
  <c r="AA25" i="741" a="1"/>
  <c r="AA25" i="741" s="1"/>
  <c r="Z25" i="741" a="1"/>
  <c r="Z25" i="741" s="1"/>
  <c r="Y25" i="741" a="1"/>
  <c r="Y25" i="741" s="1"/>
  <c r="AD24" i="741" a="1"/>
  <c r="AD24" i="741" s="1"/>
  <c r="AC24" i="741" a="1"/>
  <c r="AC24" i="741" s="1"/>
  <c r="AB24" i="741" a="1"/>
  <c r="AB24" i="741" s="1"/>
  <c r="AA24" i="741" a="1"/>
  <c r="AA24" i="741" s="1"/>
  <c r="Z24" i="741" a="1"/>
  <c r="Z24" i="741" s="1"/>
  <c r="Y24" i="741" a="1"/>
  <c r="Y24" i="741" s="1"/>
  <c r="T24" i="741" a="1"/>
  <c r="T24" i="741" s="1"/>
  <c r="T23" i="741" a="1"/>
  <c r="T23" i="741" s="1"/>
  <c r="AK9" i="741" a="1"/>
  <c r="AK9" i="741" s="1"/>
  <c r="AJ9" i="741" a="1"/>
  <c r="AJ9" i="741" s="1"/>
  <c r="AI9" i="741" a="1"/>
  <c r="AI9" i="741" s="1"/>
  <c r="AH9" i="741" a="1"/>
  <c r="AH9" i="741" s="1"/>
  <c r="AG9" i="741" a="1"/>
  <c r="AG9" i="741" s="1"/>
  <c r="AK8" i="741" a="1"/>
  <c r="AK8" i="741" s="1"/>
  <c r="AJ8" i="741" a="1"/>
  <c r="AJ8" i="741" s="1"/>
  <c r="AI8" i="741" a="1"/>
  <c r="AI8" i="741" s="1"/>
  <c r="AH8" i="741" a="1"/>
  <c r="AH8" i="741" s="1"/>
  <c r="AG8" i="741" a="1"/>
  <c r="AG8" i="741" s="1"/>
  <c r="H23" i="801" a="1"/>
  <c r="H23" i="801" s="1"/>
  <c r="H21" i="801" a="1"/>
  <c r="H21" i="801" s="1"/>
  <c r="H20" i="801" a="1"/>
  <c r="H20" i="801" s="1"/>
  <c r="H19" i="801" a="1"/>
  <c r="H19" i="801" s="1"/>
  <c r="H18" i="801" a="1"/>
  <c r="H18" i="801" s="1"/>
  <c r="H15" i="801" a="1"/>
  <c r="H15" i="801" s="1"/>
  <c r="H14" i="801" a="1"/>
  <c r="H14" i="801" s="1"/>
  <c r="H13" i="801" a="1"/>
  <c r="H13" i="801" s="1"/>
  <c r="H12" i="801" a="1"/>
  <c r="H12" i="801" s="1"/>
  <c r="H11" i="801" a="1"/>
  <c r="H11" i="801" s="1"/>
  <c r="H10" i="801" a="1"/>
  <c r="H10" i="801" s="1"/>
  <c r="H9" i="801" a="1"/>
  <c r="H9" i="801" s="1"/>
  <c r="H8" i="801" a="1"/>
  <c r="H8" i="801" s="1"/>
  <c r="H7" i="801" a="1"/>
  <c r="H7" i="801" s="1"/>
  <c r="H6" i="801" a="1"/>
  <c r="H6" i="801" s="1"/>
  <c r="H4" i="801" a="1"/>
  <c r="H4" i="801" s="1"/>
  <c r="AK21" i="740" a="1"/>
  <c r="AK21" i="740" s="1"/>
  <c r="AK20" i="740" a="1"/>
  <c r="AK20" i="740" s="1"/>
  <c r="AH19" i="740" a="1"/>
  <c r="AH19" i="740" s="1"/>
  <c r="AV5" i="740" a="1"/>
  <c r="AV5" i="740" s="1"/>
  <c r="AV4" i="740" a="1"/>
  <c r="AV4" i="740" s="1"/>
  <c r="S4" i="740" a="1"/>
  <c r="S4" i="740" s="1"/>
  <c r="S3" i="740" a="1"/>
  <c r="S3" i="740" s="1"/>
  <c r="S2" i="740" a="1"/>
  <c r="S2" i="740" s="1"/>
  <c r="O9" i="750" a="1"/>
  <c r="O9" i="750" s="1"/>
  <c r="U24" i="751" a="1"/>
  <c r="U24" i="751" s="1"/>
  <c r="AB11" i="751" a="1"/>
  <c r="AB11" i="751" s="1"/>
  <c r="U24" i="745" a="1"/>
  <c r="U24" i="745" s="1"/>
  <c r="AB11" i="745" a="1"/>
  <c r="AB11" i="745" s="1"/>
  <c r="X22" i="748" a="1"/>
  <c r="X22" i="748" s="1"/>
  <c r="U21" i="748" a="1"/>
  <c r="U21" i="748" s="1"/>
  <c r="X22" i="746" a="1"/>
  <c r="X22" i="746" s="1"/>
  <c r="U21" i="746" a="1"/>
  <c r="U21" i="746" s="1"/>
  <c r="X22" i="747" a="1"/>
  <c r="X22" i="747" s="1"/>
  <c r="U21" i="747" a="1"/>
  <c r="U21" i="747" s="1"/>
  <c r="X22" i="743" a="1"/>
  <c r="X22" i="743" s="1"/>
  <c r="U21" i="743" a="1"/>
  <c r="U21" i="743" s="1"/>
  <c r="AJ15" i="753" a="1"/>
  <c r="AJ15" i="753" s="1"/>
  <c r="AE15" i="753" a="1"/>
  <c r="AE15" i="753" s="1"/>
  <c r="Z15" i="753" a="1"/>
  <c r="Z15" i="753" s="1"/>
  <c r="U15" i="753" a="1"/>
  <c r="U15" i="753" s="1"/>
  <c r="P15" i="753" a="1"/>
  <c r="P15" i="753" s="1"/>
  <c r="AQ12" i="753" a="1"/>
  <c r="AQ12" i="753" s="1"/>
  <c r="AQ11" i="753" a="1"/>
  <c r="AQ11" i="753" s="1"/>
  <c r="AQ8" i="753" a="1"/>
  <c r="AQ8" i="753" s="1"/>
  <c r="AQ7" i="753" a="1"/>
  <c r="AQ7" i="753" s="1"/>
  <c r="AQ6" i="753" a="1"/>
  <c r="AQ6" i="753" s="1"/>
  <c r="AQ4" i="753" a="1"/>
  <c r="AQ4" i="753" s="1"/>
  <c r="X22" i="742" a="1"/>
  <c r="X22" i="742" s="1"/>
  <c r="U21" i="742" a="1"/>
  <c r="U21" i="742" s="1"/>
  <c r="N29" i="738" a="1"/>
  <c r="N29" i="738" s="1"/>
  <c r="C23" i="738" a="1"/>
  <c r="C23" i="738" s="1"/>
  <c r="G40" i="737" a="1"/>
  <c r="G40" i="737" s="1"/>
  <c r="G39" i="737" a="1"/>
  <c r="G39" i="737" s="1"/>
  <c r="J22" i="737" a="1"/>
  <c r="J22" i="737" s="1"/>
  <c r="J21" i="737" a="1"/>
  <c r="J21" i="737" s="1"/>
  <c r="J20" i="737" a="1"/>
  <c r="J20" i="737" s="1"/>
  <c r="J19" i="737" a="1"/>
  <c r="J19" i="737" s="1"/>
  <c r="J18" i="737"/>
  <c r="J18" i="737" a="1"/>
  <c r="J17" i="737" a="1"/>
  <c r="J17" i="737" s="1"/>
  <c r="J15" i="737" a="1"/>
  <c r="J15" i="737" s="1"/>
  <c r="J14" i="737" a="1"/>
  <c r="J14" i="737" s="1"/>
  <c r="AJ13" i="737" a="1"/>
  <c r="AJ13" i="737" s="1"/>
  <c r="S13" i="737" a="1"/>
  <c r="S13" i="737" s="1"/>
  <c r="J11" i="737" a="1"/>
  <c r="J11" i="737" s="1"/>
  <c r="J10" i="737"/>
  <c r="J10" i="737" a="1"/>
  <c r="J9" i="737" a="1"/>
  <c r="J9" i="737" s="1"/>
  <c r="J8" i="737" a="1"/>
  <c r="J8" i="737" s="1"/>
  <c r="J7" i="737" a="1"/>
  <c r="J7" i="737" s="1"/>
  <c r="J6" i="737" a="1"/>
  <c r="J6" i="737" s="1"/>
  <c r="J5" i="737" a="1"/>
  <c r="J5" i="737" s="1"/>
  <c r="J4" i="737" a="1"/>
  <c r="J4" i="737" s="1"/>
  <c r="E21" i="813" a="1"/>
  <c r="E21" i="813" s="1"/>
  <c r="C21" i="813" a="1"/>
  <c r="C21" i="813" s="1"/>
  <c r="B21" i="813" a="1"/>
  <c r="B21" i="813" s="1"/>
  <c r="E18" i="813" a="1"/>
  <c r="E18" i="813" s="1"/>
  <c r="J17" i="813" a="1"/>
  <c r="J17" i="813" s="1"/>
  <c r="E17" i="813" a="1"/>
  <c r="E17" i="813" s="1"/>
  <c r="J16" i="813" a="1"/>
  <c r="J16" i="813" s="1"/>
  <c r="H16" i="813" a="1"/>
  <c r="H16" i="813" s="1"/>
  <c r="E16" i="813" a="1"/>
  <c r="E16" i="813" s="1"/>
  <c r="E15" i="813" a="1"/>
  <c r="E15" i="813" s="1"/>
  <c r="J14" i="813" a="1"/>
  <c r="J14" i="813" s="1"/>
  <c r="H14" i="813" a="1"/>
  <c r="H14" i="813" s="1"/>
  <c r="H17" i="813" s="1" a="1"/>
  <c r="H17" i="813" s="1"/>
  <c r="E14" i="813" a="1"/>
  <c r="E14" i="813" s="1"/>
  <c r="E13" i="813" a="1"/>
  <c r="E13" i="813" s="1"/>
  <c r="J12" i="813" a="1"/>
  <c r="J12" i="813" s="1"/>
  <c r="E12" i="813" a="1"/>
  <c r="E12" i="813" s="1"/>
  <c r="E11" i="813" a="1"/>
  <c r="E11" i="813" s="1"/>
  <c r="E10" i="813" a="1"/>
  <c r="E10" i="813" s="1"/>
  <c r="E9" i="813" a="1"/>
  <c r="E9" i="813" s="1"/>
  <c r="E8" i="813" a="1"/>
  <c r="E8" i="813" s="1"/>
  <c r="E7" i="813" a="1"/>
  <c r="E7" i="813" s="1"/>
  <c r="J6" i="813" a="1"/>
  <c r="J6" i="813" s="1"/>
  <c r="E6" i="813" a="1"/>
  <c r="E6" i="813" s="1"/>
  <c r="J5" i="813" a="1"/>
  <c r="J5" i="813" s="1"/>
  <c r="E5" i="813" a="1"/>
  <c r="E5" i="813" s="1"/>
  <c r="J4" i="813" a="1"/>
  <c r="J4" i="813" s="1"/>
  <c r="J3" i="813" a="1"/>
  <c r="J3" i="813" s="1"/>
  <c r="O16" i="734" a="1"/>
  <c r="O16" i="734" s="1"/>
  <c r="O15" i="734" a="1"/>
  <c r="O15" i="734" s="1"/>
  <c r="O14" i="734" a="1"/>
  <c r="O14" i="734" s="1"/>
  <c r="O13" i="734" a="1"/>
  <c r="O13" i="734" s="1"/>
  <c r="O12" i="734" a="1"/>
  <c r="O12" i="734" s="1"/>
  <c r="U11" i="734" a="1"/>
  <c r="U11" i="734" s="1"/>
  <c r="O11" i="734" a="1"/>
  <c r="O11" i="734" s="1"/>
  <c r="O9" i="734" a="1"/>
  <c r="O9" i="734" s="1"/>
  <c r="O8" i="734" a="1"/>
  <c r="O8" i="734" s="1"/>
  <c r="U7" i="734" a="1"/>
  <c r="U7" i="734" s="1"/>
  <c r="O7" i="734" a="1"/>
  <c r="O7" i="734" s="1"/>
  <c r="J7" i="734" a="1"/>
  <c r="J7" i="734" s="1"/>
  <c r="O6" i="734" a="1"/>
  <c r="O6" i="734" s="1"/>
  <c r="J6" i="734" a="1"/>
  <c r="J6" i="734" s="1"/>
  <c r="O5" i="734" a="1"/>
  <c r="O5" i="734" s="1"/>
  <c r="J5" i="734" a="1"/>
  <c r="J5" i="734" s="1"/>
  <c r="H5" i="734" a="1"/>
  <c r="H5" i="734" s="1"/>
  <c r="I12" i="733" a="1"/>
  <c r="I12" i="733" s="1"/>
  <c r="G12" i="733" a="1"/>
  <c r="G12" i="733" s="1"/>
  <c r="D12" i="733" a="1"/>
  <c r="D12" i="733" s="1"/>
  <c r="B12" i="733" a="1"/>
  <c r="B12" i="733" s="1"/>
  <c r="I11" i="733" a="1"/>
  <c r="I11" i="733" s="1"/>
  <c r="G11" i="733" a="1"/>
  <c r="G11" i="733" s="1"/>
  <c r="D11" i="733" a="1"/>
  <c r="D11" i="733" s="1"/>
  <c r="B11" i="733" a="1"/>
  <c r="B11" i="733" s="1"/>
  <c r="D10" i="733" a="1"/>
  <c r="D10" i="733" s="1"/>
  <c r="F19" i="732" a="1"/>
  <c r="F19" i="732" s="1"/>
  <c r="D19" i="732" a="1"/>
  <c r="D19" i="732" s="1"/>
  <c r="O18" i="732" a="1"/>
  <c r="O18" i="732" s="1"/>
  <c r="M18" i="732" a="1"/>
  <c r="M18" i="732" s="1"/>
  <c r="J17" i="732" a="1"/>
  <c r="J17" i="732" s="1"/>
  <c r="H17" i="732" a="1"/>
  <c r="H17" i="732" s="1"/>
  <c r="F17" i="732" a="1"/>
  <c r="F17" i="732" s="1"/>
  <c r="O16" i="732" a="1"/>
  <c r="O16" i="732" s="1"/>
  <c r="H16" i="732" a="1"/>
  <c r="H16" i="732" s="1"/>
  <c r="F16" i="732" a="1"/>
  <c r="F16" i="732" s="1"/>
  <c r="O15" i="732" a="1"/>
  <c r="O15" i="732" s="1"/>
  <c r="H15" i="732" a="1"/>
  <c r="H15" i="732" s="1"/>
  <c r="F15" i="732" a="1"/>
  <c r="F15" i="732" s="1"/>
  <c r="O14" i="732" a="1"/>
  <c r="O14" i="732" s="1"/>
  <c r="H14" i="732" a="1"/>
  <c r="H14" i="732" s="1"/>
  <c r="F14" i="732" a="1"/>
  <c r="F14" i="732" s="1"/>
  <c r="O13" i="732" a="1"/>
  <c r="O13" i="732" s="1"/>
  <c r="F12" i="732" a="1"/>
  <c r="F12" i="732" s="1"/>
  <c r="O11" i="732" a="1"/>
  <c r="O11" i="732" s="1"/>
  <c r="F11" i="732" a="1"/>
  <c r="F11" i="732" s="1"/>
  <c r="O10" i="732" a="1"/>
  <c r="O10" i="732" s="1"/>
  <c r="F10" i="732" a="1"/>
  <c r="F10" i="732" s="1"/>
  <c r="P18" i="731" a="1"/>
  <c r="P18" i="731" s="1"/>
  <c r="P15" i="731" a="1"/>
  <c r="P15" i="731" s="1"/>
  <c r="P14" i="731" a="1"/>
  <c r="P14" i="731" s="1"/>
  <c r="P11" i="731" a="1"/>
  <c r="P11" i="731" s="1"/>
  <c r="P10" i="731" a="1"/>
  <c r="P10" i="731" s="1"/>
  <c r="P9" i="731" a="1"/>
  <c r="P9" i="731" s="1"/>
  <c r="P8" i="731" a="1"/>
  <c r="P8" i="731" s="1"/>
  <c r="P6" i="731" a="1"/>
  <c r="P6" i="731" s="1"/>
  <c r="N6" i="731" a="1"/>
  <c r="N6" i="731" s="1"/>
  <c r="P5" i="731" a="1"/>
  <c r="P5" i="731" s="1"/>
  <c r="P4" i="731" a="1"/>
  <c r="P4" i="731" s="1"/>
  <c r="M3" i="730" a="1"/>
  <c r="M3" i="730" s="1"/>
  <c r="O46" i="729" a="1"/>
  <c r="O46" i="729" s="1"/>
  <c r="P44" i="728" a="1"/>
  <c r="P44" i="728" s="1"/>
  <c r="P3" i="727" a="1"/>
  <c r="P3" i="727" s="1"/>
  <c r="O14" i="726" a="1"/>
  <c r="O14" i="726" s="1"/>
  <c r="O13" i="726" a="1"/>
  <c r="O13" i="726" s="1"/>
  <c r="O7" i="726" a="1"/>
  <c r="O7" i="726" s="1"/>
  <c r="O6" i="726" a="1"/>
  <c r="O6" i="726" s="1"/>
  <c r="O128" i="725" a="1"/>
  <c r="O128" i="725" s="1"/>
  <c r="N128" i="725" a="1"/>
  <c r="N128" i="725" s="1"/>
  <c r="O127" i="725" a="1"/>
  <c r="O127" i="725" s="1"/>
  <c r="N127" i="725" a="1"/>
  <c r="N127" i="725" s="1"/>
  <c r="O126" i="725" a="1"/>
  <c r="O126" i="725" s="1"/>
  <c r="N126" i="725" a="1"/>
  <c r="N126" i="725" s="1"/>
  <c r="O125" i="725" a="1"/>
  <c r="O125" i="725" s="1"/>
  <c r="N125" i="725" a="1"/>
  <c r="N125" i="725" s="1"/>
  <c r="O124" i="725" a="1"/>
  <c r="O124" i="725" s="1"/>
  <c r="N124" i="725" a="1"/>
  <c r="N124" i="725" s="1"/>
  <c r="O123" i="725" a="1"/>
  <c r="O123" i="725" s="1"/>
  <c r="N123" i="725" a="1"/>
  <c r="N123" i="725" s="1"/>
  <c r="O122" i="725" a="1"/>
  <c r="O122" i="725" s="1"/>
  <c r="N122" i="725" a="1"/>
  <c r="N122" i="725" s="1"/>
  <c r="O121" i="725" a="1"/>
  <c r="O121" i="725" s="1"/>
  <c r="N121" i="725" a="1"/>
  <c r="N121" i="725" s="1"/>
  <c r="O120" i="725" a="1"/>
  <c r="O120" i="725" s="1"/>
  <c r="N120" i="725" a="1"/>
  <c r="N120" i="725" s="1"/>
  <c r="O119" i="725" a="1"/>
  <c r="O119" i="725" s="1"/>
  <c r="N119" i="725" a="1"/>
  <c r="N119" i="725" s="1"/>
  <c r="O118" i="725" a="1"/>
  <c r="O118" i="725" s="1"/>
  <c r="N118" i="725" a="1"/>
  <c r="N118" i="725" s="1"/>
  <c r="O117" i="725" a="1"/>
  <c r="O117" i="725" s="1"/>
  <c r="N117" i="725" a="1"/>
  <c r="N117" i="725" s="1"/>
  <c r="O116" i="725" a="1"/>
  <c r="O116" i="725" s="1"/>
  <c r="N116" i="725" a="1"/>
  <c r="N116" i="725" s="1"/>
  <c r="O115" i="725" a="1"/>
  <c r="O115" i="725" s="1"/>
  <c r="N115" i="725" a="1"/>
  <c r="N115" i="725" s="1"/>
  <c r="O114" i="725" a="1"/>
  <c r="O114" i="725" s="1"/>
  <c r="N114" i="725" a="1"/>
  <c r="N114" i="725" s="1"/>
  <c r="O113" i="725" a="1"/>
  <c r="O113" i="725" s="1"/>
  <c r="N113" i="725" a="1"/>
  <c r="N113" i="725" s="1"/>
  <c r="O112" i="725" a="1"/>
  <c r="O112" i="725" s="1"/>
  <c r="N112" i="725" a="1"/>
  <c r="N112" i="725" s="1"/>
  <c r="O111" i="725" a="1"/>
  <c r="O111" i="725" s="1"/>
  <c r="N111" i="725" a="1"/>
  <c r="N111" i="725" s="1"/>
  <c r="O110" i="725" a="1"/>
  <c r="O110" i="725" s="1"/>
  <c r="N110" i="725" a="1"/>
  <c r="N110" i="725" s="1"/>
  <c r="O109" i="725" a="1"/>
  <c r="O109" i="725" s="1"/>
  <c r="N109" i="725" a="1"/>
  <c r="N109" i="725" s="1"/>
  <c r="O108" i="725" a="1"/>
  <c r="O108" i="725" s="1"/>
  <c r="N108" i="725" a="1"/>
  <c r="N108" i="725" s="1"/>
  <c r="O107" i="725" a="1"/>
  <c r="O107" i="725" s="1"/>
  <c r="N107" i="725" a="1"/>
  <c r="N107" i="725" s="1"/>
  <c r="O106" i="725" a="1"/>
  <c r="O106" i="725" s="1"/>
  <c r="N106" i="725" a="1"/>
  <c r="N106" i="725" s="1"/>
  <c r="O105" i="725" a="1"/>
  <c r="O105" i="725" s="1"/>
  <c r="N105" i="725" a="1"/>
  <c r="N105" i="725" s="1"/>
  <c r="O104" i="725" a="1"/>
  <c r="O104" i="725" s="1"/>
  <c r="N104" i="725" a="1"/>
  <c r="N104" i="725" s="1"/>
  <c r="O103" i="725" a="1"/>
  <c r="O103" i="725" s="1"/>
  <c r="N103" i="725" a="1"/>
  <c r="N103" i="725" s="1"/>
  <c r="O102" i="725" a="1"/>
  <c r="O102" i="725" s="1"/>
  <c r="N102" i="725" a="1"/>
  <c r="N102" i="725" s="1"/>
  <c r="O101" i="725" a="1"/>
  <c r="O101" i="725" s="1"/>
  <c r="N101" i="725" a="1"/>
  <c r="N101" i="725" s="1"/>
  <c r="O100" i="725" a="1"/>
  <c r="O100" i="725" s="1"/>
  <c r="N100" i="725" a="1"/>
  <c r="N100" i="725" s="1"/>
  <c r="O99" i="725" a="1"/>
  <c r="O99" i="725" s="1"/>
  <c r="N99" i="725" a="1"/>
  <c r="N99" i="725" s="1"/>
  <c r="O98" i="725" a="1"/>
  <c r="O98" i="725" s="1"/>
  <c r="N98" i="725" a="1"/>
  <c r="N98" i="725" s="1"/>
  <c r="O97" i="725" a="1"/>
  <c r="O97" i="725" s="1"/>
  <c r="N97" i="725" a="1"/>
  <c r="N97" i="725" s="1"/>
  <c r="O96" i="725" a="1"/>
  <c r="O96" i="725" s="1"/>
  <c r="N96" i="725" a="1"/>
  <c r="N96" i="725" s="1"/>
  <c r="O95" i="725" a="1"/>
  <c r="O95" i="725" s="1"/>
  <c r="N95" i="725" a="1"/>
  <c r="N95" i="725" s="1"/>
  <c r="O94" i="725" a="1"/>
  <c r="O94" i="725" s="1"/>
  <c r="N94" i="725" a="1"/>
  <c r="N94" i="725" s="1"/>
  <c r="O93" i="725" a="1"/>
  <c r="O93" i="725" s="1"/>
  <c r="N93" i="725" a="1"/>
  <c r="N93" i="725" s="1"/>
  <c r="O92" i="725" a="1"/>
  <c r="O92" i="725" s="1"/>
  <c r="N92" i="725" a="1"/>
  <c r="N92" i="725" s="1"/>
  <c r="O91" i="725" a="1"/>
  <c r="O91" i="725" s="1"/>
  <c r="N91" i="725" a="1"/>
  <c r="N91" i="725" s="1"/>
  <c r="O90" i="725" a="1"/>
  <c r="O90" i="725" s="1"/>
  <c r="N90" i="725" a="1"/>
  <c r="N90" i="725" s="1"/>
  <c r="O89" i="725" a="1"/>
  <c r="O89" i="725" s="1"/>
  <c r="N89" i="725" a="1"/>
  <c r="N89" i="725" s="1"/>
  <c r="O88" i="725" a="1"/>
  <c r="O88" i="725" s="1"/>
  <c r="N88" i="725" a="1"/>
  <c r="N88" i="725" s="1"/>
  <c r="O87" i="725" a="1"/>
  <c r="O87" i="725" s="1"/>
  <c r="N87" i="725" a="1"/>
  <c r="N87" i="725" s="1"/>
  <c r="O86" i="725" a="1"/>
  <c r="O86" i="725" s="1"/>
  <c r="N86" i="725" a="1"/>
  <c r="N86" i="725" s="1"/>
  <c r="O85" i="725" a="1"/>
  <c r="O85" i="725" s="1"/>
  <c r="N85" i="725" a="1"/>
  <c r="N85" i="725" s="1"/>
  <c r="O84" i="725" a="1"/>
  <c r="O84" i="725" s="1"/>
  <c r="N84" i="725" a="1"/>
  <c r="N84" i="725" s="1"/>
  <c r="O83" i="725" a="1"/>
  <c r="O83" i="725" s="1"/>
  <c r="N83" i="725" a="1"/>
  <c r="N83" i="725" s="1"/>
  <c r="O82" i="725" a="1"/>
  <c r="O82" i="725" s="1"/>
  <c r="N82" i="725" a="1"/>
  <c r="N82" i="725" s="1"/>
  <c r="O81" i="725" a="1"/>
  <c r="O81" i="725" s="1"/>
  <c r="N81" i="725" a="1"/>
  <c r="N81" i="725" s="1"/>
  <c r="O80" i="725" a="1"/>
  <c r="O80" i="725" s="1"/>
  <c r="N80" i="725" a="1"/>
  <c r="N80" i="725" s="1"/>
  <c r="O79" i="725" a="1"/>
  <c r="O79" i="725" s="1"/>
  <c r="N79" i="725" a="1"/>
  <c r="N79" i="725" s="1"/>
  <c r="O78" i="725" a="1"/>
  <c r="O78" i="725" s="1"/>
  <c r="N78" i="725" a="1"/>
  <c r="N78" i="725" s="1"/>
  <c r="O77" i="725" a="1"/>
  <c r="O77" i="725" s="1"/>
  <c r="N77" i="725" a="1"/>
  <c r="N77" i="725" s="1"/>
  <c r="O76" i="725" a="1"/>
  <c r="O76" i="725" s="1"/>
  <c r="N76" i="725" a="1"/>
  <c r="N76" i="725" s="1"/>
  <c r="O75" i="725" a="1"/>
  <c r="O75" i="725" s="1"/>
  <c r="N75" i="725" a="1"/>
  <c r="N75" i="725" s="1"/>
  <c r="O74" i="725" a="1"/>
  <c r="O74" i="725" s="1"/>
  <c r="N74" i="725" a="1"/>
  <c r="N74" i="725" s="1"/>
  <c r="O73" i="725" a="1"/>
  <c r="O73" i="725" s="1"/>
  <c r="N73" i="725" a="1"/>
  <c r="N73" i="725" s="1"/>
  <c r="O72" i="725" a="1"/>
  <c r="O72" i="725" s="1"/>
  <c r="N72" i="725" a="1"/>
  <c r="N72" i="725" s="1"/>
  <c r="O71" i="725" a="1"/>
  <c r="O71" i="725" s="1"/>
  <c r="N71" i="725" a="1"/>
  <c r="N71" i="725" s="1"/>
  <c r="O70" i="725" a="1"/>
  <c r="O70" i="725" s="1"/>
  <c r="N70" i="725" a="1"/>
  <c r="N70" i="725" s="1"/>
  <c r="O69" i="725" a="1"/>
  <c r="O69" i="725" s="1"/>
  <c r="N69" i="725" a="1"/>
  <c r="N69" i="725" s="1"/>
  <c r="O68" i="725" a="1"/>
  <c r="O68" i="725" s="1"/>
  <c r="N68" i="725" a="1"/>
  <c r="N68" i="725" s="1"/>
  <c r="O67" i="725" a="1"/>
  <c r="O67" i="725" s="1"/>
  <c r="N67" i="725" a="1"/>
  <c r="N67" i="725" s="1"/>
  <c r="O66" i="725" a="1"/>
  <c r="O66" i="725" s="1"/>
  <c r="N66" i="725" a="1"/>
  <c r="N66" i="725" s="1"/>
  <c r="O65" i="725" a="1"/>
  <c r="O65" i="725" s="1"/>
  <c r="N65" i="725" a="1"/>
  <c r="N65" i="725" s="1"/>
  <c r="O64" i="725" a="1"/>
  <c r="O64" i="725" s="1"/>
  <c r="N64" i="725" a="1"/>
  <c r="N64" i="725" s="1"/>
  <c r="O63" i="725" a="1"/>
  <c r="O63" i="725" s="1"/>
  <c r="N63" i="725" a="1"/>
  <c r="N63" i="725" s="1"/>
  <c r="O62" i="725" a="1"/>
  <c r="O62" i="725" s="1"/>
  <c r="N62" i="725" a="1"/>
  <c r="N62" i="725" s="1"/>
  <c r="O61" i="725" a="1"/>
  <c r="O61" i="725" s="1"/>
  <c r="N61" i="725" a="1"/>
  <c r="N61" i="725" s="1"/>
  <c r="O60" i="725" a="1"/>
  <c r="O60" i="725" s="1"/>
  <c r="N60" i="725" a="1"/>
  <c r="N60" i="725" s="1"/>
  <c r="O59" i="725" a="1"/>
  <c r="O59" i="725" s="1"/>
  <c r="N59" i="725" a="1"/>
  <c r="N59" i="725" s="1"/>
  <c r="O58" i="725" a="1"/>
  <c r="O58" i="725" s="1"/>
  <c r="N58" i="725" a="1"/>
  <c r="N58" i="725" s="1"/>
  <c r="O57" i="725" a="1"/>
  <c r="O57" i="725" s="1"/>
  <c r="N57" i="725" a="1"/>
  <c r="N57" i="725" s="1"/>
  <c r="O56" i="725" a="1"/>
  <c r="O56" i="725" s="1"/>
  <c r="N56" i="725" a="1"/>
  <c r="N56" i="725" s="1"/>
  <c r="O55" i="725" a="1"/>
  <c r="O55" i="725" s="1"/>
  <c r="N55" i="725" a="1"/>
  <c r="N55" i="725" s="1"/>
  <c r="O54" i="725" a="1"/>
  <c r="O54" i="725" s="1"/>
  <c r="N54" i="725" a="1"/>
  <c r="N54" i="725" s="1"/>
  <c r="O53" i="725" a="1"/>
  <c r="O53" i="725" s="1"/>
  <c r="N53" i="725" a="1"/>
  <c r="N53" i="725" s="1"/>
  <c r="O52" i="725" a="1"/>
  <c r="O52" i="725" s="1"/>
  <c r="N52" i="725" a="1"/>
  <c r="N52" i="725" s="1"/>
  <c r="O51" i="725" a="1"/>
  <c r="O51" i="725" s="1"/>
  <c r="N51" i="725" a="1"/>
  <c r="N51" i="725" s="1"/>
  <c r="O50" i="725" a="1"/>
  <c r="O50" i="725" s="1"/>
  <c r="N50" i="725" a="1"/>
  <c r="N50" i="725" s="1"/>
  <c r="O49" i="725" a="1"/>
  <c r="O49" i="725" s="1"/>
  <c r="N49" i="725" a="1"/>
  <c r="N49" i="725" s="1"/>
  <c r="O48" i="725" a="1"/>
  <c r="O48" i="725" s="1"/>
  <c r="N48" i="725" a="1"/>
  <c r="N48" i="725" s="1"/>
  <c r="O47" i="725" a="1"/>
  <c r="O47" i="725" s="1"/>
  <c r="N47" i="725" a="1"/>
  <c r="N47" i="725" s="1"/>
  <c r="O46" i="725" a="1"/>
  <c r="O46" i="725" s="1"/>
  <c r="N46" i="725" a="1"/>
  <c r="N46" i="725" s="1"/>
  <c r="O45" i="725" a="1"/>
  <c r="O45" i="725" s="1"/>
  <c r="N45" i="725" a="1"/>
  <c r="N45" i="725" s="1"/>
  <c r="O44" i="725" a="1"/>
  <c r="O44" i="725" s="1"/>
  <c r="N44" i="725" a="1"/>
  <c r="N44" i="725" s="1"/>
  <c r="O43" i="725" a="1"/>
  <c r="O43" i="725" s="1"/>
  <c r="N43" i="725" a="1"/>
  <c r="N43" i="725" s="1"/>
  <c r="O42" i="725" a="1"/>
  <c r="O42" i="725" s="1"/>
  <c r="N42" i="725" a="1"/>
  <c r="N42" i="725" s="1"/>
  <c r="O41" i="725" a="1"/>
  <c r="O41" i="725" s="1"/>
  <c r="N41" i="725" a="1"/>
  <c r="N41" i="725" s="1"/>
  <c r="O40" i="725" a="1"/>
  <c r="O40" i="725" s="1"/>
  <c r="N40" i="725" a="1"/>
  <c r="N40" i="725" s="1"/>
  <c r="O39" i="725" a="1"/>
  <c r="O39" i="725" s="1"/>
  <c r="N39" i="725" a="1"/>
  <c r="N39" i="725" s="1"/>
  <c r="O38" i="725" a="1"/>
  <c r="O38" i="725" s="1"/>
  <c r="N38" i="725" a="1"/>
  <c r="N38" i="725" s="1"/>
  <c r="O37" i="725" a="1"/>
  <c r="O37" i="725" s="1"/>
  <c r="N37" i="725" a="1"/>
  <c r="N37" i="725" s="1"/>
  <c r="O36" i="725" a="1"/>
  <c r="O36" i="725" s="1"/>
  <c r="N36" i="725" a="1"/>
  <c r="N36" i="725" s="1"/>
  <c r="O35" i="725" a="1"/>
  <c r="O35" i="725" s="1"/>
  <c r="N35" i="725" a="1"/>
  <c r="N35" i="725" s="1"/>
  <c r="O34" i="725" a="1"/>
  <c r="O34" i="725" s="1"/>
  <c r="N34" i="725" a="1"/>
  <c r="N34" i="725" s="1"/>
  <c r="O33" i="725" a="1"/>
  <c r="O33" i="725" s="1"/>
  <c r="N33" i="725" a="1"/>
  <c r="N33" i="725" s="1"/>
  <c r="O32" i="725" a="1"/>
  <c r="O32" i="725" s="1"/>
  <c r="N32" i="725" a="1"/>
  <c r="N32" i="725" s="1"/>
  <c r="O31" i="725" a="1"/>
  <c r="O31" i="725" s="1"/>
  <c r="N31" i="725" a="1"/>
  <c r="N31" i="725" s="1"/>
  <c r="O30" i="725" a="1"/>
  <c r="O30" i="725" s="1"/>
  <c r="N30" i="725" a="1"/>
  <c r="N30" i="725" s="1"/>
  <c r="O29" i="725" a="1"/>
  <c r="O29" i="725" s="1"/>
  <c r="N29" i="725" a="1"/>
  <c r="N29" i="725" s="1"/>
  <c r="O28" i="725" a="1"/>
  <c r="O28" i="725" s="1"/>
  <c r="N28" i="725" a="1"/>
  <c r="N28" i="725" s="1"/>
  <c r="O27" i="725" a="1"/>
  <c r="O27" i="725" s="1"/>
  <c r="N27" i="725" a="1"/>
  <c r="N27" i="725" s="1"/>
  <c r="O26" i="725" a="1"/>
  <c r="O26" i="725" s="1"/>
  <c r="N26" i="725" a="1"/>
  <c r="N26" i="725" s="1"/>
  <c r="O25" i="725" a="1"/>
  <c r="O25" i="725" s="1"/>
  <c r="N25" i="725" a="1"/>
  <c r="N25" i="725" s="1"/>
  <c r="O24" i="725" a="1"/>
  <c r="O24" i="725" s="1"/>
  <c r="N24" i="725" a="1"/>
  <c r="N24" i="725" s="1"/>
  <c r="O23" i="725" a="1"/>
  <c r="O23" i="725" s="1"/>
  <c r="N23" i="725" a="1"/>
  <c r="N23" i="725" s="1"/>
  <c r="O22" i="725" a="1"/>
  <c r="O22" i="725" s="1"/>
  <c r="N22" i="725" a="1"/>
  <c r="N22" i="725" s="1"/>
  <c r="O21" i="725" a="1"/>
  <c r="O21" i="725" s="1"/>
  <c r="N21" i="725" a="1"/>
  <c r="N21" i="725" s="1"/>
  <c r="O20" i="725" a="1"/>
  <c r="O20" i="725" s="1"/>
  <c r="N20" i="725" a="1"/>
  <c r="N20" i="725" s="1"/>
  <c r="O19" i="725" a="1"/>
  <c r="O19" i="725" s="1"/>
  <c r="N19" i="725" a="1"/>
  <c r="N19" i="725" s="1"/>
  <c r="O18" i="725" a="1"/>
  <c r="O18" i="725" s="1"/>
  <c r="N18" i="725" a="1"/>
  <c r="N18" i="725" s="1"/>
  <c r="O17" i="725" a="1"/>
  <c r="O17" i="725" s="1"/>
  <c r="N17" i="725" a="1"/>
  <c r="N17" i="725" s="1"/>
  <c r="O16" i="725" a="1"/>
  <c r="O16" i="725" s="1"/>
  <c r="N16" i="725" a="1"/>
  <c r="N16" i="725" s="1"/>
  <c r="O15" i="725" a="1"/>
  <c r="O15" i="725" s="1"/>
  <c r="N15" i="725" a="1"/>
  <c r="N15" i="725" s="1"/>
  <c r="O14" i="725" a="1"/>
  <c r="O14" i="725" s="1"/>
  <c r="N14" i="725" a="1"/>
  <c r="N14" i="725" s="1"/>
  <c r="O13" i="725" a="1"/>
  <c r="O13" i="725" s="1"/>
  <c r="N13" i="725" a="1"/>
  <c r="N13" i="725" s="1"/>
  <c r="W12" i="725" a="1"/>
  <c r="W12" i="725" s="1"/>
  <c r="S12" i="725" a="1"/>
  <c r="S12" i="725" s="1"/>
  <c r="O12" i="725" a="1"/>
  <c r="O12" i="725" s="1"/>
  <c r="N12" i="725" a="1"/>
  <c r="N12" i="725" s="1"/>
  <c r="O11" i="725" a="1"/>
  <c r="O11" i="725" s="1"/>
  <c r="N11" i="725" a="1"/>
  <c r="N11" i="725" s="1"/>
  <c r="O10" i="725" a="1"/>
  <c r="O10" i="725" s="1"/>
  <c r="N10" i="725" a="1"/>
  <c r="N10" i="725" s="1"/>
  <c r="O9" i="725" a="1"/>
  <c r="O9" i="725" s="1"/>
  <c r="N9" i="725" a="1"/>
  <c r="N9" i="725" s="1"/>
  <c r="W8" i="725" a="1"/>
  <c r="W8" i="725" s="1"/>
  <c r="U8" i="725" a="1"/>
  <c r="U8" i="725" s="1"/>
  <c r="O8" i="725" a="1"/>
  <c r="O8" i="725" s="1"/>
  <c r="N8" i="725" a="1"/>
  <c r="N8" i="725" s="1"/>
  <c r="O7" i="725" a="1"/>
  <c r="O7" i="725" s="1"/>
  <c r="N7" i="725" a="1"/>
  <c r="N7" i="725" s="1"/>
  <c r="W6" i="725" a="1"/>
  <c r="W6" i="725" s="1"/>
  <c r="U6" i="725" a="1"/>
  <c r="U6" i="725" s="1"/>
  <c r="O6" i="725" a="1"/>
  <c r="O6" i="725" s="1"/>
  <c r="N6" i="725" a="1"/>
  <c r="N6" i="725" s="1"/>
  <c r="O5" i="725" a="1"/>
  <c r="O5" i="725" s="1"/>
  <c r="N5" i="725" a="1"/>
  <c r="N5" i="725" s="1"/>
  <c r="W4" i="725" a="1"/>
  <c r="W4" i="725" s="1"/>
  <c r="U4" i="725" a="1"/>
  <c r="U4" i="725" s="1"/>
  <c r="O4" i="725" a="1"/>
  <c r="O4" i="725" s="1"/>
  <c r="N4" i="725" a="1"/>
  <c r="N4" i="725" s="1"/>
  <c r="O3" i="725" a="1"/>
  <c r="O3" i="725" s="1"/>
  <c r="N3" i="725" a="1"/>
  <c r="N3" i="725" s="1"/>
  <c r="I10" i="724" a="1"/>
  <c r="I10" i="724" s="1"/>
  <c r="I8" i="724" a="1"/>
  <c r="I8" i="724" s="1"/>
  <c r="I6" i="724" a="1"/>
  <c r="I6" i="724" s="1"/>
  <c r="R26" i="723" a="1"/>
  <c r="R26" i="723" s="1"/>
  <c r="H26" i="723" a="1"/>
  <c r="H26" i="723" s="1"/>
  <c r="G6" i="722" a="1"/>
  <c r="G6" i="722" s="1"/>
  <c r="T10" i="797" a="1"/>
  <c r="T10" i="797" s="1"/>
  <c r="R10" i="797" a="1"/>
  <c r="R10" i="797" s="1"/>
  <c r="T9" i="797" a="1"/>
  <c r="T9" i="797" s="1"/>
  <c r="R9" i="797" a="1"/>
  <c r="R9" i="797" s="1"/>
  <c r="P14" i="796" a="1"/>
  <c r="P14" i="796" s="1"/>
  <c r="P11" i="796" a="1"/>
  <c r="P11" i="796" s="1"/>
  <c r="P10" i="796" a="1"/>
  <c r="P10" i="796" s="1"/>
  <c r="P9" i="796" a="1"/>
  <c r="P9" i="796" s="1"/>
  <c r="P8" i="796" a="1"/>
  <c r="P8" i="796" s="1"/>
  <c r="P7" i="796" a="1"/>
  <c r="P7" i="796" s="1"/>
  <c r="P6" i="796" a="1"/>
  <c r="P6" i="796" s="1"/>
  <c r="P5" i="796" a="1"/>
  <c r="P5" i="796" s="1"/>
  <c r="P4" i="796" a="1"/>
  <c r="P4" i="796" s="1"/>
  <c r="P3" i="796" a="1"/>
  <c r="P3" i="796" s="1"/>
  <c r="T10" i="795" a="1"/>
  <c r="T10" i="795" s="1"/>
  <c r="R10" i="795" a="1"/>
  <c r="R10" i="795" s="1"/>
  <c r="T9" i="795" a="1"/>
  <c r="T9" i="795" s="1"/>
  <c r="R9" i="795" a="1"/>
  <c r="R9" i="795" s="1"/>
  <c r="M14" i="720" a="1"/>
  <c r="M14" i="720" s="1"/>
  <c r="T29" i="719" a="1"/>
  <c r="T29" i="719" s="1"/>
  <c r="T26" i="719" a="1"/>
  <c r="T26" i="719" s="1"/>
  <c r="T25" i="719" a="1"/>
  <c r="T25" i="719" s="1"/>
  <c r="T24" i="719" a="1"/>
  <c r="T24" i="719" s="1"/>
  <c r="T18" i="719" a="1"/>
  <c r="T18" i="719" s="1"/>
  <c r="T17" i="719" a="1"/>
  <c r="T17" i="719" s="1"/>
  <c r="T16" i="719" a="1"/>
  <c r="T16" i="719" s="1"/>
  <c r="T15" i="719" a="1"/>
  <c r="T15" i="719" s="1"/>
  <c r="T8" i="719" a="1"/>
  <c r="T8" i="719" s="1"/>
  <c r="T7" i="719" a="1"/>
  <c r="T7" i="719" s="1"/>
  <c r="T6" i="719" a="1"/>
  <c r="T6" i="719" s="1"/>
  <c r="T5" i="719" a="1"/>
  <c r="T5" i="719" s="1"/>
  <c r="J5" i="719" a="1"/>
  <c r="J5" i="719" s="1"/>
  <c r="L6" i="718" a="1"/>
  <c r="L6" i="718" s="1"/>
  <c r="K6" i="718" a="1"/>
  <c r="K6" i="718" s="1"/>
  <c r="L5" i="718" a="1"/>
  <c r="L5" i="718" s="1"/>
  <c r="K5" i="718" a="1"/>
  <c r="K5" i="718" s="1"/>
  <c r="L6" i="716" a="1"/>
  <c r="L6" i="716" s="1"/>
  <c r="K6" i="716" a="1"/>
  <c r="K6" i="716" s="1"/>
  <c r="L5" i="716" a="1"/>
  <c r="L5" i="716" s="1"/>
  <c r="K5" i="716" a="1"/>
  <c r="K5" i="716" s="1"/>
  <c r="L41" i="717" a="1"/>
  <c r="L41" i="717" s="1"/>
  <c r="L37" i="717" a="1"/>
  <c r="L37" i="717" s="1"/>
  <c r="L33" i="717" a="1"/>
  <c r="L33" i="717" s="1"/>
  <c r="L29" i="717" a="1"/>
  <c r="L29" i="717" s="1"/>
  <c r="L25" i="717" a="1"/>
  <c r="L25" i="717" s="1"/>
  <c r="L20" i="717" a="1"/>
  <c r="L20" i="717" s="1"/>
  <c r="L16" i="717" a="1"/>
  <c r="L16" i="717" s="1"/>
  <c r="L12" i="717" a="1"/>
  <c r="L12" i="717" s="1"/>
  <c r="L8" i="717" a="1"/>
  <c r="L8" i="717" s="1"/>
  <c r="L4" i="717" a="1"/>
  <c r="L4" i="717" s="1"/>
  <c r="P14" i="698" a="1"/>
  <c r="P14" i="698" s="1"/>
  <c r="N14" i="698" a="1"/>
  <c r="N14" i="698" s="1"/>
  <c r="L14" i="698" a="1"/>
  <c r="L14" i="698" s="1"/>
  <c r="K14" i="698" a="1"/>
  <c r="K14" i="698" s="1"/>
  <c r="J14" i="698" a="1"/>
  <c r="J14" i="698" s="1"/>
  <c r="I14" i="698" a="1"/>
  <c r="I14" i="698" s="1"/>
  <c r="H14" i="698" a="1"/>
  <c r="H14" i="698" s="1"/>
  <c r="G14" i="698" a="1"/>
  <c r="G14" i="698" s="1"/>
  <c r="F14" i="698" a="1"/>
  <c r="F14" i="698" s="1"/>
  <c r="E14" i="698" a="1"/>
  <c r="E14" i="698" s="1"/>
  <c r="D14" i="698" a="1"/>
  <c r="D14" i="698" s="1"/>
  <c r="N3" i="698" a="1"/>
  <c r="N3" i="698" s="1"/>
  <c r="BE7" i="697" a="1"/>
  <c r="BE7" i="697" s="1"/>
  <c r="AD7" i="697" a="1"/>
  <c r="AD7" i="697" s="1"/>
  <c r="E7" i="697" a="1"/>
  <c r="E7" i="697" s="1"/>
  <c r="BE6" i="697" a="1"/>
  <c r="BE6" i="697" s="1"/>
  <c r="AD6" i="697" a="1"/>
  <c r="AD6" i="697" s="1"/>
  <c r="E6" i="697" a="1"/>
  <c r="E6" i="697" s="1"/>
  <c r="N18" i="494" a="1"/>
  <c r="N18" i="494" s="1"/>
  <c r="N17" i="494" a="1"/>
  <c r="N17" i="494" s="1"/>
  <c r="N15" i="494" a="1"/>
  <c r="N15" i="494" s="1"/>
  <c r="N12" i="494" a="1"/>
  <c r="N12" i="494" s="1"/>
  <c r="S9" i="494" a="1"/>
  <c r="S9" i="494" s="1"/>
  <c r="N9" i="494" a="1"/>
  <c r="N9" i="494" s="1"/>
  <c r="Y8" i="494" a="1"/>
  <c r="Y8" i="494" s="1"/>
  <c r="S8" i="494" a="1"/>
  <c r="S8" i="494" s="1"/>
  <c r="N8" i="494" a="1"/>
  <c r="N8" i="494" s="1"/>
  <c r="Y7" i="494" a="1"/>
  <c r="Y7" i="494" s="1"/>
  <c r="S7" i="494" a="1"/>
  <c r="S7" i="494" s="1"/>
  <c r="N7" i="494" a="1"/>
  <c r="N7" i="494" s="1"/>
  <c r="Y6" i="494" a="1"/>
  <c r="Y6" i="494" s="1"/>
  <c r="S6" i="494" a="1"/>
  <c r="S6" i="494" s="1"/>
  <c r="N6" i="494" a="1"/>
  <c r="N6" i="494" s="1"/>
  <c r="S5" i="494" a="1"/>
  <c r="S5" i="494" s="1"/>
  <c r="N5" i="494" a="1"/>
  <c r="N5" i="494" s="1"/>
  <c r="N4" i="494" a="1"/>
  <c r="N4" i="494" s="1"/>
  <c r="N3" i="494"/>
  <c r="N3" i="494" a="1"/>
  <c r="O18" i="62" a="1"/>
  <c r="O18" i="62" s="1"/>
  <c r="O17" i="62" a="1"/>
  <c r="O17" i="62" s="1"/>
  <c r="O15" i="62" a="1"/>
  <c r="O15" i="62" s="1"/>
  <c r="O12" i="62" a="1"/>
  <c r="O12" i="62" s="1"/>
  <c r="O9" i="62" a="1"/>
  <c r="O9" i="62" s="1"/>
  <c r="O8" i="62" a="1"/>
  <c r="O8" i="62" s="1"/>
  <c r="O7" i="62" a="1"/>
  <c r="O7" i="62" s="1"/>
  <c r="O6" i="62" a="1"/>
  <c r="O6" i="62" s="1"/>
  <c r="O5" i="62" a="1"/>
  <c r="O5" i="62" s="1"/>
  <c r="O4" i="62" a="1"/>
  <c r="O4" i="62" s="1"/>
  <c r="K18" i="489" a="1"/>
  <c r="K18" i="489" s="1"/>
  <c r="K17" i="489" a="1"/>
  <c r="K17" i="489" s="1"/>
  <c r="K15" i="489" a="1"/>
  <c r="K15" i="489" s="1"/>
  <c r="K12" i="489" a="1"/>
  <c r="K12" i="489" s="1"/>
  <c r="K9" i="489" a="1"/>
  <c r="K9" i="489" s="1"/>
  <c r="K8" i="489" a="1"/>
  <c r="K8" i="489" s="1"/>
  <c r="K7" i="489" a="1"/>
  <c r="K7" i="489" s="1"/>
  <c r="W6" i="489" a="1"/>
  <c r="W6" i="489" s="1"/>
  <c r="K6" i="489" a="1"/>
  <c r="K6" i="489" s="1"/>
  <c r="W5" i="489" a="1"/>
  <c r="W5" i="489" s="1"/>
  <c r="T5" i="489" a="1"/>
  <c r="T5" i="489" s="1"/>
  <c r="K5" i="489" a="1"/>
  <c r="K5" i="489" s="1"/>
  <c r="K4" i="489" a="1"/>
  <c r="K4" i="489" s="1"/>
  <c r="K12" i="581" a="1"/>
  <c r="K12" i="581" s="1"/>
  <c r="K11" i="581" a="1"/>
  <c r="K11" i="581" s="1"/>
  <c r="I11" i="581" a="1"/>
  <c r="I11" i="581" s="1"/>
  <c r="K10" i="581" a="1"/>
  <c r="K10" i="581" s="1"/>
  <c r="K9" i="581" a="1"/>
  <c r="K9" i="581" s="1"/>
  <c r="K8" i="581" a="1"/>
  <c r="K8" i="581" s="1"/>
  <c r="K7" i="581" a="1"/>
  <c r="K7" i="581" s="1"/>
  <c r="K6" i="581" a="1"/>
  <c r="K6" i="581" s="1"/>
  <c r="E18" i="665" a="1"/>
  <c r="E18" i="665" s="1"/>
  <c r="D18" i="665" a="1"/>
  <c r="D18" i="665" s="1"/>
  <c r="J17" i="665" a="1"/>
  <c r="J17" i="665" s="1"/>
  <c r="E17" i="665" a="1"/>
  <c r="E17" i="665" s="1"/>
  <c r="D17" i="665" a="1"/>
  <c r="D17" i="665" s="1"/>
  <c r="E16" i="665" a="1"/>
  <c r="E16" i="665" s="1"/>
  <c r="D16" i="665" a="1"/>
  <c r="D16" i="665" s="1"/>
  <c r="J15" i="665" a="1"/>
  <c r="J15" i="665" s="1"/>
  <c r="H15" i="665" a="1"/>
  <c r="H15" i="665" s="1"/>
  <c r="E15" i="665" a="1"/>
  <c r="E15" i="665" s="1"/>
  <c r="D15" i="665" a="1"/>
  <c r="D15" i="665" s="1"/>
  <c r="E14" i="665" a="1"/>
  <c r="E14" i="665" s="1"/>
  <c r="D14" i="665" a="1"/>
  <c r="D14" i="665" s="1"/>
  <c r="J13" i="665" a="1"/>
  <c r="J13" i="665" s="1"/>
  <c r="E13" i="665" a="1"/>
  <c r="E13" i="665" s="1"/>
  <c r="D13" i="665" a="1"/>
  <c r="D13" i="665" s="1"/>
  <c r="E12" i="665"/>
  <c r="E12" i="665" a="1"/>
  <c r="D12" i="665" a="1"/>
  <c r="D12" i="665" s="1"/>
  <c r="E11" i="665" a="1"/>
  <c r="E11" i="665" s="1"/>
  <c r="D11" i="665" a="1"/>
  <c r="D11" i="665" s="1"/>
  <c r="E10" i="665" a="1"/>
  <c r="E10" i="665" s="1"/>
  <c r="D10" i="665" a="1"/>
  <c r="D10" i="665" s="1"/>
  <c r="J9" i="665" a="1"/>
  <c r="J9" i="665" s="1"/>
  <c r="E9" i="665" a="1"/>
  <c r="E9" i="665" s="1"/>
  <c r="D9" i="665" a="1"/>
  <c r="D9" i="665" s="1"/>
  <c r="J8" i="665" a="1"/>
  <c r="J8" i="665" s="1"/>
  <c r="E8" i="665" a="1"/>
  <c r="E8" i="665" s="1"/>
  <c r="D8" i="665" a="1"/>
  <c r="D8" i="665" s="1"/>
  <c r="J7" i="665" a="1"/>
  <c r="J7" i="665" s="1"/>
  <c r="E7" i="665" a="1"/>
  <c r="E7" i="665" s="1"/>
  <c r="D7" i="665" a="1"/>
  <c r="D7" i="665" s="1"/>
  <c r="J6" i="665" a="1"/>
  <c r="J6" i="665" s="1"/>
  <c r="E6" i="665" a="1"/>
  <c r="E6" i="665" s="1"/>
  <c r="D6" i="665" a="1"/>
  <c r="D6" i="665" s="1"/>
  <c r="E5" i="665" a="1"/>
  <c r="E5" i="665" s="1"/>
  <c r="D5" i="665" a="1"/>
  <c r="D5" i="665" s="1"/>
  <c r="J4" i="665"/>
  <c r="J4" i="665" a="1"/>
  <c r="E4" i="665" a="1"/>
  <c r="E4" i="665" s="1"/>
  <c r="D4" i="665" a="1"/>
  <c r="D4" i="665" s="1"/>
  <c r="D19" i="71" a="1"/>
  <c r="D19" i="71" s="1"/>
  <c r="C19" i="71" a="1"/>
  <c r="C19" i="71" s="1"/>
  <c r="D18" i="71" a="1"/>
  <c r="D18" i="71" s="1"/>
  <c r="C18" i="71" a="1"/>
  <c r="C18" i="71" s="1"/>
  <c r="D17" i="71" a="1"/>
  <c r="D17" i="71" s="1"/>
  <c r="C17" i="71" a="1"/>
  <c r="C17" i="71" s="1"/>
  <c r="D16" i="71" a="1"/>
  <c r="D16" i="71" s="1"/>
  <c r="C16" i="71" a="1"/>
  <c r="C16" i="71" s="1"/>
  <c r="D15" i="71" a="1"/>
  <c r="D15" i="71" s="1"/>
  <c r="C15" i="71" a="1"/>
  <c r="C15" i="71" s="1"/>
  <c r="D14" i="71" a="1"/>
  <c r="D14" i="71" s="1"/>
  <c r="C14" i="71" a="1"/>
  <c r="C14" i="71" s="1"/>
  <c r="D13" i="71" a="1"/>
  <c r="D13" i="71" s="1"/>
  <c r="C13" i="71" a="1"/>
  <c r="C13" i="71" s="1"/>
  <c r="D12" i="71" a="1"/>
  <c r="D12" i="71" s="1"/>
  <c r="C12" i="71" a="1"/>
  <c r="C12" i="71" s="1"/>
  <c r="D11" i="71" a="1"/>
  <c r="D11" i="71" s="1"/>
  <c r="C11" i="71" a="1"/>
  <c r="C11" i="71" s="1"/>
  <c r="D10" i="71" a="1"/>
  <c r="D10" i="71" s="1"/>
  <c r="C10" i="71" a="1"/>
  <c r="C10" i="71" s="1"/>
  <c r="D9" i="71" a="1"/>
  <c r="D9" i="71" s="1"/>
  <c r="C9" i="71" a="1"/>
  <c r="C9" i="71" s="1"/>
  <c r="D8" i="71" a="1"/>
  <c r="D8" i="71" s="1"/>
  <c r="C8" i="71" a="1"/>
  <c r="C8" i="71" s="1"/>
  <c r="R7" i="71" a="1"/>
  <c r="R7" i="71" s="1"/>
  <c r="N7" i="71" a="1"/>
  <c r="N7" i="71" s="1"/>
  <c r="D7" i="71" a="1"/>
  <c r="D7" i="71" s="1"/>
  <c r="C7" i="71" a="1"/>
  <c r="C7" i="71" s="1"/>
  <c r="R6" i="71" a="1"/>
  <c r="R6" i="71" s="1"/>
  <c r="N6" i="71" a="1"/>
  <c r="N6" i="71" s="1"/>
  <c r="D6" i="71" a="1"/>
  <c r="D6" i="71" s="1"/>
  <c r="C6" i="71" a="1"/>
  <c r="C6" i="71" s="1"/>
  <c r="D5" i="71" a="1"/>
  <c r="D5" i="71" s="1"/>
  <c r="C5" i="71" a="1"/>
  <c r="C5" i="71" s="1"/>
  <c r="I13" i="582" a="1"/>
  <c r="I13" i="582" s="1"/>
  <c r="D13" i="582" a="1"/>
  <c r="D13" i="582" s="1"/>
  <c r="C13" i="582" a="1"/>
  <c r="C13" i="582" s="1"/>
  <c r="I12" i="582" a="1"/>
  <c r="I12" i="582" s="1"/>
  <c r="D12" i="582" a="1"/>
  <c r="D12" i="582" s="1"/>
  <c r="C12" i="582" a="1"/>
  <c r="C12" i="582" s="1"/>
  <c r="I11" i="582" a="1"/>
  <c r="I11" i="582" s="1"/>
  <c r="D11" i="582" a="1"/>
  <c r="D11" i="582" s="1"/>
  <c r="C11" i="582" a="1"/>
  <c r="C11" i="582" s="1"/>
  <c r="D10" i="582" a="1"/>
  <c r="D10" i="582" s="1"/>
  <c r="C10" i="582" a="1"/>
  <c r="C10" i="582" s="1"/>
  <c r="I9" i="582" a="1"/>
  <c r="I9" i="582" s="1"/>
  <c r="D9" i="582" a="1"/>
  <c r="D9" i="582" s="1"/>
  <c r="C9" i="582" a="1"/>
  <c r="C9" i="582" s="1"/>
  <c r="I8" i="582" a="1"/>
  <c r="I8" i="582" s="1"/>
  <c r="D8" i="582" a="1"/>
  <c r="D8" i="582" s="1"/>
  <c r="C8" i="582" a="1"/>
  <c r="C8" i="582" s="1"/>
  <c r="I7" i="582" a="1"/>
  <c r="I7" i="582" s="1"/>
  <c r="D7" i="582" a="1"/>
  <c r="D7" i="582" s="1"/>
  <c r="C7" i="582" a="1"/>
  <c r="C7" i="582" s="1"/>
  <c r="I6" i="582" a="1"/>
  <c r="I6" i="582" s="1"/>
  <c r="D6" i="582" a="1"/>
  <c r="D6" i="582" s="1"/>
  <c r="C6" i="582" a="1"/>
  <c r="C6" i="582" s="1"/>
  <c r="D5" i="582" a="1"/>
  <c r="D5" i="582" s="1"/>
  <c r="C5" i="582" a="1"/>
  <c r="C5" i="582" s="1"/>
  <c r="I4" i="582" a="1"/>
  <c r="I4" i="582" s="1"/>
  <c r="D4" i="582" a="1"/>
  <c r="D4" i="582" s="1"/>
  <c r="C4" i="582" a="1"/>
  <c r="C4" i="582" s="1"/>
  <c r="D13" i="59" a="1"/>
  <c r="D13" i="59" s="1"/>
  <c r="C13" i="59" a="1"/>
  <c r="C13" i="59" s="1"/>
  <c r="D12" i="59" a="1"/>
  <c r="D12" i="59" s="1"/>
  <c r="C12" i="59" a="1"/>
  <c r="C12" i="59" s="1"/>
  <c r="D11" i="59" a="1"/>
  <c r="D11" i="59" s="1"/>
  <c r="C11" i="59" a="1"/>
  <c r="C11" i="59" s="1"/>
  <c r="D10" i="59" a="1"/>
  <c r="D10" i="59" s="1"/>
  <c r="C10" i="59" a="1"/>
  <c r="C10" i="59" s="1"/>
  <c r="D9" i="59" a="1"/>
  <c r="D9" i="59" s="1"/>
  <c r="C9" i="59" a="1"/>
  <c r="C9" i="59" s="1"/>
  <c r="D8" i="59" a="1"/>
  <c r="D8" i="59" s="1"/>
  <c r="C8" i="59" a="1"/>
  <c r="C8" i="59" s="1"/>
  <c r="D7" i="59" a="1"/>
  <c r="D7" i="59" s="1"/>
  <c r="C7" i="59" a="1"/>
  <c r="C7" i="59" s="1"/>
  <c r="D6" i="59" a="1"/>
  <c r="D6" i="59" s="1"/>
  <c r="C6" i="59" a="1"/>
  <c r="C6" i="59" s="1"/>
  <c r="D5" i="59" a="1"/>
  <c r="D5" i="59" s="1"/>
  <c r="C5" i="59" a="1"/>
  <c r="C5" i="59" s="1"/>
  <c r="D4" i="59" a="1"/>
  <c r="D4" i="59" s="1"/>
  <c r="C4" i="59" a="1"/>
  <c r="C4" i="59" s="1"/>
  <c r="Q17" i="694" a="1"/>
  <c r="Q17" i="694" s="1"/>
  <c r="Q15" i="694" a="1"/>
  <c r="Q15" i="694" s="1"/>
  <c r="Q14" i="694" a="1"/>
  <c r="Q14" i="694" s="1"/>
  <c r="L14" i="694" a="1"/>
  <c r="L14" i="694" s="1"/>
  <c r="Q13" i="694" a="1"/>
  <c r="Q13" i="694" s="1"/>
  <c r="Q12" i="694" a="1"/>
  <c r="Q12" i="694" s="1"/>
  <c r="L11" i="694" a="1"/>
  <c r="L11" i="694" s="1"/>
  <c r="L10" i="694" a="1"/>
  <c r="L10" i="694" s="1"/>
  <c r="L8" i="694" a="1"/>
  <c r="L8" i="694" s="1"/>
  <c r="Q7" i="694" a="1"/>
  <c r="Q7" i="694" s="1"/>
  <c r="L7" i="694" a="1"/>
  <c r="L7" i="694" s="1"/>
  <c r="Q6" i="694" a="1"/>
  <c r="Q6" i="694" s="1"/>
  <c r="L6" i="694" a="1"/>
  <c r="L6" i="694" s="1"/>
  <c r="G6" i="694" a="1"/>
  <c r="G6" i="694" s="1"/>
  <c r="E6" i="694" a="1"/>
  <c r="E6" i="694" s="1"/>
  <c r="Q5" i="694" a="1"/>
  <c r="Q5" i="694" s="1"/>
  <c r="L5" i="694" a="1"/>
  <c r="L5" i="694" s="1"/>
  <c r="Q4" i="694" a="1"/>
  <c r="Q4" i="694" s="1"/>
  <c r="G4" i="694" a="1"/>
  <c r="G4" i="694" s="1"/>
  <c r="I23" i="80" a="1"/>
  <c r="I23" i="80" s="1"/>
  <c r="I21" i="80" a="1"/>
  <c r="I21" i="80" s="1"/>
  <c r="I20" i="80" a="1"/>
  <c r="I20" i="80" s="1"/>
  <c r="I19" i="80" a="1"/>
  <c r="I19" i="80" s="1"/>
  <c r="I18" i="80" a="1"/>
  <c r="I18" i="80" s="1"/>
  <c r="I17" i="80" a="1"/>
  <c r="I17" i="80" s="1"/>
  <c r="I16" i="80" a="1"/>
  <c r="I16" i="80" s="1"/>
  <c r="I15" i="80" a="1"/>
  <c r="I15" i="80" s="1"/>
  <c r="I10" i="80" a="1"/>
  <c r="I10" i="80" s="1"/>
  <c r="I9" i="80" a="1"/>
  <c r="I9" i="80" s="1"/>
  <c r="I8" i="80" a="1"/>
  <c r="I8" i="80" s="1"/>
  <c r="I7" i="80" a="1"/>
  <c r="I7" i="80" s="1"/>
  <c r="N6" i="80" a="1"/>
  <c r="N6" i="80" s="1"/>
  <c r="I6" i="80" a="1"/>
  <c r="I6" i="80" s="1"/>
  <c r="N5" i="80" a="1"/>
  <c r="N5" i="80" s="1"/>
  <c r="I5" i="80" a="1"/>
  <c r="I5" i="80" s="1"/>
  <c r="N4" i="80" a="1"/>
  <c r="N4" i="80" s="1"/>
  <c r="I4" i="80" a="1"/>
  <c r="I4" i="80" s="1"/>
  <c r="U3" i="80" a="1"/>
  <c r="U3" i="80" s="1"/>
  <c r="N3" i="80" a="1"/>
  <c r="N3" i="80" s="1"/>
  <c r="N20" i="638" a="1"/>
  <c r="N20" i="638" s="1"/>
  <c r="N19" i="638" a="1"/>
  <c r="N19" i="638" s="1"/>
  <c r="N18" i="638" a="1"/>
  <c r="N18" i="638" s="1"/>
  <c r="N17" i="638" a="1"/>
  <c r="N17" i="638" s="1"/>
  <c r="N16" i="638" a="1"/>
  <c r="N16" i="638" s="1"/>
  <c r="N14" i="638" a="1"/>
  <c r="N14" i="638" s="1"/>
  <c r="N13" i="638" a="1"/>
  <c r="N13" i="638" s="1"/>
  <c r="S11" i="638" a="1"/>
  <c r="S11" i="638" s="1"/>
  <c r="N11" i="638" a="1"/>
  <c r="N11" i="638" s="1"/>
  <c r="S10" i="638" a="1"/>
  <c r="S10" i="638" s="1"/>
  <c r="N10" i="638" a="1"/>
  <c r="N10" i="638" s="1"/>
  <c r="S9" i="638" a="1"/>
  <c r="S9" i="638" s="1"/>
  <c r="S8" i="638" a="1"/>
  <c r="S8" i="638" s="1"/>
  <c r="N8" i="638" a="1"/>
  <c r="N8" i="638" s="1"/>
  <c r="S7" i="638" a="1"/>
  <c r="S7" i="638" s="1"/>
  <c r="N7" i="638" a="1"/>
  <c r="N7" i="638" s="1"/>
  <c r="S6" i="638" a="1"/>
  <c r="S6" i="638" s="1"/>
  <c r="N6" i="638" a="1"/>
  <c r="N6" i="638" s="1"/>
  <c r="S5" i="638" a="1"/>
  <c r="S5" i="638" s="1"/>
  <c r="N5" i="638" a="1"/>
  <c r="N5" i="638" s="1"/>
  <c r="L19" i="783" a="1"/>
  <c r="L19" i="783" s="1"/>
  <c r="L18" i="783" a="1"/>
  <c r="L18" i="783" s="1"/>
  <c r="L17" i="783" a="1"/>
  <c r="L17" i="783" s="1"/>
  <c r="L15" i="783" a="1"/>
  <c r="L15" i="783" s="1"/>
  <c r="L13" i="783" a="1"/>
  <c r="L13" i="783" s="1"/>
  <c r="H13" i="783" a="1"/>
  <c r="H13" i="783" s="1"/>
  <c r="G13" i="783" a="1"/>
  <c r="G13" i="783" s="1"/>
  <c r="L12" i="783" a="1"/>
  <c r="L12" i="783" s="1"/>
  <c r="H12" i="783" a="1"/>
  <c r="H12" i="783" s="1"/>
  <c r="G12" i="783" a="1"/>
  <c r="G12" i="783" s="1"/>
  <c r="L11" i="783" a="1"/>
  <c r="L11" i="783" s="1"/>
  <c r="L10" i="783" a="1"/>
  <c r="L10" i="783" s="1"/>
  <c r="L5" i="783" a="1"/>
  <c r="L5" i="783" s="1"/>
  <c r="J25" i="782" a="1"/>
  <c r="J25" i="782" s="1"/>
  <c r="J21" i="782" a="1"/>
  <c r="J21" i="782" s="1"/>
  <c r="J17" i="782" a="1"/>
  <c r="J17" i="782" s="1"/>
  <c r="J16" i="782" a="1"/>
  <c r="J16" i="782" s="1"/>
  <c r="J15" i="782" a="1"/>
  <c r="J15" i="782" s="1"/>
  <c r="J14" i="782" a="1"/>
  <c r="J14" i="782" s="1"/>
  <c r="J13" i="782" a="1"/>
  <c r="J13" i="782" s="1"/>
  <c r="J12" i="782" a="1"/>
  <c r="J12" i="782" s="1"/>
  <c r="J11" i="782" a="1"/>
  <c r="J11" i="782" s="1"/>
  <c r="J10" i="782" a="1"/>
  <c r="J10" i="782" s="1"/>
  <c r="G10" i="782" a="1"/>
  <c r="G10" i="782" s="1"/>
  <c r="F10" i="782" a="1"/>
  <c r="F10" i="782" s="1"/>
  <c r="J9" i="782" a="1"/>
  <c r="J9" i="782" s="1"/>
  <c r="G9" i="782" a="1"/>
  <c r="G9" i="782" s="1"/>
  <c r="F9" i="782" a="1"/>
  <c r="F9" i="782" s="1"/>
  <c r="J8" i="782" a="1"/>
  <c r="J8" i="782" s="1"/>
  <c r="J33" i="781" a="1"/>
  <c r="J33" i="781" s="1"/>
  <c r="J27" i="781" a="1"/>
  <c r="J27" i="781" s="1"/>
  <c r="J22" i="781" a="1"/>
  <c r="J22" i="781" s="1"/>
  <c r="J21" i="781"/>
  <c r="J21" i="781" a="1"/>
  <c r="J20" i="781" a="1"/>
  <c r="J20" i="781" s="1"/>
  <c r="J19" i="781" a="1"/>
  <c r="J19" i="781" s="1"/>
  <c r="J15" i="781" a="1"/>
  <c r="J15" i="781" s="1"/>
  <c r="J13" i="781" a="1"/>
  <c r="J13" i="781" s="1"/>
  <c r="J12" i="781" a="1"/>
  <c r="J12" i="781" s="1"/>
  <c r="J11" i="781" a="1"/>
  <c r="J11" i="781" s="1"/>
  <c r="J10" i="781" a="1"/>
  <c r="J10" i="781" s="1"/>
  <c r="J9" i="781" a="1"/>
  <c r="J9" i="781" s="1"/>
  <c r="J8" i="781" a="1"/>
  <c r="J8" i="781" s="1"/>
  <c r="G11" i="60" a="1"/>
  <c r="G11" i="60" s="1"/>
  <c r="G8" i="60" a="1"/>
  <c r="G8" i="60" s="1"/>
  <c r="G7" i="60" a="1"/>
  <c r="G7" i="60" s="1"/>
  <c r="G6" i="60" a="1"/>
  <c r="G6" i="60" s="1"/>
  <c r="G5" i="60" a="1"/>
  <c r="G5" i="60" s="1"/>
  <c r="G4" i="60" a="1"/>
  <c r="G4" i="60" s="1"/>
  <c r="L26" i="383" a="1"/>
  <c r="L26" i="383" s="1"/>
  <c r="D26" i="383" a="1"/>
  <c r="D26" i="383" s="1"/>
  <c r="O18" i="383" a="1"/>
  <c r="O18" i="383" s="1"/>
  <c r="M18" i="383" a="1"/>
  <c r="M18" i="383" s="1"/>
  <c r="G18" i="383" a="1"/>
  <c r="G18" i="383" s="1"/>
  <c r="E18" i="383" a="1"/>
  <c r="E18" i="383" s="1"/>
  <c r="O5" i="383" a="1"/>
  <c r="O5" i="383" s="1"/>
  <c r="M5" i="383" a="1"/>
  <c r="M5" i="383" s="1"/>
  <c r="G5" i="383" a="1"/>
  <c r="G5" i="383" s="1"/>
  <c r="E5" i="383" a="1"/>
  <c r="E5" i="383" s="1"/>
  <c r="D29" i="688" a="1"/>
  <c r="D29" i="688" s="1"/>
  <c r="I25" i="688" a="1"/>
  <c r="I25" i="688" s="1"/>
  <c r="D25" i="688" a="1"/>
  <c r="D25" i="688" s="1"/>
  <c r="I24" i="688" a="1"/>
  <c r="I24" i="688" s="1"/>
  <c r="G24" i="688" a="1"/>
  <c r="G24" i="688" s="1"/>
  <c r="D24" i="688" a="1"/>
  <c r="D24" i="688" s="1"/>
  <c r="D23" i="688" a="1"/>
  <c r="D23" i="688" s="1"/>
  <c r="AA17" i="688" a="1"/>
  <c r="AA17" i="688" s="1"/>
  <c r="N17" i="688" a="1"/>
  <c r="N17" i="688" s="1"/>
  <c r="AA16" i="688" a="1"/>
  <c r="AA16" i="688" s="1"/>
  <c r="N16" i="688" a="1"/>
  <c r="N16" i="688" s="1"/>
  <c r="D16" i="688" a="1"/>
  <c r="D16" i="688" s="1"/>
  <c r="AA14" i="688" a="1"/>
  <c r="AA14" i="688" s="1"/>
  <c r="Y14" i="688" a="1"/>
  <c r="Y14" i="688" s="1"/>
  <c r="N14" i="688" a="1"/>
  <c r="N14" i="688" s="1"/>
  <c r="N13" i="688" a="1"/>
  <c r="N13" i="688" s="1"/>
  <c r="AA12" i="688" a="1"/>
  <c r="AA12" i="688" s="1"/>
  <c r="S12" i="688" a="1"/>
  <c r="S12" i="688" s="1"/>
  <c r="I12" i="688" a="1"/>
  <c r="I12" i="688" s="1"/>
  <c r="D12" i="688" a="1"/>
  <c r="D12" i="688" s="1"/>
  <c r="AA11" i="688" a="1"/>
  <c r="AA11" i="688" s="1"/>
  <c r="Y11" i="688" a="1"/>
  <c r="Y11" i="688" s="1"/>
  <c r="S11" i="688" a="1"/>
  <c r="S11" i="688" s="1"/>
  <c r="Q11" i="688" a="1"/>
  <c r="Q11" i="688" s="1"/>
  <c r="N11" i="688" a="1"/>
  <c r="N11" i="688" s="1"/>
  <c r="I11" i="688" a="1"/>
  <c r="I11" i="688" s="1"/>
  <c r="G11" i="688" a="1"/>
  <c r="G11" i="688" s="1"/>
  <c r="D11" i="688" a="1"/>
  <c r="D11" i="688" s="1"/>
  <c r="N10" i="688" a="1"/>
  <c r="N10" i="688" s="1"/>
  <c r="D10" i="688" a="1"/>
  <c r="D10" i="688" s="1"/>
  <c r="N9" i="688" a="1"/>
  <c r="N9" i="688" s="1"/>
  <c r="AN6" i="627" a="1"/>
  <c r="AN6" i="627" s="1"/>
  <c r="AN5" i="627" a="1"/>
  <c r="AN5" i="627" s="1"/>
  <c r="AN4" i="627" a="1"/>
  <c r="AN4" i="627" s="1"/>
  <c r="H14" i="57" a="1"/>
  <c r="H14" i="57" s="1"/>
  <c r="H13" i="57" a="1"/>
  <c r="H13" i="57" s="1"/>
  <c r="H11" i="57" a="1"/>
  <c r="H11" i="57" s="1"/>
  <c r="M41" i="55" a="1"/>
  <c r="M41" i="55" s="1"/>
  <c r="M40" i="55" a="1"/>
  <c r="M40" i="55" s="1"/>
  <c r="D27" i="572" a="1"/>
  <c r="D27" i="572" s="1"/>
  <c r="D23" i="572" a="1"/>
  <c r="D23" i="572" s="1"/>
  <c r="D22" i="572" a="1"/>
  <c r="D22" i="572" s="1"/>
  <c r="D21" i="572" a="1"/>
  <c r="D21" i="572" s="1"/>
  <c r="D14" i="572" a="1"/>
  <c r="D14" i="572" s="1"/>
  <c r="D10" i="572" a="1"/>
  <c r="D10" i="572" s="1"/>
  <c r="D9" i="572" a="1"/>
  <c r="D9" i="572" s="1"/>
  <c r="D8" i="572" a="1"/>
  <c r="D8" i="572" s="1"/>
  <c r="AA31" i="56" a="1"/>
  <c r="AA31" i="56" s="1"/>
  <c r="U29" i="56" a="1"/>
  <c r="U29" i="56" s="1"/>
  <c r="AA27" i="56" a="1"/>
  <c r="AA27" i="56" s="1"/>
  <c r="AA26" i="56" a="1"/>
  <c r="AA26" i="56" s="1"/>
  <c r="AA25" i="56" a="1"/>
  <c r="AA25" i="56" s="1"/>
  <c r="U25" i="56" a="1"/>
  <c r="U25" i="56" s="1"/>
  <c r="AA24" i="56" a="1"/>
  <c r="AA24" i="56" s="1"/>
  <c r="U24" i="56" a="1"/>
  <c r="U24" i="56" s="1"/>
  <c r="AA23" i="56" a="1"/>
  <c r="AA23" i="56" s="1"/>
  <c r="U23" i="56" a="1"/>
  <c r="U23" i="56" s="1"/>
  <c r="AA22" i="56" a="1"/>
  <c r="AA22" i="56" s="1"/>
  <c r="U22" i="56" a="1"/>
  <c r="U22" i="56" s="1"/>
  <c r="AA21" i="56" a="1"/>
  <c r="AA21" i="56" s="1"/>
  <c r="AA20" i="56" a="1"/>
  <c r="AA20" i="56" s="1"/>
  <c r="U20" i="56" a="1"/>
  <c r="U20" i="56" s="1"/>
  <c r="AA17" i="56" a="1"/>
  <c r="AA17" i="56" s="1"/>
  <c r="AA16" i="56" a="1"/>
  <c r="AA16" i="56" s="1"/>
  <c r="U16" i="56" a="1"/>
  <c r="U16" i="56" s="1"/>
  <c r="U15" i="56" a="1"/>
  <c r="U15" i="56" s="1"/>
  <c r="U14" i="56" a="1"/>
  <c r="U14" i="56" s="1"/>
  <c r="AF12" i="56" a="1"/>
  <c r="AF12" i="56" s="1"/>
  <c r="AA12" i="56" a="1"/>
  <c r="AA12" i="56" s="1"/>
  <c r="AF11" i="56" a="1"/>
  <c r="AF11" i="56" s="1"/>
  <c r="AA11" i="56" a="1"/>
  <c r="AA11" i="56" s="1"/>
  <c r="AF10" i="56" a="1"/>
  <c r="AF10" i="56" s="1"/>
  <c r="AA10" i="56" a="1"/>
  <c r="AA10" i="56" s="1"/>
  <c r="U10" i="56" a="1"/>
  <c r="U10" i="56" s="1"/>
  <c r="AF9" i="56" a="1"/>
  <c r="AF9" i="56" s="1"/>
  <c r="AA9" i="56" a="1"/>
  <c r="AA9" i="56" s="1"/>
  <c r="U9" i="56" a="1"/>
  <c r="U9" i="56" s="1"/>
  <c r="AF8" i="56" a="1"/>
  <c r="AF8" i="56" s="1"/>
  <c r="AA8" i="56" a="1"/>
  <c r="AA8" i="56" s="1"/>
  <c r="U8" i="56" a="1"/>
  <c r="U8" i="56" s="1"/>
  <c r="AF7" i="56" a="1"/>
  <c r="AF7" i="56" s="1"/>
  <c r="AA7" i="56" a="1"/>
  <c r="AA7" i="56" s="1"/>
  <c r="U7" i="56" a="1"/>
  <c r="U7" i="56" s="1"/>
  <c r="AF6" i="56" a="1"/>
  <c r="AF6" i="56" s="1"/>
  <c r="AA6" i="56" a="1"/>
  <c r="AA6" i="56" s="1"/>
  <c r="AF5" i="56" a="1"/>
  <c r="AF5" i="56" s="1"/>
  <c r="AA5" i="56" a="1"/>
  <c r="AA5" i="56" s="1"/>
  <c r="U5" i="56" a="1"/>
  <c r="U5" i="56" s="1"/>
  <c r="G16" i="709" a="1"/>
  <c r="G16" i="709" s="1"/>
  <c r="G15" i="709" a="1"/>
  <c r="G15" i="709" s="1"/>
  <c r="G13" i="709" a="1"/>
  <c r="G13" i="709" s="1"/>
  <c r="G9" i="709" a="1"/>
  <c r="G9" i="709" s="1"/>
  <c r="G8" i="709" a="1"/>
  <c r="G8" i="709" s="1"/>
  <c r="G7" i="709" a="1"/>
  <c r="G7" i="709" s="1"/>
  <c r="G5" i="709" a="1"/>
  <c r="G5" i="709" s="1"/>
  <c r="N16" i="580" a="1"/>
  <c r="N16" i="580" s="1"/>
  <c r="H16" i="580" a="1"/>
  <c r="H16" i="580" s="1"/>
  <c r="K7" i="580" a="1"/>
  <c r="K7" i="580" s="1"/>
  <c r="E7" i="580" a="1"/>
  <c r="E7" i="580" s="1"/>
  <c r="K6" i="580" a="1"/>
  <c r="K6" i="580" s="1"/>
  <c r="E6" i="580" a="1"/>
  <c r="E6" i="580" s="1"/>
  <c r="L33" i="64" a="1"/>
  <c r="L33" i="64" s="1"/>
  <c r="G31" i="64" a="1"/>
  <c r="G31" i="64" s="1"/>
  <c r="L29" i="64" a="1"/>
  <c r="L29" i="64" s="1"/>
  <c r="L28" i="64" a="1"/>
  <c r="L28" i="64" s="1"/>
  <c r="L27" i="64" a="1"/>
  <c r="L27" i="64" s="1"/>
  <c r="G27" i="64" a="1"/>
  <c r="G27" i="64" s="1"/>
  <c r="L26" i="64" a="1"/>
  <c r="L26" i="64" s="1"/>
  <c r="G26" i="64" a="1"/>
  <c r="G26" i="64" s="1"/>
  <c r="L25" i="64" a="1"/>
  <c r="L25" i="64" s="1"/>
  <c r="G25" i="64" a="1"/>
  <c r="G25" i="64" s="1"/>
  <c r="L24" i="64" a="1"/>
  <c r="L24" i="64" s="1"/>
  <c r="G24" i="64" a="1"/>
  <c r="G24" i="64" s="1"/>
  <c r="AI23" i="64" a="1"/>
  <c r="AI23" i="64" s="1"/>
  <c r="L23" i="64" a="1"/>
  <c r="L23" i="64" s="1"/>
  <c r="L22" i="64" a="1"/>
  <c r="L22" i="64" s="1"/>
  <c r="G22" i="64" a="1"/>
  <c r="G22" i="64" s="1"/>
  <c r="AI17" i="64" a="1"/>
  <c r="AI17" i="64" s="1"/>
  <c r="G17" i="64" a="1"/>
  <c r="G17" i="64" s="1"/>
  <c r="L16" i="64" a="1"/>
  <c r="L16" i="64" s="1"/>
  <c r="G16" i="64" a="1"/>
  <c r="G16" i="64" s="1"/>
  <c r="AD15" i="64" a="1"/>
  <c r="AD15" i="64" s="1"/>
  <c r="AB15" i="64" a="1"/>
  <c r="AB15" i="64" s="1"/>
  <c r="AD14" i="64" a="1"/>
  <c r="AD14" i="64" s="1"/>
  <c r="AB14" i="64" a="1"/>
  <c r="AB14" i="64" s="1"/>
  <c r="G14" i="64" a="1"/>
  <c r="G14" i="64" s="1"/>
  <c r="AD12" i="64" a="1"/>
  <c r="AD12" i="64" s="1"/>
  <c r="AB12" i="64" a="1"/>
  <c r="AB12" i="64" s="1"/>
  <c r="Q12" i="64" a="1"/>
  <c r="Q12" i="64" s="1"/>
  <c r="L12" i="64" a="1"/>
  <c r="L12" i="64" s="1"/>
  <c r="AI11" i="64" a="1"/>
  <c r="AI11" i="64" s="1"/>
  <c r="AD11" i="64" a="1"/>
  <c r="AD11" i="64" s="1"/>
  <c r="AB11" i="64" a="1"/>
  <c r="AB11" i="64" s="1"/>
  <c r="Q11" i="64" a="1"/>
  <c r="Q11" i="64" s="1"/>
  <c r="L11" i="64" a="1"/>
  <c r="L11" i="64" s="1"/>
  <c r="Q10" i="64" a="1"/>
  <c r="Q10" i="64" s="1"/>
  <c r="L10" i="64" a="1"/>
  <c r="L10" i="64" s="1"/>
  <c r="G10" i="64" a="1"/>
  <c r="G10" i="64" s="1"/>
  <c r="AD9" i="64" a="1"/>
  <c r="AD9" i="64" s="1"/>
  <c r="AB9" i="64" a="1"/>
  <c r="AB9" i="64" s="1"/>
  <c r="Q9" i="64" a="1"/>
  <c r="Q9" i="64" s="1"/>
  <c r="L9" i="64" a="1"/>
  <c r="L9" i="64" s="1"/>
  <c r="G9" i="64" a="1"/>
  <c r="G9" i="64" s="1"/>
  <c r="AD8" i="64" a="1"/>
  <c r="AD8" i="64" s="1"/>
  <c r="AB8" i="64" a="1"/>
  <c r="AB8" i="64" s="1"/>
  <c r="Q8" i="64" a="1"/>
  <c r="Q8" i="64" s="1"/>
  <c r="L8" i="64" a="1"/>
  <c r="L8" i="64" s="1"/>
  <c r="G8" i="64" a="1"/>
  <c r="G8" i="64" s="1"/>
  <c r="Q7" i="64" a="1"/>
  <c r="Q7" i="64" s="1"/>
  <c r="L7" i="64" a="1"/>
  <c r="L7" i="64" s="1"/>
  <c r="G7" i="64" a="1"/>
  <c r="G7" i="64" s="1"/>
  <c r="AD6" i="64" a="1"/>
  <c r="AD6" i="64" s="1"/>
  <c r="AB6" i="64" a="1"/>
  <c r="AB6" i="64" s="1"/>
  <c r="Q6" i="64" a="1"/>
  <c r="Q6" i="64" s="1"/>
  <c r="L6" i="64" a="1"/>
  <c r="L6" i="64" s="1"/>
  <c r="AI5" i="64" a="1"/>
  <c r="AI5" i="64" s="1"/>
  <c r="AD5" i="64" a="1"/>
  <c r="AD5" i="64" s="1"/>
  <c r="AB5" i="64" a="1"/>
  <c r="AB5" i="64" s="1"/>
  <c r="Q5" i="64" a="1"/>
  <c r="Q5" i="64" s="1"/>
  <c r="L5" i="64" a="1"/>
  <c r="L5" i="64" s="1"/>
  <c r="G5" i="64" a="1"/>
  <c r="G5" i="64" s="1"/>
  <c r="I8" i="811" a="1"/>
  <c r="I8" i="811" s="1"/>
  <c r="I7" i="811" a="1"/>
  <c r="I7" i="811" s="1"/>
  <c r="I5" i="811" a="1"/>
  <c r="I5" i="811" s="1"/>
  <c r="I4" i="811" a="1"/>
  <c r="I4" i="811" s="1"/>
  <c r="I3" i="811" a="1"/>
  <c r="I3" i="811" s="1"/>
  <c r="G11" i="690" a="1"/>
  <c r="G11" i="690" s="1"/>
  <c r="E11" i="690" a="1"/>
  <c r="E11" i="690" s="1"/>
  <c r="G10" i="690" a="1"/>
  <c r="G10" i="690" s="1"/>
  <c r="E10" i="690" a="1"/>
  <c r="E10" i="690" s="1"/>
  <c r="G9" i="690" a="1"/>
  <c r="G9" i="690" s="1"/>
  <c r="E9" i="690" a="1"/>
  <c r="E9" i="690" s="1"/>
  <c r="G7" i="690" a="1"/>
  <c r="G7" i="690" s="1"/>
  <c r="E7" i="690" a="1"/>
  <c r="E7" i="690" s="1"/>
  <c r="G6" i="690" a="1"/>
  <c r="G6" i="690" s="1"/>
  <c r="E6" i="690" a="1"/>
  <c r="E6" i="690" s="1"/>
  <c r="G4" i="690" a="1"/>
  <c r="G4" i="690" s="1"/>
  <c r="G3" i="690" a="1"/>
  <c r="G3" i="690" s="1"/>
  <c r="H6" i="660" a="1"/>
  <c r="H6" i="660" s="1"/>
  <c r="H4" i="660" a="1"/>
  <c r="H4" i="660" s="1"/>
  <c r="M42" i="55" a="1"/>
  <c r="AW23" i="808" l="1"/>
  <c r="E21" i="782"/>
  <c r="H18" i="665"/>
  <c r="D18" i="62"/>
  <c r="J8" i="698"/>
  <c r="R47" i="736"/>
  <c r="AA21" i="742"/>
  <c r="W25" i="746"/>
  <c r="AC9" i="748"/>
  <c r="Z28" i="751"/>
  <c r="O34" i="803"/>
  <c r="O37" i="803"/>
  <c r="U39" i="803"/>
  <c r="O42" i="803"/>
  <c r="S9" i="805"/>
  <c r="W14" i="805"/>
  <c r="AU17" i="808"/>
  <c r="AM25" i="808"/>
  <c r="AV20" i="814"/>
  <c r="AY25" i="814"/>
  <c r="BI20" i="814"/>
  <c r="BH25" i="814"/>
  <c r="BG30" i="814"/>
  <c r="K4" i="60"/>
  <c r="E22" i="782"/>
  <c r="N17" i="71"/>
  <c r="E4" i="62"/>
  <c r="E18" i="62"/>
  <c r="V4" i="719"/>
  <c r="AA4" i="797"/>
  <c r="AA25" i="742"/>
  <c r="P4" i="753"/>
  <c r="AF7" i="753"/>
  <c r="AI12" i="753"/>
  <c r="W26" i="746"/>
  <c r="AB10" i="748"/>
  <c r="Z30" i="751"/>
  <c r="BX26" i="802"/>
  <c r="P32" i="803"/>
  <c r="V34" i="803"/>
  <c r="P37" i="803"/>
  <c r="V39" i="803"/>
  <c r="P42" i="803"/>
  <c r="W9" i="805"/>
  <c r="M15" i="805"/>
  <c r="AS10" i="808"/>
  <c r="U10" i="808"/>
  <c r="N21" i="808"/>
  <c r="S17" i="808"/>
  <c r="AL18" i="808"/>
  <c r="AR25" i="808"/>
  <c r="U6" i="809"/>
  <c r="Q12" i="809"/>
  <c r="BR11" i="814"/>
  <c r="BD20" i="814"/>
  <c r="BB26" i="814"/>
  <c r="BJ20" i="814"/>
  <c r="BI25" i="814"/>
  <c r="BH30" i="814"/>
  <c r="BF24" i="814"/>
  <c r="AF13" i="64"/>
  <c r="G17" i="580"/>
  <c r="J6" i="60"/>
  <c r="N20" i="694"/>
  <c r="S16" i="489"/>
  <c r="D7" i="62"/>
  <c r="L13" i="698"/>
  <c r="V5" i="719"/>
  <c r="R9" i="796"/>
  <c r="AB4" i="797"/>
  <c r="B30" i="737"/>
  <c r="B39" i="737"/>
  <c r="AA26" i="742"/>
  <c r="R7" i="753"/>
  <c r="V13" i="753"/>
  <c r="AG8" i="753"/>
  <c r="AL4" i="753"/>
  <c r="X25" i="743"/>
  <c r="Z21" i="746"/>
  <c r="X27" i="746"/>
  <c r="I8" i="750"/>
  <c r="BY26" i="802"/>
  <c r="Q32" i="803"/>
  <c r="W34" i="803"/>
  <c r="Q37" i="803"/>
  <c r="Q40" i="803"/>
  <c r="W42" i="803"/>
  <c r="M11" i="805"/>
  <c r="P16" i="805"/>
  <c r="X11" i="807"/>
  <c r="AL4" i="808"/>
  <c r="AM11" i="808"/>
  <c r="O21" i="808"/>
  <c r="T17" i="808"/>
  <c r="AK19" i="808"/>
  <c r="AS27" i="808"/>
  <c r="O7" i="809"/>
  <c r="BI13" i="814"/>
  <c r="AR21" i="814"/>
  <c r="AY27" i="814"/>
  <c r="BL21" i="814"/>
  <c r="BK26" i="814"/>
  <c r="BJ31" i="814"/>
  <c r="G18" i="580"/>
  <c r="K6" i="60"/>
  <c r="R14" i="71"/>
  <c r="E5" i="489"/>
  <c r="S18" i="489"/>
  <c r="D8" i="62"/>
  <c r="V6" i="719"/>
  <c r="R9" i="753"/>
  <c r="AE9" i="753"/>
  <c r="AI5" i="753"/>
  <c r="AA21" i="746"/>
  <c r="Z26" i="745"/>
  <c r="BX30" i="802"/>
  <c r="R32" i="803"/>
  <c r="R35" i="803"/>
  <c r="X37" i="803"/>
  <c r="R40" i="803"/>
  <c r="X42" i="803"/>
  <c r="N11" i="805"/>
  <c r="T16" i="805"/>
  <c r="Y11" i="807"/>
  <c r="S21" i="808"/>
  <c r="AN20" i="808"/>
  <c r="AW27" i="808"/>
  <c r="AW22" i="814"/>
  <c r="BA27" i="814"/>
  <c r="BM21" i="814"/>
  <c r="BL26" i="814"/>
  <c r="BK31" i="814"/>
  <c r="H18" i="580"/>
  <c r="X17" i="688"/>
  <c r="I5" i="783"/>
  <c r="Q15" i="71"/>
  <c r="D6" i="489"/>
  <c r="S19" i="489"/>
  <c r="D10" i="62"/>
  <c r="AB7" i="494"/>
  <c r="W6" i="719"/>
  <c r="P10" i="753"/>
  <c r="AF9" i="753"/>
  <c r="AI7" i="753"/>
  <c r="AA25" i="746"/>
  <c r="BY30" i="802"/>
  <c r="Y32" i="803"/>
  <c r="S35" i="803"/>
  <c r="Y37" i="803"/>
  <c r="X40" i="803"/>
  <c r="S43" i="803"/>
  <c r="P12" i="805"/>
  <c r="M18" i="805"/>
  <c r="T22" i="808"/>
  <c r="AS20" i="808"/>
  <c r="AW28" i="808"/>
  <c r="AR23" i="814"/>
  <c r="AY29" i="814"/>
  <c r="BO22" i="814"/>
  <c r="BN27" i="814"/>
  <c r="U13" i="805"/>
  <c r="BR28" i="814"/>
  <c r="AF5" i="64"/>
  <c r="H19" i="580"/>
  <c r="Y18" i="688"/>
  <c r="S7" i="60"/>
  <c r="E35" i="781"/>
  <c r="J5" i="783"/>
  <c r="R15" i="71"/>
  <c r="D10" i="489"/>
  <c r="E12" i="62"/>
  <c r="E12" i="698"/>
  <c r="H9" i="698"/>
  <c r="L5" i="698"/>
  <c r="P6" i="698"/>
  <c r="V9" i="719"/>
  <c r="R5" i="796"/>
  <c r="S10" i="796"/>
  <c r="S23" i="735"/>
  <c r="AG6" i="742"/>
  <c r="X25" i="742"/>
  <c r="AG4" i="753"/>
  <c r="AD11" i="753"/>
  <c r="AJ7" i="753"/>
  <c r="AA26" i="746"/>
  <c r="AE8" i="748"/>
  <c r="AE9" i="745"/>
  <c r="J5" i="750"/>
  <c r="I10" i="750"/>
  <c r="AC19" i="740"/>
  <c r="BP35" i="802"/>
  <c r="Z32" i="803"/>
  <c r="Y35" i="803"/>
  <c r="T38" i="803"/>
  <c r="Z40" i="803"/>
  <c r="Y43" i="803"/>
  <c r="Q12" i="805"/>
  <c r="N18" i="805"/>
  <c r="W23" i="807"/>
  <c r="AK7" i="808"/>
  <c r="AP14" i="808"/>
  <c r="R23" i="808"/>
  <c r="AT22" i="808"/>
  <c r="R9" i="809"/>
  <c r="AL6" i="810"/>
  <c r="BU19" i="814"/>
  <c r="AS23" i="814"/>
  <c r="AX30" i="814"/>
  <c r="BP22" i="814"/>
  <c r="BO27" i="814"/>
  <c r="U19" i="805"/>
  <c r="BC24" i="814"/>
  <c r="AF6" i="64"/>
  <c r="F36" i="781"/>
  <c r="G6" i="783"/>
  <c r="J6" i="71"/>
  <c r="Q16" i="71"/>
  <c r="E10" i="489"/>
  <c r="T13" i="489"/>
  <c r="E13" i="62"/>
  <c r="L6" i="698"/>
  <c r="P10" i="698"/>
  <c r="S5" i="796"/>
  <c r="N8" i="730"/>
  <c r="R25" i="735"/>
  <c r="H48" i="736"/>
  <c r="X26" i="742"/>
  <c r="V5" i="753"/>
  <c r="AE5" i="753"/>
  <c r="AF11" i="753"/>
  <c r="AJ9" i="753"/>
  <c r="Z22" i="747"/>
  <c r="AA27" i="746"/>
  <c r="AF8" i="748"/>
  <c r="AH6" i="745"/>
  <c r="AF9" i="745"/>
  <c r="L5" i="750"/>
  <c r="J10" i="750"/>
  <c r="O11" i="750"/>
  <c r="BS35" i="802"/>
  <c r="U33" i="803"/>
  <c r="AA35" i="803"/>
  <c r="Z38" i="803"/>
  <c r="S41" i="803"/>
  <c r="Z43" i="803"/>
  <c r="T13" i="805"/>
  <c r="T19" i="805"/>
  <c r="N24" i="807"/>
  <c r="AO7" i="808"/>
  <c r="O18" i="808"/>
  <c r="N24" i="808"/>
  <c r="T26" i="808"/>
  <c r="AK23" i="808"/>
  <c r="Q4" i="809"/>
  <c r="U9" i="809"/>
  <c r="AJ7" i="810"/>
  <c r="AY10" i="810"/>
  <c r="BT25" i="814"/>
  <c r="AX24" i="814"/>
  <c r="AY30" i="814"/>
  <c r="BR23" i="814"/>
  <c r="BQ28" i="814"/>
  <c r="AZ18" i="697"/>
  <c r="AZ12" i="697"/>
  <c r="AQ27" i="740"/>
  <c r="AQ20" i="740"/>
  <c r="AQ18" i="740"/>
  <c r="AQ17" i="740"/>
  <c r="AQ14" i="740"/>
  <c r="AQ10" i="740"/>
  <c r="E25" i="782"/>
  <c r="E32" i="697"/>
  <c r="E31" i="697"/>
  <c r="E35" i="697"/>
  <c r="BY16" i="802"/>
  <c r="AF24" i="64"/>
  <c r="K16" i="580"/>
  <c r="N14" i="57"/>
  <c r="G18" i="57"/>
  <c r="E37" i="781"/>
  <c r="F25" i="782"/>
  <c r="N17" i="694"/>
  <c r="O21" i="694"/>
  <c r="E11" i="581"/>
  <c r="E6" i="489"/>
  <c r="D11" i="489"/>
  <c r="D16" i="489"/>
  <c r="M5" i="489"/>
  <c r="E8" i="62"/>
  <c r="D14" i="62"/>
  <c r="AZ15" i="697"/>
  <c r="E30" i="697"/>
  <c r="D6" i="698"/>
  <c r="AC10" i="742"/>
  <c r="AC12" i="742"/>
  <c r="AC11" i="742"/>
  <c r="AC8" i="742"/>
  <c r="BN13" i="802"/>
  <c r="BM18" i="802"/>
  <c r="BY22" i="802"/>
  <c r="BW27" i="802"/>
  <c r="BM32" i="802"/>
  <c r="BR36" i="802"/>
  <c r="W14" i="807"/>
  <c r="P26" i="807"/>
  <c r="Z11" i="753"/>
  <c r="AB9" i="753"/>
  <c r="Z9" i="753"/>
  <c r="AB7" i="753"/>
  <c r="AB5" i="753"/>
  <c r="Z5" i="753"/>
  <c r="O12" i="697"/>
  <c r="O6" i="697"/>
  <c r="AZ13" i="697"/>
  <c r="D5" i="698"/>
  <c r="Z13" i="753"/>
  <c r="BX21" i="802"/>
  <c r="AG11" i="64"/>
  <c r="AG25" i="64"/>
  <c r="K17" i="580"/>
  <c r="G19" i="580"/>
  <c r="O14" i="57"/>
  <c r="H18" i="57"/>
  <c r="X20" i="688"/>
  <c r="E26" i="782"/>
  <c r="I6" i="783"/>
  <c r="O17" i="694"/>
  <c r="N16" i="71"/>
  <c r="G18" i="665"/>
  <c r="D17" i="581"/>
  <c r="D7" i="489"/>
  <c r="D12" i="489"/>
  <c r="E16" i="489"/>
  <c r="N5" i="489"/>
  <c r="T17" i="489"/>
  <c r="D4" i="62"/>
  <c r="E9" i="62"/>
  <c r="E14" i="62"/>
  <c r="O8" i="697"/>
  <c r="AZ16" i="697"/>
  <c r="E33" i="697"/>
  <c r="M18" i="731"/>
  <c r="C33" i="737"/>
  <c r="B33" i="737"/>
  <c r="C32" i="737"/>
  <c r="B32" i="737"/>
  <c r="C31" i="737"/>
  <c r="C35" i="737"/>
  <c r="B31" i="737"/>
  <c r="B35" i="737"/>
  <c r="C30" i="737"/>
  <c r="AC7" i="742"/>
  <c r="AG8" i="747"/>
  <c r="AF9" i="747"/>
  <c r="AF7" i="747"/>
  <c r="AF6" i="747"/>
  <c r="BP13" i="802"/>
  <c r="BO18" i="802"/>
  <c r="BN23" i="802"/>
  <c r="BX27" i="802"/>
  <c r="BN32" i="802"/>
  <c r="X14" i="807"/>
  <c r="Q26" i="807"/>
  <c r="D11" i="698"/>
  <c r="D13" i="698"/>
  <c r="D4" i="698"/>
  <c r="D7" i="698"/>
  <c r="N4" i="489"/>
  <c r="AQ28" i="740"/>
  <c r="AG26" i="64"/>
  <c r="J18" i="580"/>
  <c r="N15" i="57"/>
  <c r="F26" i="782"/>
  <c r="N18" i="694"/>
  <c r="D8" i="489"/>
  <c r="E12" i="489"/>
  <c r="D17" i="489"/>
  <c r="M6" i="489"/>
  <c r="O13" i="697"/>
  <c r="AZ17" i="697"/>
  <c r="E34" i="697"/>
  <c r="D9" i="698"/>
  <c r="G10" i="698"/>
  <c r="G6" i="698"/>
  <c r="G11" i="698"/>
  <c r="I10" i="698"/>
  <c r="I13" i="698"/>
  <c r="I11" i="698"/>
  <c r="X25" i="748"/>
  <c r="X26" i="748"/>
  <c r="W26" i="748"/>
  <c r="W25" i="748"/>
  <c r="X24" i="748"/>
  <c r="W24" i="748"/>
  <c r="BQ14" i="802"/>
  <c r="BX36" i="802"/>
  <c r="BV36" i="802"/>
  <c r="BV35" i="802"/>
  <c r="BU34" i="802"/>
  <c r="BV33" i="802"/>
  <c r="BV32" i="802"/>
  <c r="BW31" i="802"/>
  <c r="BW30" i="802"/>
  <c r="BQ36" i="802"/>
  <c r="BO35" i="802"/>
  <c r="BM34" i="802"/>
  <c r="BM33" i="802"/>
  <c r="BX31" i="802"/>
  <c r="BU30" i="802"/>
  <c r="BU29" i="802"/>
  <c r="BV28" i="802"/>
  <c r="BV27" i="802"/>
  <c r="BU26" i="802"/>
  <c r="BV25" i="802"/>
  <c r="BO36" i="802"/>
  <c r="BN35" i="802"/>
  <c r="BY33" i="802"/>
  <c r="BW32" i="802"/>
  <c r="BT31" i="802"/>
  <c r="BT30" i="802"/>
  <c r="BT29" i="802"/>
  <c r="BS28" i="802"/>
  <c r="BT27" i="802"/>
  <c r="BT26" i="802"/>
  <c r="BU25" i="802"/>
  <c r="BN36" i="802"/>
  <c r="BY34" i="802"/>
  <c r="BX33" i="802"/>
  <c r="BU32" i="802"/>
  <c r="BS31" i="802"/>
  <c r="BQ30" i="802"/>
  <c r="BR29" i="802"/>
  <c r="BR28" i="802"/>
  <c r="BS27" i="802"/>
  <c r="BS26" i="802"/>
  <c r="BR25" i="802"/>
  <c r="BX35" i="802"/>
  <c r="BX34" i="802"/>
  <c r="BU33" i="802"/>
  <c r="BS32" i="802"/>
  <c r="BR31" i="802"/>
  <c r="BP30" i="802"/>
  <c r="BQ29" i="802"/>
  <c r="BQ28" i="802"/>
  <c r="BP27" i="802"/>
  <c r="BQ26" i="802"/>
  <c r="BQ25" i="802"/>
  <c r="BY36" i="802"/>
  <c r="BW35" i="802"/>
  <c r="BT34" i="802"/>
  <c r="BR33" i="802"/>
  <c r="BR32" i="802"/>
  <c r="BP31" i="802"/>
  <c r="BO30" i="802"/>
  <c r="BN29" i="802"/>
  <c r="BO28" i="802"/>
  <c r="BO27" i="802"/>
  <c r="BP26" i="802"/>
  <c r="BP25" i="802"/>
  <c r="BW36" i="802"/>
  <c r="BT35" i="802"/>
  <c r="BS34" i="802"/>
  <c r="BQ33" i="802"/>
  <c r="BO32" i="802"/>
  <c r="BO31" i="802"/>
  <c r="BM30" i="802"/>
  <c r="BM29" i="802"/>
  <c r="BN28" i="802"/>
  <c r="BN27" i="802"/>
  <c r="BM26" i="802"/>
  <c r="BN25" i="802"/>
  <c r="BW28" i="802"/>
  <c r="BN33" i="802"/>
  <c r="U17" i="807"/>
  <c r="R28" i="807"/>
  <c r="BU23" i="802"/>
  <c r="BX23" i="802"/>
  <c r="BU22" i="802"/>
  <c r="BR21" i="802"/>
  <c r="BO20" i="802"/>
  <c r="BY18" i="802"/>
  <c r="BV17" i="802"/>
  <c r="BS16" i="802"/>
  <c r="BP15" i="802"/>
  <c r="BM14" i="802"/>
  <c r="BW12" i="802"/>
  <c r="BW23" i="802"/>
  <c r="BT22" i="802"/>
  <c r="BQ21" i="802"/>
  <c r="BN20" i="802"/>
  <c r="BX18" i="802"/>
  <c r="BU17" i="802"/>
  <c r="BR16" i="802"/>
  <c r="BO15" i="802"/>
  <c r="BY13" i="802"/>
  <c r="BV12" i="802"/>
  <c r="BV23" i="802"/>
  <c r="BS22" i="802"/>
  <c r="BP21" i="802"/>
  <c r="BM20" i="802"/>
  <c r="BW18" i="802"/>
  <c r="BT17" i="802"/>
  <c r="BQ16" i="802"/>
  <c r="BN15" i="802"/>
  <c r="BX13" i="802"/>
  <c r="BU12" i="802"/>
  <c r="BT23" i="802"/>
  <c r="BQ22" i="802"/>
  <c r="BN21" i="802"/>
  <c r="BX19" i="802"/>
  <c r="BU18" i="802"/>
  <c r="BR17" i="802"/>
  <c r="BO16" i="802"/>
  <c r="BY14" i="802"/>
  <c r="BV13" i="802"/>
  <c r="BS12" i="802"/>
  <c r="BP23" i="802"/>
  <c r="BM22" i="802"/>
  <c r="BW20" i="802"/>
  <c r="BT19" i="802"/>
  <c r="BQ18" i="802"/>
  <c r="BN17" i="802"/>
  <c r="BX15" i="802"/>
  <c r="BU14" i="802"/>
  <c r="BR13" i="802"/>
  <c r="BO12" i="802"/>
  <c r="BO23" i="802"/>
  <c r="BY21" i="802"/>
  <c r="BV20" i="802"/>
  <c r="BS19" i="802"/>
  <c r="BP18" i="802"/>
  <c r="BM17" i="802"/>
  <c r="BW15" i="802"/>
  <c r="BT14" i="802"/>
  <c r="BQ13" i="802"/>
  <c r="BN12" i="802"/>
  <c r="BW16" i="802"/>
  <c r="BV21" i="802"/>
  <c r="N21" i="694"/>
  <c r="M10" i="489"/>
  <c r="BM12" i="802"/>
  <c r="AG5" i="64"/>
  <c r="AG13" i="64"/>
  <c r="K18" i="580"/>
  <c r="O15" i="57"/>
  <c r="A18" i="627"/>
  <c r="Y21" i="688"/>
  <c r="E33" i="781"/>
  <c r="F21" i="782"/>
  <c r="F27" i="782"/>
  <c r="I7" i="783"/>
  <c r="O18" i="694"/>
  <c r="F16" i="582"/>
  <c r="G19" i="665"/>
  <c r="D4" i="489"/>
  <c r="E8" i="489"/>
  <c r="D13" i="489"/>
  <c r="E17" i="489"/>
  <c r="M7" i="489"/>
  <c r="T18" i="489"/>
  <c r="E5" i="62"/>
  <c r="E10" i="62"/>
  <c r="D16" i="62"/>
  <c r="AD8" i="494"/>
  <c r="AE8" i="494"/>
  <c r="AP13" i="697"/>
  <c r="AP11" i="697"/>
  <c r="Y20" i="697"/>
  <c r="Y15" i="697"/>
  <c r="E36" i="697"/>
  <c r="D10" i="698"/>
  <c r="G5" i="698"/>
  <c r="I7" i="698"/>
  <c r="B34" i="737"/>
  <c r="C42" i="737"/>
  <c r="C43" i="737"/>
  <c r="B43" i="737"/>
  <c r="B41" i="737"/>
  <c r="C40" i="737"/>
  <c r="B40" i="737"/>
  <c r="C39" i="737"/>
  <c r="BS14" i="802"/>
  <c r="BR19" i="802"/>
  <c r="BM25" i="802"/>
  <c r="BY28" i="802"/>
  <c r="BP33" i="802"/>
  <c r="S28" i="807"/>
  <c r="N9" i="489"/>
  <c r="Z24" i="743"/>
  <c r="Z26" i="743"/>
  <c r="Z25" i="743"/>
  <c r="Z22" i="743"/>
  <c r="Z21" i="743"/>
  <c r="AF23" i="64"/>
  <c r="J16" i="580"/>
  <c r="H16" i="57"/>
  <c r="J19" i="580"/>
  <c r="O16" i="57"/>
  <c r="E34" i="781"/>
  <c r="J7" i="783"/>
  <c r="N19" i="694"/>
  <c r="E4" i="489"/>
  <c r="D9" i="489"/>
  <c r="E13" i="489"/>
  <c r="D18" i="489"/>
  <c r="N8" i="489"/>
  <c r="D6" i="62"/>
  <c r="D11" i="62"/>
  <c r="E16" i="62"/>
  <c r="E37" i="697"/>
  <c r="D12" i="698"/>
  <c r="G7" i="698"/>
  <c r="J12" i="698"/>
  <c r="J10" i="698"/>
  <c r="V15" i="719"/>
  <c r="V19" i="719"/>
  <c r="V18" i="719"/>
  <c r="W17" i="719"/>
  <c r="BT15" i="802"/>
  <c r="BS20" i="802"/>
  <c r="BX25" i="802"/>
  <c r="BV29" i="802"/>
  <c r="BP34" i="802"/>
  <c r="U20" i="807"/>
  <c r="T19" i="807"/>
  <c r="O18" i="807"/>
  <c r="S16" i="807"/>
  <c r="N15" i="807"/>
  <c r="U13" i="807"/>
  <c r="M12" i="807"/>
  <c r="U10" i="807"/>
  <c r="P9" i="807"/>
  <c r="S20" i="807"/>
  <c r="N19" i="807"/>
  <c r="T17" i="807"/>
  <c r="O16" i="807"/>
  <c r="U14" i="807"/>
  <c r="Y12" i="807"/>
  <c r="S11" i="807"/>
  <c r="M10" i="807"/>
  <c r="R20" i="807"/>
  <c r="Y18" i="807"/>
  <c r="S17" i="807"/>
  <c r="V15" i="807"/>
  <c r="Q14" i="807"/>
  <c r="W12" i="807"/>
  <c r="R11" i="807"/>
  <c r="Y9" i="807"/>
  <c r="Q20" i="807"/>
  <c r="T18" i="807"/>
  <c r="N17" i="807"/>
  <c r="U15" i="807"/>
  <c r="P14" i="807"/>
  <c r="V12" i="807"/>
  <c r="O11" i="807"/>
  <c r="W9" i="807"/>
  <c r="Y19" i="807"/>
  <c r="M17" i="807"/>
  <c r="Y13" i="807"/>
  <c r="X10" i="807"/>
  <c r="X19" i="807"/>
  <c r="W16" i="807"/>
  <c r="V13" i="807"/>
  <c r="W10" i="807"/>
  <c r="Q19" i="807"/>
  <c r="R16" i="807"/>
  <c r="R13" i="807"/>
  <c r="T10" i="807"/>
  <c r="P19" i="807"/>
  <c r="P16" i="807"/>
  <c r="Q13" i="807"/>
  <c r="N10" i="807"/>
  <c r="S18" i="807"/>
  <c r="T15" i="807"/>
  <c r="T12" i="807"/>
  <c r="T9" i="807"/>
  <c r="Q18" i="807"/>
  <c r="R15" i="807"/>
  <c r="Q12" i="807"/>
  <c r="Q9" i="807"/>
  <c r="V20" i="807"/>
  <c r="AG6" i="64"/>
  <c r="AF20" i="64"/>
  <c r="N17" i="57"/>
  <c r="E28" i="781"/>
  <c r="F34" i="781"/>
  <c r="E23" i="782"/>
  <c r="H5" i="783"/>
  <c r="G8" i="783"/>
  <c r="O19" i="694"/>
  <c r="D5" i="489"/>
  <c r="E9" i="489"/>
  <c r="D14" i="489"/>
  <c r="E18" i="489"/>
  <c r="M9" i="489"/>
  <c r="E6" i="62"/>
  <c r="D12" i="62"/>
  <c r="E17" i="62"/>
  <c r="E39" i="697"/>
  <c r="G8" i="698"/>
  <c r="J5" i="698"/>
  <c r="W16" i="719"/>
  <c r="BV15" i="802"/>
  <c r="BU20" i="802"/>
  <c r="BY25" i="802"/>
  <c r="BY29" i="802"/>
  <c r="BQ34" i="802"/>
  <c r="O9" i="807"/>
  <c r="W33" i="807"/>
  <c r="P33" i="807"/>
  <c r="M32" i="807"/>
  <c r="W30" i="807"/>
  <c r="X29" i="807"/>
  <c r="U28" i="807"/>
  <c r="U27" i="807"/>
  <c r="R26" i="807"/>
  <c r="O25" i="807"/>
  <c r="O24" i="807"/>
  <c r="Y22" i="807"/>
  <c r="M22" i="807"/>
  <c r="Y33" i="807"/>
  <c r="V32" i="807"/>
  <c r="S31" i="807"/>
  <c r="T30" i="807"/>
  <c r="Q29" i="807"/>
  <c r="Q28" i="807"/>
  <c r="N27" i="807"/>
  <c r="X25" i="807"/>
  <c r="Y24" i="807"/>
  <c r="V23" i="807"/>
  <c r="V22" i="807"/>
  <c r="U33" i="807"/>
  <c r="U32" i="807"/>
  <c r="R31" i="807"/>
  <c r="S30" i="807"/>
  <c r="P29" i="807"/>
  <c r="M28" i="807"/>
  <c r="M27" i="807"/>
  <c r="W25" i="807"/>
  <c r="W24" i="807"/>
  <c r="T23" i="807"/>
  <c r="Q22" i="807"/>
  <c r="T33" i="807"/>
  <c r="T32" i="807"/>
  <c r="Q31" i="807"/>
  <c r="N30" i="807"/>
  <c r="N29" i="807"/>
  <c r="X27" i="807"/>
  <c r="Y26" i="807"/>
  <c r="V25" i="807"/>
  <c r="S24" i="807"/>
  <c r="S23" i="807"/>
  <c r="P22" i="807"/>
  <c r="O32" i="807"/>
  <c r="M30" i="807"/>
  <c r="W27" i="807"/>
  <c r="U25" i="807"/>
  <c r="R23" i="807"/>
  <c r="N32" i="807"/>
  <c r="Y29" i="807"/>
  <c r="V27" i="807"/>
  <c r="T25" i="807"/>
  <c r="N23" i="807"/>
  <c r="Y31" i="807"/>
  <c r="V29" i="807"/>
  <c r="P27" i="807"/>
  <c r="N25" i="807"/>
  <c r="X22" i="807"/>
  <c r="X31" i="807"/>
  <c r="R29" i="807"/>
  <c r="O27" i="807"/>
  <c r="M25" i="807"/>
  <c r="W22" i="807"/>
  <c r="R33" i="807"/>
  <c r="P31" i="807"/>
  <c r="M29" i="807"/>
  <c r="T26" i="807"/>
  <c r="R24" i="807"/>
  <c r="O22" i="807"/>
  <c r="Q33" i="807"/>
  <c r="O31" i="807"/>
  <c r="V28" i="807"/>
  <c r="S26" i="807"/>
  <c r="Q24" i="807"/>
  <c r="N22" i="807"/>
  <c r="V30" i="807"/>
  <c r="L12" i="698"/>
  <c r="P12" i="698"/>
  <c r="V8" i="719"/>
  <c r="P8" i="730"/>
  <c r="G48" i="735"/>
  <c r="V10" i="739"/>
  <c r="P12" i="753"/>
  <c r="T7" i="753"/>
  <c r="T11" i="753"/>
  <c r="AD7" i="753"/>
  <c r="AF10" i="753"/>
  <c r="AE13" i="753"/>
  <c r="AJ5" i="753"/>
  <c r="AK7" i="753"/>
  <c r="AI10" i="753"/>
  <c r="AJ12" i="753"/>
  <c r="Z25" i="747"/>
  <c r="Z23" i="746"/>
  <c r="X26" i="746"/>
  <c r="AE9" i="748"/>
  <c r="AC10" i="748"/>
  <c r="AE10" i="745"/>
  <c r="I7" i="750"/>
  <c r="L9" i="750"/>
  <c r="X9" i="805"/>
  <c r="O11" i="805"/>
  <c r="T12" i="805"/>
  <c r="W13" i="805"/>
  <c r="P15" i="805"/>
  <c r="V16" i="805"/>
  <c r="Q18" i="805"/>
  <c r="Y19" i="805"/>
  <c r="BM17" i="814"/>
  <c r="W8" i="719"/>
  <c r="Q8" i="730"/>
  <c r="X7" i="736"/>
  <c r="R41" i="736"/>
  <c r="F30" i="737"/>
  <c r="W24" i="742"/>
  <c r="R13" i="753"/>
  <c r="U7" i="753"/>
  <c r="U11" i="753"/>
  <c r="AF4" i="753"/>
  <c r="AE7" i="753"/>
  <c r="AG10" i="753"/>
  <c r="AF13" i="753"/>
  <c r="AK5" i="753"/>
  <c r="AI8" i="753"/>
  <c r="AJ10" i="753"/>
  <c r="AK12" i="753"/>
  <c r="Z26" i="747"/>
  <c r="W27" i="746"/>
  <c r="AF9" i="748"/>
  <c r="AC12" i="748"/>
  <c r="N10" i="805"/>
  <c r="Q11" i="805"/>
  <c r="W12" i="805"/>
  <c r="M14" i="805"/>
  <c r="Q15" i="805"/>
  <c r="N17" i="805"/>
  <c r="T18" i="805"/>
  <c r="AW18" i="814"/>
  <c r="BD11" i="814"/>
  <c r="AU18" i="814"/>
  <c r="AV11" i="814"/>
  <c r="AY15" i="814"/>
  <c r="AY9" i="814"/>
  <c r="AX15" i="814"/>
  <c r="AT9" i="814"/>
  <c r="BB14" i="814"/>
  <c r="AZ8" i="814"/>
  <c r="AU14" i="814"/>
  <c r="AY8" i="814"/>
  <c r="V7" i="753"/>
  <c r="V11" i="753"/>
  <c r="AI6" i="753"/>
  <c r="AJ8" i="753"/>
  <c r="AK10" i="753"/>
  <c r="AL12" i="753"/>
  <c r="AB13" i="748"/>
  <c r="Y20" i="805"/>
  <c r="R20" i="805"/>
  <c r="Q19" i="805"/>
  <c r="R18" i="805"/>
  <c r="R17" i="805"/>
  <c r="S16" i="805"/>
  <c r="S15" i="805"/>
  <c r="U14" i="805"/>
  <c r="V13" i="805"/>
  <c r="Y12" i="805"/>
  <c r="O12" i="805"/>
  <c r="P11" i="805"/>
  <c r="S10" i="805"/>
  <c r="V9" i="805"/>
  <c r="X20" i="805"/>
  <c r="X19" i="805"/>
  <c r="Y18" i="805"/>
  <c r="Y17" i="805"/>
  <c r="X16" i="805"/>
  <c r="Y15" i="805"/>
  <c r="Y14" i="805"/>
  <c r="O14" i="805"/>
  <c r="R13" i="805"/>
  <c r="S12" i="805"/>
  <c r="V11" i="805"/>
  <c r="Y10" i="805"/>
  <c r="M10" i="805"/>
  <c r="P9" i="805"/>
  <c r="W20" i="805"/>
  <c r="W19" i="805"/>
  <c r="V18" i="805"/>
  <c r="W17" i="805"/>
  <c r="W16" i="805"/>
  <c r="X15" i="805"/>
  <c r="X14" i="805"/>
  <c r="N14" i="805"/>
  <c r="O13" i="805"/>
  <c r="R12" i="805"/>
  <c r="U11" i="805"/>
  <c r="V10" i="805"/>
  <c r="Y9" i="805"/>
  <c r="O9" i="805"/>
  <c r="Q10" i="805"/>
  <c r="T11" i="805"/>
  <c r="X12" i="805"/>
  <c r="P14" i="805"/>
  <c r="T15" i="805"/>
  <c r="O17" i="805"/>
  <c r="U18" i="805"/>
  <c r="P20" i="805"/>
  <c r="AP10" i="810"/>
  <c r="AO9" i="810"/>
  <c r="AR8" i="810"/>
  <c r="AO7" i="810"/>
  <c r="AR12" i="814"/>
  <c r="W4" i="719"/>
  <c r="W9" i="719"/>
  <c r="S8" i="730"/>
  <c r="W6" i="734"/>
  <c r="H23" i="735"/>
  <c r="H45" i="735"/>
  <c r="S45" i="735"/>
  <c r="Y8" i="736"/>
  <c r="R43" i="736"/>
  <c r="S47" i="736"/>
  <c r="D30" i="737"/>
  <c r="V6" i="739"/>
  <c r="W25" i="742"/>
  <c r="R5" i="753"/>
  <c r="T4" i="753"/>
  <c r="T8" i="753"/>
  <c r="T12" i="753"/>
  <c r="AD5" i="753"/>
  <c r="AF8" i="753"/>
  <c r="AE11" i="753"/>
  <c r="AI4" i="753"/>
  <c r="AJ6" i="753"/>
  <c r="AK8" i="753"/>
  <c r="AL10" i="753"/>
  <c r="AI13" i="753"/>
  <c r="X24" i="747"/>
  <c r="AB8" i="748"/>
  <c r="AC13" i="748"/>
  <c r="Z24" i="751"/>
  <c r="I5" i="750"/>
  <c r="L7" i="750"/>
  <c r="I11" i="750"/>
  <c r="N9" i="805"/>
  <c r="R10" i="805"/>
  <c r="W11" i="805"/>
  <c r="M13" i="805"/>
  <c r="Q14" i="805"/>
  <c r="U15" i="805"/>
  <c r="Q17" i="805"/>
  <c r="M19" i="805"/>
  <c r="S20" i="805"/>
  <c r="AO6" i="810"/>
  <c r="AW12" i="814"/>
  <c r="U8" i="730"/>
  <c r="G46" i="735"/>
  <c r="R46" i="735"/>
  <c r="S43" i="736"/>
  <c r="R48" i="736"/>
  <c r="D34" i="737"/>
  <c r="G31" i="737"/>
  <c r="U7" i="739"/>
  <c r="T5" i="753"/>
  <c r="T9" i="753"/>
  <c r="T13" i="753"/>
  <c r="AJ4" i="753"/>
  <c r="AK6" i="753"/>
  <c r="AL8" i="753"/>
  <c r="AI11" i="753"/>
  <c r="AJ13" i="753"/>
  <c r="W26" i="747"/>
  <c r="AC8" i="748"/>
  <c r="Z27" i="751"/>
  <c r="Q9" i="805"/>
  <c r="T10" i="805"/>
  <c r="X11" i="805"/>
  <c r="N13" i="805"/>
  <c r="R14" i="805"/>
  <c r="N16" i="805"/>
  <c r="S17" i="805"/>
  <c r="O19" i="805"/>
  <c r="T20" i="805"/>
  <c r="BQ17" i="814"/>
  <c r="BL17" i="814"/>
  <c r="BQ11" i="814"/>
  <c r="BH16" i="814"/>
  <c r="BL10" i="814"/>
  <c r="BF16" i="814"/>
  <c r="BK10" i="814"/>
  <c r="BO14" i="814"/>
  <c r="BG9" i="814"/>
  <c r="BN14" i="814"/>
  <c r="BF9" i="814"/>
  <c r="BR18" i="814"/>
  <c r="BJ13" i="814"/>
  <c r="BO7" i="814"/>
  <c r="H13" i="698"/>
  <c r="L8" i="698"/>
  <c r="W5" i="719"/>
  <c r="S8" i="796"/>
  <c r="M8" i="730"/>
  <c r="V8" i="730"/>
  <c r="R35" i="735"/>
  <c r="H46" i="735"/>
  <c r="S46" i="735"/>
  <c r="R44" i="736"/>
  <c r="R49" i="736"/>
  <c r="D35" i="737"/>
  <c r="G33" i="737"/>
  <c r="V7" i="739"/>
  <c r="AG7" i="742"/>
  <c r="AA22" i="742"/>
  <c r="W26" i="742"/>
  <c r="U5" i="753"/>
  <c r="U9" i="753"/>
  <c r="U13" i="753"/>
  <c r="AF5" i="753"/>
  <c r="AD9" i="753"/>
  <c r="AF12" i="753"/>
  <c r="AK4" i="753"/>
  <c r="AL6" i="753"/>
  <c r="AI9" i="753"/>
  <c r="AJ11" i="753"/>
  <c r="AK13" i="753"/>
  <c r="X24" i="743"/>
  <c r="Z21" i="747"/>
  <c r="X24" i="746"/>
  <c r="AF7" i="748"/>
  <c r="AF8" i="745"/>
  <c r="K5" i="750"/>
  <c r="J8" i="750"/>
  <c r="O12" i="750"/>
  <c r="R9" i="805"/>
  <c r="U10" i="805"/>
  <c r="Y11" i="805"/>
  <c r="S13" i="805"/>
  <c r="V14" i="805"/>
  <c r="O16" i="805"/>
  <c r="V17" i="805"/>
  <c r="P19" i="805"/>
  <c r="BN7" i="814"/>
  <c r="S33" i="803"/>
  <c r="X34" i="803"/>
  <c r="U36" i="803"/>
  <c r="R38" i="803"/>
  <c r="W39" i="803"/>
  <c r="T41" i="803"/>
  <c r="Q43" i="803"/>
  <c r="AP5" i="808"/>
  <c r="AT8" i="808"/>
  <c r="AW11" i="808"/>
  <c r="AQ15" i="808"/>
  <c r="U11" i="808"/>
  <c r="M19" i="808"/>
  <c r="N23" i="808"/>
  <c r="T18" i="808"/>
  <c r="R24" i="808"/>
  <c r="AM18" i="808"/>
  <c r="AL23" i="808"/>
  <c r="AK28" i="808"/>
  <c r="R5" i="809"/>
  <c r="T7" i="809"/>
  <c r="P10" i="809"/>
  <c r="T12" i="809"/>
  <c r="AK4" i="810"/>
  <c r="AK7" i="810"/>
  <c r="AL10" i="810"/>
  <c r="AV7" i="810"/>
  <c r="BU25" i="814"/>
  <c r="AY21" i="814"/>
  <c r="AT23" i="814"/>
  <c r="AZ25" i="814"/>
  <c r="AY28" i="814"/>
  <c r="AZ30" i="814"/>
  <c r="BK20" i="814"/>
  <c r="BN21" i="814"/>
  <c r="BQ22" i="814"/>
  <c r="BG24" i="814"/>
  <c r="BJ25" i="814"/>
  <c r="BM26" i="814"/>
  <c r="BP27" i="814"/>
  <c r="BF29" i="814"/>
  <c r="BI30" i="814"/>
  <c r="BL31" i="814"/>
  <c r="T33" i="803"/>
  <c r="Q35" i="803"/>
  <c r="V36" i="803"/>
  <c r="S38" i="803"/>
  <c r="P40" i="803"/>
  <c r="U41" i="803"/>
  <c r="R43" i="803"/>
  <c r="AS5" i="808"/>
  <c r="AV8" i="808"/>
  <c r="AM12" i="808"/>
  <c r="AR15" i="808"/>
  <c r="U13" i="808"/>
  <c r="R19" i="808"/>
  <c r="S24" i="808"/>
  <c r="W5" i="809"/>
  <c r="M8" i="809"/>
  <c r="Q10" i="809"/>
  <c r="O13" i="809"/>
  <c r="AL4" i="810"/>
  <c r="AJ8" i="810"/>
  <c r="AJ11" i="810"/>
  <c r="AU9" i="810"/>
  <c r="AZ21" i="814"/>
  <c r="BA23" i="814"/>
  <c r="BA25" i="814"/>
  <c r="AZ28" i="814"/>
  <c r="AW31" i="814"/>
  <c r="BP20" i="814"/>
  <c r="BF22" i="814"/>
  <c r="BI23" i="814"/>
  <c r="BL24" i="814"/>
  <c r="BO25" i="814"/>
  <c r="BR26" i="814"/>
  <c r="BH28" i="814"/>
  <c r="BK29" i="814"/>
  <c r="BN30" i="814"/>
  <c r="BQ31" i="814"/>
  <c r="AT5" i="808"/>
  <c r="AK9" i="808"/>
  <c r="AN12" i="808"/>
  <c r="U14" i="808"/>
  <c r="R20" i="808"/>
  <c r="S25" i="808"/>
  <c r="M6" i="809"/>
  <c r="Q8" i="809"/>
  <c r="V10" i="809"/>
  <c r="P13" i="809"/>
  <c r="AJ5" i="810"/>
  <c r="AK8" i="810"/>
  <c r="AK11" i="810"/>
  <c r="AU11" i="810"/>
  <c r="BT12" i="814"/>
  <c r="AT20" i="814"/>
  <c r="BB21" i="814"/>
  <c r="BB23" i="814"/>
  <c r="AX26" i="814"/>
  <c r="BA28" i="814"/>
  <c r="AZ31" i="814"/>
  <c r="BQ20" i="814"/>
  <c r="BG22" i="814"/>
  <c r="BJ23" i="814"/>
  <c r="BM24" i="814"/>
  <c r="BP25" i="814"/>
  <c r="BF27" i="814"/>
  <c r="BI28" i="814"/>
  <c r="BL29" i="814"/>
  <c r="BO30" i="814"/>
  <c r="BR31" i="814"/>
  <c r="AN6" i="808"/>
  <c r="AQ9" i="808"/>
  <c r="AU12" i="808"/>
  <c r="U5" i="808"/>
  <c r="O20" i="808"/>
  <c r="N25" i="808"/>
  <c r="S20" i="808"/>
  <c r="T25" i="808"/>
  <c r="AR20" i="808"/>
  <c r="AQ25" i="808"/>
  <c r="P4" i="809"/>
  <c r="Q6" i="809"/>
  <c r="S8" i="809"/>
  <c r="O11" i="809"/>
  <c r="U13" i="809"/>
  <c r="AK5" i="810"/>
  <c r="AL8" i="810"/>
  <c r="AJ12" i="810"/>
  <c r="AU12" i="810"/>
  <c r="AU20" i="814"/>
  <c r="AU22" i="814"/>
  <c r="BC23" i="814"/>
  <c r="BA26" i="814"/>
  <c r="AW29" i="814"/>
  <c r="BA31" i="814"/>
  <c r="BR20" i="814"/>
  <c r="BH22" i="814"/>
  <c r="BK23" i="814"/>
  <c r="BN24" i="814"/>
  <c r="BQ25" i="814"/>
  <c r="BG27" i="814"/>
  <c r="BJ28" i="814"/>
  <c r="BM29" i="814"/>
  <c r="BP30" i="814"/>
  <c r="AJ6" i="810"/>
  <c r="AJ9" i="810"/>
  <c r="AK12" i="810"/>
  <c r="BF21" i="814"/>
  <c r="BI22" i="814"/>
  <c r="BL23" i="814"/>
  <c r="BO24" i="814"/>
  <c r="BR25" i="814"/>
  <c r="BH27" i="814"/>
  <c r="BK28" i="814"/>
  <c r="BN29" i="814"/>
  <c r="BQ30" i="814"/>
  <c r="X32" i="803"/>
  <c r="P34" i="803"/>
  <c r="Z35" i="803"/>
  <c r="W37" i="803"/>
  <c r="O39" i="803"/>
  <c r="Y40" i="803"/>
  <c r="V42" i="803"/>
  <c r="AA43" i="803"/>
  <c r="AN4" i="808"/>
  <c r="AN7" i="808"/>
  <c r="AR10" i="808"/>
  <c r="AU13" i="808"/>
  <c r="U7" i="808"/>
  <c r="T21" i="808"/>
  <c r="AQ21" i="808"/>
  <c r="AP26" i="808"/>
  <c r="T4" i="809"/>
  <c r="V6" i="809"/>
  <c r="Q9" i="809"/>
  <c r="U11" i="809"/>
  <c r="AJ3" i="810"/>
  <c r="AK6" i="810"/>
  <c r="AK9" i="810"/>
  <c r="AL12" i="810"/>
  <c r="AU4" i="810"/>
  <c r="BT19" i="814"/>
  <c r="BC20" i="814"/>
  <c r="AX22" i="814"/>
  <c r="AZ24" i="814"/>
  <c r="AX27" i="814"/>
  <c r="BB29" i="814"/>
  <c r="BH20" i="814"/>
  <c r="BK21" i="814"/>
  <c r="BN22" i="814"/>
  <c r="BQ23" i="814"/>
  <c r="BG25" i="814"/>
  <c r="BJ26" i="814"/>
  <c r="BM27" i="814"/>
  <c r="BP28" i="814"/>
  <c r="BF30" i="814"/>
  <c r="BI31" i="814"/>
  <c r="AG18" i="64"/>
  <c r="M17" i="580"/>
  <c r="N19" i="580"/>
  <c r="B16" i="627"/>
  <c r="T5" i="60"/>
  <c r="D15" i="581"/>
  <c r="D11" i="581"/>
  <c r="D7" i="581"/>
  <c r="E18" i="581"/>
  <c r="E14" i="581"/>
  <c r="E10" i="581"/>
  <c r="E6" i="581"/>
  <c r="E17" i="581"/>
  <c r="E13" i="581"/>
  <c r="E9" i="581"/>
  <c r="E5" i="581"/>
  <c r="D9" i="581"/>
  <c r="D16" i="581"/>
  <c r="P9" i="489"/>
  <c r="W17" i="489"/>
  <c r="W13" i="489"/>
  <c r="V17" i="489"/>
  <c r="V13" i="489"/>
  <c r="V16" i="489"/>
  <c r="V19" i="489"/>
  <c r="E8" i="494"/>
  <c r="D15" i="494"/>
  <c r="AB6" i="494"/>
  <c r="E10" i="698"/>
  <c r="K6" i="796"/>
  <c r="J13" i="796"/>
  <c r="AA10" i="736"/>
  <c r="AB9" i="736"/>
  <c r="AA9" i="736"/>
  <c r="AB8" i="736"/>
  <c r="AB7" i="736"/>
  <c r="AA8" i="736"/>
  <c r="AF12" i="64"/>
  <c r="AF19" i="64"/>
  <c r="H17" i="580"/>
  <c r="G20" i="580"/>
  <c r="N17" i="580"/>
  <c r="G17" i="57"/>
  <c r="A17" i="627"/>
  <c r="Y22" i="688"/>
  <c r="X21" i="688"/>
  <c r="J5" i="60"/>
  <c r="S6" i="60"/>
  <c r="F23" i="782"/>
  <c r="G18" i="582"/>
  <c r="F18" i="582"/>
  <c r="F17" i="582"/>
  <c r="J7" i="71"/>
  <c r="M17" i="71"/>
  <c r="H17" i="665"/>
  <c r="G17" i="665"/>
  <c r="D4" i="581"/>
  <c r="D10" i="581"/>
  <c r="E16" i="581"/>
  <c r="V14" i="489"/>
  <c r="W19" i="489"/>
  <c r="D10" i="494"/>
  <c r="E15" i="494"/>
  <c r="AA7" i="494"/>
  <c r="AE5" i="494"/>
  <c r="O5" i="697"/>
  <c r="AP10" i="697"/>
  <c r="H5" i="698"/>
  <c r="P13" i="698"/>
  <c r="P5" i="698"/>
  <c r="P8" i="698"/>
  <c r="P7" i="698"/>
  <c r="P4" i="698"/>
  <c r="K7" i="796"/>
  <c r="K14" i="796"/>
  <c r="AA7" i="736"/>
  <c r="Q8" i="489"/>
  <c r="Q4" i="489"/>
  <c r="P8" i="489"/>
  <c r="P4" i="489"/>
  <c r="P7" i="489"/>
  <c r="E16" i="494"/>
  <c r="K6" i="698"/>
  <c r="K5" i="698"/>
  <c r="K13" i="698"/>
  <c r="K4" i="698"/>
  <c r="K11" i="698"/>
  <c r="N8" i="698"/>
  <c r="N10" i="698"/>
  <c r="N9" i="698"/>
  <c r="N6" i="698"/>
  <c r="AD13" i="747"/>
  <c r="AD9" i="747"/>
  <c r="AC13" i="747"/>
  <c r="AC9" i="747"/>
  <c r="AD12" i="747"/>
  <c r="AD8" i="747"/>
  <c r="AC12" i="747"/>
  <c r="AC8" i="747"/>
  <c r="AC11" i="747"/>
  <c r="AC7" i="747"/>
  <c r="AC10" i="747"/>
  <c r="AD10" i="747"/>
  <c r="E17" i="580"/>
  <c r="D16" i="580"/>
  <c r="N18" i="580"/>
  <c r="J9" i="71"/>
  <c r="D5" i="581"/>
  <c r="D12" i="581"/>
  <c r="D18" i="581"/>
  <c r="P5" i="489"/>
  <c r="Q10" i="489"/>
  <c r="V15" i="489"/>
  <c r="E4" i="494"/>
  <c r="D11" i="494"/>
  <c r="AA8" i="494"/>
  <c r="F13" i="698"/>
  <c r="F5" i="698"/>
  <c r="F6" i="698"/>
  <c r="F4" i="698"/>
  <c r="F11" i="698"/>
  <c r="K7" i="698"/>
  <c r="N4" i="698"/>
  <c r="I3" i="796"/>
  <c r="I9" i="796"/>
  <c r="AD7" i="747"/>
  <c r="E17" i="494"/>
  <c r="E13" i="494"/>
  <c r="E9" i="494"/>
  <c r="E5" i="494"/>
  <c r="D17" i="494"/>
  <c r="D13" i="494"/>
  <c r="D9" i="494"/>
  <c r="D5" i="494"/>
  <c r="D16" i="494"/>
  <c r="D12" i="494"/>
  <c r="D8" i="494"/>
  <c r="D4" i="494"/>
  <c r="J15" i="796"/>
  <c r="K12" i="796"/>
  <c r="I10" i="796"/>
  <c r="J7" i="796"/>
  <c r="K4" i="796"/>
  <c r="K17" i="796"/>
  <c r="I15" i="796"/>
  <c r="J12" i="796"/>
  <c r="K9" i="796"/>
  <c r="I7" i="796"/>
  <c r="J4" i="796"/>
  <c r="K16" i="796"/>
  <c r="I14" i="796"/>
  <c r="J11" i="796"/>
  <c r="K8" i="796"/>
  <c r="I6" i="796"/>
  <c r="J14" i="796"/>
  <c r="J10" i="796"/>
  <c r="K5" i="796"/>
  <c r="K13" i="796"/>
  <c r="J9" i="796"/>
  <c r="J5" i="796"/>
  <c r="I17" i="796"/>
  <c r="I13" i="796"/>
  <c r="J8" i="796"/>
  <c r="I4" i="796"/>
  <c r="I8" i="796"/>
  <c r="K15" i="796"/>
  <c r="AF25" i="64"/>
  <c r="AG23" i="64"/>
  <c r="E16" i="580"/>
  <c r="M19" i="580"/>
  <c r="X18" i="688"/>
  <c r="Y16" i="688"/>
  <c r="E29" i="781"/>
  <c r="F31" i="781"/>
  <c r="F27" i="781"/>
  <c r="F37" i="781"/>
  <c r="F33" i="781"/>
  <c r="E36" i="781"/>
  <c r="G17" i="582"/>
  <c r="D6" i="581"/>
  <c r="E12" i="581"/>
  <c r="Q5" i="489"/>
  <c r="W15" i="489"/>
  <c r="D6" i="494"/>
  <c r="E11" i="494"/>
  <c r="E18" i="494"/>
  <c r="Y17" i="697"/>
  <c r="Y13" i="697"/>
  <c r="Y21" i="697"/>
  <c r="Y12" i="697"/>
  <c r="Y19" i="697"/>
  <c r="F7" i="698"/>
  <c r="J9" i="698"/>
  <c r="J7" i="698"/>
  <c r="J6" i="698"/>
  <c r="J13" i="698"/>
  <c r="J4" i="698"/>
  <c r="K8" i="698"/>
  <c r="N5" i="698"/>
  <c r="J3" i="796"/>
  <c r="K10" i="796"/>
  <c r="J16" i="796"/>
  <c r="G25" i="735"/>
  <c r="H24" i="735"/>
  <c r="G24" i="735"/>
  <c r="G23" i="735"/>
  <c r="H26" i="735"/>
  <c r="H25" i="735"/>
  <c r="AD11" i="747"/>
  <c r="AG19" i="64"/>
  <c r="AF18" i="64"/>
  <c r="B17" i="627"/>
  <c r="A16" i="627"/>
  <c r="T6" i="60"/>
  <c r="S5" i="60"/>
  <c r="N23" i="59"/>
  <c r="O22" i="59"/>
  <c r="O21" i="59"/>
  <c r="J8" i="71"/>
  <c r="K7" i="71"/>
  <c r="K6" i="71"/>
  <c r="N15" i="71"/>
  <c r="M15" i="71"/>
  <c r="M18" i="71"/>
  <c r="M14" i="71"/>
  <c r="E7" i="581"/>
  <c r="D13" i="581"/>
  <c r="P6" i="489"/>
  <c r="E6" i="494"/>
  <c r="E12" i="494"/>
  <c r="AA10" i="494"/>
  <c r="AA6" i="494"/>
  <c r="AB9" i="494"/>
  <c r="AB5" i="494"/>
  <c r="AB8" i="494"/>
  <c r="AB4" i="494"/>
  <c r="AB10" i="494"/>
  <c r="E8" i="698"/>
  <c r="E7" i="698"/>
  <c r="E6" i="698"/>
  <c r="E13" i="698"/>
  <c r="E4" i="698"/>
  <c r="K9" i="698"/>
  <c r="N7" i="698"/>
  <c r="K3" i="796"/>
  <c r="I11" i="796"/>
  <c r="J17" i="796"/>
  <c r="G35" i="735"/>
  <c r="H34" i="735"/>
  <c r="G34" i="735"/>
  <c r="G37" i="735"/>
  <c r="G36" i="735"/>
  <c r="H35" i="735"/>
  <c r="N17" i="738"/>
  <c r="M17" i="738"/>
  <c r="N20" i="738"/>
  <c r="N16" i="738"/>
  <c r="M20" i="738"/>
  <c r="M16" i="738"/>
  <c r="M19" i="738"/>
  <c r="M18" i="738"/>
  <c r="P10" i="489"/>
  <c r="E10" i="494"/>
  <c r="AF14" i="64"/>
  <c r="AG12" i="64"/>
  <c r="AF17" i="64"/>
  <c r="D18" i="580"/>
  <c r="N20" i="580"/>
  <c r="G19" i="57"/>
  <c r="H17" i="57"/>
  <c r="A15" i="627"/>
  <c r="J7" i="60"/>
  <c r="K5" i="60"/>
  <c r="S4" i="60"/>
  <c r="N21" i="59"/>
  <c r="J5" i="71"/>
  <c r="N14" i="71"/>
  <c r="D8" i="581"/>
  <c r="D14" i="581"/>
  <c r="Q6" i="489"/>
  <c r="V18" i="489"/>
  <c r="D7" i="494"/>
  <c r="D14" i="494"/>
  <c r="AA4" i="494"/>
  <c r="AE10" i="494"/>
  <c r="AE6" i="494"/>
  <c r="AD10" i="494"/>
  <c r="AD6" i="494"/>
  <c r="AD9" i="494"/>
  <c r="AD5" i="494"/>
  <c r="AE9" i="494"/>
  <c r="AP7" i="697"/>
  <c r="AP9" i="697"/>
  <c r="AP8" i="697"/>
  <c r="AP5" i="697"/>
  <c r="E5" i="698"/>
  <c r="F9" i="698"/>
  <c r="I12" i="698"/>
  <c r="I4" i="698"/>
  <c r="I9" i="698"/>
  <c r="I8" i="698"/>
  <c r="I6" i="698"/>
  <c r="K10" i="698"/>
  <c r="N11" i="698"/>
  <c r="I5" i="796"/>
  <c r="K11" i="796"/>
  <c r="H36" i="735"/>
  <c r="N18" i="738"/>
  <c r="E24" i="801"/>
  <c r="D24" i="801"/>
  <c r="E25" i="801"/>
  <c r="D25" i="801"/>
  <c r="E23" i="801"/>
  <c r="D23" i="801"/>
  <c r="AF11" i="64"/>
  <c r="AG17" i="64"/>
  <c r="AG24" i="64"/>
  <c r="E18" i="580"/>
  <c r="G16" i="57"/>
  <c r="B15" i="627"/>
  <c r="Y17" i="688"/>
  <c r="J4" i="60"/>
  <c r="T4" i="60"/>
  <c r="N22" i="59"/>
  <c r="K5" i="71"/>
  <c r="M16" i="71"/>
  <c r="E8" i="581"/>
  <c r="E15" i="581"/>
  <c r="Q7" i="489"/>
  <c r="W18" i="489"/>
  <c r="E7" i="494"/>
  <c r="E14" i="494"/>
  <c r="AA5" i="494"/>
  <c r="AD4" i="494"/>
  <c r="O10" i="697"/>
  <c r="O11" i="697"/>
  <c r="O9" i="697"/>
  <c r="O7" i="697"/>
  <c r="AP4" i="697"/>
  <c r="E9" i="698"/>
  <c r="F10" i="698"/>
  <c r="H7" i="698"/>
  <c r="H11" i="698"/>
  <c r="H10" i="698"/>
  <c r="H8" i="698"/>
  <c r="I5" i="698"/>
  <c r="K12" i="698"/>
  <c r="N12" i="698"/>
  <c r="J6" i="796"/>
  <c r="I12" i="796"/>
  <c r="N20" i="731"/>
  <c r="M20" i="731"/>
  <c r="N18" i="731"/>
  <c r="M19" i="731"/>
  <c r="H37" i="735"/>
  <c r="N19" i="738"/>
  <c r="AF7" i="64"/>
  <c r="K19" i="580"/>
  <c r="N16" i="57"/>
  <c r="H6" i="783"/>
  <c r="H8" i="783"/>
  <c r="R16" i="71"/>
  <c r="N6" i="489"/>
  <c r="N10" i="489"/>
  <c r="T15" i="489"/>
  <c r="T19" i="489"/>
  <c r="E7" i="62"/>
  <c r="E11" i="62"/>
  <c r="E15" i="62"/>
  <c r="AZ19" i="697"/>
  <c r="AZ11" i="697"/>
  <c r="AZ20" i="697"/>
  <c r="G9" i="698"/>
  <c r="AB10" i="734"/>
  <c r="AA10" i="734"/>
  <c r="AB8" i="734"/>
  <c r="Y10" i="739"/>
  <c r="Y9" i="739"/>
  <c r="Y8" i="739"/>
  <c r="Y6" i="739"/>
  <c r="P13" i="753"/>
  <c r="P11" i="753"/>
  <c r="P9" i="753"/>
  <c r="P7" i="753"/>
  <c r="P5" i="753"/>
  <c r="O13" i="753"/>
  <c r="O11" i="753"/>
  <c r="O9" i="753"/>
  <c r="O7" i="753"/>
  <c r="O5" i="753"/>
  <c r="R12" i="753"/>
  <c r="R10" i="753"/>
  <c r="R8" i="753"/>
  <c r="R6" i="753"/>
  <c r="R4" i="753"/>
  <c r="Q12" i="753"/>
  <c r="Q10" i="753"/>
  <c r="Q8" i="753"/>
  <c r="Q6" i="753"/>
  <c r="Q4" i="753"/>
  <c r="O12" i="753"/>
  <c r="O10" i="753"/>
  <c r="O8" i="753"/>
  <c r="O6" i="753"/>
  <c r="O4" i="753"/>
  <c r="Q13" i="753"/>
  <c r="Q11" i="753"/>
  <c r="Q9" i="753"/>
  <c r="Q7" i="753"/>
  <c r="Q5" i="753"/>
  <c r="R11" i="753"/>
  <c r="AB12" i="753"/>
  <c r="AB10" i="753"/>
  <c r="AB8" i="753"/>
  <c r="AB6" i="753"/>
  <c r="AB4" i="753"/>
  <c r="AA12" i="753"/>
  <c r="AA10" i="753"/>
  <c r="AA8" i="753"/>
  <c r="AA6" i="753"/>
  <c r="AA4" i="753"/>
  <c r="Z12" i="753"/>
  <c r="Z10" i="753"/>
  <c r="Z8" i="753"/>
  <c r="Z6" i="753"/>
  <c r="Z4" i="753"/>
  <c r="Y12" i="753"/>
  <c r="Y10" i="753"/>
  <c r="Y8" i="753"/>
  <c r="Y6" i="753"/>
  <c r="Y4" i="753"/>
  <c r="AA13" i="753"/>
  <c r="AA11" i="753"/>
  <c r="AA9" i="753"/>
  <c r="AA7" i="753"/>
  <c r="AA5" i="753"/>
  <c r="Y13" i="753"/>
  <c r="Y11" i="753"/>
  <c r="Y9" i="753"/>
  <c r="Y7" i="753"/>
  <c r="Y5" i="753"/>
  <c r="AB11" i="753"/>
  <c r="X25" i="751"/>
  <c r="W25" i="751"/>
  <c r="X26" i="751"/>
  <c r="W26" i="751"/>
  <c r="X24" i="751"/>
  <c r="W24" i="751"/>
  <c r="W27" i="751"/>
  <c r="J6" i="783"/>
  <c r="J8" i="783"/>
  <c r="N7" i="489"/>
  <c r="T16" i="489"/>
  <c r="G12" i="698"/>
  <c r="W7" i="734"/>
  <c r="X6" i="734"/>
  <c r="W5" i="734"/>
  <c r="H43" i="736"/>
  <c r="G43" i="736"/>
  <c r="H42" i="736"/>
  <c r="G42" i="736"/>
  <c r="G41" i="736"/>
  <c r="G44" i="736"/>
  <c r="Z26" i="748"/>
  <c r="Z22" i="748"/>
  <c r="Z24" i="748"/>
  <c r="AA23" i="748"/>
  <c r="AA27" i="748"/>
  <c r="Z23" i="748"/>
  <c r="Z27" i="748"/>
  <c r="AA22" i="748"/>
  <c r="AA25" i="748"/>
  <c r="Z21" i="748"/>
  <c r="AA24" i="748"/>
  <c r="X25" i="745"/>
  <c r="W25" i="745"/>
  <c r="X27" i="745"/>
  <c r="W27" i="745"/>
  <c r="X26" i="745"/>
  <c r="W26" i="745"/>
  <c r="W24" i="745"/>
  <c r="G5" i="783"/>
  <c r="E7" i="489"/>
  <c r="E11" i="489"/>
  <c r="M4" i="489"/>
  <c r="S13" i="489"/>
  <c r="D5" i="62"/>
  <c r="D9" i="62"/>
  <c r="D13" i="62"/>
  <c r="AZ14" i="697"/>
  <c r="E38" i="697"/>
  <c r="G4" i="698"/>
  <c r="G13" i="698"/>
  <c r="V20" i="719"/>
  <c r="V16" i="719"/>
  <c r="W19" i="719"/>
  <c r="W15" i="719"/>
  <c r="W20" i="719"/>
  <c r="AA3" i="797"/>
  <c r="W4" i="734"/>
  <c r="AB9" i="734"/>
  <c r="H41" i="736"/>
  <c r="H47" i="736"/>
  <c r="G47" i="736"/>
  <c r="H46" i="736"/>
  <c r="G46" i="736"/>
  <c r="G49" i="736"/>
  <c r="G48" i="736"/>
  <c r="E35" i="737"/>
  <c r="E34" i="737"/>
  <c r="E33" i="737"/>
  <c r="E32" i="737"/>
  <c r="E30" i="737"/>
  <c r="P6" i="753"/>
  <c r="Z7" i="753"/>
  <c r="AA21" i="748"/>
  <c r="X24" i="745"/>
  <c r="G30" i="737"/>
  <c r="AF6" i="742"/>
  <c r="AD10" i="742"/>
  <c r="Z21" i="742"/>
  <c r="Z25" i="742"/>
  <c r="AA24" i="743"/>
  <c r="W24" i="743"/>
  <c r="AG9" i="747"/>
  <c r="AA24" i="747"/>
  <c r="W24" i="747"/>
  <c r="Z29" i="745"/>
  <c r="Z25" i="745"/>
  <c r="AA28" i="745"/>
  <c r="AA24" i="745"/>
  <c r="AA29" i="745"/>
  <c r="N7" i="750"/>
  <c r="O6" i="750"/>
  <c r="N11" i="750"/>
  <c r="N16" i="750"/>
  <c r="P18" i="803"/>
  <c r="S19" i="803"/>
  <c r="V20" i="803"/>
  <c r="Y21" i="803"/>
  <c r="O23" i="803"/>
  <c r="R24" i="803"/>
  <c r="U25" i="803"/>
  <c r="X26" i="803"/>
  <c r="T33" i="805"/>
  <c r="Y32" i="805"/>
  <c r="Q32" i="805"/>
  <c r="V31" i="805"/>
  <c r="N31" i="805"/>
  <c r="S30" i="805"/>
  <c r="X29" i="805"/>
  <c r="P29" i="805"/>
  <c r="U28" i="805"/>
  <c r="M28" i="805"/>
  <c r="R27" i="805"/>
  <c r="W26" i="805"/>
  <c r="O26" i="805"/>
  <c r="T25" i="805"/>
  <c r="Y24" i="805"/>
  <c r="Q24" i="805"/>
  <c r="V23" i="805"/>
  <c r="N23" i="805"/>
  <c r="S22" i="805"/>
  <c r="S33" i="805"/>
  <c r="X32" i="805"/>
  <c r="P32" i="805"/>
  <c r="U31" i="805"/>
  <c r="M31" i="805"/>
  <c r="R30" i="805"/>
  <c r="W29" i="805"/>
  <c r="O29" i="805"/>
  <c r="T28" i="805"/>
  <c r="Y27" i="805"/>
  <c r="Q27" i="805"/>
  <c r="V26" i="805"/>
  <c r="N26" i="805"/>
  <c r="S25" i="805"/>
  <c r="X24" i="805"/>
  <c r="P24" i="805"/>
  <c r="U23" i="805"/>
  <c r="M23" i="805"/>
  <c r="R22" i="805"/>
  <c r="P33" i="805"/>
  <c r="S32" i="805"/>
  <c r="T31" i="805"/>
  <c r="W30" i="805"/>
  <c r="M30" i="805"/>
  <c r="N29" i="805"/>
  <c r="Q28" i="805"/>
  <c r="T27" i="805"/>
  <c r="U26" i="805"/>
  <c r="X25" i="805"/>
  <c r="N25" i="805"/>
  <c r="O24" i="805"/>
  <c r="R23" i="805"/>
  <c r="U22" i="805"/>
  <c r="Y33" i="805"/>
  <c r="O33" i="805"/>
  <c r="R32" i="805"/>
  <c r="S31" i="805"/>
  <c r="V30" i="805"/>
  <c r="Y29" i="805"/>
  <c r="M29" i="805"/>
  <c r="P28" i="805"/>
  <c r="S27" i="805"/>
  <c r="T26" i="805"/>
  <c r="W25" i="805"/>
  <c r="M25" i="805"/>
  <c r="N24" i="805"/>
  <c r="Q23" i="805"/>
  <c r="T22" i="805"/>
  <c r="X33" i="805"/>
  <c r="N33" i="805"/>
  <c r="O32" i="805"/>
  <c r="R31" i="805"/>
  <c r="U30" i="805"/>
  <c r="V29" i="805"/>
  <c r="Y28" i="805"/>
  <c r="O28" i="805"/>
  <c r="P27" i="805"/>
  <c r="S26" i="805"/>
  <c r="V25" i="805"/>
  <c r="W24" i="805"/>
  <c r="M24" i="805"/>
  <c r="P23" i="805"/>
  <c r="Q22" i="805"/>
  <c r="W33" i="805"/>
  <c r="M33" i="805"/>
  <c r="N32" i="805"/>
  <c r="Q31" i="805"/>
  <c r="T30" i="805"/>
  <c r="U29" i="805"/>
  <c r="X28" i="805"/>
  <c r="N28" i="805"/>
  <c r="O27" i="805"/>
  <c r="R26" i="805"/>
  <c r="U25" i="805"/>
  <c r="V24" i="805"/>
  <c r="Y23" i="805"/>
  <c r="O23" i="805"/>
  <c r="P22" i="805"/>
  <c r="V33" i="805"/>
  <c r="W32" i="805"/>
  <c r="M32" i="805"/>
  <c r="P31" i="805"/>
  <c r="Q30" i="805"/>
  <c r="T29" i="805"/>
  <c r="W28" i="805"/>
  <c r="X27" i="805"/>
  <c r="N27" i="805"/>
  <c r="Q26" i="805"/>
  <c r="R25" i="805"/>
  <c r="U24" i="805"/>
  <c r="X23" i="805"/>
  <c r="Y22" i="805"/>
  <c r="O22" i="805"/>
  <c r="W23" i="805"/>
  <c r="M26" i="805"/>
  <c r="R28" i="805"/>
  <c r="P30" i="805"/>
  <c r="U32" i="805"/>
  <c r="U28" i="803"/>
  <c r="Z27" i="803"/>
  <c r="R27" i="803"/>
  <c r="W26" i="803"/>
  <c r="O26" i="803"/>
  <c r="T25" i="803"/>
  <c r="Y24" i="803"/>
  <c r="Q24" i="803"/>
  <c r="V23" i="803"/>
  <c r="AA22" i="803"/>
  <c r="S22" i="803"/>
  <c r="X21" i="803"/>
  <c r="P21" i="803"/>
  <c r="U20" i="803"/>
  <c r="Z19" i="803"/>
  <c r="R19" i="803"/>
  <c r="W18" i="803"/>
  <c r="O18" i="803"/>
  <c r="T17" i="803"/>
  <c r="AA28" i="803"/>
  <c r="S28" i="803"/>
  <c r="X27" i="803"/>
  <c r="P27" i="803"/>
  <c r="U26" i="803"/>
  <c r="Z25" i="803"/>
  <c r="R25" i="803"/>
  <c r="W24" i="803"/>
  <c r="O24" i="803"/>
  <c r="T23" i="803"/>
  <c r="Y22" i="803"/>
  <c r="Q22" i="803"/>
  <c r="V21" i="803"/>
  <c r="AA20" i="803"/>
  <c r="S20" i="803"/>
  <c r="X19" i="803"/>
  <c r="P19" i="803"/>
  <c r="U18" i="803"/>
  <c r="Z17" i="803"/>
  <c r="R17" i="803"/>
  <c r="Z28" i="803"/>
  <c r="R28" i="803"/>
  <c r="W27" i="803"/>
  <c r="O27" i="803"/>
  <c r="T26" i="803"/>
  <c r="Y25" i="803"/>
  <c r="Q25" i="803"/>
  <c r="V24" i="803"/>
  <c r="AA23" i="803"/>
  <c r="S23" i="803"/>
  <c r="X22" i="803"/>
  <c r="P22" i="803"/>
  <c r="U21" i="803"/>
  <c r="Z20" i="803"/>
  <c r="R20" i="803"/>
  <c r="W19" i="803"/>
  <c r="O19" i="803"/>
  <c r="T18" i="803"/>
  <c r="Y17" i="803"/>
  <c r="Q17" i="803"/>
  <c r="Y28" i="803"/>
  <c r="Q28" i="803"/>
  <c r="V27" i="803"/>
  <c r="AA26" i="803"/>
  <c r="S26" i="803"/>
  <c r="X25" i="803"/>
  <c r="P25" i="803"/>
  <c r="U24" i="803"/>
  <c r="Z23" i="803"/>
  <c r="R23" i="803"/>
  <c r="W22" i="803"/>
  <c r="O22" i="803"/>
  <c r="T21" i="803"/>
  <c r="Y20" i="803"/>
  <c r="Q20" i="803"/>
  <c r="V19" i="803"/>
  <c r="AA18" i="803"/>
  <c r="S18" i="803"/>
  <c r="X17" i="803"/>
  <c r="P17" i="803"/>
  <c r="Q18" i="803"/>
  <c r="T19" i="803"/>
  <c r="W20" i="803"/>
  <c r="Z21" i="803"/>
  <c r="P23" i="803"/>
  <c r="S24" i="803"/>
  <c r="V25" i="803"/>
  <c r="Y26" i="803"/>
  <c r="O28" i="803"/>
  <c r="M22" i="805"/>
  <c r="R24" i="805"/>
  <c r="P26" i="805"/>
  <c r="S28" i="805"/>
  <c r="X30" i="805"/>
  <c r="V32" i="805"/>
  <c r="S26" i="735"/>
  <c r="S36" i="735"/>
  <c r="X8" i="736"/>
  <c r="S44" i="736"/>
  <c r="S48" i="736"/>
  <c r="F31" i="737"/>
  <c r="G32" i="737"/>
  <c r="AF7" i="742"/>
  <c r="AD7" i="742"/>
  <c r="AD11" i="742"/>
  <c r="Z22" i="742"/>
  <c r="Z26" i="742"/>
  <c r="W5" i="753"/>
  <c r="W7" i="753"/>
  <c r="W9" i="753"/>
  <c r="W11" i="753"/>
  <c r="W13" i="753"/>
  <c r="AA21" i="743"/>
  <c r="AA25" i="743"/>
  <c r="W25" i="743"/>
  <c r="AG6" i="747"/>
  <c r="AA21" i="747"/>
  <c r="AA25" i="747"/>
  <c r="W25" i="747"/>
  <c r="AA22" i="746"/>
  <c r="Z27" i="746"/>
  <c r="AA25" i="745"/>
  <c r="AA30" i="745"/>
  <c r="Z29" i="751"/>
  <c r="Z25" i="751"/>
  <c r="AA28" i="751"/>
  <c r="AA24" i="751"/>
  <c r="AA29" i="751"/>
  <c r="O4" i="750"/>
  <c r="N12" i="750"/>
  <c r="AQ24" i="740"/>
  <c r="AQ16" i="740"/>
  <c r="AQ23" i="740"/>
  <c r="AQ15" i="740"/>
  <c r="AQ19" i="740"/>
  <c r="AQ29" i="740"/>
  <c r="O17" i="803"/>
  <c r="R18" i="803"/>
  <c r="U19" i="803"/>
  <c r="X20" i="803"/>
  <c r="AA21" i="803"/>
  <c r="Q23" i="803"/>
  <c r="T24" i="803"/>
  <c r="W25" i="803"/>
  <c r="Z26" i="803"/>
  <c r="P28" i="803"/>
  <c r="N22" i="805"/>
  <c r="S24" i="805"/>
  <c r="X26" i="805"/>
  <c r="V28" i="805"/>
  <c r="Y30" i="805"/>
  <c r="Q33" i="805"/>
  <c r="S17" i="803"/>
  <c r="V18" i="803"/>
  <c r="Y19" i="803"/>
  <c r="O21" i="803"/>
  <c r="R22" i="803"/>
  <c r="U23" i="803"/>
  <c r="X24" i="803"/>
  <c r="AA25" i="803"/>
  <c r="Q27" i="803"/>
  <c r="T28" i="803"/>
  <c r="V22" i="805"/>
  <c r="T24" i="805"/>
  <c r="Y26" i="805"/>
  <c r="Q29" i="805"/>
  <c r="O31" i="805"/>
  <c r="R33" i="805"/>
  <c r="S37" i="735"/>
  <c r="X9" i="736"/>
  <c r="S49" i="736"/>
  <c r="D31" i="737"/>
  <c r="F33" i="737"/>
  <c r="G34" i="737"/>
  <c r="C41" i="737"/>
  <c r="V8" i="739"/>
  <c r="AF8" i="742"/>
  <c r="AD8" i="742"/>
  <c r="AD12" i="742"/>
  <c r="Z23" i="742"/>
  <c r="Z27" i="742"/>
  <c r="U4" i="753"/>
  <c r="U6" i="753"/>
  <c r="U8" i="753"/>
  <c r="U10" i="753"/>
  <c r="U12" i="753"/>
  <c r="AG5" i="753"/>
  <c r="AG7" i="753"/>
  <c r="AG9" i="753"/>
  <c r="AG11" i="753"/>
  <c r="AG13" i="753"/>
  <c r="AA22" i="743"/>
  <c r="AA26" i="743"/>
  <c r="W26" i="743"/>
  <c r="AG7" i="747"/>
  <c r="AA22" i="747"/>
  <c r="AA26" i="747"/>
  <c r="X26" i="747"/>
  <c r="AA23" i="746"/>
  <c r="AC11" i="748"/>
  <c r="AC7" i="748"/>
  <c r="AB11" i="748"/>
  <c r="W27" i="748"/>
  <c r="AH9" i="745"/>
  <c r="AF10" i="745"/>
  <c r="AA26" i="745"/>
  <c r="AA25" i="751"/>
  <c r="AA30" i="751"/>
  <c r="O5" i="750"/>
  <c r="N14" i="750"/>
  <c r="AQ11" i="740"/>
  <c r="AQ21" i="740"/>
  <c r="U17" i="803"/>
  <c r="X18" i="803"/>
  <c r="AA19" i="803"/>
  <c r="Q21" i="803"/>
  <c r="T22" i="803"/>
  <c r="W23" i="803"/>
  <c r="Z24" i="803"/>
  <c r="P26" i="803"/>
  <c r="S27" i="803"/>
  <c r="V28" i="803"/>
  <c r="W22" i="805"/>
  <c r="O25" i="805"/>
  <c r="M27" i="805"/>
  <c r="R29" i="805"/>
  <c r="W31" i="805"/>
  <c r="U33" i="805"/>
  <c r="V7" i="719"/>
  <c r="R7" i="796"/>
  <c r="R24" i="735"/>
  <c r="R34" i="735"/>
  <c r="R48" i="735"/>
  <c r="Y9" i="736"/>
  <c r="R42" i="736"/>
  <c r="R46" i="736"/>
  <c r="D32" i="737"/>
  <c r="F34" i="737"/>
  <c r="B42" i="737"/>
  <c r="U9" i="739"/>
  <c r="AG8" i="742"/>
  <c r="AC9" i="742"/>
  <c r="AC13" i="742"/>
  <c r="AA23" i="742"/>
  <c r="AA27" i="742"/>
  <c r="W27" i="742"/>
  <c r="V4" i="753"/>
  <c r="V6" i="753"/>
  <c r="V8" i="753"/>
  <c r="V10" i="753"/>
  <c r="V12" i="753"/>
  <c r="AD4" i="753"/>
  <c r="AD6" i="753"/>
  <c r="AD8" i="753"/>
  <c r="AD10" i="753"/>
  <c r="AD12" i="753"/>
  <c r="AL5" i="753"/>
  <c r="AL7" i="753"/>
  <c r="AL9" i="753"/>
  <c r="AL11" i="753"/>
  <c r="Z23" i="743"/>
  <c r="Z27" i="743"/>
  <c r="X26" i="743"/>
  <c r="AF8" i="747"/>
  <c r="Z23" i="747"/>
  <c r="Z27" i="747"/>
  <c r="W27" i="747"/>
  <c r="Z24" i="746"/>
  <c r="W24" i="746"/>
  <c r="AE6" i="748"/>
  <c r="AB7" i="748"/>
  <c r="AB12" i="748"/>
  <c r="X27" i="748"/>
  <c r="AI9" i="745"/>
  <c r="Z27" i="745"/>
  <c r="Z26" i="751"/>
  <c r="L12" i="750"/>
  <c r="L10" i="750"/>
  <c r="L8" i="750"/>
  <c r="L6" i="750"/>
  <c r="L4" i="750"/>
  <c r="K12" i="750"/>
  <c r="K10" i="750"/>
  <c r="K8" i="750"/>
  <c r="K6" i="750"/>
  <c r="K4" i="750"/>
  <c r="J6" i="750"/>
  <c r="J9" i="750"/>
  <c r="L11" i="750"/>
  <c r="N6" i="750"/>
  <c r="O14" i="750"/>
  <c r="AQ12" i="740"/>
  <c r="AQ22" i="740"/>
  <c r="V17" i="803"/>
  <c r="Y18" i="803"/>
  <c r="O20" i="803"/>
  <c r="R21" i="803"/>
  <c r="U22" i="803"/>
  <c r="X23" i="803"/>
  <c r="AA24" i="803"/>
  <c r="Q26" i="803"/>
  <c r="T27" i="803"/>
  <c r="W28" i="803"/>
  <c r="X22" i="805"/>
  <c r="P25" i="805"/>
  <c r="U27" i="805"/>
  <c r="S29" i="805"/>
  <c r="X31" i="805"/>
  <c r="X10" i="736"/>
  <c r="AF9" i="742"/>
  <c r="AD9" i="742"/>
  <c r="AD13" i="742"/>
  <c r="Z24" i="742"/>
  <c r="W4" i="753"/>
  <c r="W6" i="753"/>
  <c r="W8" i="753"/>
  <c r="W10" i="753"/>
  <c r="AE4" i="753"/>
  <c r="AE6" i="753"/>
  <c r="AE8" i="753"/>
  <c r="AE10" i="753"/>
  <c r="AA23" i="743"/>
  <c r="AA27" i="743"/>
  <c r="W27" i="743"/>
  <c r="AA23" i="747"/>
  <c r="X27" i="747"/>
  <c r="AE12" i="745"/>
  <c r="AE8" i="745"/>
  <c r="AF11" i="745"/>
  <c r="AF7" i="745"/>
  <c r="AF12" i="745"/>
  <c r="AA27" i="745"/>
  <c r="AA26" i="751"/>
  <c r="O7" i="750"/>
  <c r="AQ13" i="740"/>
  <c r="AQ25" i="740"/>
  <c r="W17" i="803"/>
  <c r="Z18" i="803"/>
  <c r="P20" i="803"/>
  <c r="S21" i="803"/>
  <c r="V22" i="803"/>
  <c r="Y23" i="803"/>
  <c r="O25" i="803"/>
  <c r="R26" i="803"/>
  <c r="U27" i="803"/>
  <c r="X28" i="803"/>
  <c r="S23" i="805"/>
  <c r="Q25" i="805"/>
  <c r="V27" i="805"/>
  <c r="N30" i="805"/>
  <c r="Y31" i="805"/>
  <c r="Z26" i="746"/>
  <c r="Z22" i="746"/>
  <c r="Z25" i="746"/>
  <c r="Z28" i="745"/>
  <c r="O17" i="750"/>
  <c r="O13" i="750"/>
  <c r="N17" i="750"/>
  <c r="N13" i="750"/>
  <c r="O15" i="750"/>
  <c r="AQ26" i="740"/>
  <c r="AA17" i="803"/>
  <c r="Q19" i="803"/>
  <c r="T20" i="803"/>
  <c r="W21" i="803"/>
  <c r="Z22" i="803"/>
  <c r="P24" i="803"/>
  <c r="S25" i="803"/>
  <c r="V26" i="803"/>
  <c r="Y27" i="803"/>
  <c r="T23" i="805"/>
  <c r="Y25" i="805"/>
  <c r="W27" i="805"/>
  <c r="O30" i="805"/>
  <c r="T32" i="805"/>
  <c r="BP12" i="802"/>
  <c r="BX12" i="802"/>
  <c r="BS13" i="802"/>
  <c r="BN14" i="802"/>
  <c r="BV14" i="802"/>
  <c r="BQ15" i="802"/>
  <c r="BY15" i="802"/>
  <c r="BT16" i="802"/>
  <c r="BO17" i="802"/>
  <c r="BW17" i="802"/>
  <c r="BR18" i="802"/>
  <c r="BM19" i="802"/>
  <c r="BU19" i="802"/>
  <c r="BP20" i="802"/>
  <c r="BX20" i="802"/>
  <c r="BS21" i="802"/>
  <c r="BN22" i="802"/>
  <c r="BV22" i="802"/>
  <c r="BQ23" i="802"/>
  <c r="BY23" i="802"/>
  <c r="BS25" i="802"/>
  <c r="BN26" i="802"/>
  <c r="BV26" i="802"/>
  <c r="BQ27" i="802"/>
  <c r="BY27" i="802"/>
  <c r="BT28" i="802"/>
  <c r="BO29" i="802"/>
  <c r="BW29" i="802"/>
  <c r="BR30" i="802"/>
  <c r="BM31" i="802"/>
  <c r="BU31" i="802"/>
  <c r="BP32" i="802"/>
  <c r="BX32" i="802"/>
  <c r="BS33" i="802"/>
  <c r="BN34" i="802"/>
  <c r="BV34" i="802"/>
  <c r="BQ35" i="802"/>
  <c r="BY35" i="802"/>
  <c r="BT36" i="802"/>
  <c r="S32" i="803"/>
  <c r="AA32" i="803"/>
  <c r="V33" i="803"/>
  <c r="Q34" i="803"/>
  <c r="Y34" i="803"/>
  <c r="T35" i="803"/>
  <c r="O36" i="803"/>
  <c r="W36" i="803"/>
  <c r="R37" i="803"/>
  <c r="Z37" i="803"/>
  <c r="U38" i="803"/>
  <c r="P39" i="803"/>
  <c r="X39" i="803"/>
  <c r="S40" i="803"/>
  <c r="AA40" i="803"/>
  <c r="V41" i="803"/>
  <c r="Q42" i="803"/>
  <c r="Y42" i="803"/>
  <c r="T43" i="803"/>
  <c r="T9" i="805"/>
  <c r="O10" i="805"/>
  <c r="W10" i="805"/>
  <c r="R11" i="805"/>
  <c r="M12" i="805"/>
  <c r="U12" i="805"/>
  <c r="P13" i="805"/>
  <c r="X13" i="805"/>
  <c r="S14" i="805"/>
  <c r="N15" i="805"/>
  <c r="V15" i="805"/>
  <c r="Q16" i="805"/>
  <c r="Y16" i="805"/>
  <c r="T17" i="805"/>
  <c r="O18" i="805"/>
  <c r="W18" i="805"/>
  <c r="R19" i="805"/>
  <c r="M20" i="805"/>
  <c r="U20" i="805"/>
  <c r="R9" i="807"/>
  <c r="O10" i="807"/>
  <c r="P11" i="807"/>
  <c r="N12" i="807"/>
  <c r="M13" i="807"/>
  <c r="M14" i="807"/>
  <c r="Y14" i="807"/>
  <c r="W15" i="807"/>
  <c r="X16" i="807"/>
  <c r="V17" i="807"/>
  <c r="U18" i="807"/>
  <c r="V19" i="807"/>
  <c r="T20" i="807"/>
  <c r="AU4" i="808"/>
  <c r="AO6" i="808"/>
  <c r="AW7" i="808"/>
  <c r="AS9" i="808"/>
  <c r="AN11" i="808"/>
  <c r="AV12" i="808"/>
  <c r="AR14" i="808"/>
  <c r="AL19" i="808"/>
  <c r="AR21" i="808"/>
  <c r="AK24" i="808"/>
  <c r="AQ26" i="808"/>
  <c r="BQ12" i="802"/>
  <c r="BY12" i="802"/>
  <c r="BT13" i="802"/>
  <c r="BO14" i="802"/>
  <c r="BW14" i="802"/>
  <c r="BR15" i="802"/>
  <c r="BM16" i="802"/>
  <c r="BU16" i="802"/>
  <c r="BP17" i="802"/>
  <c r="BX17" i="802"/>
  <c r="BS18" i="802"/>
  <c r="BN19" i="802"/>
  <c r="BV19" i="802"/>
  <c r="BQ20" i="802"/>
  <c r="BY20" i="802"/>
  <c r="BT21" i="802"/>
  <c r="BO22" i="802"/>
  <c r="BW22" i="802"/>
  <c r="BR23" i="802"/>
  <c r="BT25" i="802"/>
  <c r="BO26" i="802"/>
  <c r="BW26" i="802"/>
  <c r="BR27" i="802"/>
  <c r="BM28" i="802"/>
  <c r="BU28" i="802"/>
  <c r="BP29" i="802"/>
  <c r="BX29" i="802"/>
  <c r="BS30" i="802"/>
  <c r="BN31" i="802"/>
  <c r="BV31" i="802"/>
  <c r="BQ32" i="802"/>
  <c r="BY32" i="802"/>
  <c r="BT33" i="802"/>
  <c r="BO34" i="802"/>
  <c r="BW34" i="802"/>
  <c r="BR35" i="802"/>
  <c r="BM36" i="802"/>
  <c r="BU36" i="802"/>
  <c r="T32" i="803"/>
  <c r="O33" i="803"/>
  <c r="W33" i="803"/>
  <c r="R34" i="803"/>
  <c r="Z34" i="803"/>
  <c r="U35" i="803"/>
  <c r="P36" i="803"/>
  <c r="X36" i="803"/>
  <c r="S37" i="803"/>
  <c r="AA37" i="803"/>
  <c r="V38" i="803"/>
  <c r="Q39" i="803"/>
  <c r="Y39" i="803"/>
  <c r="T40" i="803"/>
  <c r="O41" i="803"/>
  <c r="W41" i="803"/>
  <c r="R42" i="803"/>
  <c r="Z42" i="803"/>
  <c r="U43" i="803"/>
  <c r="M9" i="805"/>
  <c r="U9" i="805"/>
  <c r="P10" i="805"/>
  <c r="X10" i="805"/>
  <c r="S11" i="805"/>
  <c r="N12" i="805"/>
  <c r="V12" i="805"/>
  <c r="Q13" i="805"/>
  <c r="Y13" i="805"/>
  <c r="T14" i="805"/>
  <c r="O15" i="805"/>
  <c r="W15" i="805"/>
  <c r="R16" i="805"/>
  <c r="M17" i="805"/>
  <c r="U17" i="805"/>
  <c r="P18" i="805"/>
  <c r="X18" i="805"/>
  <c r="S19" i="805"/>
  <c r="N20" i="805"/>
  <c r="V20" i="805"/>
  <c r="S9" i="807"/>
  <c r="S10" i="807"/>
  <c r="Q11" i="807"/>
  <c r="O12" i="807"/>
  <c r="P13" i="807"/>
  <c r="O14" i="807"/>
  <c r="M15" i="807"/>
  <c r="N16" i="807"/>
  <c r="Y16" i="807"/>
  <c r="X17" i="807"/>
  <c r="X18" i="807"/>
  <c r="W19" i="807"/>
  <c r="AV4" i="808"/>
  <c r="AP6" i="808"/>
  <c r="AL8" i="808"/>
  <c r="AT9" i="808"/>
  <c r="AO11" i="808"/>
  <c r="AK13" i="808"/>
  <c r="AO19" i="808"/>
  <c r="AU21" i="808"/>
  <c r="AN24" i="808"/>
  <c r="BR12" i="802"/>
  <c r="BM13" i="802"/>
  <c r="BU13" i="802"/>
  <c r="BP14" i="802"/>
  <c r="BX14" i="802"/>
  <c r="BS15" i="802"/>
  <c r="BN16" i="802"/>
  <c r="BV16" i="802"/>
  <c r="BQ17" i="802"/>
  <c r="BY17" i="802"/>
  <c r="BT18" i="802"/>
  <c r="BO19" i="802"/>
  <c r="BW19" i="802"/>
  <c r="BR20" i="802"/>
  <c r="BM21" i="802"/>
  <c r="BU21" i="802"/>
  <c r="BP22" i="802"/>
  <c r="BX22" i="802"/>
  <c r="BS23" i="802"/>
  <c r="U32" i="803"/>
  <c r="P33" i="803"/>
  <c r="X33" i="803"/>
  <c r="S34" i="803"/>
  <c r="AA34" i="803"/>
  <c r="V35" i="803"/>
  <c r="Q36" i="803"/>
  <c r="Y36" i="803"/>
  <c r="T37" i="803"/>
  <c r="O38" i="803"/>
  <c r="W38" i="803"/>
  <c r="R39" i="803"/>
  <c r="Z39" i="803"/>
  <c r="U40" i="803"/>
  <c r="P41" i="803"/>
  <c r="X41" i="803"/>
  <c r="S42" i="803"/>
  <c r="AA42" i="803"/>
  <c r="V43" i="803"/>
  <c r="AT15" i="808"/>
  <c r="AL15" i="808"/>
  <c r="AQ14" i="808"/>
  <c r="AV13" i="808"/>
  <c r="AN13" i="808"/>
  <c r="AS12" i="808"/>
  <c r="AK12" i="808"/>
  <c r="AP11" i="808"/>
  <c r="AU10" i="808"/>
  <c r="AM10" i="808"/>
  <c r="AR9" i="808"/>
  <c r="AW8" i="808"/>
  <c r="AO8" i="808"/>
  <c r="AT7" i="808"/>
  <c r="AL7" i="808"/>
  <c r="AQ6" i="808"/>
  <c r="AV5" i="808"/>
  <c r="AN5" i="808"/>
  <c r="AS4" i="808"/>
  <c r="AK4" i="808"/>
  <c r="AP15" i="808"/>
  <c r="AU14" i="808"/>
  <c r="AM14" i="808"/>
  <c r="AR13" i="808"/>
  <c r="AW12" i="808"/>
  <c r="AO12" i="808"/>
  <c r="AT11" i="808"/>
  <c r="AL11" i="808"/>
  <c r="AQ10" i="808"/>
  <c r="AV9" i="808"/>
  <c r="AN9" i="808"/>
  <c r="AS8" i="808"/>
  <c r="AK8" i="808"/>
  <c r="AP7" i="808"/>
  <c r="AU6" i="808"/>
  <c r="AM6" i="808"/>
  <c r="AR5" i="808"/>
  <c r="AW4" i="808"/>
  <c r="AW15" i="808"/>
  <c r="AM15" i="808"/>
  <c r="AO14" i="808"/>
  <c r="AQ13" i="808"/>
  <c r="AT12" i="808"/>
  <c r="AV11" i="808"/>
  <c r="AK11" i="808"/>
  <c r="AN10" i="808"/>
  <c r="AP9" i="808"/>
  <c r="AR8" i="808"/>
  <c r="AU7" i="808"/>
  <c r="AW6" i="808"/>
  <c r="AL6" i="808"/>
  <c r="AO5" i="808"/>
  <c r="AQ4" i="808"/>
  <c r="AV15" i="808"/>
  <c r="AK15" i="808"/>
  <c r="AN14" i="808"/>
  <c r="AP13" i="808"/>
  <c r="AR12" i="808"/>
  <c r="AU11" i="808"/>
  <c r="AW10" i="808"/>
  <c r="AL10" i="808"/>
  <c r="AO9" i="808"/>
  <c r="AQ8" i="808"/>
  <c r="AS7" i="808"/>
  <c r="AV6" i="808"/>
  <c r="AK6" i="808"/>
  <c r="AM5" i="808"/>
  <c r="AP4" i="808"/>
  <c r="AU15" i="808"/>
  <c r="AW14" i="808"/>
  <c r="AL14" i="808"/>
  <c r="AO13" i="808"/>
  <c r="AQ12" i="808"/>
  <c r="AS11" i="808"/>
  <c r="AV10" i="808"/>
  <c r="AK10" i="808"/>
  <c r="AM9" i="808"/>
  <c r="AP8" i="808"/>
  <c r="AR7" i="808"/>
  <c r="AT6" i="808"/>
  <c r="AW5" i="808"/>
  <c r="AL5" i="808"/>
  <c r="AO4" i="808"/>
  <c r="AS15" i="808"/>
  <c r="AV14" i="808"/>
  <c r="AK14" i="808"/>
  <c r="AM13" i="808"/>
  <c r="AP12" i="808"/>
  <c r="AR11" i="808"/>
  <c r="AT10" i="808"/>
  <c r="AW9" i="808"/>
  <c r="AL9" i="808"/>
  <c r="AN8" i="808"/>
  <c r="AQ7" i="808"/>
  <c r="AS6" i="808"/>
  <c r="AU5" i="808"/>
  <c r="AK5" i="808"/>
  <c r="AR6" i="808"/>
  <c r="AM8" i="808"/>
  <c r="AU9" i="808"/>
  <c r="AQ11" i="808"/>
  <c r="AL13" i="808"/>
  <c r="AT14" i="808"/>
  <c r="AR28" i="808"/>
  <c r="AQ28" i="808"/>
  <c r="AV27" i="808"/>
  <c r="AN27" i="808"/>
  <c r="AS26" i="808"/>
  <c r="AK26" i="808"/>
  <c r="AP25" i="808"/>
  <c r="AU24" i="808"/>
  <c r="AM24" i="808"/>
  <c r="AR23" i="808"/>
  <c r="AW22" i="808"/>
  <c r="AO22" i="808"/>
  <c r="AT21" i="808"/>
  <c r="AL21" i="808"/>
  <c r="AQ20" i="808"/>
  <c r="AV19" i="808"/>
  <c r="AN19" i="808"/>
  <c r="AS18" i="808"/>
  <c r="AK18" i="808"/>
  <c r="AP17" i="808"/>
  <c r="AP28" i="808"/>
  <c r="AU27" i="808"/>
  <c r="AM27" i="808"/>
  <c r="AR26" i="808"/>
  <c r="AW25" i="808"/>
  <c r="AO25" i="808"/>
  <c r="AT24" i="808"/>
  <c r="AL24" i="808"/>
  <c r="AQ23" i="808"/>
  <c r="AV22" i="808"/>
  <c r="AN22" i="808"/>
  <c r="AS21" i="808"/>
  <c r="AK21" i="808"/>
  <c r="AP20" i="808"/>
  <c r="AU19" i="808"/>
  <c r="AM19" i="808"/>
  <c r="AR18" i="808"/>
  <c r="AW17" i="808"/>
  <c r="AO17" i="808"/>
  <c r="AV28" i="808"/>
  <c r="AM28" i="808"/>
  <c r="AR27" i="808"/>
  <c r="AW26" i="808"/>
  <c r="AO26" i="808"/>
  <c r="AT25" i="808"/>
  <c r="AL25" i="808"/>
  <c r="AQ24" i="808"/>
  <c r="AV23" i="808"/>
  <c r="AN23" i="808"/>
  <c r="AS22" i="808"/>
  <c r="AK22" i="808"/>
  <c r="AP21" i="808"/>
  <c r="AU20" i="808"/>
  <c r="AM20" i="808"/>
  <c r="AR19" i="808"/>
  <c r="AW18" i="808"/>
  <c r="AO18" i="808"/>
  <c r="AT17" i="808"/>
  <c r="AL17" i="808"/>
  <c r="AU28" i="808"/>
  <c r="AL28" i="808"/>
  <c r="AQ27" i="808"/>
  <c r="AV26" i="808"/>
  <c r="AN26" i="808"/>
  <c r="AS25" i="808"/>
  <c r="AK25" i="808"/>
  <c r="AP24" i="808"/>
  <c r="AU23" i="808"/>
  <c r="AM23" i="808"/>
  <c r="AR22" i="808"/>
  <c r="AW21" i="808"/>
  <c r="AO21" i="808"/>
  <c r="AT20" i="808"/>
  <c r="AL20" i="808"/>
  <c r="AQ19" i="808"/>
  <c r="AV18" i="808"/>
  <c r="AN18" i="808"/>
  <c r="AS17" i="808"/>
  <c r="AK17" i="808"/>
  <c r="AT28" i="808"/>
  <c r="AP27" i="808"/>
  <c r="AM26" i="808"/>
  <c r="AW24" i="808"/>
  <c r="AT23" i="808"/>
  <c r="AQ22" i="808"/>
  <c r="AN21" i="808"/>
  <c r="AK20" i="808"/>
  <c r="AU18" i="808"/>
  <c r="AR17" i="808"/>
  <c r="AS28" i="808"/>
  <c r="AO27" i="808"/>
  <c r="AL26" i="808"/>
  <c r="AV24" i="808"/>
  <c r="AS23" i="808"/>
  <c r="AP22" i="808"/>
  <c r="AM21" i="808"/>
  <c r="AW19" i="808"/>
  <c r="AT18" i="808"/>
  <c r="AQ17" i="808"/>
  <c r="AO28" i="808"/>
  <c r="AL27" i="808"/>
  <c r="AV25" i="808"/>
  <c r="AS24" i="808"/>
  <c r="AP23" i="808"/>
  <c r="AM22" i="808"/>
  <c r="AW20" i="808"/>
  <c r="AT19" i="808"/>
  <c r="AQ18" i="808"/>
  <c r="AN17" i="808"/>
  <c r="AN28" i="808"/>
  <c r="AK27" i="808"/>
  <c r="AU25" i="808"/>
  <c r="AR24" i="808"/>
  <c r="AO23" i="808"/>
  <c r="AL22" i="808"/>
  <c r="AV20" i="808"/>
  <c r="AS19" i="808"/>
  <c r="AP18" i="808"/>
  <c r="AM17" i="808"/>
  <c r="AP19" i="808"/>
  <c r="AV21" i="808"/>
  <c r="AO24" i="808"/>
  <c r="AU26" i="808"/>
  <c r="AY9" i="810"/>
  <c r="AY5" i="810"/>
  <c r="AZ8" i="810"/>
  <c r="AZ4" i="810"/>
  <c r="AY11" i="810"/>
  <c r="AY7" i="810"/>
  <c r="AY8" i="810"/>
  <c r="AZ7" i="810"/>
  <c r="AZ6" i="810"/>
  <c r="AZ11" i="810"/>
  <c r="AZ5" i="810"/>
  <c r="AZ10" i="810"/>
  <c r="AY4" i="810"/>
  <c r="V32" i="803"/>
  <c r="Q33" i="803"/>
  <c r="Y33" i="803"/>
  <c r="T34" i="803"/>
  <c r="O35" i="803"/>
  <c r="W35" i="803"/>
  <c r="R36" i="803"/>
  <c r="Z36" i="803"/>
  <c r="U37" i="803"/>
  <c r="P38" i="803"/>
  <c r="X38" i="803"/>
  <c r="S39" i="803"/>
  <c r="AA39" i="803"/>
  <c r="V40" i="803"/>
  <c r="Q41" i="803"/>
  <c r="Y41" i="803"/>
  <c r="T42" i="803"/>
  <c r="O43" i="803"/>
  <c r="W43" i="803"/>
  <c r="AN15" i="808"/>
  <c r="BT12" i="802"/>
  <c r="BO13" i="802"/>
  <c r="BW13" i="802"/>
  <c r="BR14" i="802"/>
  <c r="BM15" i="802"/>
  <c r="BU15" i="802"/>
  <c r="BP16" i="802"/>
  <c r="BX16" i="802"/>
  <c r="BS17" i="802"/>
  <c r="BN18" i="802"/>
  <c r="BV18" i="802"/>
  <c r="BQ19" i="802"/>
  <c r="BY19" i="802"/>
  <c r="BT20" i="802"/>
  <c r="BO21" i="802"/>
  <c r="BW21" i="802"/>
  <c r="BR22" i="802"/>
  <c r="BM23" i="802"/>
  <c r="BO25" i="802"/>
  <c r="BW25" i="802"/>
  <c r="BR26" i="802"/>
  <c r="BM27" i="802"/>
  <c r="BU27" i="802"/>
  <c r="BP28" i="802"/>
  <c r="BX28" i="802"/>
  <c r="BS29" i="802"/>
  <c r="BN30" i="802"/>
  <c r="BV30" i="802"/>
  <c r="BQ31" i="802"/>
  <c r="BY31" i="802"/>
  <c r="BT32" i="802"/>
  <c r="BO33" i="802"/>
  <c r="BW33" i="802"/>
  <c r="BR34" i="802"/>
  <c r="BM35" i="802"/>
  <c r="BU35" i="802"/>
  <c r="BP36" i="802"/>
  <c r="O32" i="803"/>
  <c r="W32" i="803"/>
  <c r="R33" i="803"/>
  <c r="Z33" i="803"/>
  <c r="U34" i="803"/>
  <c r="P35" i="803"/>
  <c r="X35" i="803"/>
  <c r="S36" i="803"/>
  <c r="AA36" i="803"/>
  <c r="V37" i="803"/>
  <c r="Q38" i="803"/>
  <c r="Y38" i="803"/>
  <c r="T39" i="803"/>
  <c r="O40" i="803"/>
  <c r="W40" i="803"/>
  <c r="R41" i="803"/>
  <c r="Z41" i="803"/>
  <c r="U42" i="803"/>
  <c r="P43" i="803"/>
  <c r="R15" i="805"/>
  <c r="M16" i="805"/>
  <c r="U16" i="805"/>
  <c r="P17" i="805"/>
  <c r="X17" i="805"/>
  <c r="S18" i="805"/>
  <c r="N19" i="805"/>
  <c r="V19" i="805"/>
  <c r="Q20" i="805"/>
  <c r="X20" i="807"/>
  <c r="P20" i="807"/>
  <c r="U19" i="807"/>
  <c r="M19" i="807"/>
  <c r="R18" i="807"/>
  <c r="W17" i="807"/>
  <c r="O17" i="807"/>
  <c r="T16" i="807"/>
  <c r="Y15" i="807"/>
  <c r="Q15" i="807"/>
  <c r="V14" i="807"/>
  <c r="N14" i="807"/>
  <c r="S13" i="807"/>
  <c r="X12" i="807"/>
  <c r="P12" i="807"/>
  <c r="U11" i="807"/>
  <c r="M11" i="807"/>
  <c r="R10" i="807"/>
  <c r="Y20" i="807"/>
  <c r="O20" i="807"/>
  <c r="S19" i="807"/>
  <c r="W18" i="807"/>
  <c r="N18" i="807"/>
  <c r="R17" i="807"/>
  <c r="V16" i="807"/>
  <c r="M16" i="807"/>
  <c r="P15" i="807"/>
  <c r="T14" i="807"/>
  <c r="X13" i="807"/>
  <c r="O13" i="807"/>
  <c r="S12" i="807"/>
  <c r="W11" i="807"/>
  <c r="N11" i="807"/>
  <c r="Q10" i="807"/>
  <c r="V9" i="807"/>
  <c r="N9" i="807"/>
  <c r="W20" i="807"/>
  <c r="N20" i="807"/>
  <c r="R19" i="807"/>
  <c r="V18" i="807"/>
  <c r="M18" i="807"/>
  <c r="Q17" i="807"/>
  <c r="U16" i="807"/>
  <c r="X15" i="807"/>
  <c r="O15" i="807"/>
  <c r="S14" i="807"/>
  <c r="W13" i="807"/>
  <c r="N13" i="807"/>
  <c r="R12" i="807"/>
  <c r="V11" i="807"/>
  <c r="Y10" i="807"/>
  <c r="P10" i="807"/>
  <c r="U9" i="807"/>
  <c r="M9" i="807"/>
  <c r="X9" i="807"/>
  <c r="V10" i="807"/>
  <c r="T11" i="807"/>
  <c r="U12" i="807"/>
  <c r="T13" i="807"/>
  <c r="R14" i="807"/>
  <c r="S15" i="807"/>
  <c r="Q16" i="807"/>
  <c r="P17" i="807"/>
  <c r="P18" i="807"/>
  <c r="O19" i="807"/>
  <c r="M20" i="807"/>
  <c r="AM4" i="808"/>
  <c r="AQ5" i="808"/>
  <c r="AM7" i="808"/>
  <c r="AU8" i="808"/>
  <c r="AP10" i="808"/>
  <c r="AL12" i="808"/>
  <c r="AT13" i="808"/>
  <c r="AO15" i="808"/>
  <c r="AV17" i="808"/>
  <c r="AO20" i="808"/>
  <c r="AU22" i="808"/>
  <c r="AN25" i="808"/>
  <c r="AT27" i="808"/>
  <c r="AZ9" i="810"/>
  <c r="BD18" i="814"/>
  <c r="AV18" i="814"/>
  <c r="BA17" i="814"/>
  <c r="AS17" i="814"/>
  <c r="AX16" i="814"/>
  <c r="BC15" i="814"/>
  <c r="AU15" i="814"/>
  <c r="AZ14" i="814"/>
  <c r="AR14" i="814"/>
  <c r="AW13" i="814"/>
  <c r="BB12" i="814"/>
  <c r="AT12" i="814"/>
  <c r="AY11" i="814"/>
  <c r="BD10" i="814"/>
  <c r="AV10" i="814"/>
  <c r="BA9" i="814"/>
  <c r="AS9" i="814"/>
  <c r="AX8" i="814"/>
  <c r="BC18" i="814"/>
  <c r="AT18" i="814"/>
  <c r="AX17" i="814"/>
  <c r="BB16" i="814"/>
  <c r="AS16" i="814"/>
  <c r="AW15" i="814"/>
  <c r="BA14" i="814"/>
  <c r="BD13" i="814"/>
  <c r="AU13" i="814"/>
  <c r="AY12" i="814"/>
  <c r="BC11" i="814"/>
  <c r="AT11" i="814"/>
  <c r="AX10" i="814"/>
  <c r="BB9" i="814"/>
  <c r="AR9" i="814"/>
  <c r="AV8" i="814"/>
  <c r="BA7" i="814"/>
  <c r="AS7" i="814"/>
  <c r="BB18" i="814"/>
  <c r="AS18" i="814"/>
  <c r="AW17" i="814"/>
  <c r="BA16" i="814"/>
  <c r="AR16" i="814"/>
  <c r="AV15" i="814"/>
  <c r="AY14" i="814"/>
  <c r="BC13" i="814"/>
  <c r="AT13" i="814"/>
  <c r="AX12" i="814"/>
  <c r="BB11" i="814"/>
  <c r="AS11" i="814"/>
  <c r="AW10" i="814"/>
  <c r="AZ9" i="814"/>
  <c r="BD8" i="814"/>
  <c r="AU8" i="814"/>
  <c r="AZ7" i="814"/>
  <c r="AR7" i="814"/>
  <c r="AZ18" i="814"/>
  <c r="BD17" i="814"/>
  <c r="AU17" i="814"/>
  <c r="AY16" i="814"/>
  <c r="BB15" i="814"/>
  <c r="AS15" i="814"/>
  <c r="AY18" i="814"/>
  <c r="BC17" i="814"/>
  <c r="AT17" i="814"/>
  <c r="AW16" i="814"/>
  <c r="BA15" i="814"/>
  <c r="AR15" i="814"/>
  <c r="AV14" i="814"/>
  <c r="AZ13" i="814"/>
  <c r="BD12" i="814"/>
  <c r="AU12" i="814"/>
  <c r="AX11" i="814"/>
  <c r="BB10" i="814"/>
  <c r="AS10" i="814"/>
  <c r="AW9" i="814"/>
  <c r="BA8" i="814"/>
  <c r="AR8" i="814"/>
  <c r="AW7" i="814"/>
  <c r="AR18" i="814"/>
  <c r="AZ16" i="814"/>
  <c r="AT15" i="814"/>
  <c r="AS14" i="814"/>
  <c r="BC12" i="814"/>
  <c r="BA11" i="814"/>
  <c r="AZ10" i="814"/>
  <c r="AX9" i="814"/>
  <c r="AW8" i="814"/>
  <c r="AV7" i="814"/>
  <c r="BB17" i="814"/>
  <c r="AV16" i="814"/>
  <c r="BD14" i="814"/>
  <c r="BB13" i="814"/>
  <c r="BA12" i="814"/>
  <c r="AZ11" i="814"/>
  <c r="AY10" i="814"/>
  <c r="AV9" i="814"/>
  <c r="AT8" i="814"/>
  <c r="AU7" i="814"/>
  <c r="AZ17" i="814"/>
  <c r="AU16" i="814"/>
  <c r="BC14" i="814"/>
  <c r="BA13" i="814"/>
  <c r="AZ12" i="814"/>
  <c r="AW11" i="814"/>
  <c r="AU10" i="814"/>
  <c r="AU9" i="814"/>
  <c r="AS8" i="814"/>
  <c r="AT7" i="814"/>
  <c r="BA18" i="814"/>
  <c r="AV17" i="814"/>
  <c r="BD15" i="814"/>
  <c r="AX14" i="814"/>
  <c r="AX13" i="814"/>
  <c r="AV12" i="814"/>
  <c r="AU11" i="814"/>
  <c r="AR10" i="814"/>
  <c r="BC8" i="814"/>
  <c r="BC7" i="814"/>
  <c r="AX18" i="814"/>
  <c r="AR17" i="814"/>
  <c r="AZ15" i="814"/>
  <c r="AW14" i="814"/>
  <c r="AV13" i="814"/>
  <c r="AS12" i="814"/>
  <c r="AR11" i="814"/>
  <c r="BD9" i="814"/>
  <c r="BB8" i="814"/>
  <c r="BB7" i="814"/>
  <c r="BC9" i="814"/>
  <c r="AR13" i="814"/>
  <c r="AT16" i="814"/>
  <c r="S22" i="807"/>
  <c r="O23" i="807"/>
  <c r="X23" i="807"/>
  <c r="T24" i="807"/>
  <c r="P25" i="807"/>
  <c r="Y25" i="807"/>
  <c r="U26" i="807"/>
  <c r="R27" i="807"/>
  <c r="N28" i="807"/>
  <c r="W28" i="807"/>
  <c r="S29" i="807"/>
  <c r="O30" i="807"/>
  <c r="X30" i="807"/>
  <c r="T31" i="807"/>
  <c r="Q32" i="807"/>
  <c r="M33" i="807"/>
  <c r="V33" i="807"/>
  <c r="AQ13" i="810"/>
  <c r="AQ11" i="810"/>
  <c r="AQ9" i="810"/>
  <c r="AQ7" i="810"/>
  <c r="AQ5" i="810"/>
  <c r="AQ3" i="810"/>
  <c r="AP13" i="810"/>
  <c r="AP11" i="810"/>
  <c r="AP9" i="810"/>
  <c r="AP7" i="810"/>
  <c r="AP5" i="810"/>
  <c r="AP3" i="810"/>
  <c r="AQ12" i="810"/>
  <c r="AQ10" i="810"/>
  <c r="AQ8" i="810"/>
  <c r="AQ6" i="810"/>
  <c r="AQ4" i="810"/>
  <c r="AR11" i="810"/>
  <c r="AP8" i="810"/>
  <c r="AO5" i="810"/>
  <c r="AO11" i="810"/>
  <c r="AO8" i="810"/>
  <c r="AR4" i="810"/>
  <c r="AR10" i="810"/>
  <c r="AR7" i="810"/>
  <c r="AP4" i="810"/>
  <c r="AO13" i="810"/>
  <c r="AO10" i="810"/>
  <c r="AR6" i="810"/>
  <c r="AR3" i="810"/>
  <c r="AR12" i="810"/>
  <c r="AR9" i="810"/>
  <c r="AP6" i="810"/>
  <c r="AO3" i="810"/>
  <c r="AO12" i="810"/>
  <c r="AX7" i="814"/>
  <c r="AT10" i="814"/>
  <c r="AS13" i="814"/>
  <c r="BC16" i="814"/>
  <c r="T22" i="807"/>
  <c r="P23" i="807"/>
  <c r="Y23" i="807"/>
  <c r="U24" i="807"/>
  <c r="Q25" i="807"/>
  <c r="M26" i="807"/>
  <c r="W26" i="807"/>
  <c r="S27" i="807"/>
  <c r="O28" i="807"/>
  <c r="X28" i="807"/>
  <c r="T29" i="807"/>
  <c r="P30" i="807"/>
  <c r="Y30" i="807"/>
  <c r="V31" i="807"/>
  <c r="R32" i="807"/>
  <c r="N33" i="807"/>
  <c r="AO4" i="810"/>
  <c r="AP12" i="810"/>
  <c r="AY7" i="814"/>
  <c r="BA10" i="814"/>
  <c r="AY13" i="814"/>
  <c r="BD16" i="814"/>
  <c r="S33" i="807"/>
  <c r="X32" i="807"/>
  <c r="P32" i="807"/>
  <c r="U31" i="807"/>
  <c r="M31" i="807"/>
  <c r="R30" i="807"/>
  <c r="W29" i="807"/>
  <c r="O29" i="807"/>
  <c r="T28" i="807"/>
  <c r="Y27" i="807"/>
  <c r="Q27" i="807"/>
  <c r="V26" i="807"/>
  <c r="N26" i="807"/>
  <c r="S25" i="807"/>
  <c r="X24" i="807"/>
  <c r="P24" i="807"/>
  <c r="U23" i="807"/>
  <c r="M23" i="807"/>
  <c r="R22" i="807"/>
  <c r="U22" i="807"/>
  <c r="Q23" i="807"/>
  <c r="M24" i="807"/>
  <c r="V24" i="807"/>
  <c r="R25" i="807"/>
  <c r="O26" i="807"/>
  <c r="X26" i="807"/>
  <c r="T27" i="807"/>
  <c r="P28" i="807"/>
  <c r="Y28" i="807"/>
  <c r="U29" i="807"/>
  <c r="Q30" i="807"/>
  <c r="N31" i="807"/>
  <c r="W31" i="807"/>
  <c r="S32" i="807"/>
  <c r="O33" i="807"/>
  <c r="X33" i="807"/>
  <c r="AR5" i="810"/>
  <c r="AR13" i="810"/>
  <c r="BD7" i="814"/>
  <c r="BC10" i="814"/>
  <c r="AT14" i="814"/>
  <c r="AY17" i="814"/>
  <c r="S19" i="808"/>
  <c r="R22" i="808"/>
  <c r="T24" i="808"/>
  <c r="R4" i="809"/>
  <c r="P5" i="809"/>
  <c r="N6" i="809"/>
  <c r="W6" i="809"/>
  <c r="V7" i="809"/>
  <c r="T8" i="809"/>
  <c r="S9" i="809"/>
  <c r="R10" i="809"/>
  <c r="S11" i="809"/>
  <c r="R12" i="809"/>
  <c r="Q13" i="809"/>
  <c r="BP7" i="814"/>
  <c r="BH9" i="814"/>
  <c r="BN10" i="814"/>
  <c r="BF12" i="814"/>
  <c r="BK13" i="814"/>
  <c r="BP14" i="814"/>
  <c r="BI16" i="814"/>
  <c r="BN17" i="814"/>
  <c r="BU15" i="814"/>
  <c r="BV12" i="814"/>
  <c r="BT10" i="814"/>
  <c r="BU7" i="814"/>
  <c r="BV14" i="814"/>
  <c r="BV11" i="814"/>
  <c r="BV8" i="814"/>
  <c r="BU14" i="814"/>
  <c r="BU11" i="814"/>
  <c r="BU8" i="814"/>
  <c r="BV13" i="814"/>
  <c r="BV10" i="814"/>
  <c r="BV7" i="814"/>
  <c r="BU13" i="814"/>
  <c r="BU10" i="814"/>
  <c r="BT7" i="814"/>
  <c r="BT13" i="814"/>
  <c r="BV19" i="814"/>
  <c r="BV25" i="814"/>
  <c r="U12" i="808"/>
  <c r="N18" i="808"/>
  <c r="M21" i="808"/>
  <c r="O23" i="808"/>
  <c r="R17" i="808"/>
  <c r="T19" i="808"/>
  <c r="S22" i="808"/>
  <c r="R25" i="808"/>
  <c r="S4" i="809"/>
  <c r="Q5" i="809"/>
  <c r="O6" i="809"/>
  <c r="N7" i="809"/>
  <c r="W7" i="809"/>
  <c r="U8" i="809"/>
  <c r="T9" i="809"/>
  <c r="S10" i="809"/>
  <c r="T11" i="809"/>
  <c r="S12" i="809"/>
  <c r="BF8" i="814"/>
  <c r="BL9" i="814"/>
  <c r="BQ10" i="814"/>
  <c r="BI12" i="814"/>
  <c r="BO13" i="814"/>
  <c r="BG15" i="814"/>
  <c r="BL16" i="814"/>
  <c r="BT8" i="814"/>
  <c r="BT14" i="814"/>
  <c r="BV20" i="814"/>
  <c r="BM18" i="814"/>
  <c r="BR17" i="814"/>
  <c r="BJ17" i="814"/>
  <c r="BO16" i="814"/>
  <c r="BG16" i="814"/>
  <c r="BL15" i="814"/>
  <c r="BQ14" i="814"/>
  <c r="BI14" i="814"/>
  <c r="BN13" i="814"/>
  <c r="BF13" i="814"/>
  <c r="BK12" i="814"/>
  <c r="BP11" i="814"/>
  <c r="BH11" i="814"/>
  <c r="BM10" i="814"/>
  <c r="BR9" i="814"/>
  <c r="BJ9" i="814"/>
  <c r="BO8" i="814"/>
  <c r="BG8" i="814"/>
  <c r="BL7" i="814"/>
  <c r="BP18" i="814"/>
  <c r="BG18" i="814"/>
  <c r="BK17" i="814"/>
  <c r="BN16" i="814"/>
  <c r="BR15" i="814"/>
  <c r="BI15" i="814"/>
  <c r="BM14" i="814"/>
  <c r="BQ13" i="814"/>
  <c r="BH13" i="814"/>
  <c r="BL12" i="814"/>
  <c r="BO11" i="814"/>
  <c r="BF11" i="814"/>
  <c r="BJ10" i="814"/>
  <c r="BN9" i="814"/>
  <c r="BR8" i="814"/>
  <c r="BI8" i="814"/>
  <c r="BM7" i="814"/>
  <c r="BO18" i="814"/>
  <c r="BF18" i="814"/>
  <c r="BI17" i="814"/>
  <c r="BM16" i="814"/>
  <c r="BQ15" i="814"/>
  <c r="BH15" i="814"/>
  <c r="BL14" i="814"/>
  <c r="BP13" i="814"/>
  <c r="BG13" i="814"/>
  <c r="BJ12" i="814"/>
  <c r="BN11" i="814"/>
  <c r="BR10" i="814"/>
  <c r="BI10" i="814"/>
  <c r="BM9" i="814"/>
  <c r="BQ8" i="814"/>
  <c r="BH8" i="814"/>
  <c r="BK7" i="814"/>
  <c r="BL18" i="814"/>
  <c r="BP17" i="814"/>
  <c r="BG17" i="814"/>
  <c r="BK16" i="814"/>
  <c r="BO15" i="814"/>
  <c r="BF15" i="814"/>
  <c r="BJ14" i="814"/>
  <c r="BM13" i="814"/>
  <c r="BQ12" i="814"/>
  <c r="BH12" i="814"/>
  <c r="BL11" i="814"/>
  <c r="BP10" i="814"/>
  <c r="BG10" i="814"/>
  <c r="BK9" i="814"/>
  <c r="BN8" i="814"/>
  <c r="BR7" i="814"/>
  <c r="BI7" i="814"/>
  <c r="BK18" i="814"/>
  <c r="BO17" i="814"/>
  <c r="BF17" i="814"/>
  <c r="BJ16" i="814"/>
  <c r="BN15" i="814"/>
  <c r="BR14" i="814"/>
  <c r="BH14" i="814"/>
  <c r="BL13" i="814"/>
  <c r="BP12" i="814"/>
  <c r="BG12" i="814"/>
  <c r="BK11" i="814"/>
  <c r="BO10" i="814"/>
  <c r="BF10" i="814"/>
  <c r="BI9" i="814"/>
  <c r="BM8" i="814"/>
  <c r="BQ7" i="814"/>
  <c r="BH7" i="814"/>
  <c r="BJ8" i="814"/>
  <c r="BO9" i="814"/>
  <c r="BG11" i="814"/>
  <c r="BM12" i="814"/>
  <c r="BR13" i="814"/>
  <c r="BJ15" i="814"/>
  <c r="BP16" i="814"/>
  <c r="BH18" i="814"/>
  <c r="BT9" i="814"/>
  <c r="BT15" i="814"/>
  <c r="BT22" i="814"/>
  <c r="T13" i="809"/>
  <c r="W12" i="809"/>
  <c r="O12" i="809"/>
  <c r="R11" i="809"/>
  <c r="U10" i="809"/>
  <c r="M10" i="809"/>
  <c r="P9" i="809"/>
  <c r="S13" i="809"/>
  <c r="V12" i="809"/>
  <c r="N12" i="809"/>
  <c r="Q11" i="809"/>
  <c r="T10" i="809"/>
  <c r="W9" i="809"/>
  <c r="O9" i="809"/>
  <c r="R8" i="809"/>
  <c r="U7" i="809"/>
  <c r="M7" i="809"/>
  <c r="P6" i="809"/>
  <c r="S5" i="809"/>
  <c r="V4" i="809"/>
  <c r="N4" i="809"/>
  <c r="U4" i="809"/>
  <c r="T5" i="809"/>
  <c r="R6" i="809"/>
  <c r="P7" i="809"/>
  <c r="N8" i="809"/>
  <c r="W8" i="809"/>
  <c r="V9" i="809"/>
  <c r="W10" i="809"/>
  <c r="V11" i="809"/>
  <c r="U12" i="809"/>
  <c r="V13" i="809"/>
  <c r="AV10" i="810"/>
  <c r="AV6" i="810"/>
  <c r="AU10" i="810"/>
  <c r="AU6" i="810"/>
  <c r="AV12" i="810"/>
  <c r="AV8" i="810"/>
  <c r="AV4" i="810"/>
  <c r="AV9" i="810"/>
  <c r="BF7" i="814"/>
  <c r="BK8" i="814"/>
  <c r="BP9" i="814"/>
  <c r="BI11" i="814"/>
  <c r="BN12" i="814"/>
  <c r="BF14" i="814"/>
  <c r="BK15" i="814"/>
  <c r="BQ16" i="814"/>
  <c r="BI18" i="814"/>
  <c r="BU9" i="814"/>
  <c r="BV15" i="814"/>
  <c r="N19" i="808"/>
  <c r="M22" i="808"/>
  <c r="O24" i="808"/>
  <c r="R18" i="808"/>
  <c r="T20" i="808"/>
  <c r="S23" i="808"/>
  <c r="R26" i="808"/>
  <c r="M4" i="809"/>
  <c r="W4" i="809"/>
  <c r="U5" i="809"/>
  <c r="S6" i="809"/>
  <c r="Q7" i="809"/>
  <c r="O8" i="809"/>
  <c r="M9" i="809"/>
  <c r="N10" i="809"/>
  <c r="M11" i="809"/>
  <c r="W11" i="809"/>
  <c r="M13" i="809"/>
  <c r="W13" i="809"/>
  <c r="BG7" i="814"/>
  <c r="BL8" i="814"/>
  <c r="BQ9" i="814"/>
  <c r="BJ11" i="814"/>
  <c r="BO12" i="814"/>
  <c r="BG14" i="814"/>
  <c r="BM15" i="814"/>
  <c r="BR16" i="814"/>
  <c r="BJ18" i="814"/>
  <c r="BV9" i="814"/>
  <c r="BV26" i="814"/>
  <c r="BT24" i="814"/>
  <c r="BU21" i="814"/>
  <c r="BV18" i="814"/>
  <c r="BV24" i="814"/>
  <c r="BV21" i="814"/>
  <c r="BU18" i="814"/>
  <c r="BU24" i="814"/>
  <c r="BT21" i="814"/>
  <c r="BT18" i="814"/>
  <c r="BU26" i="814"/>
  <c r="BU23" i="814"/>
  <c r="BU20" i="814"/>
  <c r="BU17" i="814"/>
  <c r="BT26" i="814"/>
  <c r="BT23" i="814"/>
  <c r="BT20" i="814"/>
  <c r="BT17" i="814"/>
  <c r="BV22" i="814"/>
  <c r="M17" i="808"/>
  <c r="O19" i="808"/>
  <c r="N22" i="808"/>
  <c r="S18" i="808"/>
  <c r="R21" i="808"/>
  <c r="T23" i="808"/>
  <c r="O4" i="809"/>
  <c r="M5" i="809"/>
  <c r="V5" i="809"/>
  <c r="T6" i="809"/>
  <c r="R7" i="809"/>
  <c r="P8" i="809"/>
  <c r="N9" i="809"/>
  <c r="O10" i="809"/>
  <c r="N11" i="809"/>
  <c r="M12" i="809"/>
  <c r="N13" i="809"/>
  <c r="AU5" i="810"/>
  <c r="AV11" i="810"/>
  <c r="BJ7" i="814"/>
  <c r="BP8" i="814"/>
  <c r="BH10" i="814"/>
  <c r="BM11" i="814"/>
  <c r="BR12" i="814"/>
  <c r="BK14" i="814"/>
  <c r="BP15" i="814"/>
  <c r="BH17" i="814"/>
  <c r="BN18" i="814"/>
  <c r="BT11" i="814"/>
  <c r="BV17" i="814"/>
  <c r="BV23" i="814"/>
  <c r="AM4" i="810"/>
  <c r="AM6" i="810"/>
  <c r="AM8" i="810"/>
  <c r="AM10" i="810"/>
  <c r="AM12" i="810"/>
  <c r="AW20" i="814"/>
  <c r="AT21" i="814"/>
  <c r="BC21" i="814"/>
  <c r="AY22" i="814"/>
  <c r="AU23" i="814"/>
  <c r="BD23" i="814"/>
  <c r="BD24" i="814"/>
  <c r="BC25" i="814"/>
  <c r="BC26" i="814"/>
  <c r="BD27" i="814"/>
  <c r="BB28" i="814"/>
  <c r="BC29" i="814"/>
  <c r="BB30" i="814"/>
  <c r="BB31" i="814"/>
  <c r="AY20" i="814"/>
  <c r="AU21" i="814"/>
  <c r="BD21" i="814"/>
  <c r="AZ22" i="814"/>
  <c r="AV23" i="814"/>
  <c r="AR24" i="814"/>
  <c r="AR25" i="814"/>
  <c r="AS26" i="814"/>
  <c r="BD26" i="814"/>
  <c r="AR28" i="814"/>
  <c r="BD28" i="814"/>
  <c r="BD29" i="814"/>
  <c r="AR31" i="814"/>
  <c r="AY31" i="814"/>
  <c r="BD30" i="814"/>
  <c r="AV30" i="814"/>
  <c r="BA29" i="814"/>
  <c r="AS29" i="814"/>
  <c r="AX28" i="814"/>
  <c r="BC27" i="814"/>
  <c r="AU27" i="814"/>
  <c r="AZ26" i="814"/>
  <c r="AR26" i="814"/>
  <c r="AW25" i="814"/>
  <c r="BB24" i="814"/>
  <c r="AT24" i="814"/>
  <c r="AY23" i="814"/>
  <c r="BD22" i="814"/>
  <c r="AV22" i="814"/>
  <c r="BA21" i="814"/>
  <c r="AS21" i="814"/>
  <c r="AX20" i="814"/>
  <c r="AX31" i="814"/>
  <c r="BC30" i="814"/>
  <c r="AU30" i="814"/>
  <c r="AZ29" i="814"/>
  <c r="AR29" i="814"/>
  <c r="AW28" i="814"/>
  <c r="BB27" i="814"/>
  <c r="AT27" i="814"/>
  <c r="AY26" i="814"/>
  <c r="BD25" i="814"/>
  <c r="AV25" i="814"/>
  <c r="BA24" i="814"/>
  <c r="AS24" i="814"/>
  <c r="BD31" i="814"/>
  <c r="AV31" i="814"/>
  <c r="BA30" i="814"/>
  <c r="AS30" i="814"/>
  <c r="AX29" i="814"/>
  <c r="BC28" i="814"/>
  <c r="AU28" i="814"/>
  <c r="AZ27" i="814"/>
  <c r="AR27" i="814"/>
  <c r="AW26" i="814"/>
  <c r="BB25" i="814"/>
  <c r="AT25" i="814"/>
  <c r="AY24" i="814"/>
  <c r="AZ20" i="814"/>
  <c r="AV21" i="814"/>
  <c r="AR22" i="814"/>
  <c r="BA22" i="814"/>
  <c r="AW23" i="814"/>
  <c r="AU24" i="814"/>
  <c r="AS25" i="814"/>
  <c r="AT26" i="814"/>
  <c r="AS27" i="814"/>
  <c r="AS28" i="814"/>
  <c r="AT29" i="814"/>
  <c r="AR30" i="814"/>
  <c r="AS31" i="814"/>
  <c r="AL3" i="810"/>
  <c r="AL5" i="810"/>
  <c r="AL7" i="810"/>
  <c r="AL9" i="810"/>
  <c r="AL11" i="810"/>
  <c r="AR20" i="814"/>
  <c r="BA20" i="814"/>
  <c r="AW21" i="814"/>
  <c r="AS22" i="814"/>
  <c r="BB22" i="814"/>
  <c r="AX23" i="814"/>
  <c r="AV24" i="814"/>
  <c r="AU25" i="814"/>
  <c r="AU26" i="814"/>
  <c r="AV27" i="814"/>
  <c r="AT28" i="814"/>
  <c r="AU29" i="814"/>
  <c r="AT30" i="814"/>
  <c r="AT31" i="814"/>
  <c r="AM3" i="810"/>
  <c r="AM5" i="810"/>
  <c r="AM7" i="810"/>
  <c r="AM9" i="810"/>
  <c r="AS20" i="814"/>
  <c r="BB20" i="814"/>
  <c r="AX21" i="814"/>
  <c r="AT22" i="814"/>
  <c r="BC22" i="814"/>
  <c r="AZ23" i="814"/>
  <c r="AW24" i="814"/>
  <c r="AX25" i="814"/>
  <c r="AV26" i="814"/>
  <c r="AW27" i="814"/>
  <c r="AV28" i="814"/>
  <c r="AV29" i="814"/>
  <c r="AW30" i="814"/>
  <c r="AU31" i="814"/>
  <c r="BL20" i="814"/>
  <c r="BG21" i="814"/>
  <c r="BO21" i="814"/>
  <c r="BJ22" i="814"/>
  <c r="BR22" i="814"/>
  <c r="BM23" i="814"/>
  <c r="BH24" i="814"/>
  <c r="BP24" i="814"/>
  <c r="BK25" i="814"/>
  <c r="BF26" i="814"/>
  <c r="BN26" i="814"/>
  <c r="BI27" i="814"/>
  <c r="BQ27" i="814"/>
  <c r="BL28" i="814"/>
  <c r="BG29" i="814"/>
  <c r="BO29" i="814"/>
  <c r="BJ30" i="814"/>
  <c r="BR30" i="814"/>
  <c r="BM31" i="814"/>
  <c r="BM20" i="814"/>
  <c r="BH21" i="814"/>
  <c r="BP21" i="814"/>
  <c r="BK22" i="814"/>
  <c r="BF23" i="814"/>
  <c r="BN23" i="814"/>
  <c r="BI24" i="814"/>
  <c r="BQ24" i="814"/>
  <c r="BL25" i="814"/>
  <c r="BG26" i="814"/>
  <c r="BO26" i="814"/>
  <c r="BJ27" i="814"/>
  <c r="BR27" i="814"/>
  <c r="BM28" i="814"/>
  <c r="BH29" i="814"/>
  <c r="BP29" i="814"/>
  <c r="BK30" i="814"/>
  <c r="BF31" i="814"/>
  <c r="BN31" i="814"/>
  <c r="BF20" i="814"/>
  <c r="BN20" i="814"/>
  <c r="BI21" i="814"/>
  <c r="BQ21" i="814"/>
  <c r="BL22" i="814"/>
  <c r="BG23" i="814"/>
  <c r="BO23" i="814"/>
  <c r="BJ24" i="814"/>
  <c r="BR24" i="814"/>
  <c r="BM25" i="814"/>
  <c r="BH26" i="814"/>
  <c r="BP26" i="814"/>
  <c r="BK27" i="814"/>
  <c r="BF28" i="814"/>
  <c r="BN28" i="814"/>
  <c r="BI29" i="814"/>
  <c r="BQ29" i="814"/>
  <c r="BL30" i="814"/>
  <c r="BG31" i="814"/>
  <c r="BO31" i="814"/>
  <c r="BG20" i="814"/>
  <c r="BO20" i="814"/>
  <c r="BJ21" i="814"/>
  <c r="BR21" i="814"/>
  <c r="BM22" i="814"/>
  <c r="BH23" i="814"/>
  <c r="BP23" i="814"/>
  <c r="BK24" i="814"/>
  <c r="BF25" i="814"/>
  <c r="BN25" i="814"/>
  <c r="BI26" i="814"/>
  <c r="BQ26" i="814"/>
  <c r="BL27" i="814"/>
  <c r="BG28" i="814"/>
  <c r="BO28" i="814"/>
  <c r="BJ29" i="814"/>
  <c r="BR29" i="814"/>
  <c r="BM30" i="814"/>
  <c r="BH31" i="814"/>
  <c r="M42" i="55"/>
  <c r="B7" i="815"/>
  <c r="B6" i="815"/>
  <c r="B8" i="815" s="1"/>
  <c r="B10" i="815" s="1"/>
  <c r="B9" i="815" l="1"/>
  <c r="B11" i="815" s="1"/>
  <c r="AO97" i="814"/>
  <c r="AB97" i="814"/>
  <c r="AB110" i="814" s="1"/>
  <c r="B79" i="814"/>
  <c r="B109" i="814" s="1"/>
  <c r="AB67" i="814"/>
  <c r="B49" i="814"/>
  <c r="J43" i="814"/>
  <c r="V42" i="814"/>
  <c r="I42" i="814"/>
  <c r="F41" i="814"/>
  <c r="H40" i="814"/>
  <c r="J39" i="814"/>
  <c r="B39" i="814"/>
  <c r="F38" i="814"/>
  <c r="AB37" i="814"/>
  <c r="P37" i="814"/>
  <c r="J37" i="814"/>
  <c r="B37" i="814"/>
  <c r="F36" i="814"/>
  <c r="Z30" i="814"/>
  <c r="Y30" i="814"/>
  <c r="X30" i="814"/>
  <c r="W30" i="814"/>
  <c r="V30" i="814"/>
  <c r="G43" i="814" s="1"/>
  <c r="U30" i="814"/>
  <c r="T30" i="814"/>
  <c r="S30" i="814"/>
  <c r="R30" i="814"/>
  <c r="Q30" i="814"/>
  <c r="O30" i="814"/>
  <c r="K43" i="814" s="1"/>
  <c r="N30" i="814"/>
  <c r="M30" i="814"/>
  <c r="L30" i="814"/>
  <c r="K30" i="814"/>
  <c r="J30" i="814"/>
  <c r="F43" i="814" s="1"/>
  <c r="I30" i="814"/>
  <c r="E43" i="814" s="1"/>
  <c r="H30" i="814"/>
  <c r="G30" i="814"/>
  <c r="F30" i="814"/>
  <c r="B43" i="814" s="1"/>
  <c r="Z29" i="814"/>
  <c r="Y29" i="814"/>
  <c r="X29" i="814"/>
  <c r="W29" i="814"/>
  <c r="V29" i="814"/>
  <c r="U29" i="814"/>
  <c r="T29" i="814"/>
  <c r="S29" i="814"/>
  <c r="R29" i="814"/>
  <c r="Q29" i="814"/>
  <c r="O29" i="814"/>
  <c r="K42" i="814" s="1"/>
  <c r="N29" i="814"/>
  <c r="J42" i="814" s="1"/>
  <c r="M29" i="814"/>
  <c r="L29" i="814"/>
  <c r="H42" i="814" s="1"/>
  <c r="K29" i="814"/>
  <c r="J29" i="814"/>
  <c r="I29" i="814"/>
  <c r="H29" i="814"/>
  <c r="G29" i="814"/>
  <c r="F29" i="814"/>
  <c r="B42" i="814" s="1"/>
  <c r="Z28" i="814"/>
  <c r="Y28" i="814"/>
  <c r="X28" i="814"/>
  <c r="W28" i="814"/>
  <c r="V28" i="814"/>
  <c r="U28" i="814"/>
  <c r="T28" i="814"/>
  <c r="S28" i="814"/>
  <c r="R28" i="814"/>
  <c r="Q28" i="814"/>
  <c r="O28" i="814"/>
  <c r="K41" i="814" s="1"/>
  <c r="N28" i="814"/>
  <c r="J41" i="814" s="1"/>
  <c r="M28" i="814"/>
  <c r="L28" i="814"/>
  <c r="K28" i="814"/>
  <c r="J28" i="814"/>
  <c r="I28" i="814"/>
  <c r="H28" i="814"/>
  <c r="D41" i="814" s="1"/>
  <c r="G28" i="814"/>
  <c r="C41" i="814" s="1"/>
  <c r="F28" i="814"/>
  <c r="B41" i="814" s="1"/>
  <c r="Z27" i="814"/>
  <c r="Y27" i="814"/>
  <c r="X27" i="814"/>
  <c r="W27" i="814"/>
  <c r="V27" i="814"/>
  <c r="U27" i="814"/>
  <c r="T27" i="814"/>
  <c r="S27" i="814"/>
  <c r="R27" i="814"/>
  <c r="Q27" i="814"/>
  <c r="O27" i="814"/>
  <c r="N27" i="814"/>
  <c r="M27" i="814"/>
  <c r="L27" i="814"/>
  <c r="K27" i="814"/>
  <c r="G40" i="814" s="1"/>
  <c r="J27" i="814"/>
  <c r="F40" i="814" s="1"/>
  <c r="I27" i="814"/>
  <c r="E40" i="814" s="1"/>
  <c r="H27" i="814"/>
  <c r="D40" i="814" s="1"/>
  <c r="G27" i="814"/>
  <c r="F27" i="814"/>
  <c r="Z26" i="814"/>
  <c r="Y26" i="814"/>
  <c r="X26" i="814"/>
  <c r="W26" i="814"/>
  <c r="V26" i="814"/>
  <c r="U26" i="814"/>
  <c r="T26" i="814"/>
  <c r="S26" i="814"/>
  <c r="R26" i="814"/>
  <c r="Q26" i="814"/>
  <c r="O26" i="814"/>
  <c r="N26" i="814"/>
  <c r="M26" i="814"/>
  <c r="I39" i="814" s="1"/>
  <c r="L26" i="814"/>
  <c r="H39" i="814" s="1"/>
  <c r="K26" i="814"/>
  <c r="G39" i="814" s="1"/>
  <c r="J26" i="814"/>
  <c r="F39" i="814" s="1"/>
  <c r="I26" i="814"/>
  <c r="H26" i="814"/>
  <c r="G26" i="814"/>
  <c r="F26" i="814"/>
  <c r="P39" i="814" s="1"/>
  <c r="Z25" i="814"/>
  <c r="Y25" i="814"/>
  <c r="X25" i="814"/>
  <c r="W25" i="814"/>
  <c r="V25" i="814"/>
  <c r="U25" i="814"/>
  <c r="T25" i="814"/>
  <c r="S25" i="814"/>
  <c r="R25" i="814"/>
  <c r="Q25" i="814"/>
  <c r="O25" i="814"/>
  <c r="K38" i="814" s="1"/>
  <c r="N25" i="814"/>
  <c r="J38" i="814" s="1"/>
  <c r="M25" i="814"/>
  <c r="L25" i="814"/>
  <c r="K25" i="814"/>
  <c r="J25" i="814"/>
  <c r="T38" i="814" s="1"/>
  <c r="I25" i="814"/>
  <c r="E38" i="814" s="1"/>
  <c r="H25" i="814"/>
  <c r="D38" i="814" s="1"/>
  <c r="G25" i="814"/>
  <c r="C38" i="814" s="1"/>
  <c r="F25" i="814"/>
  <c r="B38" i="814" s="1"/>
  <c r="Z24" i="814"/>
  <c r="Y24" i="814"/>
  <c r="X24" i="814"/>
  <c r="W24" i="814"/>
  <c r="V24" i="814"/>
  <c r="U24" i="814"/>
  <c r="T24" i="814"/>
  <c r="S24" i="814"/>
  <c r="R24" i="814"/>
  <c r="Q24" i="814"/>
  <c r="O24" i="814"/>
  <c r="N24" i="814"/>
  <c r="X37" i="814" s="1"/>
  <c r="M24" i="814"/>
  <c r="I37" i="814" s="1"/>
  <c r="L24" i="814"/>
  <c r="H37" i="814" s="1"/>
  <c r="K24" i="814"/>
  <c r="J24" i="814"/>
  <c r="F37" i="814" s="1"/>
  <c r="I24" i="814"/>
  <c r="H24" i="814"/>
  <c r="G24" i="814"/>
  <c r="F24" i="814"/>
  <c r="B24" i="814"/>
  <c r="Z23" i="814"/>
  <c r="Y23" i="814"/>
  <c r="X23" i="814"/>
  <c r="W23" i="814"/>
  <c r="V23" i="814"/>
  <c r="U23" i="814"/>
  <c r="T23" i="814"/>
  <c r="S23" i="814"/>
  <c r="R23" i="814"/>
  <c r="Q23" i="814"/>
  <c r="O23" i="814"/>
  <c r="N23" i="814"/>
  <c r="M23" i="814"/>
  <c r="L23" i="814"/>
  <c r="K23" i="814"/>
  <c r="J23" i="814"/>
  <c r="I23" i="814"/>
  <c r="E36" i="814" s="1"/>
  <c r="H23" i="814"/>
  <c r="G23" i="814"/>
  <c r="F23" i="814"/>
  <c r="B23" i="814"/>
  <c r="Z22" i="814"/>
  <c r="Y22" i="814"/>
  <c r="X22" i="814"/>
  <c r="W22" i="814"/>
  <c r="V22" i="814"/>
  <c r="U22" i="814"/>
  <c r="T22" i="814"/>
  <c r="S22" i="814"/>
  <c r="R35" i="814" s="1"/>
  <c r="R22" i="814"/>
  <c r="Q22" i="814"/>
  <c r="O22" i="814"/>
  <c r="N22" i="814"/>
  <c r="M22" i="814"/>
  <c r="L22" i="814"/>
  <c r="K22" i="814"/>
  <c r="J22" i="814"/>
  <c r="I22" i="814"/>
  <c r="E35" i="814" s="1"/>
  <c r="H22" i="814"/>
  <c r="D35" i="814" s="1"/>
  <c r="G22" i="814"/>
  <c r="F22" i="814"/>
  <c r="B22" i="814"/>
  <c r="B25" i="814" s="1"/>
  <c r="L15" i="814"/>
  <c r="AD35" i="814" l="1"/>
  <c r="AE38" i="814"/>
  <c r="AI39" i="814"/>
  <c r="AE40" i="814"/>
  <c r="AE35" i="814"/>
  <c r="X39" i="814"/>
  <c r="AF40" i="814"/>
  <c r="AB41" i="814"/>
  <c r="AJ41" i="814"/>
  <c r="AG43" i="814"/>
  <c r="T37" i="814"/>
  <c r="AB39" i="814"/>
  <c r="AJ43" i="814"/>
  <c r="F35" i="814"/>
  <c r="T35" i="814"/>
  <c r="I36" i="814"/>
  <c r="R37" i="814"/>
  <c r="D37" i="814"/>
  <c r="U38" i="814"/>
  <c r="AG40" i="814"/>
  <c r="AC41" i="814"/>
  <c r="AK41" i="814"/>
  <c r="AB43" i="814"/>
  <c r="AF36" i="814"/>
  <c r="AJ39" i="814"/>
  <c r="AF41" i="814"/>
  <c r="G35" i="814"/>
  <c r="B36" i="814"/>
  <c r="J36" i="814"/>
  <c r="X36" i="814" s="1"/>
  <c r="V40" i="814"/>
  <c r="AD41" i="814"/>
  <c r="G42" i="814"/>
  <c r="C43" i="814"/>
  <c r="Q43" i="814"/>
  <c r="AK43" i="814"/>
  <c r="T39" i="814"/>
  <c r="P41" i="814"/>
  <c r="C36" i="814"/>
  <c r="Q36" i="814"/>
  <c r="K36" i="814"/>
  <c r="Y36" i="814" s="1"/>
  <c r="AF37" i="814"/>
  <c r="I38" i="814"/>
  <c r="E39" i="814"/>
  <c r="S39" i="814" s="1"/>
  <c r="I40" i="814"/>
  <c r="E41" i="814"/>
  <c r="S41" i="814" s="1"/>
  <c r="AH42" i="814"/>
  <c r="D43" i="814"/>
  <c r="R43" i="814"/>
  <c r="X41" i="814"/>
  <c r="I35" i="814"/>
  <c r="D36" i="814"/>
  <c r="R36" i="814" s="1"/>
  <c r="G37" i="814"/>
  <c r="AB38" i="814"/>
  <c r="AJ38" i="814"/>
  <c r="AF39" i="814"/>
  <c r="B40" i="814"/>
  <c r="X40" i="814"/>
  <c r="J40" i="814"/>
  <c r="T41" i="814"/>
  <c r="W42" i="814"/>
  <c r="AF38" i="814"/>
  <c r="AE36" i="814"/>
  <c r="AH37" i="814"/>
  <c r="AC38" i="814"/>
  <c r="AK38" i="814"/>
  <c r="AG39" i="814"/>
  <c r="Y40" i="814"/>
  <c r="H35" i="814"/>
  <c r="V35" i="814" s="1"/>
  <c r="B67" i="814"/>
  <c r="Q54" i="814"/>
  <c r="P67" i="814"/>
  <c r="F54" i="814"/>
  <c r="P38" i="814"/>
  <c r="AH40" i="814"/>
  <c r="AI42" i="814"/>
  <c r="U36" i="814"/>
  <c r="C35" i="814"/>
  <c r="K35" i="814"/>
  <c r="T36" i="814"/>
  <c r="AI37" i="814"/>
  <c r="AD38" i="814"/>
  <c r="AH39" i="814"/>
  <c r="AD40" i="814"/>
  <c r="AK42" i="814"/>
  <c r="AJ37" i="814"/>
  <c r="X38" i="814"/>
  <c r="R40" i="814"/>
  <c r="AE43" i="814"/>
  <c r="S35" i="814"/>
  <c r="G36" i="814"/>
  <c r="C37" i="814"/>
  <c r="Q37" i="814" s="1"/>
  <c r="K37" i="814"/>
  <c r="Y37" i="814" s="1"/>
  <c r="G38" i="814"/>
  <c r="Q38" i="814"/>
  <c r="Y38" i="814"/>
  <c r="C39" i="814"/>
  <c r="Q39" i="814" s="1"/>
  <c r="K39" i="814"/>
  <c r="Y39" i="814" s="1"/>
  <c r="U39" i="814"/>
  <c r="S40" i="814"/>
  <c r="G41" i="814"/>
  <c r="U41" i="814" s="1"/>
  <c r="Q41" i="814"/>
  <c r="Y41" i="814"/>
  <c r="B53" i="814"/>
  <c r="B52" i="814" s="1"/>
  <c r="AJ42" i="814"/>
  <c r="AF43" i="814"/>
  <c r="B35" i="814"/>
  <c r="J35" i="814"/>
  <c r="H36" i="814"/>
  <c r="V37" i="814"/>
  <c r="AO37" i="814"/>
  <c r="AO36" i="814" s="1"/>
  <c r="H38" i="814"/>
  <c r="V38" i="814" s="1"/>
  <c r="R38" i="814"/>
  <c r="D39" i="814"/>
  <c r="V39" i="814"/>
  <c r="T40" i="814"/>
  <c r="H41" i="814"/>
  <c r="R41" i="814"/>
  <c r="X42" i="814"/>
  <c r="B54" i="814"/>
  <c r="C54" i="814" s="1"/>
  <c r="Y42" i="814"/>
  <c r="U43" i="814"/>
  <c r="U35" i="814"/>
  <c r="S36" i="814"/>
  <c r="E37" i="814"/>
  <c r="S37" i="814" s="1"/>
  <c r="W37" i="814"/>
  <c r="S38" i="814"/>
  <c r="W39" i="814"/>
  <c r="C40" i="814"/>
  <c r="K40" i="814"/>
  <c r="U40" i="814"/>
  <c r="I41" i="814"/>
  <c r="W41" i="814" s="1"/>
  <c r="C42" i="814"/>
  <c r="Q42" i="814" s="1"/>
  <c r="S43" i="814"/>
  <c r="D42" i="814"/>
  <c r="R42" i="814" s="1"/>
  <c r="P42" i="814"/>
  <c r="AB42" i="814"/>
  <c r="T43" i="814"/>
  <c r="W43" i="814"/>
  <c r="E42" i="814"/>
  <c r="Y43" i="814"/>
  <c r="P43" i="814"/>
  <c r="X43" i="814"/>
  <c r="AO38" i="814"/>
  <c r="AP38" i="814" s="1"/>
  <c r="F42" i="814"/>
  <c r="T42" i="814" s="1"/>
  <c r="H43" i="814"/>
  <c r="V43" i="814" s="1"/>
  <c r="I43" i="814"/>
  <c r="C58" i="814" l="1"/>
  <c r="C52" i="814"/>
  <c r="AP36" i="814"/>
  <c r="AP42" i="814"/>
  <c r="R44" i="814"/>
  <c r="AH41" i="814"/>
  <c r="AK40" i="814"/>
  <c r="AJ35" i="814"/>
  <c r="AG38" i="814"/>
  <c r="AD37" i="814"/>
  <c r="AH36" i="814"/>
  <c r="AE39" i="814"/>
  <c r="Z43" i="814"/>
  <c r="AC40" i="814"/>
  <c r="AB35" i="814"/>
  <c r="AK37" i="814"/>
  <c r="AD36" i="814"/>
  <c r="AD44" i="814" s="1"/>
  <c r="AI38" i="814"/>
  <c r="AK36" i="814"/>
  <c r="AJ36" i="814"/>
  <c r="AD42" i="814"/>
  <c r="AD39" i="814"/>
  <c r="AC37" i="814"/>
  <c r="AK35" i="814"/>
  <c r="Q40" i="814"/>
  <c r="X35" i="814"/>
  <c r="X44" i="814" s="1"/>
  <c r="AI35" i="814"/>
  <c r="C59" i="814"/>
  <c r="W38" i="814"/>
  <c r="Z38" i="814" s="1"/>
  <c r="AB36" i="814"/>
  <c r="AP37" i="814"/>
  <c r="AI36" i="814"/>
  <c r="V36" i="814"/>
  <c r="V44" i="814" s="1"/>
  <c r="P36" i="814"/>
  <c r="AG37" i="814"/>
  <c r="AG42" i="814"/>
  <c r="Z42" i="814"/>
  <c r="AG41" i="814"/>
  <c r="AI43" i="814"/>
  <c r="AG36" i="814"/>
  <c r="Y35" i="814"/>
  <c r="Y44" i="814" s="1"/>
  <c r="P35" i="814"/>
  <c r="AJ40" i="814"/>
  <c r="W35" i="814"/>
  <c r="AC36" i="814"/>
  <c r="AG35" i="814"/>
  <c r="AG44" i="814" s="1"/>
  <c r="C53" i="814"/>
  <c r="W36" i="814"/>
  <c r="AE42" i="814"/>
  <c r="AK39" i="814"/>
  <c r="S44" i="814"/>
  <c r="AC35" i="814"/>
  <c r="P97" i="814"/>
  <c r="B97" i="814"/>
  <c r="Q84" i="814"/>
  <c r="F84" i="814"/>
  <c r="AE41" i="814"/>
  <c r="AP43" i="814"/>
  <c r="T44" i="814"/>
  <c r="AE44" i="814"/>
  <c r="AH43" i="814"/>
  <c r="AC42" i="814"/>
  <c r="AL42" i="814" s="1"/>
  <c r="AE37" i="814"/>
  <c r="AC39" i="814"/>
  <c r="Q35" i="814"/>
  <c r="Q44" i="814" s="1"/>
  <c r="AH35" i="814"/>
  <c r="AB40" i="814"/>
  <c r="AL40" i="814" s="1"/>
  <c r="AD43" i="814"/>
  <c r="AI40" i="814"/>
  <c r="AC43" i="814"/>
  <c r="AL43" i="814" s="1"/>
  <c r="AF35" i="814"/>
  <c r="AL39" i="814"/>
  <c r="AH38" i="814"/>
  <c r="AL38" i="814" s="1"/>
  <c r="V41" i="814"/>
  <c r="Z41" i="814" s="1"/>
  <c r="AF42" i="814"/>
  <c r="AI41" i="814"/>
  <c r="AL41" i="814" s="1"/>
  <c r="P40" i="814"/>
  <c r="U37" i="814"/>
  <c r="Z37" i="814" s="1"/>
  <c r="W40" i="814"/>
  <c r="U42" i="814"/>
  <c r="R39" i="814"/>
  <c r="Z39" i="814" s="1"/>
  <c r="S42" i="814"/>
  <c r="N39" i="814" l="1"/>
  <c r="M39" i="814"/>
  <c r="H47" i="814"/>
  <c r="N37" i="814"/>
  <c r="N38" i="814"/>
  <c r="M38" i="814"/>
  <c r="N41" i="814"/>
  <c r="M41" i="814"/>
  <c r="C47" i="814"/>
  <c r="D45" i="814"/>
  <c r="D47" i="814"/>
  <c r="U44" i="814"/>
  <c r="B59" i="814"/>
  <c r="AO43" i="814"/>
  <c r="AB44" i="814"/>
  <c r="AL35" i="814"/>
  <c r="AJ44" i="814"/>
  <c r="AF44" i="814"/>
  <c r="AB123" i="814"/>
  <c r="Z36" i="814"/>
  <c r="AI44" i="814"/>
  <c r="N43" i="814"/>
  <c r="M43" i="814"/>
  <c r="AH44" i="814"/>
  <c r="H45" i="814" s="1"/>
  <c r="AL36" i="814"/>
  <c r="AK44" i="814"/>
  <c r="E47" i="814"/>
  <c r="E45" i="814"/>
  <c r="AC44" i="814"/>
  <c r="C45" i="814" s="1"/>
  <c r="P44" i="814"/>
  <c r="Z35" i="814"/>
  <c r="N42" i="814"/>
  <c r="M42" i="814"/>
  <c r="AO42" i="814"/>
  <c r="B58" i="814"/>
  <c r="K45" i="814"/>
  <c r="K47" i="814"/>
  <c r="Z40" i="814"/>
  <c r="F45" i="814"/>
  <c r="F47" i="814"/>
  <c r="W44" i="814"/>
  <c r="J45" i="814"/>
  <c r="J47" i="814"/>
  <c r="AL37" i="814"/>
  <c r="M37" i="814" s="1"/>
  <c r="N36" i="814" l="1"/>
  <c r="M36" i="814"/>
  <c r="G47" i="814"/>
  <c r="G45" i="814"/>
  <c r="I47" i="814"/>
  <c r="I45" i="814"/>
  <c r="AL44" i="814" a="1"/>
  <c r="AL44" i="814" s="1"/>
  <c r="N35" i="814"/>
  <c r="M35" i="814"/>
  <c r="N40" i="814"/>
  <c r="M40" i="814"/>
  <c r="B45" i="814"/>
  <c r="B47" i="814"/>
  <c r="L45" i="814" l="1"/>
  <c r="G46" i="814" s="1"/>
  <c r="K59" i="814" l="1"/>
  <c r="V55" i="814"/>
  <c r="V58" i="814"/>
  <c r="V56" i="814"/>
  <c r="V54" i="814"/>
  <c r="K55" i="814"/>
  <c r="V60" i="814"/>
  <c r="K56" i="814"/>
  <c r="K54" i="814"/>
  <c r="K58" i="814"/>
  <c r="V59" i="814"/>
  <c r="K60" i="814"/>
  <c r="K57" i="814"/>
  <c r="K52" i="814"/>
  <c r="V53" i="814"/>
  <c r="V52" i="814"/>
  <c r="K53" i="814"/>
  <c r="V57" i="814"/>
  <c r="B46" i="814"/>
  <c r="I46" i="814"/>
  <c r="C46" i="814"/>
  <c r="F46" i="814"/>
  <c r="D46" i="814"/>
  <c r="J46" i="814"/>
  <c r="E46" i="814"/>
  <c r="K46" i="814"/>
  <c r="H46" i="814"/>
  <c r="T59" i="814" l="1"/>
  <c r="T56" i="814"/>
  <c r="I60" i="814"/>
  <c r="I54" i="814"/>
  <c r="T55" i="814"/>
  <c r="I55" i="814"/>
  <c r="I59" i="814"/>
  <c r="T58" i="814"/>
  <c r="I56" i="814"/>
  <c r="T54" i="814"/>
  <c r="T60" i="814"/>
  <c r="I58" i="814"/>
  <c r="T57" i="814"/>
  <c r="T53" i="814"/>
  <c r="I57" i="814"/>
  <c r="I53" i="814"/>
  <c r="T52" i="814"/>
  <c r="I52" i="814"/>
  <c r="U69" i="814"/>
  <c r="G69" i="814"/>
  <c r="S54" i="814"/>
  <c r="S60" i="814"/>
  <c r="S58" i="814"/>
  <c r="H58" i="814"/>
  <c r="H54" i="814"/>
  <c r="S56" i="814"/>
  <c r="S59" i="814"/>
  <c r="H60" i="814"/>
  <c r="H55" i="814"/>
  <c r="H59" i="814"/>
  <c r="H56" i="814"/>
  <c r="S55" i="814"/>
  <c r="S53" i="814"/>
  <c r="H52" i="814"/>
  <c r="H53" i="814"/>
  <c r="S57" i="814"/>
  <c r="S52" i="814"/>
  <c r="H57" i="814"/>
  <c r="G67" i="814"/>
  <c r="U54" i="814"/>
  <c r="U56" i="814"/>
  <c r="J60" i="814"/>
  <c r="J55" i="814"/>
  <c r="U55" i="814"/>
  <c r="J54" i="814"/>
  <c r="U58" i="814"/>
  <c r="U59" i="814"/>
  <c r="J56" i="814"/>
  <c r="U60" i="814"/>
  <c r="J58" i="814"/>
  <c r="J59" i="814"/>
  <c r="J53" i="814"/>
  <c r="U52" i="814"/>
  <c r="J57" i="814"/>
  <c r="U53" i="814"/>
  <c r="U57" i="814"/>
  <c r="J52" i="814"/>
  <c r="G70" i="814"/>
  <c r="U70" i="814" s="1"/>
  <c r="G72" i="814"/>
  <c r="U72" i="814"/>
  <c r="G68" i="814"/>
  <c r="U68" i="814" s="1"/>
  <c r="G55" i="814"/>
  <c r="R56" i="814"/>
  <c r="G54" i="814"/>
  <c r="R59" i="814"/>
  <c r="R54" i="814"/>
  <c r="G59" i="814"/>
  <c r="G60" i="814"/>
  <c r="G56" i="814"/>
  <c r="R55" i="814"/>
  <c r="G58" i="814"/>
  <c r="R60" i="814"/>
  <c r="R58" i="814"/>
  <c r="G53" i="814"/>
  <c r="R52" i="814"/>
  <c r="R57" i="814"/>
  <c r="G52" i="814"/>
  <c r="R53" i="814"/>
  <c r="G57" i="814"/>
  <c r="M59" i="814"/>
  <c r="X58" i="814"/>
  <c r="M60" i="814"/>
  <c r="M56" i="814"/>
  <c r="X56" i="814"/>
  <c r="M58" i="814"/>
  <c r="X54" i="814"/>
  <c r="M55" i="814"/>
  <c r="X60" i="814"/>
  <c r="X59" i="814"/>
  <c r="M54" i="814"/>
  <c r="X55" i="814"/>
  <c r="X53" i="814"/>
  <c r="M57" i="814"/>
  <c r="M52" i="814"/>
  <c r="M53" i="814"/>
  <c r="X57" i="814"/>
  <c r="X52" i="814"/>
  <c r="G73" i="814"/>
  <c r="U73" i="814"/>
  <c r="G65" i="814"/>
  <c r="U65" i="814"/>
  <c r="W58" i="814"/>
  <c r="W54" i="814"/>
  <c r="W55" i="814"/>
  <c r="L58" i="814"/>
  <c r="L56" i="814"/>
  <c r="L54" i="814"/>
  <c r="L59" i="814"/>
  <c r="L55" i="814"/>
  <c r="W56" i="814"/>
  <c r="W59" i="814"/>
  <c r="W60" i="814"/>
  <c r="L60" i="814"/>
  <c r="W52" i="814"/>
  <c r="W53" i="814"/>
  <c r="L57" i="814"/>
  <c r="W57" i="814"/>
  <c r="L53" i="814"/>
  <c r="L52" i="814"/>
  <c r="F60" i="814"/>
  <c r="Q56" i="814"/>
  <c r="F55" i="814"/>
  <c r="Q59" i="814"/>
  <c r="Q58" i="814"/>
  <c r="Q60" i="814"/>
  <c r="F56" i="814"/>
  <c r="F59" i="814"/>
  <c r="Q55" i="814"/>
  <c r="F58" i="814"/>
  <c r="F57" i="814"/>
  <c r="F53" i="814"/>
  <c r="Q57" i="814"/>
  <c r="Q52" i="814"/>
  <c r="F52" i="814"/>
  <c r="Q53" i="814"/>
  <c r="U66" i="814"/>
  <c r="G66" i="814"/>
  <c r="N60" i="814"/>
  <c r="N56" i="814"/>
  <c r="Y58" i="814"/>
  <c r="Y60" i="814"/>
  <c r="Y54" i="814"/>
  <c r="N59" i="814"/>
  <c r="Y55" i="814"/>
  <c r="N55" i="814"/>
  <c r="N54" i="814"/>
  <c r="Y59" i="814"/>
  <c r="N58" i="814"/>
  <c r="Y56" i="814"/>
  <c r="Y53" i="814"/>
  <c r="N57" i="814"/>
  <c r="N52" i="814"/>
  <c r="Y52" i="814"/>
  <c r="N53" i="814"/>
  <c r="Y57" i="814"/>
  <c r="O60" i="814"/>
  <c r="O58" i="814"/>
  <c r="Z54" i="814"/>
  <c r="Z59" i="814"/>
  <c r="O56" i="814"/>
  <c r="Z60" i="814"/>
  <c r="O55" i="814"/>
  <c r="Z58" i="814"/>
  <c r="O54" i="814"/>
  <c r="O59" i="814"/>
  <c r="Z55" i="814"/>
  <c r="Z56" i="814"/>
  <c r="Z57" i="814"/>
  <c r="Z53" i="814"/>
  <c r="O53" i="814"/>
  <c r="Z52" i="814"/>
  <c r="O57" i="814"/>
  <c r="O52" i="814"/>
  <c r="G71" i="814"/>
  <c r="P73" i="814" l="1"/>
  <c r="B73" i="814"/>
  <c r="H65" i="814"/>
  <c r="V65" i="814" s="1"/>
  <c r="C70" i="814"/>
  <c r="Q70" i="814" s="1"/>
  <c r="K71" i="814"/>
  <c r="Y71" i="814"/>
  <c r="Q69" i="814"/>
  <c r="C69" i="814"/>
  <c r="AG67" i="814"/>
  <c r="E66" i="814"/>
  <c r="Y70" i="814"/>
  <c r="K70" i="814"/>
  <c r="K67" i="814"/>
  <c r="K73" i="814"/>
  <c r="X71" i="814"/>
  <c r="J71" i="814"/>
  <c r="H70" i="814"/>
  <c r="V70" i="814" s="1"/>
  <c r="H72" i="814"/>
  <c r="V72" i="814" s="1"/>
  <c r="AG65" i="814"/>
  <c r="C73" i="814"/>
  <c r="Q73" i="814"/>
  <c r="T70" i="814"/>
  <c r="F70" i="814"/>
  <c r="U67" i="814"/>
  <c r="R69" i="814"/>
  <c r="D69" i="814"/>
  <c r="S70" i="814"/>
  <c r="E70" i="814"/>
  <c r="E72" i="814"/>
  <c r="S72" i="814" s="1"/>
  <c r="J70" i="814"/>
  <c r="K65" i="814"/>
  <c r="I71" i="814"/>
  <c r="W71" i="814" s="1"/>
  <c r="J69" i="814"/>
  <c r="X69" i="814" s="1"/>
  <c r="B66" i="814"/>
  <c r="V67" i="814"/>
  <c r="H67" i="814"/>
  <c r="W69" i="814"/>
  <c r="I69" i="814"/>
  <c r="C72" i="814"/>
  <c r="Q72" i="814" s="1"/>
  <c r="F67" i="814"/>
  <c r="D70" i="814"/>
  <c r="R70" i="814" s="1"/>
  <c r="D72" i="814"/>
  <c r="R72" i="814" s="1"/>
  <c r="E68" i="814"/>
  <c r="S68" i="814" s="1"/>
  <c r="K69" i="814"/>
  <c r="W66" i="814"/>
  <c r="I66" i="814"/>
  <c r="B84" i="814"/>
  <c r="C84" i="814" s="1"/>
  <c r="I70" i="814"/>
  <c r="W70" i="814"/>
  <c r="Y68" i="814"/>
  <c r="K68" i="814"/>
  <c r="J66" i="814"/>
  <c r="X66" i="814"/>
  <c r="J67" i="814"/>
  <c r="J73" i="814"/>
  <c r="X73" i="814"/>
  <c r="B70" i="814"/>
  <c r="P70" i="814" s="1"/>
  <c r="B68" i="814"/>
  <c r="P68" i="814"/>
  <c r="H69" i="814"/>
  <c r="V69" i="814"/>
  <c r="AG73" i="814"/>
  <c r="W67" i="814"/>
  <c r="I67" i="814"/>
  <c r="I73" i="814"/>
  <c r="W73" i="814" s="1"/>
  <c r="C66" i="814"/>
  <c r="Q66" i="814"/>
  <c r="AG72" i="814"/>
  <c r="F66" i="814"/>
  <c r="T66" i="814"/>
  <c r="D68" i="814"/>
  <c r="R68" i="814" s="1"/>
  <c r="AG71" i="814"/>
  <c r="B72" i="814"/>
  <c r="P72" i="814"/>
  <c r="C71" i="814"/>
  <c r="Q71" i="814"/>
  <c r="Y72" i="814"/>
  <c r="K72" i="814"/>
  <c r="H68" i="814"/>
  <c r="V68" i="814" s="1"/>
  <c r="C65" i="814"/>
  <c r="Q65" i="814"/>
  <c r="AG68" i="814"/>
  <c r="D71" i="814"/>
  <c r="R71" i="814"/>
  <c r="K66" i="814"/>
  <c r="Y66" i="814" s="1"/>
  <c r="J68" i="814"/>
  <c r="X68" i="814"/>
  <c r="AG66" i="814"/>
  <c r="B71" i="814"/>
  <c r="P71" i="814" s="1"/>
  <c r="Z71" i="814" s="1"/>
  <c r="H73" i="814"/>
  <c r="V71" i="814"/>
  <c r="H71" i="814"/>
  <c r="F72" i="814"/>
  <c r="T72" i="814"/>
  <c r="F68" i="814"/>
  <c r="T68" i="814"/>
  <c r="R73" i="814"/>
  <c r="D73" i="814"/>
  <c r="AG69" i="814"/>
  <c r="E71" i="814"/>
  <c r="S71" i="814" s="1"/>
  <c r="E67" i="814"/>
  <c r="S67" i="814"/>
  <c r="I72" i="814"/>
  <c r="Q67" i="814"/>
  <c r="C67" i="814"/>
  <c r="AG70" i="814"/>
  <c r="F71" i="814"/>
  <c r="T71" i="814" s="1"/>
  <c r="F73" i="814"/>
  <c r="T73" i="814" s="1"/>
  <c r="R66" i="814"/>
  <c r="D66" i="814"/>
  <c r="S73" i="814"/>
  <c r="E73" i="814"/>
  <c r="I68" i="814"/>
  <c r="W68" i="814"/>
  <c r="F65" i="814"/>
  <c r="T65" i="814"/>
  <c r="R65" i="814"/>
  <c r="D65" i="814"/>
  <c r="S65" i="814"/>
  <c r="E65" i="814"/>
  <c r="J65" i="814"/>
  <c r="J72" i="814"/>
  <c r="X72" i="814" s="1"/>
  <c r="U71" i="814"/>
  <c r="U74" i="814" s="1"/>
  <c r="B83" i="814"/>
  <c r="P65" i="814"/>
  <c r="B65" i="814"/>
  <c r="B69" i="814"/>
  <c r="P69" i="814"/>
  <c r="H66" i="814"/>
  <c r="V66" i="814" s="1"/>
  <c r="W65" i="814"/>
  <c r="I65" i="814"/>
  <c r="C68" i="814"/>
  <c r="Q68" i="814" s="1"/>
  <c r="F69" i="814"/>
  <c r="T69" i="814"/>
  <c r="D67" i="814"/>
  <c r="S69" i="814"/>
  <c r="E69" i="814"/>
  <c r="N71" i="814" l="1"/>
  <c r="G77" i="814"/>
  <c r="AH73" i="814"/>
  <c r="Z68" i="814"/>
  <c r="AK65" i="814"/>
  <c r="AD67" i="814"/>
  <c r="AB68" i="814"/>
  <c r="AJ66" i="814"/>
  <c r="AK69" i="814"/>
  <c r="AF67" i="814"/>
  <c r="AB66" i="814"/>
  <c r="AJ70" i="814"/>
  <c r="AK73" i="814"/>
  <c r="R67" i="814"/>
  <c r="R74" i="814" s="1"/>
  <c r="AF65" i="814"/>
  <c r="AC67" i="814"/>
  <c r="AF68" i="814"/>
  <c r="AC71" i="814"/>
  <c r="AK68" i="814"/>
  <c r="Y69" i="814"/>
  <c r="T67" i="814"/>
  <c r="Z67" i="814" s="1"/>
  <c r="P66" i="814"/>
  <c r="X70" i="814"/>
  <c r="Z70" i="814" s="1"/>
  <c r="AF70" i="814"/>
  <c r="Y73" i="814"/>
  <c r="AK71" i="814"/>
  <c r="AH66" i="814"/>
  <c r="AJ65" i="814"/>
  <c r="AD68" i="814"/>
  <c r="AK67" i="814"/>
  <c r="AF69" i="814"/>
  <c r="AB69" i="814"/>
  <c r="X65" i="814"/>
  <c r="AI68" i="814"/>
  <c r="AI72" i="814"/>
  <c r="AF72" i="814"/>
  <c r="AC65" i="814"/>
  <c r="AB72" i="814"/>
  <c r="AC66" i="814"/>
  <c r="Y67" i="814"/>
  <c r="AE66" i="814"/>
  <c r="AF73" i="814"/>
  <c r="Z69" i="814"/>
  <c r="AF71" i="814"/>
  <c r="AK66" i="814"/>
  <c r="AE68" i="814"/>
  <c r="AC72" i="814"/>
  <c r="AJ69" i="814"/>
  <c r="AE72" i="814"/>
  <c r="AC70" i="814"/>
  <c r="AB65" i="814"/>
  <c r="AE65" i="814"/>
  <c r="AE73" i="814"/>
  <c r="W72" i="814"/>
  <c r="W74" i="814" s="1"/>
  <c r="AH71" i="814"/>
  <c r="AD71" i="814"/>
  <c r="AF66" i="814"/>
  <c r="AJ73" i="814"/>
  <c r="AI70" i="814"/>
  <c r="AI69" i="814"/>
  <c r="AE70" i="814"/>
  <c r="AC73" i="814"/>
  <c r="AK70" i="814"/>
  <c r="AE71" i="814"/>
  <c r="AJ68" i="814"/>
  <c r="AB70" i="814"/>
  <c r="AL70" i="814" s="1"/>
  <c r="AC68" i="814"/>
  <c r="Z65" i="814"/>
  <c r="P74" i="814"/>
  <c r="AH68" i="814"/>
  <c r="AI73" i="814"/>
  <c r="AJ67" i="814"/>
  <c r="AD72" i="814"/>
  <c r="AI71" i="814"/>
  <c r="AH70" i="814"/>
  <c r="AC69" i="814"/>
  <c r="AH65" i="814"/>
  <c r="AJ72" i="814"/>
  <c r="AB71" i="814"/>
  <c r="AL71" i="814" s="1"/>
  <c r="M71" i="814" s="1"/>
  <c r="Q74" i="814"/>
  <c r="AH72" i="814"/>
  <c r="AE69" i="814"/>
  <c r="AI65" i="814"/>
  <c r="AI74" i="814" s="1"/>
  <c r="B82" i="814"/>
  <c r="C83" i="814"/>
  <c r="C89" i="814"/>
  <c r="AD65" i="814"/>
  <c r="AD66" i="814"/>
  <c r="AE67" i="814"/>
  <c r="AD73" i="814"/>
  <c r="V73" i="814"/>
  <c r="Z73" i="814" s="1"/>
  <c r="AK72" i="814"/>
  <c r="AI67" i="814"/>
  <c r="AH69" i="814"/>
  <c r="X67" i="814"/>
  <c r="AI66" i="814"/>
  <c r="AH67" i="814"/>
  <c r="Y65" i="814"/>
  <c r="AD69" i="814"/>
  <c r="AG74" i="814"/>
  <c r="G75" i="814" s="1"/>
  <c r="AJ71" i="814"/>
  <c r="S66" i="814"/>
  <c r="S74" i="814" s="1"/>
  <c r="AB73" i="814"/>
  <c r="AD70" i="814"/>
  <c r="N70" i="814" l="1"/>
  <c r="M70" i="814"/>
  <c r="E77" i="814"/>
  <c r="E75" i="814"/>
  <c r="I77" i="814"/>
  <c r="I75" i="814"/>
  <c r="D77" i="814"/>
  <c r="N67" i="814"/>
  <c r="N73" i="814"/>
  <c r="M73" i="814"/>
  <c r="AL69" i="814"/>
  <c r="AF74" i="814"/>
  <c r="AL66" i="814"/>
  <c r="B77" i="814"/>
  <c r="Z66" i="814"/>
  <c r="AB74" i="814"/>
  <c r="B75" i="814" s="1"/>
  <c r="AL65" i="814"/>
  <c r="N69" i="814"/>
  <c r="M69" i="814"/>
  <c r="AJ74" i="814"/>
  <c r="N68" i="814"/>
  <c r="V74" i="814"/>
  <c r="AH74" i="814"/>
  <c r="Y74" i="814"/>
  <c r="T74" i="814"/>
  <c r="N65" i="814"/>
  <c r="M65" i="814"/>
  <c r="AC74" i="814"/>
  <c r="C75" i="814" s="1"/>
  <c r="C82" i="814"/>
  <c r="C88" i="814"/>
  <c r="B88" i="814" s="1"/>
  <c r="C77" i="814"/>
  <c r="Z72" i="814"/>
  <c r="AL72" i="814"/>
  <c r="AL73" i="814"/>
  <c r="AE74" i="814"/>
  <c r="X74" i="814"/>
  <c r="AL67" i="814"/>
  <c r="M67" i="814" s="1"/>
  <c r="AL68" i="814"/>
  <c r="M68" i="814" s="1"/>
  <c r="AK74" i="814"/>
  <c r="AD74" i="814"/>
  <c r="D75" i="814" s="1"/>
  <c r="L75" i="814" l="1"/>
  <c r="G76" i="814" s="1"/>
  <c r="V84" i="814" s="1"/>
  <c r="E76" i="814"/>
  <c r="J75" i="814"/>
  <c r="J77" i="814"/>
  <c r="M66" i="814"/>
  <c r="N66" i="814"/>
  <c r="H75" i="814"/>
  <c r="H77" i="814"/>
  <c r="K87" i="814"/>
  <c r="K90" i="814"/>
  <c r="M72" i="814"/>
  <c r="N72" i="814"/>
  <c r="F75" i="814"/>
  <c r="F77" i="814"/>
  <c r="B89" i="814"/>
  <c r="K77" i="814"/>
  <c r="K75" i="814"/>
  <c r="AL74" i="814" a="1"/>
  <c r="AL74" i="814" s="1"/>
  <c r="I88" i="814" l="1"/>
  <c r="T88" i="814"/>
  <c r="I76" i="814"/>
  <c r="M83" i="814" s="1"/>
  <c r="V90" i="814"/>
  <c r="T82" i="814"/>
  <c r="V86" i="814"/>
  <c r="V82" i="814"/>
  <c r="I87" i="814"/>
  <c r="K85" i="814"/>
  <c r="G100" i="814"/>
  <c r="K89" i="814"/>
  <c r="V89" i="814"/>
  <c r="F89" i="814"/>
  <c r="T89" i="814"/>
  <c r="I89" i="814"/>
  <c r="W89" i="814"/>
  <c r="V87" i="814"/>
  <c r="K86" i="814"/>
  <c r="K82" i="814"/>
  <c r="K83" i="814"/>
  <c r="V83" i="814"/>
  <c r="T83" i="814"/>
  <c r="Z83" i="814"/>
  <c r="S83" i="814"/>
  <c r="F83" i="814"/>
  <c r="I83" i="814"/>
  <c r="Q83" i="814"/>
  <c r="V85" i="814"/>
  <c r="I84" i="814"/>
  <c r="K76" i="814"/>
  <c r="Z89" i="814" s="1"/>
  <c r="T90" i="814"/>
  <c r="T86" i="814"/>
  <c r="V88" i="814"/>
  <c r="K88" i="814"/>
  <c r="C76" i="814"/>
  <c r="R89" i="814" s="1"/>
  <c r="B76" i="814"/>
  <c r="H76" i="814"/>
  <c r="I86" i="814"/>
  <c r="F76" i="814"/>
  <c r="J89" i="814" s="1"/>
  <c r="J76" i="814"/>
  <c r="N83" i="814" s="1"/>
  <c r="I85" i="814"/>
  <c r="T84" i="814"/>
  <c r="K84" i="814"/>
  <c r="G103" i="814"/>
  <c r="U103" i="814" s="1"/>
  <c r="I90" i="814"/>
  <c r="I82" i="814"/>
  <c r="T87" i="814"/>
  <c r="T85" i="814"/>
  <c r="D76" i="814"/>
  <c r="H83" i="814" s="1"/>
  <c r="F102" i="814" l="1"/>
  <c r="D96" i="814"/>
  <c r="R96" i="814"/>
  <c r="I96" i="814"/>
  <c r="G96" i="814"/>
  <c r="W88" i="814"/>
  <c r="L88" i="814"/>
  <c r="W84" i="814"/>
  <c r="L82" i="814"/>
  <c r="L84" i="814"/>
  <c r="L86" i="814"/>
  <c r="W90" i="814"/>
  <c r="L85" i="814"/>
  <c r="L87" i="814"/>
  <c r="W82" i="814"/>
  <c r="W87" i="814"/>
  <c r="W86" i="814"/>
  <c r="W85" i="814"/>
  <c r="L90" i="814"/>
  <c r="Y89" i="814"/>
  <c r="H89" i="814"/>
  <c r="S100" i="814"/>
  <c r="E100" i="814"/>
  <c r="Q88" i="814"/>
  <c r="F88" i="814"/>
  <c r="F85" i="814"/>
  <c r="F87" i="814"/>
  <c r="Q82" i="814"/>
  <c r="Q87" i="814"/>
  <c r="Q90" i="814"/>
  <c r="Q86" i="814"/>
  <c r="Q85" i="814"/>
  <c r="F90" i="814"/>
  <c r="F86" i="814"/>
  <c r="F82" i="814"/>
  <c r="W83" i="814"/>
  <c r="U83" i="814"/>
  <c r="S89" i="814"/>
  <c r="Q89" i="814"/>
  <c r="E95" i="814"/>
  <c r="S95" i="814"/>
  <c r="B102" i="814"/>
  <c r="P102" i="814"/>
  <c r="AG103" i="814"/>
  <c r="AT103" i="814"/>
  <c r="G97" i="814"/>
  <c r="U97" i="814" s="1"/>
  <c r="G88" i="814"/>
  <c r="R88" i="814"/>
  <c r="R87" i="814"/>
  <c r="G86" i="814"/>
  <c r="R86" i="814"/>
  <c r="R82" i="814"/>
  <c r="R85" i="814"/>
  <c r="G90" i="814"/>
  <c r="G87" i="814"/>
  <c r="G82" i="814"/>
  <c r="G84" i="814"/>
  <c r="R84" i="814"/>
  <c r="G85" i="814"/>
  <c r="R90" i="814"/>
  <c r="Y83" i="814"/>
  <c r="B96" i="814"/>
  <c r="P96" i="814"/>
  <c r="O89" i="814"/>
  <c r="E102" i="814"/>
  <c r="S102" i="814" s="1"/>
  <c r="N89" i="814"/>
  <c r="E96" i="814"/>
  <c r="G101" i="814"/>
  <c r="O83" i="814"/>
  <c r="G89" i="814"/>
  <c r="N88" i="814"/>
  <c r="Y88" i="814"/>
  <c r="Y85" i="814"/>
  <c r="N87" i="814"/>
  <c r="N90" i="814"/>
  <c r="Y86" i="814"/>
  <c r="Y90" i="814"/>
  <c r="Y84" i="814"/>
  <c r="Y82" i="814"/>
  <c r="N85" i="814"/>
  <c r="N82" i="814"/>
  <c r="N84" i="814"/>
  <c r="Y87" i="814"/>
  <c r="N86" i="814"/>
  <c r="AG100" i="814"/>
  <c r="U88" i="814"/>
  <c r="J88" i="814"/>
  <c r="J90" i="814"/>
  <c r="J82" i="814"/>
  <c r="J87" i="814"/>
  <c r="U90" i="814"/>
  <c r="U87" i="814"/>
  <c r="U84" i="814"/>
  <c r="J86" i="814"/>
  <c r="U82" i="814"/>
  <c r="J84" i="814"/>
  <c r="J85" i="814"/>
  <c r="U85" i="814"/>
  <c r="U86" i="814"/>
  <c r="G95" i="814"/>
  <c r="U95" i="814" s="1"/>
  <c r="E97" i="814"/>
  <c r="S88" i="814"/>
  <c r="H88" i="814"/>
  <c r="H90" i="814"/>
  <c r="S86" i="814"/>
  <c r="H86" i="814"/>
  <c r="H87" i="814"/>
  <c r="S90" i="814"/>
  <c r="H85" i="814"/>
  <c r="S87" i="814"/>
  <c r="S85" i="814"/>
  <c r="H84" i="814"/>
  <c r="S82" i="814"/>
  <c r="S84" i="814"/>
  <c r="H82" i="814"/>
  <c r="E98" i="814"/>
  <c r="G83" i="814"/>
  <c r="L83" i="814"/>
  <c r="U89" i="814"/>
  <c r="T102" i="814" s="1"/>
  <c r="L89" i="814"/>
  <c r="U102" i="814"/>
  <c r="G102" i="814"/>
  <c r="X88" i="814"/>
  <c r="M88" i="814"/>
  <c r="X84" i="814"/>
  <c r="M87" i="814"/>
  <c r="X86" i="814"/>
  <c r="X85" i="814"/>
  <c r="X87" i="814"/>
  <c r="M82" i="814"/>
  <c r="M90" i="814"/>
  <c r="X90" i="814"/>
  <c r="M85" i="814"/>
  <c r="X82" i="814"/>
  <c r="M84" i="814"/>
  <c r="M86" i="814"/>
  <c r="X83" i="814"/>
  <c r="W96" i="814" s="1"/>
  <c r="U100" i="814"/>
  <c r="AT100" i="814" s="1"/>
  <c r="E103" i="814"/>
  <c r="E99" i="814"/>
  <c r="O88" i="814"/>
  <c r="Z88" i="814"/>
  <c r="Z84" i="814"/>
  <c r="Z85" i="814"/>
  <c r="O82" i="814"/>
  <c r="Z90" i="814"/>
  <c r="O86" i="814"/>
  <c r="O84" i="814"/>
  <c r="Z87" i="814"/>
  <c r="Z82" i="814"/>
  <c r="O90" i="814"/>
  <c r="O85" i="814"/>
  <c r="O87" i="814"/>
  <c r="Z86" i="814"/>
  <c r="J83" i="814"/>
  <c r="R83" i="814"/>
  <c r="G99" i="814"/>
  <c r="X89" i="814"/>
  <c r="M89" i="814"/>
  <c r="U98" i="814"/>
  <c r="G98" i="814"/>
  <c r="E101" i="814"/>
  <c r="Y97" i="814" l="1"/>
  <c r="K97" i="814"/>
  <c r="F98" i="814"/>
  <c r="I98" i="814"/>
  <c r="W98" i="814"/>
  <c r="K100" i="814"/>
  <c r="AR97" i="814"/>
  <c r="AE97" i="814"/>
  <c r="X101" i="814"/>
  <c r="J101" i="814"/>
  <c r="C99" i="814"/>
  <c r="B113" i="814"/>
  <c r="B95" i="814"/>
  <c r="P95" i="814"/>
  <c r="H99" i="814"/>
  <c r="AV96" i="814"/>
  <c r="AI96" i="814"/>
  <c r="W102" i="814"/>
  <c r="I102" i="814"/>
  <c r="K98" i="814"/>
  <c r="I95" i="814"/>
  <c r="W95" i="814"/>
  <c r="AT102" i="814"/>
  <c r="AG102" i="814"/>
  <c r="D95" i="814"/>
  <c r="D100" i="814"/>
  <c r="C102" i="814"/>
  <c r="Q97" i="814"/>
  <c r="C97" i="814"/>
  <c r="AB102" i="814"/>
  <c r="AO102" i="814"/>
  <c r="B99" i="814"/>
  <c r="B98" i="814"/>
  <c r="H97" i="814"/>
  <c r="V97" i="814" s="1"/>
  <c r="F96" i="814"/>
  <c r="I103" i="814"/>
  <c r="W103" i="814" s="1"/>
  <c r="F99" i="814"/>
  <c r="T99" i="814"/>
  <c r="AR102" i="814"/>
  <c r="AE102" i="814"/>
  <c r="D99" i="814"/>
  <c r="R99" i="814"/>
  <c r="AG95" i="814"/>
  <c r="AT95" i="814"/>
  <c r="AG126" i="814"/>
  <c r="AG113" i="814"/>
  <c r="K96" i="814"/>
  <c r="Y96" i="814" s="1"/>
  <c r="K102" i="814"/>
  <c r="Y102" i="814"/>
  <c r="Q95" i="814"/>
  <c r="C95" i="814"/>
  <c r="B103" i="814"/>
  <c r="P103" i="814" s="1"/>
  <c r="P101" i="814"/>
  <c r="B101" i="814"/>
  <c r="H95" i="814"/>
  <c r="AE101" i="814"/>
  <c r="R101" i="814"/>
  <c r="D101" i="814"/>
  <c r="AE103" i="814"/>
  <c r="AE98" i="814"/>
  <c r="AR98" i="814"/>
  <c r="B100" i="814"/>
  <c r="W99" i="814"/>
  <c r="I99" i="814"/>
  <c r="H102" i="814"/>
  <c r="J99" i="814"/>
  <c r="X99" i="814"/>
  <c r="AG101" i="814"/>
  <c r="C100" i="814"/>
  <c r="C101" i="814"/>
  <c r="AR95" i="814"/>
  <c r="AE95" i="814"/>
  <c r="AQ96" i="814"/>
  <c r="AD96" i="814"/>
  <c r="S101" i="814"/>
  <c r="AR101" i="814" s="1"/>
  <c r="K95" i="814"/>
  <c r="H103" i="814"/>
  <c r="V103" i="814"/>
  <c r="K103" i="814"/>
  <c r="Y103" i="814"/>
  <c r="AG99" i="814"/>
  <c r="U99" i="814"/>
  <c r="U104" i="814" s="1"/>
  <c r="K101" i="814"/>
  <c r="Y101" i="814"/>
  <c r="I97" i="814"/>
  <c r="R97" i="814"/>
  <c r="D97" i="814"/>
  <c r="D103" i="814"/>
  <c r="R103" i="814" s="1"/>
  <c r="F100" i="814"/>
  <c r="T100" i="814"/>
  <c r="X103" i="814"/>
  <c r="J103" i="814"/>
  <c r="U101" i="814"/>
  <c r="AT101" i="814" s="1"/>
  <c r="AO96" i="814"/>
  <c r="AB96" i="814"/>
  <c r="C103" i="814"/>
  <c r="AR100" i="814"/>
  <c r="AE100" i="814"/>
  <c r="H101" i="814"/>
  <c r="V101" i="814"/>
  <c r="AE99" i="814"/>
  <c r="T95" i="814"/>
  <c r="F95" i="814"/>
  <c r="J97" i="814"/>
  <c r="J100" i="814"/>
  <c r="AR96" i="814"/>
  <c r="AE96" i="814"/>
  <c r="AT97" i="814"/>
  <c r="AG97" i="814"/>
  <c r="H100" i="814"/>
  <c r="V100" i="814" s="1"/>
  <c r="AS102" i="814"/>
  <c r="AF102" i="814"/>
  <c r="V96" i="814"/>
  <c r="H96" i="814"/>
  <c r="S99" i="814"/>
  <c r="AR99" i="814" s="1"/>
  <c r="F97" i="814"/>
  <c r="T97" i="814"/>
  <c r="J95" i="814"/>
  <c r="D102" i="814"/>
  <c r="R102" i="814"/>
  <c r="H98" i="814"/>
  <c r="V98" i="814"/>
  <c r="AG96" i="814"/>
  <c r="AT96" i="814"/>
  <c r="J96" i="814"/>
  <c r="I100" i="814"/>
  <c r="W100" i="814"/>
  <c r="K99" i="814"/>
  <c r="Y99" i="814" s="1"/>
  <c r="Q96" i="814"/>
  <c r="C96" i="814"/>
  <c r="F103" i="814"/>
  <c r="T103" i="814"/>
  <c r="S96" i="814"/>
  <c r="S104" i="814" s="1"/>
  <c r="AT98" i="814"/>
  <c r="AG98" i="814"/>
  <c r="S103" i="814"/>
  <c r="AR103" i="814" s="1"/>
  <c r="W101" i="814"/>
  <c r="I101" i="814"/>
  <c r="S98" i="814"/>
  <c r="R98" i="814"/>
  <c r="D98" i="814"/>
  <c r="S97" i="814"/>
  <c r="F101" i="814"/>
  <c r="T101" i="814" s="1"/>
  <c r="J98" i="814"/>
  <c r="J102" i="814"/>
  <c r="C98" i="814"/>
  <c r="Q98" i="814"/>
  <c r="AG129" i="814"/>
  <c r="AG116" i="814"/>
  <c r="B114" i="814"/>
  <c r="C114" i="814" s="1"/>
  <c r="U96" i="814"/>
  <c r="Z96" i="814" l="1"/>
  <c r="AE118" i="814"/>
  <c r="E107" i="814"/>
  <c r="AR105" i="814"/>
  <c r="Z103" i="814"/>
  <c r="AG118" i="814"/>
  <c r="G105" i="814"/>
  <c r="G107" i="814"/>
  <c r="AT105" i="814"/>
  <c r="AJ97" i="814"/>
  <c r="AH95" i="814"/>
  <c r="AB99" i="814"/>
  <c r="AE124" i="814"/>
  <c r="AE111" i="814"/>
  <c r="AC103" i="814"/>
  <c r="AC100" i="814"/>
  <c r="AF96" i="814"/>
  <c r="AS96" i="814"/>
  <c r="AC99" i="814"/>
  <c r="AU98" i="814"/>
  <c r="AH98" i="814"/>
  <c r="AH96" i="814"/>
  <c r="AU96" i="814"/>
  <c r="AE109" i="814"/>
  <c r="AE122" i="814"/>
  <c r="AB122" i="814"/>
  <c r="AB109" i="814"/>
  <c r="AT99" i="814"/>
  <c r="Q100" i="814"/>
  <c r="Q104" i="814" s="1"/>
  <c r="AV99" i="814"/>
  <c r="AI99" i="814"/>
  <c r="AQ101" i="814"/>
  <c r="AD101" i="814"/>
  <c r="AE128" i="814"/>
  <c r="AE115" i="814"/>
  <c r="AP97" i="814"/>
  <c r="AC97" i="814"/>
  <c r="AG128" i="814"/>
  <c r="AG115" i="814"/>
  <c r="AI122" i="814"/>
  <c r="AI109" i="814"/>
  <c r="Q99" i="814"/>
  <c r="AP99" i="814" s="1"/>
  <c r="AV98" i="814"/>
  <c r="AI98" i="814"/>
  <c r="AJ102" i="814"/>
  <c r="AJ95" i="814"/>
  <c r="X97" i="814"/>
  <c r="AW97" i="814" s="1"/>
  <c r="T104" i="814"/>
  <c r="AK95" i="814"/>
  <c r="AX95" i="814"/>
  <c r="AX96" i="814"/>
  <c r="AK96" i="814"/>
  <c r="AG111" i="814"/>
  <c r="AG124" i="814"/>
  <c r="AX99" i="814"/>
  <c r="AK99" i="814"/>
  <c r="AE112" i="814"/>
  <c r="AE125" i="814"/>
  <c r="AQ97" i="814"/>
  <c r="AD97" i="814"/>
  <c r="AG125" i="814"/>
  <c r="AG112" i="814"/>
  <c r="AD109" i="814"/>
  <c r="AD122" i="814"/>
  <c r="AO103" i="814"/>
  <c r="AB103" i="814"/>
  <c r="AH97" i="814"/>
  <c r="AU97" i="814"/>
  <c r="AJ101" i="814"/>
  <c r="AW101" i="814"/>
  <c r="AF98" i="814"/>
  <c r="AR104" i="814"/>
  <c r="AD100" i="814"/>
  <c r="X102" i="814"/>
  <c r="AW102" i="814" s="1"/>
  <c r="AU103" i="814"/>
  <c r="AH103" i="814"/>
  <c r="AJ98" i="814"/>
  <c r="AD103" i="814"/>
  <c r="AQ103" i="814"/>
  <c r="AB115" i="814"/>
  <c r="AB128" i="814"/>
  <c r="AD102" i="814"/>
  <c r="AQ102" i="814"/>
  <c r="AW100" i="814"/>
  <c r="AJ100" i="814"/>
  <c r="AG114" i="814"/>
  <c r="AG127" i="814"/>
  <c r="AB100" i="814"/>
  <c r="AE114" i="814"/>
  <c r="AE127" i="814"/>
  <c r="AB98" i="814"/>
  <c r="AO98" i="814"/>
  <c r="AC102" i="814"/>
  <c r="AL102" i="814" s="1"/>
  <c r="AU99" i="814"/>
  <c r="AH99" i="814"/>
  <c r="T98" i="814"/>
  <c r="AS98" i="814" s="1"/>
  <c r="AH100" i="814"/>
  <c r="AU100" i="814"/>
  <c r="AI97" i="814"/>
  <c r="AV103" i="814"/>
  <c r="AI103" i="814"/>
  <c r="AW99" i="814"/>
  <c r="AJ99" i="814"/>
  <c r="P99" i="814"/>
  <c r="Z99" i="814" s="1"/>
  <c r="AU102" i="814"/>
  <c r="AH102" i="814"/>
  <c r="AE129" i="814"/>
  <c r="AE116" i="814"/>
  <c r="AD95" i="814"/>
  <c r="AS101" i="814"/>
  <c r="AF101" i="814"/>
  <c r="AF128" i="814"/>
  <c r="AF115" i="814"/>
  <c r="AC98" i="814"/>
  <c r="AP98" i="814"/>
  <c r="AD98" i="814"/>
  <c r="AQ98" i="814"/>
  <c r="AI100" i="814"/>
  <c r="AV100" i="814"/>
  <c r="X95" i="814"/>
  <c r="X104" i="814" s="1"/>
  <c r="X100" i="814"/>
  <c r="AH101" i="814"/>
  <c r="AU101" i="814"/>
  <c r="AW103" i="814"/>
  <c r="AJ103" i="814"/>
  <c r="W97" i="814"/>
  <c r="AV97" i="814" s="1"/>
  <c r="AX103" i="814"/>
  <c r="AK103" i="814"/>
  <c r="AE121" i="814"/>
  <c r="AE104" i="814"/>
  <c r="E105" i="814" s="1"/>
  <c r="AE108" i="814"/>
  <c r="P100" i="814"/>
  <c r="AC95" i="814"/>
  <c r="AP95" i="814"/>
  <c r="AT104" i="814"/>
  <c r="AF99" i="814"/>
  <c r="AS99" i="814"/>
  <c r="P98" i="814"/>
  <c r="Q102" i="814"/>
  <c r="AI95" i="814"/>
  <c r="AV95" i="814"/>
  <c r="V99" i="814"/>
  <c r="AE123" i="814"/>
  <c r="AE110" i="814"/>
  <c r="AK97" i="814"/>
  <c r="AX97" i="814"/>
  <c r="AJ96" i="814"/>
  <c r="AE126" i="814"/>
  <c r="AE113" i="814"/>
  <c r="AG108" i="814"/>
  <c r="AG117" i="814" s="1"/>
  <c r="AG121" i="814"/>
  <c r="AG104" i="814"/>
  <c r="AK98" i="814"/>
  <c r="AF103" i="814"/>
  <c r="AS103" i="814"/>
  <c r="AC101" i="814"/>
  <c r="AP101" i="814"/>
  <c r="V95" i="814"/>
  <c r="V104" i="814" s="1"/>
  <c r="R100" i="814"/>
  <c r="AQ100" i="814" s="1"/>
  <c r="Y98" i="814"/>
  <c r="AX98" i="814" s="1"/>
  <c r="AB95" i="814"/>
  <c r="AO95" i="814"/>
  <c r="AX100" i="814"/>
  <c r="AK100" i="814"/>
  <c r="X98" i="814"/>
  <c r="AW98" i="814" s="1"/>
  <c r="AI101" i="814"/>
  <c r="AV101" i="814"/>
  <c r="AP96" i="814"/>
  <c r="AC96" i="814"/>
  <c r="AG109" i="814"/>
  <c r="AG122" i="814"/>
  <c r="AS97" i="814"/>
  <c r="AF97" i="814"/>
  <c r="AG123" i="814"/>
  <c r="AG110" i="814"/>
  <c r="AS95" i="814"/>
  <c r="AF95" i="814"/>
  <c r="Q103" i="814"/>
  <c r="AP103" i="814" s="1"/>
  <c r="AF100" i="814"/>
  <c r="AS100" i="814"/>
  <c r="AX101" i="814"/>
  <c r="AK101" i="814"/>
  <c r="Y95" i="814"/>
  <c r="Q101" i="814"/>
  <c r="Z101" i="814" s="1"/>
  <c r="V102" i="814"/>
  <c r="AB101" i="814"/>
  <c r="AO101" i="814"/>
  <c r="AK102" i="814"/>
  <c r="AX102" i="814"/>
  <c r="AD99" i="814"/>
  <c r="AQ99" i="814"/>
  <c r="T96" i="814"/>
  <c r="R95" i="814"/>
  <c r="R104" i="814" s="1"/>
  <c r="AV102" i="814"/>
  <c r="AI102" i="814"/>
  <c r="C113" i="814"/>
  <c r="B112" i="814"/>
  <c r="C112" i="814" s="1"/>
  <c r="Y100" i="814"/>
  <c r="X96" i="814"/>
  <c r="AW96" i="814" s="1"/>
  <c r="AY96" i="814" s="1"/>
  <c r="AP105" i="814" l="1"/>
  <c r="C107" i="814"/>
  <c r="AC118" i="814"/>
  <c r="AZ101" i="814"/>
  <c r="N101" i="814"/>
  <c r="AD125" i="814"/>
  <c r="AD112" i="814"/>
  <c r="AI127" i="814"/>
  <c r="AI114" i="814"/>
  <c r="AD129" i="814"/>
  <c r="AD116" i="814"/>
  <c r="N99" i="814"/>
  <c r="M99" i="814"/>
  <c r="AZ99" i="814"/>
  <c r="AF111" i="814"/>
  <c r="AF124" i="814"/>
  <c r="AY103" i="814"/>
  <c r="AX104" i="814"/>
  <c r="AW95" i="814"/>
  <c r="AW104" i="814" s="1"/>
  <c r="AI125" i="814"/>
  <c r="AI112" i="814"/>
  <c r="AF109" i="814"/>
  <c r="AF122" i="814"/>
  <c r="AB125" i="814"/>
  <c r="AB112" i="814"/>
  <c r="AL99" i="814"/>
  <c r="AI128" i="814"/>
  <c r="AI115" i="814"/>
  <c r="AK128" i="814"/>
  <c r="AK115" i="814"/>
  <c r="AK113" i="814"/>
  <c r="AK126" i="814"/>
  <c r="AC127" i="814"/>
  <c r="AC114" i="814"/>
  <c r="AP104" i="814"/>
  <c r="AI113" i="814"/>
  <c r="AI126" i="814"/>
  <c r="AJ125" i="814"/>
  <c r="AJ112" i="814"/>
  <c r="AJ124" i="814"/>
  <c r="AJ111" i="814"/>
  <c r="AK108" i="814"/>
  <c r="AK121" i="814"/>
  <c r="AK104" i="814"/>
  <c r="AO99" i="814"/>
  <c r="AY99" i="814" s="1"/>
  <c r="AF125" i="814"/>
  <c r="AF112" i="814"/>
  <c r="AF114" i="814"/>
  <c r="AF127" i="814"/>
  <c r="AF126" i="814"/>
  <c r="AF113" i="814"/>
  <c r="AF118" i="814"/>
  <c r="F107" i="814"/>
  <c r="AS105" i="814"/>
  <c r="AQ105" i="814"/>
  <c r="AD118" i="814"/>
  <c r="D105" i="814"/>
  <c r="D107" i="814"/>
  <c r="AB127" i="814"/>
  <c r="AB114" i="814"/>
  <c r="AM114" i="814" s="1"/>
  <c r="AL101" i="814"/>
  <c r="M101" i="814" s="1"/>
  <c r="AO104" i="814"/>
  <c r="AF129" i="814"/>
  <c r="AF116" i="814"/>
  <c r="AJ122" i="814"/>
  <c r="AM122" i="814" s="1"/>
  <c r="AJ109" i="814"/>
  <c r="AI108" i="814"/>
  <c r="AI121" i="814"/>
  <c r="AI104" i="814"/>
  <c r="Z100" i="814"/>
  <c r="AD124" i="814"/>
  <c r="AD111" i="814"/>
  <c r="AQ95" i="814"/>
  <c r="AQ104" i="814" s="1"/>
  <c r="AI116" i="814"/>
  <c r="AI129" i="814"/>
  <c r="AB113" i="814"/>
  <c r="AB126" i="814"/>
  <c r="AL100" i="814"/>
  <c r="AJ127" i="814"/>
  <c r="AJ114" i="814"/>
  <c r="AI124" i="814"/>
  <c r="AI111" i="814"/>
  <c r="AY97" i="814"/>
  <c r="AH111" i="814"/>
  <c r="AH124" i="814"/>
  <c r="AP100" i="814"/>
  <c r="AU95" i="814"/>
  <c r="AU104" i="814" s="1"/>
  <c r="AG131" i="814"/>
  <c r="AK129" i="814"/>
  <c r="AK116" i="814"/>
  <c r="AJ108" i="814"/>
  <c r="AJ121" i="814"/>
  <c r="AJ104" i="814"/>
  <c r="J105" i="814" s="1"/>
  <c r="AF123" i="814"/>
  <c r="AF110" i="814"/>
  <c r="AH113" i="814"/>
  <c r="AH126" i="814"/>
  <c r="AC108" i="814"/>
  <c r="AC121" i="814"/>
  <c r="AC104" i="814"/>
  <c r="C105" i="814" s="1"/>
  <c r="AD115" i="814"/>
  <c r="AD128" i="814"/>
  <c r="AK125" i="814"/>
  <c r="AK112" i="814"/>
  <c r="AJ115" i="814"/>
  <c r="AJ128" i="814"/>
  <c r="AH122" i="814"/>
  <c r="AH109" i="814"/>
  <c r="AC113" i="814"/>
  <c r="AC126" i="814"/>
  <c r="AF121" i="814"/>
  <c r="AF131" i="814" s="1"/>
  <c r="AF108" i="814"/>
  <c r="AF117" i="814" s="1"/>
  <c r="AF104" i="814"/>
  <c r="F105" i="814" s="1"/>
  <c r="AC122" i="814"/>
  <c r="AC109" i="814"/>
  <c r="AB108" i="814"/>
  <c r="AB121" i="814"/>
  <c r="AB104" i="814"/>
  <c r="AL95" i="814"/>
  <c r="Z102" i="814"/>
  <c r="AE117" i="814"/>
  <c r="W104" i="814"/>
  <c r="AO100" i="814"/>
  <c r="AY100" i="814" s="1"/>
  <c r="Z97" i="814"/>
  <c r="Z95" i="814"/>
  <c r="AL96" i="814"/>
  <c r="AC129" i="814"/>
  <c r="AC116" i="814"/>
  <c r="AM116" i="814" s="1"/>
  <c r="AW105" i="814"/>
  <c r="AJ118" i="814"/>
  <c r="J107" i="814"/>
  <c r="AJ113" i="814"/>
  <c r="AJ126" i="814"/>
  <c r="AL103" i="814"/>
  <c r="M103" i="814" s="1"/>
  <c r="AB129" i="814"/>
  <c r="AM129" i="814" s="1"/>
  <c r="AB116" i="814"/>
  <c r="AY101" i="814"/>
  <c r="AV104" i="814"/>
  <c r="AD108" i="814"/>
  <c r="AD121" i="814"/>
  <c r="AD131" i="814" s="1"/>
  <c r="AD104" i="814"/>
  <c r="AH129" i="814"/>
  <c r="AH116" i="814"/>
  <c r="AC110" i="814"/>
  <c r="AC123" i="814"/>
  <c r="AL97" i="814"/>
  <c r="AH121" i="814"/>
  <c r="AH104" i="814"/>
  <c r="AH108" i="814"/>
  <c r="AS104" i="814"/>
  <c r="AK124" i="814"/>
  <c r="AK111" i="814"/>
  <c r="Z98" i="814"/>
  <c r="AH127" i="814"/>
  <c r="AH114" i="814"/>
  <c r="AC124" i="814"/>
  <c r="AC111" i="814"/>
  <c r="AP102" i="814"/>
  <c r="AY102" i="814" s="1"/>
  <c r="AL115" i="814"/>
  <c r="AD113" i="814"/>
  <c r="AD126" i="814"/>
  <c r="AD110" i="814"/>
  <c r="AD123" i="814"/>
  <c r="P104" i="814"/>
  <c r="AC125" i="814"/>
  <c r="AC112" i="814"/>
  <c r="AJ110" i="814"/>
  <c r="AJ123" i="814"/>
  <c r="AH118" i="814"/>
  <c r="H107" i="814"/>
  <c r="H105" i="814"/>
  <c r="AU105" i="814"/>
  <c r="AY98" i="814"/>
  <c r="AL98" i="814"/>
  <c r="AB124" i="814"/>
  <c r="AB111" i="814"/>
  <c r="AJ129" i="814"/>
  <c r="AJ116" i="814"/>
  <c r="AH125" i="814"/>
  <c r="AH112" i="814"/>
  <c r="N103" i="814"/>
  <c r="AZ103" i="814"/>
  <c r="Y104" i="814"/>
  <c r="AK110" i="814"/>
  <c r="AK123" i="814"/>
  <c r="AE131" i="814"/>
  <c r="AH128" i="814"/>
  <c r="AH115" i="814"/>
  <c r="AI110" i="814"/>
  <c r="AI123" i="814"/>
  <c r="AC128" i="814"/>
  <c r="AM128" i="814" s="1"/>
  <c r="AC115" i="814"/>
  <c r="AH123" i="814"/>
  <c r="AH110" i="814"/>
  <c r="AK122" i="814"/>
  <c r="AK109" i="814"/>
  <c r="AM109" i="814" s="1"/>
  <c r="AD127" i="814"/>
  <c r="AD114" i="814"/>
  <c r="AK127" i="814"/>
  <c r="AK114" i="814"/>
  <c r="AZ96" i="814"/>
  <c r="N96" i="814"/>
  <c r="M96" i="814"/>
  <c r="N102" i="814" l="1"/>
  <c r="M102" i="814"/>
  <c r="AM115" i="814"/>
  <c r="AZ102" i="814"/>
  <c r="AK117" i="814"/>
  <c r="AL109" i="814"/>
  <c r="AH117" i="814"/>
  <c r="AK131" i="814"/>
  <c r="AL112" i="814"/>
  <c r="AH131" i="814"/>
  <c r="AD117" i="814"/>
  <c r="AZ97" i="814"/>
  <c r="M97" i="814"/>
  <c r="AM110" i="814"/>
  <c r="N97" i="814"/>
  <c r="AB117" i="814"/>
  <c r="AL108" i="814"/>
  <c r="AJ131" i="814"/>
  <c r="AM126" i="814"/>
  <c r="AY95" i="814"/>
  <c r="AM125" i="814"/>
  <c r="AO105" i="814"/>
  <c r="AB118" i="814"/>
  <c r="B105" i="814"/>
  <c r="B107" i="814"/>
  <c r="AZ95" i="814"/>
  <c r="AM108" i="814"/>
  <c r="N95" i="814"/>
  <c r="M95" i="814"/>
  <c r="AX105" i="814"/>
  <c r="K107" i="814"/>
  <c r="K105" i="814"/>
  <c r="AK118" i="814"/>
  <c r="AC131" i="814"/>
  <c r="AJ117" i="814"/>
  <c r="AL113" i="814"/>
  <c r="AI131" i="814"/>
  <c r="AL104" i="814" a="1"/>
  <c r="AL104" i="814" s="1"/>
  <c r="AZ100" i="814"/>
  <c r="N100" i="814"/>
  <c r="M100" i="814"/>
  <c r="AM113" i="814"/>
  <c r="AL111" i="814"/>
  <c r="AM111" i="814"/>
  <c r="N98" i="814"/>
  <c r="AZ98" i="814"/>
  <c r="M98" i="814"/>
  <c r="AM123" i="814"/>
  <c r="AV105" i="814"/>
  <c r="AI118" i="814"/>
  <c r="I105" i="814"/>
  <c r="I107" i="814"/>
  <c r="AC117" i="814"/>
  <c r="AI117" i="814"/>
  <c r="AL114" i="814"/>
  <c r="AM112" i="814"/>
  <c r="AB131" i="814"/>
  <c r="AM121" i="814"/>
  <c r="AM124" i="814"/>
  <c r="AL110" i="814"/>
  <c r="AL116" i="814"/>
  <c r="AM127" i="814"/>
  <c r="L105" i="814" l="1"/>
  <c r="E106" i="814" l="1"/>
  <c r="G106" i="814"/>
  <c r="J106" i="814"/>
  <c r="F106" i="814"/>
  <c r="C106" i="814"/>
  <c r="H106" i="814"/>
  <c r="D106" i="814"/>
  <c r="B106" i="814"/>
  <c r="K106" i="814"/>
  <c r="I106" i="814"/>
  <c r="M23" i="723" l="1"/>
  <c r="H10" i="813" l="1"/>
  <c r="H9" i="813"/>
  <c r="B8" i="813"/>
  <c r="B7" i="813"/>
  <c r="B9" i="813" s="1"/>
  <c r="B10" i="813" s="1"/>
  <c r="C6" i="813"/>
  <c r="C8" i="813" s="1"/>
  <c r="C5" i="813"/>
  <c r="C7" i="813" s="1"/>
  <c r="H4" i="813"/>
  <c r="H3" i="813"/>
  <c r="B11" i="813" l="1"/>
  <c r="B12" i="813" s="1"/>
  <c r="B17" i="813"/>
  <c r="C9" i="813"/>
  <c r="F4" i="811"/>
  <c r="F5" i="811" s="1"/>
  <c r="F3" i="811"/>
  <c r="G3" i="811" s="1"/>
  <c r="G4" i="811" s="1"/>
  <c r="G2" i="811"/>
  <c r="F2" i="811"/>
  <c r="B14" i="813" l="1"/>
  <c r="B15" i="813"/>
  <c r="B13" i="813"/>
  <c r="B16" i="813" s="1"/>
  <c r="C17" i="813"/>
  <c r="C10" i="813"/>
  <c r="G5" i="811"/>
  <c r="F7" i="811"/>
  <c r="L4" i="810"/>
  <c r="M4" i="810" s="1"/>
  <c r="P4" i="810"/>
  <c r="P6" i="810" s="1"/>
  <c r="T4" i="810" a="1"/>
  <c r="T4" i="810" s="1"/>
  <c r="AB4" i="810"/>
  <c r="L5" i="810"/>
  <c r="AC5" i="810" s="1"/>
  <c r="AD5" i="810" s="1"/>
  <c r="AE5" i="810" s="1"/>
  <c r="AF5" i="810" s="1"/>
  <c r="P5" i="810"/>
  <c r="AB5" i="810"/>
  <c r="AT5" i="810"/>
  <c r="AX5" i="810"/>
  <c r="L6" i="810"/>
  <c r="M6" i="810" s="1"/>
  <c r="F8" i="811" l="1"/>
  <c r="T5" i="810"/>
  <c r="M5" i="810"/>
  <c r="AC4" i="810"/>
  <c r="AD4" i="810" s="1"/>
  <c r="AE4" i="810" s="1"/>
  <c r="AF4" i="810" s="1"/>
  <c r="B18" i="813"/>
  <c r="H5" i="813" s="1"/>
  <c r="C11" i="813"/>
  <c r="C12" i="813" s="1"/>
  <c r="T6" i="810"/>
  <c r="AB6" i="810"/>
  <c r="AC6" i="810"/>
  <c r="AD6" i="810" s="1"/>
  <c r="AE6" i="810" s="1"/>
  <c r="AF6" i="810" s="1"/>
  <c r="AT6" i="810"/>
  <c r="AX6" i="810"/>
  <c r="L7" i="810"/>
  <c r="M7" i="810" s="1"/>
  <c r="C15" i="813" l="1"/>
  <c r="C13" i="813"/>
  <c r="C14" i="813"/>
  <c r="T7" i="810"/>
  <c r="AB7" i="810"/>
  <c r="AC7" i="810"/>
  <c r="AD7" i="810"/>
  <c r="AE7" i="810" s="1"/>
  <c r="AF7" i="810" s="1"/>
  <c r="AT7" i="810"/>
  <c r="AX7" i="810"/>
  <c r="L8" i="810"/>
  <c r="M8" i="810" s="1"/>
  <c r="C16" i="813" l="1"/>
  <c r="C18" i="813" s="1"/>
  <c r="H6" i="813" s="1"/>
  <c r="H12" i="813" s="1"/>
  <c r="T8" i="810"/>
  <c r="AB8" i="810"/>
  <c r="AC8" i="810"/>
  <c r="AD8" i="810"/>
  <c r="AE8" i="810" s="1"/>
  <c r="AF8" i="810" s="1"/>
  <c r="AT8" i="810"/>
  <c r="AT9" i="810" s="1"/>
  <c r="AX8" i="810"/>
  <c r="AX9" i="810" s="1"/>
  <c r="L9" i="810"/>
  <c r="AC9" i="810" s="1"/>
  <c r="AD9" i="810" s="1"/>
  <c r="AE9" i="810" s="1"/>
  <c r="AF9" i="810" s="1"/>
  <c r="T9" i="810"/>
  <c r="AB9" i="810"/>
  <c r="L10" i="810"/>
  <c r="M10" i="810" s="1"/>
  <c r="P10" i="810"/>
  <c r="M9" i="810" l="1"/>
  <c r="T10" i="810"/>
  <c r="AB10" i="810"/>
  <c r="AC10" i="810"/>
  <c r="AD10" i="810" s="1"/>
  <c r="AE10" i="810" s="1"/>
  <c r="AF10" i="810" s="1"/>
  <c r="AT10" i="810"/>
  <c r="AX10" i="810"/>
  <c r="L11" i="810"/>
  <c r="M11" i="810" s="1"/>
  <c r="P11" i="810"/>
  <c r="T11" i="810" l="1"/>
  <c r="AB11" i="810"/>
  <c r="AC11" i="810"/>
  <c r="AD11" i="810" s="1"/>
  <c r="AE11" i="810" s="1"/>
  <c r="AF11" i="810" s="1"/>
  <c r="AT11" i="810"/>
  <c r="AX11" i="810"/>
  <c r="L12" i="810"/>
  <c r="M12" i="810" s="1"/>
  <c r="T12" i="810" l="1"/>
  <c r="AB12" i="810"/>
  <c r="AC12" i="810"/>
  <c r="AD12" i="810"/>
  <c r="AE12" i="810" s="1"/>
  <c r="AF12" i="810" s="1"/>
  <c r="B13" i="810"/>
  <c r="C13" i="810"/>
  <c r="D13" i="810"/>
  <c r="E13" i="810"/>
  <c r="F13" i="810"/>
  <c r="G13" i="810"/>
  <c r="H13" i="810"/>
  <c r="I13" i="810"/>
  <c r="J13" i="810"/>
  <c r="K13" i="810"/>
  <c r="P7" i="810" l="1"/>
  <c r="T13" i="810"/>
  <c r="B14" i="810"/>
  <c r="C14" i="810"/>
  <c r="D14" i="810"/>
  <c r="E14" i="810"/>
  <c r="F14" i="810"/>
  <c r="G14" i="810"/>
  <c r="H14" i="810"/>
  <c r="I14" i="810"/>
  <c r="J14" i="810"/>
  <c r="K14" i="810"/>
  <c r="U4" i="810" l="1" a="1"/>
  <c r="U7" i="810" s="1"/>
  <c r="AG43" i="810"/>
  <c r="AG44" i="810" s="1"/>
  <c r="AH43" i="810"/>
  <c r="AH44" i="810" s="1"/>
  <c r="AI44" i="810" s="1"/>
  <c r="AH46" i="810"/>
  <c r="AH47" i="810" s="1"/>
  <c r="AH77" i="810"/>
  <c r="V11" i="810" l="1"/>
  <c r="W11" i="810" s="1"/>
  <c r="V10" i="810"/>
  <c r="W10" i="810" s="1"/>
  <c r="V6" i="810"/>
  <c r="W6" i="810" s="1"/>
  <c r="V7" i="810"/>
  <c r="W7" i="810" s="1"/>
  <c r="U10" i="810"/>
  <c r="U6" i="810"/>
  <c r="V13" i="810"/>
  <c r="W13" i="810" s="1"/>
  <c r="U8" i="810"/>
  <c r="V5" i="810"/>
  <c r="W5" i="810" s="1"/>
  <c r="U13" i="810"/>
  <c r="V9" i="810"/>
  <c r="W9" i="810" s="1"/>
  <c r="U5" i="810"/>
  <c r="U12" i="810"/>
  <c r="U9" i="810"/>
  <c r="U4" i="810"/>
  <c r="V12" i="810"/>
  <c r="W12" i="810" s="1"/>
  <c r="V8" i="810"/>
  <c r="W8" i="810" s="1"/>
  <c r="V4" i="810"/>
  <c r="W4" i="810" s="1"/>
  <c r="U11" i="810"/>
  <c r="P12" i="810"/>
  <c r="X13" i="810" s="1"/>
  <c r="M5" i="808"/>
  <c r="P5" i="808"/>
  <c r="R5" i="808" a="1"/>
  <c r="R5" i="808" s="1"/>
  <c r="X9" i="810" l="1"/>
  <c r="X12" i="810"/>
  <c r="X6" i="810"/>
  <c r="X11" i="810"/>
  <c r="X4" i="810"/>
  <c r="X10" i="810"/>
  <c r="X5" i="810"/>
  <c r="X8" i="810"/>
  <c r="X7" i="810"/>
  <c r="M6" i="808"/>
  <c r="P6" i="808"/>
  <c r="R6" i="808"/>
  <c r="M7" i="808"/>
  <c r="P7" i="808"/>
  <c r="R7" i="808"/>
  <c r="M8" i="808"/>
  <c r="P8" i="808"/>
  <c r="R8" i="808"/>
  <c r="M9" i="808"/>
  <c r="P9" i="808"/>
  <c r="R9" i="808"/>
  <c r="M10" i="808"/>
  <c r="P10" i="808"/>
  <c r="R10" i="808"/>
  <c r="M11" i="808"/>
  <c r="P11" i="808"/>
  <c r="R11" i="808"/>
  <c r="M12" i="808"/>
  <c r="P12" i="808"/>
  <c r="R12" i="808"/>
  <c r="M13" i="808"/>
  <c r="P13" i="808"/>
  <c r="R13" i="808"/>
  <c r="R14" i="808"/>
  <c r="X18" i="808"/>
  <c r="B27" i="807"/>
  <c r="B16" i="807"/>
  <c r="AZ5" i="807"/>
  <c r="AN5" i="807"/>
  <c r="P13" i="810" l="1"/>
  <c r="N12" i="808"/>
  <c r="AH12" i="808" s="1"/>
  <c r="N8" i="808"/>
  <c r="AH8" i="808" s="1"/>
  <c r="N11" i="808"/>
  <c r="AH11" i="808" s="1"/>
  <c r="N7" i="808"/>
  <c r="AH7" i="808" s="1"/>
  <c r="N13" i="808"/>
  <c r="AH13" i="808" s="1"/>
  <c r="N5" i="808"/>
  <c r="AH5" i="808" s="1"/>
  <c r="N9" i="808"/>
  <c r="AH9" i="808" s="1"/>
  <c r="N6" i="808"/>
  <c r="AH6" i="808" s="1"/>
  <c r="N10" i="808"/>
  <c r="AH10" i="808" s="1"/>
  <c r="A3" i="804"/>
  <c r="A4" i="804" s="1"/>
  <c r="B2" i="804"/>
  <c r="B33" i="803"/>
  <c r="AA311" i="802"/>
  <c r="AA293" i="802"/>
  <c r="AA275" i="802"/>
  <c r="AA257" i="802"/>
  <c r="AA239" i="802"/>
  <c r="AA221" i="802"/>
  <c r="AA203" i="802"/>
  <c r="AA185" i="802"/>
  <c r="AA167" i="802"/>
  <c r="AA149" i="802"/>
  <c r="AA131" i="802"/>
  <c r="AA113" i="802"/>
  <c r="AA95" i="802"/>
  <c r="AA77" i="802"/>
  <c r="AA59" i="802"/>
  <c r="AA41" i="802"/>
  <c r="B36" i="802"/>
  <c r="B54" i="802" s="1"/>
  <c r="B72" i="802" s="1"/>
  <c r="B90" i="802" s="1"/>
  <c r="B108" i="802" s="1"/>
  <c r="B126" i="802" s="1"/>
  <c r="B144" i="802" s="1"/>
  <c r="B162" i="802" s="1"/>
  <c r="B180" i="802" s="1"/>
  <c r="B198" i="802" s="1"/>
  <c r="B216" i="802" s="1"/>
  <c r="B234" i="802" s="1"/>
  <c r="B252" i="802" s="1"/>
  <c r="B270" i="802" s="1"/>
  <c r="B288" i="802" s="1"/>
  <c r="B306" i="802" s="1"/>
  <c r="AA23" i="802"/>
  <c r="AN19" i="802"/>
  <c r="B15" i="802"/>
  <c r="K14" i="802"/>
  <c r="K15" i="802" s="1"/>
  <c r="J14" i="802"/>
  <c r="J15" i="802" s="1"/>
  <c r="I14" i="802"/>
  <c r="I15" i="802" s="1"/>
  <c r="H14" i="802"/>
  <c r="H15" i="802" s="1"/>
  <c r="G14" i="802"/>
  <c r="G15" i="802" s="1"/>
  <c r="F14" i="802"/>
  <c r="F15" i="802" s="1"/>
  <c r="E14" i="802"/>
  <c r="E15" i="802" s="1"/>
  <c r="D14" i="802"/>
  <c r="D15" i="802" s="1"/>
  <c r="C14" i="802"/>
  <c r="C15" i="802" s="1"/>
  <c r="B14" i="802"/>
  <c r="M13" i="802"/>
  <c r="L13" i="802"/>
  <c r="L12" i="802"/>
  <c r="M12" i="802" s="1"/>
  <c r="L11" i="802"/>
  <c r="M11" i="802" s="1"/>
  <c r="L10" i="802"/>
  <c r="M10" i="802" s="1"/>
  <c r="L9" i="802"/>
  <c r="M9" i="802" s="1"/>
  <c r="L8" i="802"/>
  <c r="M8" i="802" s="1"/>
  <c r="L7" i="802"/>
  <c r="M7" i="802" s="1"/>
  <c r="L6" i="802"/>
  <c r="M6" i="802" s="1"/>
  <c r="L5" i="802"/>
  <c r="M5" i="802" s="1"/>
  <c r="B3" i="804" l="1"/>
  <c r="S5" i="808" a="1"/>
  <c r="P8" i="810"/>
  <c r="P14" i="810"/>
  <c r="I28" i="807"/>
  <c r="H17" i="807"/>
  <c r="D17" i="807"/>
  <c r="H28" i="807"/>
  <c r="D28" i="807"/>
  <c r="G28" i="807"/>
  <c r="C28" i="807"/>
  <c r="G17" i="807"/>
  <c r="B17" i="807"/>
  <c r="J28" i="807"/>
  <c r="F17" i="807"/>
  <c r="F28" i="807"/>
  <c r="J17" i="807"/>
  <c r="BG6" i="807"/>
  <c r="BC6" i="807"/>
  <c r="AW6" i="807"/>
  <c r="AS6" i="807"/>
  <c r="AO6" i="807"/>
  <c r="AR6" i="807"/>
  <c r="BI6" i="807"/>
  <c r="AU6" i="807"/>
  <c r="AQ6" i="807"/>
  <c r="BH6" i="807"/>
  <c r="AZ6" i="807"/>
  <c r="AP6" i="807"/>
  <c r="B28" i="807"/>
  <c r="I17" i="807"/>
  <c r="BF6" i="807"/>
  <c r="BB6" i="807"/>
  <c r="AV6" i="807"/>
  <c r="AN6" i="807"/>
  <c r="BE6" i="807"/>
  <c r="BA6" i="807"/>
  <c r="C17" i="807"/>
  <c r="BD6" i="807"/>
  <c r="AT6" i="807"/>
  <c r="D24" i="807"/>
  <c r="D35" i="807"/>
  <c r="H19" i="807"/>
  <c r="H30" i="807"/>
  <c r="H24" i="807"/>
  <c r="H22" i="807"/>
  <c r="H35" i="807"/>
  <c r="H18" i="807"/>
  <c r="H33" i="807"/>
  <c r="H29" i="807"/>
  <c r="G31" i="807"/>
  <c r="C31" i="807"/>
  <c r="B20" i="807"/>
  <c r="B31" i="807"/>
  <c r="E20" i="807"/>
  <c r="E31" i="807"/>
  <c r="D20" i="807"/>
  <c r="BI9" i="807"/>
  <c r="BE9" i="807"/>
  <c r="BA9" i="807"/>
  <c r="AU9" i="807"/>
  <c r="AQ9" i="807"/>
  <c r="C20" i="807"/>
  <c r="BH9" i="807"/>
  <c r="BD9" i="807"/>
  <c r="AZ9" i="807"/>
  <c r="AT9" i="807"/>
  <c r="AP9" i="807"/>
  <c r="H31" i="807"/>
  <c r="H20" i="807"/>
  <c r="BB9" i="807"/>
  <c r="AR9" i="807"/>
  <c r="AV9" i="807"/>
  <c r="BC9" i="807"/>
  <c r="D31" i="807"/>
  <c r="G20" i="807"/>
  <c r="BG9" i="807"/>
  <c r="AW9" i="807"/>
  <c r="AO9" i="807"/>
  <c r="BF9" i="807"/>
  <c r="AN9" i="807"/>
  <c r="AS9" i="807"/>
  <c r="K27" i="807"/>
  <c r="G27" i="807"/>
  <c r="C27" i="807"/>
  <c r="F16" i="807"/>
  <c r="F27" i="807"/>
  <c r="I27" i="807"/>
  <c r="E27" i="807"/>
  <c r="H27" i="807"/>
  <c r="G16" i="807"/>
  <c r="D27" i="807"/>
  <c r="K16" i="807"/>
  <c r="E16" i="807"/>
  <c r="I16" i="807"/>
  <c r="BG5" i="807"/>
  <c r="BC5" i="807"/>
  <c r="AW5" i="807"/>
  <c r="AS5" i="807"/>
  <c r="AO5" i="807"/>
  <c r="BF5" i="807"/>
  <c r="AV5" i="807"/>
  <c r="D16" i="807"/>
  <c r="BE5" i="807"/>
  <c r="AU5" i="807"/>
  <c r="C16" i="807"/>
  <c r="BD5" i="807"/>
  <c r="H16" i="807"/>
  <c r="BB5" i="807"/>
  <c r="AR5" i="807"/>
  <c r="BI5" i="807"/>
  <c r="BA5" i="807"/>
  <c r="AQ5" i="807"/>
  <c r="BH5" i="807"/>
  <c r="AT5" i="807"/>
  <c r="AP5" i="807"/>
  <c r="G29" i="807"/>
  <c r="C29" i="807"/>
  <c r="F18" i="807"/>
  <c r="B18" i="807"/>
  <c r="F29" i="807"/>
  <c r="B29" i="807"/>
  <c r="I18" i="807"/>
  <c r="I29" i="807"/>
  <c r="E29" i="807"/>
  <c r="D29" i="807"/>
  <c r="C18" i="807"/>
  <c r="BF7" i="807"/>
  <c r="BB7" i="807"/>
  <c r="AV7" i="807"/>
  <c r="G18" i="807"/>
  <c r="BE7" i="807"/>
  <c r="AZ7" i="807"/>
  <c r="AS7" i="807"/>
  <c r="AO7" i="807"/>
  <c r="BH7" i="807"/>
  <c r="AU7" i="807"/>
  <c r="D18" i="807"/>
  <c r="BG7" i="807"/>
  <c r="AT7" i="807"/>
  <c r="BI7" i="807"/>
  <c r="BD7" i="807"/>
  <c r="AW7" i="807"/>
  <c r="AR7" i="807"/>
  <c r="AN7" i="807"/>
  <c r="E18" i="807"/>
  <c r="BC7" i="807"/>
  <c r="AQ7" i="807"/>
  <c r="BA7" i="807"/>
  <c r="AP7" i="807"/>
  <c r="F22" i="807"/>
  <c r="F20" i="807"/>
  <c r="F35" i="807"/>
  <c r="F33" i="807"/>
  <c r="F31" i="807"/>
  <c r="F24" i="807"/>
  <c r="K35" i="807"/>
  <c r="K33" i="807"/>
  <c r="K31" i="807"/>
  <c r="K29" i="807"/>
  <c r="K23" i="807"/>
  <c r="K21" i="807"/>
  <c r="K19" i="807"/>
  <c r="K34" i="807"/>
  <c r="K32" i="807"/>
  <c r="K30" i="807"/>
  <c r="K28" i="807"/>
  <c r="K24" i="807"/>
  <c r="K20" i="807"/>
  <c r="K17" i="807"/>
  <c r="K22" i="807"/>
  <c r="K18" i="807"/>
  <c r="G35" i="807"/>
  <c r="G33" i="807"/>
  <c r="G23" i="807"/>
  <c r="G21" i="807"/>
  <c r="G34" i="807"/>
  <c r="G32" i="807"/>
  <c r="G24" i="807"/>
  <c r="G22" i="807"/>
  <c r="I34" i="807"/>
  <c r="I32" i="807"/>
  <c r="I24" i="807"/>
  <c r="I22" i="807"/>
  <c r="I20" i="807"/>
  <c r="I35" i="807"/>
  <c r="I33" i="807"/>
  <c r="I31" i="807"/>
  <c r="I23" i="807"/>
  <c r="I21" i="807"/>
  <c r="I30" i="807"/>
  <c r="E30" i="807"/>
  <c r="D19" i="807"/>
  <c r="D30" i="807"/>
  <c r="G19" i="807"/>
  <c r="C19" i="807"/>
  <c r="G30" i="807"/>
  <c r="C30" i="807"/>
  <c r="F19" i="807"/>
  <c r="BF8" i="807"/>
  <c r="BB8" i="807"/>
  <c r="AV8" i="807"/>
  <c r="AR8" i="807"/>
  <c r="AN8" i="807"/>
  <c r="F30" i="807"/>
  <c r="E19" i="807"/>
  <c r="B19" i="807"/>
  <c r="BG8" i="807"/>
  <c r="BA8" i="807"/>
  <c r="AT8" i="807"/>
  <c r="AO8" i="807"/>
  <c r="BI8" i="807"/>
  <c r="AW8" i="807"/>
  <c r="I19" i="807"/>
  <c r="BC8" i="807"/>
  <c r="AU8" i="807"/>
  <c r="BE8" i="807"/>
  <c r="AZ8" i="807"/>
  <c r="AS8" i="807"/>
  <c r="B30" i="807"/>
  <c r="BD8" i="807"/>
  <c r="AQ8" i="807"/>
  <c r="BH8" i="807"/>
  <c r="AP8" i="807"/>
  <c r="E32" i="807"/>
  <c r="H21" i="807"/>
  <c r="D21" i="807"/>
  <c r="H32" i="807"/>
  <c r="D32" i="807"/>
  <c r="C21" i="807"/>
  <c r="C32" i="807"/>
  <c r="F21" i="807"/>
  <c r="F32" i="807"/>
  <c r="B21" i="807"/>
  <c r="BI10" i="807"/>
  <c r="BE10" i="807"/>
  <c r="BA10" i="807"/>
  <c r="AU10" i="807"/>
  <c r="AQ10" i="807"/>
  <c r="B32" i="807"/>
  <c r="BH10" i="807"/>
  <c r="BD10" i="807"/>
  <c r="AZ10" i="807"/>
  <c r="AT10" i="807"/>
  <c r="AP10" i="807"/>
  <c r="BF10" i="807"/>
  <c r="AV10" i="807"/>
  <c r="AN10" i="807"/>
  <c r="AR10" i="807"/>
  <c r="BG10" i="807"/>
  <c r="AW10" i="807"/>
  <c r="BC10" i="807"/>
  <c r="AS10" i="807"/>
  <c r="BB10" i="807"/>
  <c r="E21" i="807"/>
  <c r="AO10" i="807"/>
  <c r="H34" i="807"/>
  <c r="D34" i="807"/>
  <c r="F23" i="807"/>
  <c r="B23" i="807"/>
  <c r="B34" i="807"/>
  <c r="BI12" i="807"/>
  <c r="BE12" i="807"/>
  <c r="BA12" i="807"/>
  <c r="AU12" i="807"/>
  <c r="AQ12" i="807"/>
  <c r="BH12" i="807"/>
  <c r="BD12" i="807"/>
  <c r="AZ12" i="807"/>
  <c r="AT12" i="807"/>
  <c r="AP12" i="807"/>
  <c r="H23" i="807"/>
  <c r="BF12" i="807"/>
  <c r="AV12" i="807"/>
  <c r="AN12" i="807"/>
  <c r="BB12" i="807"/>
  <c r="AW12" i="807"/>
  <c r="F34" i="807"/>
  <c r="D23" i="807"/>
  <c r="BC12" i="807"/>
  <c r="AS12" i="807"/>
  <c r="AR12" i="807"/>
  <c r="BG12" i="807"/>
  <c r="AO12" i="807"/>
  <c r="B35" i="807"/>
  <c r="B24" i="807"/>
  <c r="C23" i="807"/>
  <c r="C34" i="807"/>
  <c r="C35" i="807"/>
  <c r="E24" i="807"/>
  <c r="BF13" i="807"/>
  <c r="E35" i="807"/>
  <c r="C24" i="807"/>
  <c r="BE13" i="807"/>
  <c r="BA13" i="807"/>
  <c r="AU13" i="807"/>
  <c r="AQ13" i="807"/>
  <c r="BI13" i="807"/>
  <c r="BD13" i="807"/>
  <c r="AZ13" i="807"/>
  <c r="AT13" i="807"/>
  <c r="AP13" i="807"/>
  <c r="BB13" i="807"/>
  <c r="AR13" i="807"/>
  <c r="AV13" i="807"/>
  <c r="AS13" i="807"/>
  <c r="BH13" i="807"/>
  <c r="AW13" i="807"/>
  <c r="AO13" i="807"/>
  <c r="BG13" i="807"/>
  <c r="AN13" i="807"/>
  <c r="BC13" i="807"/>
  <c r="C33" i="807"/>
  <c r="B22" i="807"/>
  <c r="B33" i="807"/>
  <c r="E22" i="807"/>
  <c r="E33" i="807"/>
  <c r="D22" i="807"/>
  <c r="BI11" i="807"/>
  <c r="BE11" i="807"/>
  <c r="BA11" i="807"/>
  <c r="AU11" i="807"/>
  <c r="AQ11" i="807"/>
  <c r="C22" i="807"/>
  <c r="BH11" i="807"/>
  <c r="BD11" i="807"/>
  <c r="AZ11" i="807"/>
  <c r="AT11" i="807"/>
  <c r="AP11" i="807"/>
  <c r="BB11" i="807"/>
  <c r="AR11" i="807"/>
  <c r="BF11" i="807"/>
  <c r="AN11" i="807"/>
  <c r="BC11" i="807"/>
  <c r="BG11" i="807"/>
  <c r="AW11" i="807"/>
  <c r="AO11" i="807"/>
  <c r="D33" i="807"/>
  <c r="AV11" i="807"/>
  <c r="AS11" i="807"/>
  <c r="E34" i="807"/>
  <c r="E28" i="807"/>
  <c r="E23" i="807"/>
  <c r="E17" i="807"/>
  <c r="J22" i="807"/>
  <c r="J20" i="807"/>
  <c r="J18" i="807"/>
  <c r="J16" i="807"/>
  <c r="J35" i="807"/>
  <c r="J33" i="807"/>
  <c r="J31" i="807"/>
  <c r="J29" i="807"/>
  <c r="J27" i="807"/>
  <c r="J23" i="807"/>
  <c r="J21" i="807"/>
  <c r="J30" i="807"/>
  <c r="J34" i="807"/>
  <c r="J32" i="807"/>
  <c r="J24" i="807"/>
  <c r="J19" i="807"/>
  <c r="M14" i="802"/>
  <c r="L15" i="802"/>
  <c r="G16" i="802" s="1"/>
  <c r="A5" i="804"/>
  <c r="B4" i="804"/>
  <c r="E17" i="801"/>
  <c r="E10" i="801"/>
  <c r="E7" i="801"/>
  <c r="E8" i="801" s="1"/>
  <c r="F5" i="801"/>
  <c r="E5" i="801"/>
  <c r="F4" i="801"/>
  <c r="E4" i="801"/>
  <c r="E9" i="801" l="1"/>
  <c r="E13" i="801" s="1"/>
  <c r="S5" i="808"/>
  <c r="S11" i="808"/>
  <c r="S6" i="808"/>
  <c r="S7" i="808"/>
  <c r="S13" i="808"/>
  <c r="S12" i="808"/>
  <c r="S14" i="808"/>
  <c r="S9" i="808"/>
  <c r="S8" i="808"/>
  <c r="S10" i="808"/>
  <c r="Z4" i="810"/>
  <c r="Z5" i="810"/>
  <c r="Z6" i="810"/>
  <c r="Z7" i="810"/>
  <c r="Z8" i="810"/>
  <c r="Z9" i="810"/>
  <c r="Z10" i="810"/>
  <c r="Z11" i="810"/>
  <c r="Z12" i="810"/>
  <c r="Z13" i="810"/>
  <c r="Y13" i="810"/>
  <c r="Y9" i="810"/>
  <c r="Y12" i="810"/>
  <c r="Y5" i="810"/>
  <c r="Y6" i="810"/>
  <c r="Y11" i="810"/>
  <c r="Y8" i="810"/>
  <c r="Y10" i="810"/>
  <c r="Y7" i="810"/>
  <c r="Y4" i="810"/>
  <c r="AH4" i="810"/>
  <c r="AG4" i="810"/>
  <c r="AH5" i="810"/>
  <c r="AG5" i="810"/>
  <c r="AH6" i="810"/>
  <c r="AG6" i="810"/>
  <c r="AH7" i="810"/>
  <c r="AG7" i="810"/>
  <c r="AH9" i="810"/>
  <c r="AH8" i="810"/>
  <c r="AH10" i="810"/>
  <c r="AG8" i="810"/>
  <c r="AG9" i="810"/>
  <c r="AG10" i="810"/>
  <c r="AH11" i="810"/>
  <c r="AH12" i="810"/>
  <c r="AG11" i="810"/>
  <c r="AG12" i="810"/>
  <c r="G26" i="802"/>
  <c r="G29" i="802"/>
  <c r="G31" i="802"/>
  <c r="G28" i="802"/>
  <c r="G25" i="802"/>
  <c r="G23" i="802"/>
  <c r="G27" i="802"/>
  <c r="G24" i="802"/>
  <c r="G30" i="802"/>
  <c r="H16" i="802"/>
  <c r="K16" i="802"/>
  <c r="B16" i="802"/>
  <c r="J16" i="802"/>
  <c r="D16" i="802"/>
  <c r="I16" i="802"/>
  <c r="E16" i="802"/>
  <c r="A6" i="804"/>
  <c r="B5" i="804"/>
  <c r="F16" i="802"/>
  <c r="C16" i="802"/>
  <c r="E11" i="801"/>
  <c r="E12" i="801"/>
  <c r="E14" i="801" l="1"/>
  <c r="X14" i="808" a="1"/>
  <c r="AF27" i="802"/>
  <c r="T27" i="802"/>
  <c r="T23" i="802"/>
  <c r="AF23" i="802"/>
  <c r="A7" i="804"/>
  <c r="B6" i="804"/>
  <c r="J30" i="802"/>
  <c r="J29" i="802"/>
  <c r="J23" i="802"/>
  <c r="J31" i="802"/>
  <c r="J24" i="802"/>
  <c r="J26" i="802"/>
  <c r="J25" i="802"/>
  <c r="J27" i="802"/>
  <c r="J28" i="802"/>
  <c r="AF30" i="802"/>
  <c r="T30" i="802"/>
  <c r="T25" i="802"/>
  <c r="AF25" i="802"/>
  <c r="F31" i="802"/>
  <c r="F24" i="802"/>
  <c r="F28" i="802"/>
  <c r="F30" i="802"/>
  <c r="F25" i="802"/>
  <c r="F26" i="802"/>
  <c r="F27" i="802"/>
  <c r="F29" i="802"/>
  <c r="F23" i="802"/>
  <c r="I30" i="802"/>
  <c r="I29" i="802"/>
  <c r="I28" i="802"/>
  <c r="I23" i="802"/>
  <c r="I24" i="802"/>
  <c r="I26" i="802"/>
  <c r="I31" i="802"/>
  <c r="I25" i="802"/>
  <c r="I27" i="802"/>
  <c r="K28" i="802"/>
  <c r="K23" i="802"/>
  <c r="K25" i="802"/>
  <c r="K27" i="802"/>
  <c r="K24" i="802"/>
  <c r="K26" i="802"/>
  <c r="K30" i="802"/>
  <c r="K31" i="802"/>
  <c r="K29" i="802"/>
  <c r="AF31" i="802"/>
  <c r="T31" i="802"/>
  <c r="D29" i="802"/>
  <c r="D28" i="802"/>
  <c r="D31" i="802"/>
  <c r="D27" i="802"/>
  <c r="D25" i="802"/>
  <c r="D24" i="802"/>
  <c r="D26" i="802"/>
  <c r="D30" i="802"/>
  <c r="D23" i="802"/>
  <c r="H26" i="802"/>
  <c r="H28" i="802"/>
  <c r="H29" i="802"/>
  <c r="H31" i="802"/>
  <c r="H25" i="802"/>
  <c r="H23" i="802"/>
  <c r="H27" i="802"/>
  <c r="H30" i="802"/>
  <c r="H24" i="802"/>
  <c r="AF29" i="802"/>
  <c r="T29" i="802"/>
  <c r="T26" i="802"/>
  <c r="AF26" i="802"/>
  <c r="C30" i="802"/>
  <c r="C28" i="802"/>
  <c r="C26" i="802"/>
  <c r="C23" i="802"/>
  <c r="C27" i="802"/>
  <c r="C24" i="802"/>
  <c r="C29" i="802"/>
  <c r="C25" i="802"/>
  <c r="C31" i="802"/>
  <c r="E23" i="802"/>
  <c r="E24" i="802"/>
  <c r="E27" i="802"/>
  <c r="E26" i="802"/>
  <c r="E29" i="802"/>
  <c r="E30" i="802"/>
  <c r="E28" i="802"/>
  <c r="E25" i="802"/>
  <c r="E31" i="802"/>
  <c r="L16" i="802"/>
  <c r="B30" i="802"/>
  <c r="B29" i="802"/>
  <c r="B23" i="802"/>
  <c r="O23" i="802" s="1"/>
  <c r="B24" i="802"/>
  <c r="B27" i="802"/>
  <c r="B25" i="802"/>
  <c r="B26" i="802"/>
  <c r="B28" i="802"/>
  <c r="B31" i="802"/>
  <c r="AF24" i="802"/>
  <c r="T24" i="802"/>
  <c r="T28" i="802"/>
  <c r="AF28" i="802"/>
  <c r="E15" i="801"/>
  <c r="E19" i="801" s="1"/>
  <c r="E21" i="801" s="1"/>
  <c r="E18" i="801" l="1"/>
  <c r="E20" i="801" s="1"/>
  <c r="AD14" i="808"/>
  <c r="AG14" i="808"/>
  <c r="AF14" i="808"/>
  <c r="AE14" i="808"/>
  <c r="AC14" i="808"/>
  <c r="Y14" i="808"/>
  <c r="X14" i="808"/>
  <c r="AA14" i="808"/>
  <c r="AB14" i="808"/>
  <c r="Z14" i="808"/>
  <c r="O25" i="802"/>
  <c r="AA25" i="802"/>
  <c r="AD31" i="802"/>
  <c r="R31" i="802"/>
  <c r="AD29" i="802"/>
  <c r="R29" i="802"/>
  <c r="R23" i="802"/>
  <c r="AD23" i="802"/>
  <c r="P29" i="802"/>
  <c r="AB29" i="802"/>
  <c r="AB26" i="802"/>
  <c r="P26" i="802"/>
  <c r="U24" i="802"/>
  <c r="AG24" i="802"/>
  <c r="AG25" i="802"/>
  <c r="U25" i="802"/>
  <c r="U26" i="802"/>
  <c r="AG26" i="802"/>
  <c r="AC26" i="802"/>
  <c r="Q26" i="802"/>
  <c r="Q31" i="802"/>
  <c r="AC31" i="802"/>
  <c r="AJ30" i="802"/>
  <c r="X30" i="802"/>
  <c r="X25" i="802"/>
  <c r="AJ25" i="802"/>
  <c r="AH27" i="802"/>
  <c r="V27" i="802"/>
  <c r="AH24" i="802"/>
  <c r="V24" i="802"/>
  <c r="V30" i="802"/>
  <c r="AH30" i="802"/>
  <c r="S27" i="802"/>
  <c r="AE27" i="802"/>
  <c r="AE28" i="802"/>
  <c r="S28" i="802"/>
  <c r="W28" i="802"/>
  <c r="AI28" i="802"/>
  <c r="AI24" i="802"/>
  <c r="W24" i="802"/>
  <c r="AI30" i="802"/>
  <c r="W30" i="802"/>
  <c r="AF32" i="802"/>
  <c r="AA31" i="802"/>
  <c r="O31" i="802"/>
  <c r="AA27" i="802"/>
  <c r="O27" i="802"/>
  <c r="O29" i="802"/>
  <c r="AA29" i="802"/>
  <c r="AD25" i="802"/>
  <c r="R25" i="802"/>
  <c r="R26" i="802"/>
  <c r="AD26" i="802"/>
  <c r="AB24" i="802"/>
  <c r="P24" i="802"/>
  <c r="P28" i="802"/>
  <c r="AB28" i="802"/>
  <c r="U30" i="802"/>
  <c r="AG30" i="802"/>
  <c r="U31" i="802"/>
  <c r="AG31" i="802"/>
  <c r="Q24" i="802"/>
  <c r="AC24" i="802"/>
  <c r="AC28" i="802"/>
  <c r="Q28" i="802"/>
  <c r="AJ26" i="802"/>
  <c r="X26" i="802"/>
  <c r="X23" i="802"/>
  <c r="AJ23" i="802"/>
  <c r="V25" i="802"/>
  <c r="AH25" i="802"/>
  <c r="V23" i="802"/>
  <c r="AH23" i="802"/>
  <c r="AE26" i="802"/>
  <c r="S26" i="802"/>
  <c r="S24" i="802"/>
  <c r="AE24" i="802"/>
  <c r="AI27" i="802"/>
  <c r="W27" i="802"/>
  <c r="AI31" i="802"/>
  <c r="W31" i="802"/>
  <c r="T32" i="802"/>
  <c r="O28" i="802"/>
  <c r="AA28" i="802"/>
  <c r="AK28" i="802" s="1"/>
  <c r="AA24" i="802"/>
  <c r="O24" i="802"/>
  <c r="AA30" i="802"/>
  <c r="O30" i="802"/>
  <c r="AD28" i="802"/>
  <c r="R28" i="802"/>
  <c r="AD27" i="802"/>
  <c r="R27" i="802"/>
  <c r="P31" i="802"/>
  <c r="AB31" i="802"/>
  <c r="AB27" i="802"/>
  <c r="P27" i="802"/>
  <c r="P30" i="802"/>
  <c r="AB30" i="802"/>
  <c r="U27" i="802"/>
  <c r="AG27" i="802"/>
  <c r="U29" i="802"/>
  <c r="AG29" i="802"/>
  <c r="AC23" i="802"/>
  <c r="Q23" i="802"/>
  <c r="AC25" i="802"/>
  <c r="Q25" i="802"/>
  <c r="Q29" i="802"/>
  <c r="AC29" i="802"/>
  <c r="AJ29" i="802"/>
  <c r="X29" i="802"/>
  <c r="X24" i="802"/>
  <c r="AJ24" i="802"/>
  <c r="X28" i="802"/>
  <c r="AJ28" i="802"/>
  <c r="AH31" i="802"/>
  <c r="V31" i="802"/>
  <c r="V28" i="802"/>
  <c r="AH28" i="802"/>
  <c r="AE23" i="802"/>
  <c r="S23" i="802"/>
  <c r="AE25" i="802"/>
  <c r="S25" i="802"/>
  <c r="S31" i="802"/>
  <c r="AE31" i="802"/>
  <c r="AI25" i="802"/>
  <c r="W25" i="802"/>
  <c r="AI23" i="802"/>
  <c r="W23" i="802"/>
  <c r="AA26" i="802"/>
  <c r="O26" i="802"/>
  <c r="R30" i="802"/>
  <c r="AD30" i="802"/>
  <c r="AD24" i="802"/>
  <c r="R24" i="802"/>
  <c r="P25" i="802"/>
  <c r="AB25" i="802"/>
  <c r="P23" i="802"/>
  <c r="Y23" i="802" s="1"/>
  <c r="AB23" i="802"/>
  <c r="U23" i="802"/>
  <c r="AG23" i="802"/>
  <c r="AG28" i="802"/>
  <c r="U28" i="802"/>
  <c r="AC30" i="802"/>
  <c r="Q30" i="802"/>
  <c r="Q27" i="802"/>
  <c r="AC27" i="802"/>
  <c r="X31" i="802"/>
  <c r="AJ31" i="802"/>
  <c r="X27" i="802"/>
  <c r="AJ27" i="802"/>
  <c r="V26" i="802"/>
  <c r="AH26" i="802"/>
  <c r="AH29" i="802"/>
  <c r="V29" i="802"/>
  <c r="AE29" i="802"/>
  <c r="S29" i="802"/>
  <c r="AE30" i="802"/>
  <c r="S30" i="802"/>
  <c r="AI26" i="802"/>
  <c r="W26" i="802"/>
  <c r="W29" i="802"/>
  <c r="AI29" i="802"/>
  <c r="A8" i="804"/>
  <c r="B7" i="804"/>
  <c r="G33" i="802" l="1"/>
  <c r="X32" i="802"/>
  <c r="W32" i="802"/>
  <c r="Q32" i="802"/>
  <c r="AD32" i="802"/>
  <c r="AA10" i="808"/>
  <c r="AA23" i="808" s="1"/>
  <c r="AA5" i="808"/>
  <c r="AA12" i="808"/>
  <c r="AA25" i="808" s="1"/>
  <c r="AA7" i="808"/>
  <c r="AA20" i="808" s="1"/>
  <c r="AA9" i="808"/>
  <c r="AA22" i="808" s="1"/>
  <c r="AA6" i="808"/>
  <c r="AA19" i="808" s="1"/>
  <c r="AA13" i="808"/>
  <c r="AA26" i="808" s="1"/>
  <c r="AA8" i="808"/>
  <c r="AA21" i="808" s="1"/>
  <c r="AA11" i="808"/>
  <c r="AA24" i="808" s="1"/>
  <c r="AE13" i="808"/>
  <c r="AE26" i="808" s="1"/>
  <c r="AE10" i="808"/>
  <c r="AE23" i="808" s="1"/>
  <c r="AE8" i="808"/>
  <c r="AE21" i="808" s="1"/>
  <c r="AE12" i="808"/>
  <c r="AE25" i="808" s="1"/>
  <c r="AE5" i="808"/>
  <c r="AE6" i="808"/>
  <c r="AE19" i="808" s="1"/>
  <c r="AE11" i="808"/>
  <c r="AE24" i="808" s="1"/>
  <c r="AE7" i="808"/>
  <c r="AE20" i="808" s="1"/>
  <c r="AE9" i="808"/>
  <c r="AE22" i="808" s="1"/>
  <c r="X11" i="808"/>
  <c r="X5" i="808"/>
  <c r="X6" i="808"/>
  <c r="X9" i="808"/>
  <c r="X10" i="808"/>
  <c r="X13" i="808"/>
  <c r="X12" i="808"/>
  <c r="X7" i="808"/>
  <c r="X8" i="808"/>
  <c r="AF6" i="808"/>
  <c r="AF19" i="808" s="1"/>
  <c r="AF8" i="808"/>
  <c r="AF21" i="808" s="1"/>
  <c r="AF13" i="808"/>
  <c r="AF26" i="808" s="1"/>
  <c r="AF7" i="808"/>
  <c r="AF20" i="808" s="1"/>
  <c r="AF5" i="808"/>
  <c r="AF10" i="808"/>
  <c r="AF23" i="808" s="1"/>
  <c r="AF11" i="808"/>
  <c r="AF24" i="808" s="1"/>
  <c r="AF12" i="808"/>
  <c r="AF25" i="808" s="1"/>
  <c r="AF9" i="808"/>
  <c r="AF22" i="808" s="1"/>
  <c r="Z6" i="808"/>
  <c r="Z19" i="808" s="1"/>
  <c r="Z5" i="808"/>
  <c r="Z7" i="808"/>
  <c r="Z20" i="808" s="1"/>
  <c r="Z13" i="808"/>
  <c r="Z26" i="808" s="1"/>
  <c r="Z8" i="808"/>
  <c r="Z21" i="808" s="1"/>
  <c r="Z9" i="808"/>
  <c r="Z22" i="808" s="1"/>
  <c r="Z12" i="808"/>
  <c r="Z25" i="808" s="1"/>
  <c r="Z11" i="808"/>
  <c r="Z24" i="808" s="1"/>
  <c r="Z10" i="808"/>
  <c r="Z23" i="808" s="1"/>
  <c r="Y6" i="808"/>
  <c r="Y19" i="808" s="1"/>
  <c r="Y13" i="808"/>
  <c r="Y26" i="808" s="1"/>
  <c r="Y11" i="808"/>
  <c r="Y24" i="808" s="1"/>
  <c r="Y8" i="808"/>
  <c r="Y21" i="808" s="1"/>
  <c r="Y5" i="808"/>
  <c r="Y10" i="808"/>
  <c r="Y23" i="808" s="1"/>
  <c r="Y12" i="808"/>
  <c r="Y25" i="808" s="1"/>
  <c r="Y7" i="808"/>
  <c r="Y20" i="808" s="1"/>
  <c r="Y9" i="808"/>
  <c r="Y22" i="808" s="1"/>
  <c r="AG12" i="808"/>
  <c r="AG25" i="808" s="1"/>
  <c r="AG5" i="808"/>
  <c r="AG6" i="808"/>
  <c r="AG19" i="808" s="1"/>
  <c r="AG9" i="808"/>
  <c r="AG22" i="808" s="1"/>
  <c r="AG7" i="808"/>
  <c r="AG20" i="808" s="1"/>
  <c r="AG11" i="808"/>
  <c r="AG24" i="808" s="1"/>
  <c r="AG13" i="808"/>
  <c r="AG26" i="808" s="1"/>
  <c r="AG8" i="808"/>
  <c r="AG21" i="808" s="1"/>
  <c r="AG10" i="808"/>
  <c r="AG23" i="808" s="1"/>
  <c r="AB12" i="808"/>
  <c r="AB25" i="808" s="1"/>
  <c r="AB13" i="808"/>
  <c r="AB26" i="808" s="1"/>
  <c r="AB6" i="808"/>
  <c r="AB19" i="808" s="1"/>
  <c r="AB9" i="808"/>
  <c r="AB22" i="808" s="1"/>
  <c r="AB5" i="808"/>
  <c r="AB8" i="808"/>
  <c r="AB21" i="808" s="1"/>
  <c r="AB10" i="808"/>
  <c r="AB23" i="808" s="1"/>
  <c r="AB11" i="808"/>
  <c r="AB24" i="808" s="1"/>
  <c r="AB7" i="808"/>
  <c r="AB20" i="808" s="1"/>
  <c r="AC8" i="808"/>
  <c r="AC21" i="808" s="1"/>
  <c r="AC13" i="808"/>
  <c r="AC26" i="808" s="1"/>
  <c r="AC10" i="808"/>
  <c r="AC23" i="808" s="1"/>
  <c r="AC5" i="808"/>
  <c r="AC7" i="808"/>
  <c r="AC20" i="808" s="1"/>
  <c r="AC6" i="808"/>
  <c r="AC19" i="808" s="1"/>
  <c r="AC9" i="808"/>
  <c r="AC22" i="808" s="1"/>
  <c r="AC12" i="808"/>
  <c r="AC25" i="808" s="1"/>
  <c r="AC11" i="808"/>
  <c r="AC24" i="808" s="1"/>
  <c r="AD9" i="808"/>
  <c r="AD22" i="808" s="1"/>
  <c r="AD10" i="808"/>
  <c r="AD23" i="808" s="1"/>
  <c r="AD11" i="808"/>
  <c r="AD24" i="808" s="1"/>
  <c r="AD12" i="808"/>
  <c r="AD25" i="808" s="1"/>
  <c r="AD13" i="808"/>
  <c r="AD26" i="808" s="1"/>
  <c r="AD8" i="808"/>
  <c r="AD21" i="808" s="1"/>
  <c r="AD5" i="808"/>
  <c r="AD6" i="808"/>
  <c r="AD19" i="808" s="1"/>
  <c r="AD7" i="808"/>
  <c r="AD20" i="808" s="1"/>
  <c r="AK23" i="802"/>
  <c r="AB32" i="802"/>
  <c r="S32" i="802"/>
  <c r="Y30" i="802"/>
  <c r="V32" i="802"/>
  <c r="Y29" i="802"/>
  <c r="AK31" i="802"/>
  <c r="P32" i="802"/>
  <c r="O32" i="802"/>
  <c r="AI32" i="802"/>
  <c r="AE32" i="802"/>
  <c r="AC32" i="802"/>
  <c r="AK30" i="802"/>
  <c r="Y28" i="802"/>
  <c r="M28" i="802" s="1"/>
  <c r="Y27" i="802"/>
  <c r="R32" i="802"/>
  <c r="E33" i="802" s="1"/>
  <c r="AG32" i="802"/>
  <c r="Y26" i="802"/>
  <c r="Y24" i="802"/>
  <c r="AK27" i="802"/>
  <c r="AK25" i="802"/>
  <c r="M25" i="802" s="1"/>
  <c r="A9" i="804"/>
  <c r="B8" i="804"/>
  <c r="U32" i="802"/>
  <c r="AK26" i="802"/>
  <c r="AK24" i="802"/>
  <c r="AA32" i="802"/>
  <c r="AH32" i="802"/>
  <c r="AJ32" i="802"/>
  <c r="K33" i="802" s="1"/>
  <c r="AK29" i="802"/>
  <c r="Y31" i="802"/>
  <c r="Y25" i="802"/>
  <c r="AA15" i="808" l="1" a="1"/>
  <c r="Y15" i="808" a="1"/>
  <c r="AG15" i="808" a="1"/>
  <c r="AF15" i="808" a="1"/>
  <c r="AD15" i="808" a="1"/>
  <c r="Z15" i="808" a="1"/>
  <c r="AE15" i="808" a="1"/>
  <c r="AC15" i="808" a="1"/>
  <c r="AC15" i="808" s="1"/>
  <c r="AB15" i="808" a="1"/>
  <c r="M27" i="802"/>
  <c r="J33" i="802"/>
  <c r="X15" i="808" a="1"/>
  <c r="AI5" i="808" a="1"/>
  <c r="O5" i="808" a="1"/>
  <c r="O5" i="808" s="1"/>
  <c r="AI6" i="808" a="1"/>
  <c r="AI6" i="808" s="1"/>
  <c r="O6" i="808" a="1"/>
  <c r="M26" i="802"/>
  <c r="H33" i="802"/>
  <c r="AI8" i="808" a="1"/>
  <c r="AI8" i="808" s="1"/>
  <c r="O8" i="808" a="1"/>
  <c r="O11" i="808" a="1"/>
  <c r="AI11" i="808" a="1"/>
  <c r="I33" i="802"/>
  <c r="O7" i="808" a="1"/>
  <c r="O7" i="808" s="1"/>
  <c r="AI7" i="808" a="1"/>
  <c r="AI7" i="808" s="1"/>
  <c r="O12" i="808" a="1"/>
  <c r="AI12" i="808" a="1"/>
  <c r="AI12" i="808" s="1"/>
  <c r="O13" i="808" a="1"/>
  <c r="O13" i="808" s="1"/>
  <c r="AI13" i="808" a="1"/>
  <c r="M31" i="802"/>
  <c r="AI10" i="808" a="1"/>
  <c r="AI10" i="808" s="1"/>
  <c r="O10" i="808" a="1"/>
  <c r="O10" i="808" s="1"/>
  <c r="D33" i="802"/>
  <c r="O9" i="808" a="1"/>
  <c r="AI9" i="808" a="1"/>
  <c r="AI9" i="808" s="1"/>
  <c r="AD18" i="808"/>
  <c r="AD27" i="808" s="1"/>
  <c r="AD28" i="808" a="1"/>
  <c r="AD28" i="808" s="1"/>
  <c r="AD15" i="808"/>
  <c r="AC18" i="808"/>
  <c r="AC27" i="808" s="1"/>
  <c r="AC28" i="808" a="1"/>
  <c r="AC28" i="808" s="1"/>
  <c r="AB18" i="808"/>
  <c r="AB27" i="808" s="1"/>
  <c r="AB28" i="808" a="1"/>
  <c r="AB28" i="808" s="1"/>
  <c r="AB15" i="808"/>
  <c r="AG28" i="808" a="1"/>
  <c r="AG28" i="808" s="1"/>
  <c r="AG18" i="808"/>
  <c r="AG27" i="808" s="1"/>
  <c r="AG15" i="808"/>
  <c r="AF18" i="808"/>
  <c r="AF27" i="808" s="1"/>
  <c r="AF28" i="808" a="1"/>
  <c r="AF28" i="808" s="1"/>
  <c r="AF15" i="808"/>
  <c r="X26" i="808"/>
  <c r="AH26" i="808" s="1"/>
  <c r="AI26" i="808" a="1"/>
  <c r="AI26" i="808" s="1"/>
  <c r="AI13" i="808"/>
  <c r="AI18" i="808" a="1"/>
  <c r="AI18" i="808" s="1"/>
  <c r="X28" i="808" a="1"/>
  <c r="X28" i="808" s="1"/>
  <c r="AI5" i="808"/>
  <c r="X15" i="808"/>
  <c r="X21" i="808"/>
  <c r="AH21" i="808" s="1"/>
  <c r="AI21" i="808" a="1"/>
  <c r="AI21" i="808" s="1"/>
  <c r="O8" i="808"/>
  <c r="X23" i="808"/>
  <c r="AH23" i="808" s="1"/>
  <c r="AI23" i="808" a="1"/>
  <c r="AI23" i="808" s="1"/>
  <c r="X24" i="808"/>
  <c r="AH24" i="808" s="1"/>
  <c r="AI24" i="808" a="1"/>
  <c r="AI24" i="808" s="1"/>
  <c r="O11" i="808"/>
  <c r="AI11" i="808"/>
  <c r="Y18" i="808"/>
  <c r="Y28" i="808" a="1"/>
  <c r="Y28" i="808" s="1"/>
  <c r="Y15" i="808"/>
  <c r="Z18" i="808"/>
  <c r="Z27" i="808" s="1"/>
  <c r="Z28" i="808" a="1"/>
  <c r="Z28" i="808" s="1"/>
  <c r="Z15" i="808"/>
  <c r="AI20" i="808" a="1"/>
  <c r="AI20" i="808" s="1"/>
  <c r="X20" i="808"/>
  <c r="AH20" i="808" s="1"/>
  <c r="AI22" i="808" a="1"/>
  <c r="AI22" i="808" s="1"/>
  <c r="X22" i="808"/>
  <c r="AH22" i="808" s="1"/>
  <c r="O9" i="808"/>
  <c r="AE28" i="808" a="1"/>
  <c r="AE28" i="808" s="1"/>
  <c r="AE18" i="808"/>
  <c r="AE27" i="808" s="1"/>
  <c r="AE15" i="808"/>
  <c r="AA18" i="808"/>
  <c r="AA27" i="808" s="1"/>
  <c r="AA28" i="808" a="1"/>
  <c r="AA28" i="808" s="1"/>
  <c r="AA15" i="808"/>
  <c r="AI25" i="808" a="1"/>
  <c r="AI25" i="808" s="1"/>
  <c r="X25" i="808"/>
  <c r="AH25" i="808" s="1"/>
  <c r="O12" i="808"/>
  <c r="X19" i="808"/>
  <c r="AI19" i="808" a="1"/>
  <c r="AI19" i="808" s="1"/>
  <c r="O6" i="808"/>
  <c r="M30" i="802"/>
  <c r="B33" i="802"/>
  <c r="C33" i="802"/>
  <c r="M29" i="802"/>
  <c r="M24" i="802"/>
  <c r="A10" i="804"/>
  <c r="B9" i="804"/>
  <c r="F33" i="802"/>
  <c r="AK32" i="802"/>
  <c r="M23" i="802"/>
  <c r="T5" i="808" l="1" a="1"/>
  <c r="X27" i="808"/>
  <c r="AH19" i="808"/>
  <c r="Y27" i="808"/>
  <c r="AH18" i="808"/>
  <c r="A11" i="804"/>
  <c r="B10" i="804"/>
  <c r="L33" i="802"/>
  <c r="F34" i="802" s="1"/>
  <c r="F48" i="802" s="1"/>
  <c r="T10" i="808" l="1"/>
  <c r="T9" i="808"/>
  <c r="T7" i="808"/>
  <c r="T5" i="808"/>
  <c r="T12" i="808"/>
  <c r="T11" i="808"/>
  <c r="T8" i="808"/>
  <c r="T6" i="808"/>
  <c r="T14" i="808"/>
  <c r="T13" i="808"/>
  <c r="AE48" i="802"/>
  <c r="S48" i="802"/>
  <c r="F44" i="802"/>
  <c r="F49" i="802"/>
  <c r="F45" i="802"/>
  <c r="F43" i="802"/>
  <c r="F46" i="802"/>
  <c r="F42" i="802"/>
  <c r="G34" i="802"/>
  <c r="E34" i="802"/>
  <c r="K34" i="802"/>
  <c r="H34" i="802"/>
  <c r="I34" i="802"/>
  <c r="D34" i="802"/>
  <c r="J34" i="802"/>
  <c r="F41" i="802"/>
  <c r="F47" i="802"/>
  <c r="B34" i="802"/>
  <c r="B11" i="804"/>
  <c r="A12" i="804"/>
  <c r="C34" i="802"/>
  <c r="J43" i="802" l="1"/>
  <c r="J49" i="802"/>
  <c r="J45" i="802"/>
  <c r="J46" i="802"/>
  <c r="J44" i="802"/>
  <c r="J41" i="802"/>
  <c r="J42" i="802"/>
  <c r="J47" i="802"/>
  <c r="J48" i="802"/>
  <c r="K44" i="802"/>
  <c r="K43" i="802"/>
  <c r="K49" i="802"/>
  <c r="K45" i="802"/>
  <c r="K46" i="802"/>
  <c r="K47" i="802"/>
  <c r="K41" i="802"/>
  <c r="K42" i="802"/>
  <c r="K48" i="802"/>
  <c r="S46" i="802"/>
  <c r="AE46" i="802"/>
  <c r="S44" i="802"/>
  <c r="AE44" i="802"/>
  <c r="L34" i="802"/>
  <c r="B46" i="802"/>
  <c r="B43" i="802"/>
  <c r="B44" i="802"/>
  <c r="B49" i="802"/>
  <c r="B45" i="802"/>
  <c r="B47" i="802"/>
  <c r="B48" i="802"/>
  <c r="B42" i="802"/>
  <c r="B41" i="802"/>
  <c r="O41" i="802" s="1"/>
  <c r="D45" i="802"/>
  <c r="D44" i="802"/>
  <c r="D46" i="802"/>
  <c r="D43" i="802"/>
  <c r="D49" i="802"/>
  <c r="D42" i="802"/>
  <c r="D47" i="802"/>
  <c r="D48" i="802"/>
  <c r="D41" i="802"/>
  <c r="E44" i="802"/>
  <c r="E46" i="802"/>
  <c r="E45" i="802"/>
  <c r="E49" i="802"/>
  <c r="E43" i="802"/>
  <c r="E48" i="802"/>
  <c r="E47" i="802"/>
  <c r="E41" i="802"/>
  <c r="E42" i="802"/>
  <c r="AE43" i="802"/>
  <c r="S43" i="802"/>
  <c r="C46" i="802"/>
  <c r="C49" i="802"/>
  <c r="C45" i="802"/>
  <c r="C44" i="802"/>
  <c r="C43" i="802"/>
  <c r="C41" i="802"/>
  <c r="C48" i="802"/>
  <c r="C42" i="802"/>
  <c r="C47" i="802"/>
  <c r="AE47" i="802"/>
  <c r="S47" i="802"/>
  <c r="I45" i="802"/>
  <c r="I46" i="802"/>
  <c r="I44" i="802"/>
  <c r="I43" i="802"/>
  <c r="I49" i="802"/>
  <c r="I41" i="802"/>
  <c r="I48" i="802"/>
  <c r="I42" i="802"/>
  <c r="I47" i="802"/>
  <c r="G44" i="802"/>
  <c r="G43" i="802"/>
  <c r="G49" i="802"/>
  <c r="G46" i="802"/>
  <c r="G45" i="802"/>
  <c r="G48" i="802"/>
  <c r="G42" i="802"/>
  <c r="G41" i="802"/>
  <c r="G47" i="802"/>
  <c r="S45" i="802"/>
  <c r="AE45" i="802"/>
  <c r="A13" i="804"/>
  <c r="B12" i="804"/>
  <c r="S41" i="802"/>
  <c r="AE41" i="802"/>
  <c r="H49" i="802"/>
  <c r="H46" i="802"/>
  <c r="H45" i="802"/>
  <c r="H43" i="802"/>
  <c r="H44" i="802"/>
  <c r="H41" i="802"/>
  <c r="H42" i="802"/>
  <c r="H47" i="802"/>
  <c r="H48" i="802"/>
  <c r="S42" i="802"/>
  <c r="AE42" i="802"/>
  <c r="AE49" i="802"/>
  <c r="S49" i="802"/>
  <c r="AG47" i="802" l="1"/>
  <c r="U47" i="802"/>
  <c r="U43" i="802"/>
  <c r="AG43" i="802"/>
  <c r="A14" i="804"/>
  <c r="B13" i="804"/>
  <c r="T41" i="802"/>
  <c r="AF41" i="802"/>
  <c r="AF46" i="802"/>
  <c r="T46" i="802"/>
  <c r="AH41" i="802"/>
  <c r="V41" i="802"/>
  <c r="V46" i="802"/>
  <c r="AH46" i="802"/>
  <c r="P41" i="802"/>
  <c r="AB41" i="802"/>
  <c r="P49" i="802"/>
  <c r="AB49" i="802"/>
  <c r="AD48" i="802"/>
  <c r="R48" i="802"/>
  <c r="AD46" i="802"/>
  <c r="R46" i="802"/>
  <c r="Q48" i="802"/>
  <c r="AC48" i="802"/>
  <c r="AC43" i="802"/>
  <c r="Q43" i="802"/>
  <c r="AA47" i="802"/>
  <c r="O47" i="802"/>
  <c r="AA43" i="802"/>
  <c r="O43" i="802"/>
  <c r="AJ48" i="802"/>
  <c r="X48" i="802"/>
  <c r="AJ46" i="802"/>
  <c r="X46" i="802"/>
  <c r="X44" i="802"/>
  <c r="AJ44" i="802"/>
  <c r="W42" i="802"/>
  <c r="AI42" i="802"/>
  <c r="AI45" i="802"/>
  <c r="W45" i="802"/>
  <c r="U42" i="802"/>
  <c r="AG42" i="802"/>
  <c r="AG45" i="802"/>
  <c r="U45" i="802"/>
  <c r="AE50" i="802"/>
  <c r="AF42" i="802"/>
  <c r="T42" i="802"/>
  <c r="T49" i="802"/>
  <c r="AF49" i="802"/>
  <c r="V47" i="802"/>
  <c r="AH47" i="802"/>
  <c r="V49" i="802"/>
  <c r="AH49" i="802"/>
  <c r="AH45" i="802"/>
  <c r="V45" i="802"/>
  <c r="AB47" i="802"/>
  <c r="P47" i="802"/>
  <c r="P43" i="802"/>
  <c r="AB43" i="802"/>
  <c r="AB46" i="802"/>
  <c r="P46" i="802"/>
  <c r="R42" i="802"/>
  <c r="AD42" i="802"/>
  <c r="R43" i="802"/>
  <c r="AD43" i="802"/>
  <c r="AD44" i="802"/>
  <c r="R44" i="802"/>
  <c r="Q47" i="802"/>
  <c r="AC47" i="802"/>
  <c r="Q46" i="802"/>
  <c r="AC46" i="802"/>
  <c r="AA45" i="802"/>
  <c r="O45" i="802"/>
  <c r="O46" i="802"/>
  <c r="AA46" i="802"/>
  <c r="AJ42" i="802"/>
  <c r="X42" i="802"/>
  <c r="X45" i="802"/>
  <c r="AJ45" i="802"/>
  <c r="AI41" i="802"/>
  <c r="W41" i="802"/>
  <c r="AI49" i="802"/>
  <c r="W49" i="802"/>
  <c r="AG41" i="802"/>
  <c r="U41" i="802"/>
  <c r="AG46" i="802"/>
  <c r="U46" i="802"/>
  <c r="S50" i="802"/>
  <c r="T48" i="802"/>
  <c r="AF48" i="802"/>
  <c r="AF43" i="802"/>
  <c r="T43" i="802"/>
  <c r="AH42" i="802"/>
  <c r="V42" i="802"/>
  <c r="V43" i="802"/>
  <c r="AH43" i="802"/>
  <c r="AB42" i="802"/>
  <c r="P42" i="802"/>
  <c r="P44" i="802"/>
  <c r="AB44" i="802"/>
  <c r="R41" i="802"/>
  <c r="AD41" i="802"/>
  <c r="AD49" i="802"/>
  <c r="R49" i="802"/>
  <c r="AC42" i="802"/>
  <c r="Q42" i="802"/>
  <c r="Q44" i="802"/>
  <c r="AC44" i="802"/>
  <c r="O42" i="802"/>
  <c r="AA42" i="802"/>
  <c r="O49" i="802"/>
  <c r="AA49" i="802"/>
  <c r="X41" i="802"/>
  <c r="AJ41" i="802"/>
  <c r="X49" i="802"/>
  <c r="AJ49" i="802"/>
  <c r="AI48" i="802"/>
  <c r="W48" i="802"/>
  <c r="AI44" i="802"/>
  <c r="W44" i="802"/>
  <c r="AI43" i="802"/>
  <c r="W43" i="802"/>
  <c r="U48" i="802"/>
  <c r="AG48" i="802"/>
  <c r="U44" i="802"/>
  <c r="AG44" i="802"/>
  <c r="AG49" i="802"/>
  <c r="U49" i="802"/>
  <c r="AF47" i="802"/>
  <c r="T47" i="802"/>
  <c r="T45" i="802"/>
  <c r="AF45" i="802"/>
  <c r="AF44" i="802"/>
  <c r="T44" i="802"/>
  <c r="AH48" i="802"/>
  <c r="V48" i="802"/>
  <c r="AH44" i="802"/>
  <c r="V44" i="802"/>
  <c r="AB48" i="802"/>
  <c r="P48" i="802"/>
  <c r="P45" i="802"/>
  <c r="AB45" i="802"/>
  <c r="R47" i="802"/>
  <c r="AD47" i="802"/>
  <c r="AD45" i="802"/>
  <c r="R45" i="802"/>
  <c r="AC41" i="802"/>
  <c r="Q41" i="802"/>
  <c r="AC49" i="802"/>
  <c r="Q49" i="802"/>
  <c r="AC45" i="802"/>
  <c r="Q45" i="802"/>
  <c r="O48" i="802"/>
  <c r="AA48" i="802"/>
  <c r="AA44" i="802"/>
  <c r="O44" i="802"/>
  <c r="X47" i="802"/>
  <c r="AJ47" i="802"/>
  <c r="AJ43" i="802"/>
  <c r="X43" i="802"/>
  <c r="AI47" i="802"/>
  <c r="W47" i="802"/>
  <c r="W46" i="802"/>
  <c r="AI46" i="802"/>
  <c r="AD50" i="802" l="1"/>
  <c r="AK48" i="802"/>
  <c r="Y46" i="802"/>
  <c r="AJ50" i="802"/>
  <c r="AK42" i="802"/>
  <c r="AA50" i="802"/>
  <c r="B51" i="802" s="1"/>
  <c r="O50" i="802"/>
  <c r="Y47" i="802"/>
  <c r="AB50" i="802"/>
  <c r="AK41" i="802"/>
  <c r="V50" i="802"/>
  <c r="AF50" i="802"/>
  <c r="Y48" i="802"/>
  <c r="M48" i="802" s="1"/>
  <c r="X50" i="802"/>
  <c r="Y42" i="802"/>
  <c r="R50" i="802"/>
  <c r="E51" i="802" s="1"/>
  <c r="U50" i="802"/>
  <c r="W50" i="802"/>
  <c r="Y45" i="802"/>
  <c r="AK47" i="802"/>
  <c r="P50" i="802"/>
  <c r="AH50" i="802"/>
  <c r="T50" i="802"/>
  <c r="Y44" i="802"/>
  <c r="Q50" i="802"/>
  <c r="AK49" i="802"/>
  <c r="AG50" i="802"/>
  <c r="AI50" i="802"/>
  <c r="J51" i="802" s="1"/>
  <c r="AK45" i="802"/>
  <c r="M45" i="802" s="1"/>
  <c r="Y43" i="802"/>
  <c r="AK44" i="802"/>
  <c r="AC50" i="802"/>
  <c r="Y49" i="802"/>
  <c r="AK46" i="802"/>
  <c r="M46" i="802" s="1"/>
  <c r="Y41" i="802"/>
  <c r="F51" i="802"/>
  <c r="AK43" i="802"/>
  <c r="M43" i="802" s="1"/>
  <c r="A15" i="804"/>
  <c r="B14" i="804"/>
  <c r="M42" i="802" l="1"/>
  <c r="G51" i="802"/>
  <c r="K51" i="802"/>
  <c r="M47" i="802"/>
  <c r="C51" i="802"/>
  <c r="D51" i="802"/>
  <c r="M44" i="802"/>
  <c r="H51" i="802"/>
  <c r="L51" i="802" s="1"/>
  <c r="A16" i="804"/>
  <c r="B15" i="804"/>
  <c r="M49" i="802"/>
  <c r="I51" i="802"/>
  <c r="AK50" i="802"/>
  <c r="M41" i="802"/>
  <c r="J65" i="802" l="1"/>
  <c r="W65" i="802" s="1"/>
  <c r="B52" i="802"/>
  <c r="G52" i="802"/>
  <c r="G60" i="802" s="1"/>
  <c r="J52" i="802"/>
  <c r="B65" i="802"/>
  <c r="B60" i="802"/>
  <c r="B66" i="802"/>
  <c r="B61" i="802"/>
  <c r="B63" i="802"/>
  <c r="B64" i="802"/>
  <c r="G67" i="802"/>
  <c r="B67" i="802"/>
  <c r="J67" i="802"/>
  <c r="J62" i="802"/>
  <c r="B62" i="802"/>
  <c r="G62" i="802"/>
  <c r="AF60" i="802"/>
  <c r="T60" i="802"/>
  <c r="AI65" i="802"/>
  <c r="E52" i="802"/>
  <c r="E62" i="802" s="1"/>
  <c r="E59" i="802"/>
  <c r="J59" i="802"/>
  <c r="B59" i="802"/>
  <c r="O59" i="802" s="1"/>
  <c r="G59" i="802"/>
  <c r="A17" i="804"/>
  <c r="B16" i="804"/>
  <c r="D52" i="802"/>
  <c r="D62" i="802" s="1"/>
  <c r="C52" i="802"/>
  <c r="J61" i="802"/>
  <c r="G64" i="802"/>
  <c r="K52" i="802"/>
  <c r="J60" i="802"/>
  <c r="G65" i="802"/>
  <c r="F52" i="802"/>
  <c r="F67" i="802" s="1"/>
  <c r="G63" i="802"/>
  <c r="J63" i="802"/>
  <c r="G61" i="802"/>
  <c r="I52" i="802"/>
  <c r="I62" i="802" s="1"/>
  <c r="J64" i="802"/>
  <c r="H52" i="802"/>
  <c r="G66" i="802"/>
  <c r="J66" i="802"/>
  <c r="E67" i="802" l="1"/>
  <c r="H61" i="802"/>
  <c r="H63" i="802"/>
  <c r="H60" i="802"/>
  <c r="H64" i="802"/>
  <c r="H66" i="802"/>
  <c r="H65" i="802"/>
  <c r="W63" i="802"/>
  <c r="AI63" i="802"/>
  <c r="AI60" i="802"/>
  <c r="W60" i="802"/>
  <c r="C66" i="802"/>
  <c r="C63" i="802"/>
  <c r="C64" i="802"/>
  <c r="C61" i="802"/>
  <c r="C65" i="802"/>
  <c r="C60" i="802"/>
  <c r="AF59" i="802"/>
  <c r="T59" i="802"/>
  <c r="H59" i="802"/>
  <c r="AC62" i="802"/>
  <c r="Q62" i="802"/>
  <c r="AD62" i="802"/>
  <c r="R62" i="802"/>
  <c r="AI62" i="802"/>
  <c r="W62" i="802"/>
  <c r="O67" i="802"/>
  <c r="AA67" i="802"/>
  <c r="S67" i="802"/>
  <c r="AE67" i="802"/>
  <c r="AA64" i="802"/>
  <c r="O64" i="802"/>
  <c r="AA60" i="802"/>
  <c r="O60" i="802"/>
  <c r="AI64" i="802"/>
  <c r="W64" i="802"/>
  <c r="AF63" i="802"/>
  <c r="T63" i="802"/>
  <c r="K61" i="802"/>
  <c r="K65" i="802"/>
  <c r="K66" i="802"/>
  <c r="K60" i="802"/>
  <c r="K64" i="802"/>
  <c r="K63" i="802"/>
  <c r="D65" i="802"/>
  <c r="D66" i="802"/>
  <c r="D63" i="802"/>
  <c r="D60" i="802"/>
  <c r="D64" i="802"/>
  <c r="D61" i="802"/>
  <c r="D59" i="802"/>
  <c r="R59" i="802"/>
  <c r="AD59" i="802"/>
  <c r="V62" i="802"/>
  <c r="AH62" i="802"/>
  <c r="K62" i="802"/>
  <c r="C67" i="802"/>
  <c r="D67" i="802"/>
  <c r="K67" i="802"/>
  <c r="O63" i="802"/>
  <c r="AA63" i="802"/>
  <c r="AA65" i="802"/>
  <c r="O65" i="802"/>
  <c r="AI66" i="802"/>
  <c r="W66" i="802"/>
  <c r="I61" i="802"/>
  <c r="I65" i="802"/>
  <c r="I66" i="802"/>
  <c r="I63" i="802"/>
  <c r="I60" i="802"/>
  <c r="I64" i="802"/>
  <c r="F61" i="802"/>
  <c r="F66" i="802"/>
  <c r="F64" i="802"/>
  <c r="F65" i="802"/>
  <c r="F60" i="802"/>
  <c r="F63" i="802"/>
  <c r="T64" i="802"/>
  <c r="AF64" i="802"/>
  <c r="F59" i="802"/>
  <c r="W59" i="802"/>
  <c r="AI59" i="802"/>
  <c r="I59" i="802"/>
  <c r="T62" i="802"/>
  <c r="AF62" i="802"/>
  <c r="O62" i="802"/>
  <c r="AA62" i="802"/>
  <c r="H67" i="802"/>
  <c r="AD67" i="802"/>
  <c r="R67" i="802"/>
  <c r="O61" i="802"/>
  <c r="AA61" i="802"/>
  <c r="L52" i="802"/>
  <c r="T66" i="802"/>
  <c r="AF66" i="802"/>
  <c r="T61" i="802"/>
  <c r="AF61" i="802"/>
  <c r="AF65" i="802"/>
  <c r="T65" i="802"/>
  <c r="AI61" i="802"/>
  <c r="W61" i="802"/>
  <c r="A18" i="804"/>
  <c r="B17" i="804"/>
  <c r="K59" i="802"/>
  <c r="C59" i="802"/>
  <c r="E63" i="802"/>
  <c r="E65" i="802"/>
  <c r="E60" i="802"/>
  <c r="E66" i="802"/>
  <c r="E61" i="802"/>
  <c r="E64" i="802"/>
  <c r="C62" i="802"/>
  <c r="H62" i="802"/>
  <c r="F62" i="802"/>
  <c r="W67" i="802"/>
  <c r="AI67" i="802"/>
  <c r="AF67" i="802"/>
  <c r="T67" i="802"/>
  <c r="I67" i="802"/>
  <c r="AA66" i="802"/>
  <c r="O66" i="802"/>
  <c r="T68" i="802" l="1"/>
  <c r="P62" i="802"/>
  <c r="AB62" i="802"/>
  <c r="V60" i="802"/>
  <c r="AH60" i="802"/>
  <c r="AJ67" i="802"/>
  <c r="X67" i="802"/>
  <c r="Q65" i="802"/>
  <c r="AC65" i="802"/>
  <c r="AB61" i="802"/>
  <c r="P61" i="802"/>
  <c r="AJ59" i="802"/>
  <c r="X59" i="802"/>
  <c r="S59" i="802"/>
  <c r="AE59" i="802"/>
  <c r="AH63" i="802"/>
  <c r="V63" i="802"/>
  <c r="X66" i="802"/>
  <c r="AJ66" i="802"/>
  <c r="U65" i="802"/>
  <c r="AG65" i="802"/>
  <c r="AD61" i="802"/>
  <c r="R61" i="802"/>
  <c r="V59" i="802"/>
  <c r="AH59" i="802"/>
  <c r="AE65" i="802"/>
  <c r="S65" i="802"/>
  <c r="AH66" i="802"/>
  <c r="V66" i="802"/>
  <c r="AB67" i="802"/>
  <c r="P67" i="802"/>
  <c r="Q59" i="802"/>
  <c r="AC59" i="802"/>
  <c r="AC63" i="802"/>
  <c r="Q63" i="802"/>
  <c r="AJ63" i="802"/>
  <c r="X63" i="802"/>
  <c r="X65" i="802"/>
  <c r="AJ65" i="802"/>
  <c r="AA68" i="802"/>
  <c r="B69" i="802" s="1"/>
  <c r="AB60" i="802"/>
  <c r="P60" i="802"/>
  <c r="AB63" i="802"/>
  <c r="P63" i="802"/>
  <c r="AG66" i="802"/>
  <c r="U66" i="802"/>
  <c r="U61" i="802"/>
  <c r="AG61" i="802"/>
  <c r="R60" i="802"/>
  <c r="AD60" i="802"/>
  <c r="AB59" i="802"/>
  <c r="P59" i="802"/>
  <c r="W68" i="802"/>
  <c r="S63" i="802"/>
  <c r="AE63" i="802"/>
  <c r="AE66" i="802"/>
  <c r="S66" i="802"/>
  <c r="AH61" i="802"/>
  <c r="V61" i="802"/>
  <c r="AC64" i="802"/>
  <c r="Q64" i="802"/>
  <c r="X60" i="802"/>
  <c r="AJ60" i="802"/>
  <c r="AG60" i="802"/>
  <c r="U60" i="802"/>
  <c r="V67" i="802"/>
  <c r="AH67" i="802"/>
  <c r="R64" i="802"/>
  <c r="AD64" i="802"/>
  <c r="AD65" i="802"/>
  <c r="R65" i="802"/>
  <c r="R68" i="802" s="1"/>
  <c r="U67" i="802"/>
  <c r="AG67" i="802"/>
  <c r="AE60" i="802"/>
  <c r="S60" i="802"/>
  <c r="AE61" i="802"/>
  <c r="S61" i="802"/>
  <c r="AC67" i="802"/>
  <c r="AK67" i="802" s="1"/>
  <c r="Q67" i="802"/>
  <c r="O68" i="802"/>
  <c r="Q60" i="802"/>
  <c r="Y60" i="802" s="1"/>
  <c r="AC60" i="802"/>
  <c r="AF68" i="802"/>
  <c r="G69" i="802" s="1"/>
  <c r="AB64" i="802"/>
  <c r="P64" i="802"/>
  <c r="AG63" i="802"/>
  <c r="U63" i="802"/>
  <c r="AE62" i="802"/>
  <c r="S62" i="802"/>
  <c r="R63" i="802"/>
  <c r="AD63" i="802"/>
  <c r="AG62" i="802"/>
  <c r="U62" i="802"/>
  <c r="R66" i="802"/>
  <c r="AD66" i="802"/>
  <c r="A19" i="804"/>
  <c r="B18" i="804"/>
  <c r="AI68" i="802"/>
  <c r="J69" i="802" s="1"/>
  <c r="AE64" i="802"/>
  <c r="S64" i="802"/>
  <c r="V64" i="802"/>
  <c r="AH64" i="802"/>
  <c r="AH65" i="802"/>
  <c r="V65" i="802"/>
  <c r="X62" i="802"/>
  <c r="AJ62" i="802"/>
  <c r="Q61" i="802"/>
  <c r="AC61" i="802"/>
  <c r="AC66" i="802"/>
  <c r="Q66" i="802"/>
  <c r="AJ64" i="802"/>
  <c r="X64" i="802"/>
  <c r="AJ61" i="802"/>
  <c r="X61" i="802"/>
  <c r="AG59" i="802"/>
  <c r="U59" i="802"/>
  <c r="P65" i="802"/>
  <c r="Y65" i="802" s="1"/>
  <c r="AB65" i="802"/>
  <c r="AK65" i="802" s="1"/>
  <c r="P66" i="802"/>
  <c r="AB66" i="802"/>
  <c r="AG64" i="802"/>
  <c r="U64" i="802"/>
  <c r="AK66" i="802" l="1"/>
  <c r="M67" i="802"/>
  <c r="Y67" i="802"/>
  <c r="AK61" i="802"/>
  <c r="M61" i="802" s="1"/>
  <c r="Y64" i="802"/>
  <c r="M65" i="802"/>
  <c r="AG68" i="802"/>
  <c r="H69" i="802" s="1"/>
  <c r="AK64" i="802"/>
  <c r="M64" i="802" s="1"/>
  <c r="Y63" i="802"/>
  <c r="AK63" i="802"/>
  <c r="Y61" i="802"/>
  <c r="AD68" i="802"/>
  <c r="E69" i="802" s="1"/>
  <c r="Y62" i="802"/>
  <c r="Y66" i="802"/>
  <c r="AK62" i="802"/>
  <c r="M62" i="802" s="1"/>
  <c r="AK60" i="802"/>
  <c r="M60" i="802" s="1"/>
  <c r="M66" i="802"/>
  <c r="M63" i="802"/>
  <c r="P68" i="802"/>
  <c r="Y59" i="802"/>
  <c r="V68" i="802"/>
  <c r="AE68" i="802"/>
  <c r="AJ68" i="802"/>
  <c r="AK59" i="802"/>
  <c r="AB68" i="802"/>
  <c r="C69" i="802" s="1"/>
  <c r="AC68" i="802"/>
  <c r="D69" i="802" s="1"/>
  <c r="S68" i="802"/>
  <c r="Q68" i="802"/>
  <c r="B19" i="804"/>
  <c r="A20" i="804"/>
  <c r="U68" i="802"/>
  <c r="AH68" i="802"/>
  <c r="I69" i="802" s="1"/>
  <c r="X68" i="802"/>
  <c r="L69" i="802" l="1"/>
  <c r="C70" i="802" s="1"/>
  <c r="C84" i="802" s="1"/>
  <c r="A21" i="804"/>
  <c r="B20" i="804"/>
  <c r="K69" i="802"/>
  <c r="AK68" i="802"/>
  <c r="M59" i="802"/>
  <c r="F69" i="802"/>
  <c r="AB84" i="802" l="1"/>
  <c r="P84" i="802"/>
  <c r="A22" i="804"/>
  <c r="B22" i="804" s="1"/>
  <c r="B21" i="804"/>
  <c r="E70" i="802"/>
  <c r="B70" i="802"/>
  <c r="G70" i="802"/>
  <c r="J70" i="802"/>
  <c r="K70" i="802"/>
  <c r="K77" i="802" s="1"/>
  <c r="D70" i="802"/>
  <c r="C85" i="802"/>
  <c r="C83" i="802"/>
  <c r="C79" i="802"/>
  <c r="C78" i="802"/>
  <c r="C80" i="802"/>
  <c r="C82" i="802"/>
  <c r="D77" i="802"/>
  <c r="C77" i="802"/>
  <c r="G77" i="802"/>
  <c r="E77" i="802"/>
  <c r="B77" i="802"/>
  <c r="O77" i="802" s="1"/>
  <c r="C81" i="802"/>
  <c r="F70" i="802"/>
  <c r="F77" i="802" s="1"/>
  <c r="H70" i="802"/>
  <c r="I70" i="802"/>
  <c r="AJ77" i="802" l="1"/>
  <c r="X77" i="802"/>
  <c r="AC77" i="802"/>
  <c r="Q77" i="802"/>
  <c r="AB85" i="802"/>
  <c r="P85" i="802"/>
  <c r="J80" i="802"/>
  <c r="J83" i="802"/>
  <c r="J82" i="802"/>
  <c r="J85" i="802"/>
  <c r="J79" i="802"/>
  <c r="J78" i="802"/>
  <c r="J84" i="802"/>
  <c r="J81" i="802"/>
  <c r="P78" i="802"/>
  <c r="AB78" i="802"/>
  <c r="G78" i="802"/>
  <c r="G82" i="802"/>
  <c r="G83" i="802"/>
  <c r="G80" i="802"/>
  <c r="G79" i="802"/>
  <c r="G85" i="802"/>
  <c r="G81" i="802"/>
  <c r="G84" i="802"/>
  <c r="R77" i="802"/>
  <c r="AD77" i="802"/>
  <c r="P77" i="802"/>
  <c r="AB77" i="802"/>
  <c r="P79" i="802"/>
  <c r="AB79" i="802"/>
  <c r="D85" i="802"/>
  <c r="D78" i="802"/>
  <c r="D83" i="802"/>
  <c r="D80" i="802"/>
  <c r="D82" i="802"/>
  <c r="D79" i="802"/>
  <c r="D81" i="802"/>
  <c r="D84" i="802"/>
  <c r="L70" i="802"/>
  <c r="B82" i="802"/>
  <c r="B83" i="802"/>
  <c r="B85" i="802"/>
  <c r="B80" i="802"/>
  <c r="B78" i="802"/>
  <c r="B79" i="802"/>
  <c r="B81" i="802"/>
  <c r="B84" i="802"/>
  <c r="I78" i="802"/>
  <c r="I83" i="802"/>
  <c r="I79" i="802"/>
  <c r="I82" i="802"/>
  <c r="I85" i="802"/>
  <c r="I80" i="802"/>
  <c r="I81" i="802"/>
  <c r="I84" i="802"/>
  <c r="AE77" i="802"/>
  <c r="S77" i="802"/>
  <c r="AB80" i="802"/>
  <c r="P80" i="802"/>
  <c r="H78" i="802"/>
  <c r="H80" i="802"/>
  <c r="H79" i="802"/>
  <c r="H83" i="802"/>
  <c r="H82" i="802"/>
  <c r="H85" i="802"/>
  <c r="H84" i="802"/>
  <c r="H81" i="802"/>
  <c r="AF77" i="802"/>
  <c r="T77" i="802"/>
  <c r="H77" i="802"/>
  <c r="F85" i="802"/>
  <c r="F78" i="802"/>
  <c r="F83" i="802"/>
  <c r="F82" i="802"/>
  <c r="F79" i="802"/>
  <c r="F80" i="802"/>
  <c r="F81" i="802"/>
  <c r="F84" i="802"/>
  <c r="AB81" i="802"/>
  <c r="P81" i="802"/>
  <c r="J77" i="802"/>
  <c r="I77" i="802"/>
  <c r="AB82" i="802"/>
  <c r="P82" i="802"/>
  <c r="P83" i="802"/>
  <c r="AB83" i="802"/>
  <c r="K82" i="802"/>
  <c r="K83" i="802"/>
  <c r="K80" i="802"/>
  <c r="K79" i="802"/>
  <c r="K85" i="802"/>
  <c r="K78" i="802"/>
  <c r="K81" i="802"/>
  <c r="K84" i="802"/>
  <c r="E82" i="802"/>
  <c r="E80" i="802"/>
  <c r="E78" i="802"/>
  <c r="E79" i="802"/>
  <c r="E85" i="802"/>
  <c r="E83" i="802"/>
  <c r="E81" i="802"/>
  <c r="E84" i="802"/>
  <c r="P86" i="802" l="1"/>
  <c r="R81" i="802"/>
  <c r="AD81" i="802"/>
  <c r="AJ84" i="802"/>
  <c r="X84" i="802"/>
  <c r="AE85" i="802"/>
  <c r="S85" i="802"/>
  <c r="U82" i="802"/>
  <c r="AG82" i="802"/>
  <c r="V83" i="802"/>
  <c r="AH83" i="802"/>
  <c r="AA85" i="802"/>
  <c r="O85" i="802"/>
  <c r="Q82" i="802"/>
  <c r="AC82" i="802"/>
  <c r="AK77" i="802"/>
  <c r="AB86" i="802"/>
  <c r="C87" i="802" s="1"/>
  <c r="AF80" i="802"/>
  <c r="T80" i="802"/>
  <c r="W80" i="802"/>
  <c r="AI80" i="802"/>
  <c r="AD83" i="802"/>
  <c r="R83" i="802"/>
  <c r="X81" i="802"/>
  <c r="AJ81" i="802"/>
  <c r="V77" i="802"/>
  <c r="AH77" i="802"/>
  <c r="S82" i="802"/>
  <c r="AE82" i="802"/>
  <c r="AG83" i="802"/>
  <c r="U83" i="802"/>
  <c r="V85" i="802"/>
  <c r="AH85" i="802"/>
  <c r="AA79" i="802"/>
  <c r="O79" i="802"/>
  <c r="Q84" i="802"/>
  <c r="AC84" i="802"/>
  <c r="T83" i="802"/>
  <c r="AF83" i="802"/>
  <c r="AI85" i="802"/>
  <c r="W85" i="802"/>
  <c r="AD82" i="802"/>
  <c r="R82" i="802"/>
  <c r="X83" i="802"/>
  <c r="AJ83" i="802"/>
  <c r="AI77" i="802"/>
  <c r="W77" i="802"/>
  <c r="AE83" i="802"/>
  <c r="S83" i="802"/>
  <c r="U77" i="802"/>
  <c r="AG77" i="802"/>
  <c r="AG84" i="802"/>
  <c r="U84" i="802"/>
  <c r="AG79" i="802"/>
  <c r="U79" i="802"/>
  <c r="V84" i="802"/>
  <c r="AH84" i="802"/>
  <c r="AH82" i="802"/>
  <c r="V82" i="802"/>
  <c r="O78" i="802"/>
  <c r="AA78" i="802"/>
  <c r="AA82" i="802"/>
  <c r="O82" i="802"/>
  <c r="Q81" i="802"/>
  <c r="AC81" i="802"/>
  <c r="AC83" i="802"/>
  <c r="Q83" i="802"/>
  <c r="T85" i="802"/>
  <c r="AF85" i="802"/>
  <c r="AF82" i="802"/>
  <c r="T82" i="802"/>
  <c r="W84" i="802"/>
  <c r="AI84" i="802"/>
  <c r="AI82" i="802"/>
  <c r="W82" i="802"/>
  <c r="AD78" i="802"/>
  <c r="R78" i="802"/>
  <c r="X79" i="802"/>
  <c r="AJ79" i="802"/>
  <c r="S79" i="802"/>
  <c r="AE79" i="802"/>
  <c r="U78" i="802"/>
  <c r="AG78" i="802"/>
  <c r="AH80" i="802"/>
  <c r="V80" i="802"/>
  <c r="AA81" i="802"/>
  <c r="O81" i="802"/>
  <c r="AC85" i="802"/>
  <c r="Q85" i="802"/>
  <c r="AF84" i="802"/>
  <c r="T84" i="802"/>
  <c r="AI79" i="802"/>
  <c r="W79" i="802"/>
  <c r="AD80" i="802"/>
  <c r="R80" i="802"/>
  <c r="AJ80" i="802"/>
  <c r="X80" i="802"/>
  <c r="S84" i="802"/>
  <c r="AE84" i="802"/>
  <c r="AG81" i="802"/>
  <c r="U81" i="802"/>
  <c r="AH78" i="802"/>
  <c r="V78" i="802"/>
  <c r="O83" i="802"/>
  <c r="AA83" i="802"/>
  <c r="AC80" i="802"/>
  <c r="Q80" i="802"/>
  <c r="AF81" i="802"/>
  <c r="T81" i="802"/>
  <c r="AI81" i="802"/>
  <c r="W81" i="802"/>
  <c r="R85" i="802"/>
  <c r="AD85" i="802"/>
  <c r="AJ78" i="802"/>
  <c r="X78" i="802"/>
  <c r="AE81" i="802"/>
  <c r="S81" i="802"/>
  <c r="AD84" i="802"/>
  <c r="R84" i="802"/>
  <c r="AD79" i="802"/>
  <c r="R79" i="802"/>
  <c r="AJ85" i="802"/>
  <c r="X85" i="802"/>
  <c r="X82" i="802"/>
  <c r="AJ82" i="802"/>
  <c r="S80" i="802"/>
  <c r="AE80" i="802"/>
  <c r="AE78" i="802"/>
  <c r="AE86" i="802" s="1"/>
  <c r="S78" i="802"/>
  <c r="AG85" i="802"/>
  <c r="U85" i="802"/>
  <c r="U80" i="802"/>
  <c r="AG80" i="802"/>
  <c r="V81" i="802"/>
  <c r="AH81" i="802"/>
  <c r="AH79" i="802"/>
  <c r="V79" i="802"/>
  <c r="O84" i="802"/>
  <c r="AA84" i="802"/>
  <c r="O80" i="802"/>
  <c r="AA80" i="802"/>
  <c r="AC79" i="802"/>
  <c r="Q79" i="802"/>
  <c r="Q78" i="802"/>
  <c r="AC78" i="802"/>
  <c r="T79" i="802"/>
  <c r="AF79" i="802"/>
  <c r="AF78" i="802"/>
  <c r="AF86" i="802" s="1"/>
  <c r="T78" i="802"/>
  <c r="T86" i="802" s="1"/>
  <c r="W78" i="802"/>
  <c r="AI78" i="802"/>
  <c r="AI83" i="802"/>
  <c r="W83" i="802"/>
  <c r="AK80" i="802" l="1"/>
  <c r="AD86" i="802"/>
  <c r="R86" i="802"/>
  <c r="G87" i="802"/>
  <c r="X86" i="802"/>
  <c r="AC86" i="802"/>
  <c r="D87" i="802" s="1"/>
  <c r="AJ86" i="802"/>
  <c r="Q86" i="802"/>
  <c r="S86" i="802"/>
  <c r="F87" i="802" s="1"/>
  <c r="E87" i="802"/>
  <c r="Y78" i="802"/>
  <c r="O86" i="802"/>
  <c r="AK85" i="802"/>
  <c r="M85" i="802" s="1"/>
  <c r="Y80" i="802"/>
  <c r="Y82" i="802"/>
  <c r="AG86" i="802"/>
  <c r="W86" i="802"/>
  <c r="Y79" i="802"/>
  <c r="AH86" i="802"/>
  <c r="Y77" i="802"/>
  <c r="M77" i="802" s="1"/>
  <c r="AK84" i="802"/>
  <c r="AK83" i="802"/>
  <c r="Y81" i="802"/>
  <c r="AK82" i="802"/>
  <c r="U86" i="802"/>
  <c r="AI86" i="802"/>
  <c r="J87" i="802" s="1"/>
  <c r="AK79" i="802"/>
  <c r="V86" i="802"/>
  <c r="Y84" i="802"/>
  <c r="Y83" i="802"/>
  <c r="AK81" i="802"/>
  <c r="M81" i="802" s="1"/>
  <c r="AA86" i="802"/>
  <c r="AK78" i="802"/>
  <c r="Y85" i="802"/>
  <c r="K87" i="802" l="1"/>
  <c r="M80" i="802"/>
  <c r="M78" i="802"/>
  <c r="M82" i="802"/>
  <c r="M83" i="802"/>
  <c r="M84" i="802"/>
  <c r="B87" i="802"/>
  <c r="H87" i="802"/>
  <c r="M79" i="802"/>
  <c r="I87" i="802"/>
  <c r="AK86" i="802"/>
  <c r="L87" i="802" l="1"/>
  <c r="H88" i="802" s="1"/>
  <c r="H103" i="802" l="1"/>
  <c r="H98" i="802"/>
  <c r="H96" i="802"/>
  <c r="H95" i="802"/>
  <c r="H100" i="802"/>
  <c r="H99" i="802"/>
  <c r="H97" i="802"/>
  <c r="H101" i="802"/>
  <c r="H102" i="802"/>
  <c r="B88" i="802"/>
  <c r="K88" i="802"/>
  <c r="G88" i="802"/>
  <c r="C88" i="802"/>
  <c r="F88" i="802"/>
  <c r="D88" i="802"/>
  <c r="E88" i="802"/>
  <c r="J88" i="802"/>
  <c r="I88" i="802"/>
  <c r="K103" i="802" l="1"/>
  <c r="K100" i="802"/>
  <c r="K96" i="802"/>
  <c r="K99" i="802"/>
  <c r="K98" i="802"/>
  <c r="K95" i="802"/>
  <c r="K97" i="802"/>
  <c r="K101" i="802"/>
  <c r="K102" i="802"/>
  <c r="AG96" i="802"/>
  <c r="U96" i="802"/>
  <c r="F100" i="802"/>
  <c r="F99" i="802"/>
  <c r="F98" i="802"/>
  <c r="F95" i="802"/>
  <c r="F96" i="802"/>
  <c r="F103" i="802"/>
  <c r="F101" i="802"/>
  <c r="F102" i="802"/>
  <c r="F97" i="802"/>
  <c r="U99" i="802"/>
  <c r="AG99" i="802"/>
  <c r="J95" i="802"/>
  <c r="J96" i="802"/>
  <c r="J98" i="802"/>
  <c r="J99" i="802"/>
  <c r="J103" i="802"/>
  <c r="J100" i="802"/>
  <c r="J102" i="802"/>
  <c r="J97" i="802"/>
  <c r="J101" i="802"/>
  <c r="AG102" i="802"/>
  <c r="U102" i="802"/>
  <c r="U103" i="802"/>
  <c r="AG103" i="802"/>
  <c r="D100" i="802"/>
  <c r="D103" i="802"/>
  <c r="D96" i="802"/>
  <c r="D98" i="802"/>
  <c r="D99" i="802"/>
  <c r="D95" i="802"/>
  <c r="D97" i="802"/>
  <c r="D102" i="802"/>
  <c r="D101" i="802"/>
  <c r="AG97" i="802"/>
  <c r="U97" i="802"/>
  <c r="I96" i="802"/>
  <c r="I98" i="802"/>
  <c r="I95" i="802"/>
  <c r="I103" i="802"/>
  <c r="I99" i="802"/>
  <c r="I100" i="802"/>
  <c r="I97" i="802"/>
  <c r="I102" i="802"/>
  <c r="I101" i="802"/>
  <c r="L88" i="802"/>
  <c r="B103" i="802"/>
  <c r="B99" i="802"/>
  <c r="B96" i="802"/>
  <c r="B95" i="802"/>
  <c r="O95" i="802" s="1"/>
  <c r="B100" i="802"/>
  <c r="B98" i="802"/>
  <c r="B97" i="802"/>
  <c r="B101" i="802"/>
  <c r="B102" i="802"/>
  <c r="AG98" i="802"/>
  <c r="U98" i="802"/>
  <c r="C99" i="802"/>
  <c r="C98" i="802"/>
  <c r="C100" i="802"/>
  <c r="C95" i="802"/>
  <c r="C103" i="802"/>
  <c r="C96" i="802"/>
  <c r="C101" i="802"/>
  <c r="C97" i="802"/>
  <c r="C102" i="802"/>
  <c r="AG100" i="802"/>
  <c r="U100" i="802"/>
  <c r="E98" i="802"/>
  <c r="E99" i="802"/>
  <c r="E95" i="802"/>
  <c r="E96" i="802"/>
  <c r="E100" i="802"/>
  <c r="E103" i="802"/>
  <c r="E101" i="802"/>
  <c r="E97" i="802"/>
  <c r="E102" i="802"/>
  <c r="G98" i="802"/>
  <c r="G95" i="802"/>
  <c r="G100" i="802"/>
  <c r="G96" i="802"/>
  <c r="G103" i="802"/>
  <c r="G99" i="802"/>
  <c r="G102" i="802"/>
  <c r="G101" i="802"/>
  <c r="G97" i="802"/>
  <c r="AG101" i="802"/>
  <c r="U101" i="802"/>
  <c r="U95" i="802"/>
  <c r="AG95" i="802"/>
  <c r="U104" i="802" l="1"/>
  <c r="T96" i="802"/>
  <c r="AF96" i="802"/>
  <c r="AD103" i="802"/>
  <c r="R103" i="802"/>
  <c r="AB98" i="802"/>
  <c r="P98" i="802"/>
  <c r="AA99" i="802"/>
  <c r="O99" i="802"/>
  <c r="AH99" i="802"/>
  <c r="V99" i="802"/>
  <c r="AC101" i="802"/>
  <c r="Q101" i="802"/>
  <c r="AC100" i="802"/>
  <c r="Q100" i="802"/>
  <c r="AI102" i="802"/>
  <c r="W102" i="802"/>
  <c r="AE98" i="802"/>
  <c r="S98" i="802"/>
  <c r="AJ97" i="802"/>
  <c r="X97" i="802"/>
  <c r="AF102" i="802"/>
  <c r="T102" i="802"/>
  <c r="R102" i="802"/>
  <c r="AD102" i="802"/>
  <c r="AD100" i="802"/>
  <c r="R100" i="802"/>
  <c r="AB102" i="802"/>
  <c r="P102" i="802"/>
  <c r="AB99" i="802"/>
  <c r="P99" i="802"/>
  <c r="AA100" i="802"/>
  <c r="O100" i="802"/>
  <c r="V102" i="802"/>
  <c r="AH102" i="802"/>
  <c r="AC98" i="802"/>
  <c r="Q98" i="802"/>
  <c r="AI96" i="802"/>
  <c r="W96" i="802"/>
  <c r="S103" i="802"/>
  <c r="AE103" i="802"/>
  <c r="X100" i="802"/>
  <c r="AJ100" i="802"/>
  <c r="AF99" i="802"/>
  <c r="T99" i="802"/>
  <c r="AF95" i="802"/>
  <c r="T95" i="802"/>
  <c r="AD97" i="802"/>
  <c r="R97" i="802"/>
  <c r="AD96" i="802"/>
  <c r="R96" i="802"/>
  <c r="AB97" i="802"/>
  <c r="P97" i="802"/>
  <c r="AB95" i="802"/>
  <c r="P95" i="802"/>
  <c r="O101" i="802"/>
  <c r="AA101" i="802"/>
  <c r="AH97" i="802"/>
  <c r="V97" i="802"/>
  <c r="AH95" i="802"/>
  <c r="V95" i="802"/>
  <c r="Q97" i="802"/>
  <c r="AC97" i="802"/>
  <c r="AC96" i="802"/>
  <c r="Q96" i="802"/>
  <c r="W101" i="802"/>
  <c r="AI101" i="802"/>
  <c r="AI103" i="802"/>
  <c r="W103" i="802"/>
  <c r="W95" i="802"/>
  <c r="AI95" i="802"/>
  <c r="S97" i="802"/>
  <c r="AE97" i="802"/>
  <c r="AE96" i="802"/>
  <c r="S96" i="802"/>
  <c r="AE100" i="802"/>
  <c r="S100" i="802"/>
  <c r="AJ102" i="802"/>
  <c r="X102" i="802"/>
  <c r="AJ98" i="802"/>
  <c r="X98" i="802"/>
  <c r="X103" i="802"/>
  <c r="AJ103" i="802"/>
  <c r="AF101" i="802"/>
  <c r="T101" i="802"/>
  <c r="AD99" i="802"/>
  <c r="R99" i="802"/>
  <c r="P96" i="802"/>
  <c r="AB96" i="802"/>
  <c r="AA98" i="802"/>
  <c r="O98" i="802"/>
  <c r="AH101" i="802"/>
  <c r="V101" i="802"/>
  <c r="AH96" i="802"/>
  <c r="V96" i="802"/>
  <c r="Q99" i="802"/>
  <c r="AC99" i="802"/>
  <c r="AI98" i="802"/>
  <c r="W98" i="802"/>
  <c r="S101" i="802"/>
  <c r="AE101" i="802"/>
  <c r="X96" i="802"/>
  <c r="AJ96" i="802"/>
  <c r="T100" i="802"/>
  <c r="AF100" i="802"/>
  <c r="R98" i="802"/>
  <c r="AD98" i="802"/>
  <c r="AB103" i="802"/>
  <c r="P103" i="802"/>
  <c r="AA102" i="802"/>
  <c r="O102" i="802"/>
  <c r="AA103" i="802"/>
  <c r="O103" i="802"/>
  <c r="AH103" i="802"/>
  <c r="V103" i="802"/>
  <c r="AC102" i="802"/>
  <c r="Q102" i="802"/>
  <c r="AI100" i="802"/>
  <c r="W100" i="802"/>
  <c r="AE99" i="802"/>
  <c r="S99" i="802"/>
  <c r="AJ95" i="802"/>
  <c r="X95" i="802"/>
  <c r="AG104" i="802"/>
  <c r="H105" i="802" s="1"/>
  <c r="AF97" i="802"/>
  <c r="T97" i="802"/>
  <c r="AF103" i="802"/>
  <c r="T103" i="802"/>
  <c r="AF98" i="802"/>
  <c r="T98" i="802"/>
  <c r="AD101" i="802"/>
  <c r="R101" i="802"/>
  <c r="AD95" i="802"/>
  <c r="R95" i="802"/>
  <c r="AB101" i="802"/>
  <c r="P101" i="802"/>
  <c r="P100" i="802"/>
  <c r="AB100" i="802"/>
  <c r="O97" i="802"/>
  <c r="AA97" i="802"/>
  <c r="AA96" i="802"/>
  <c r="O96" i="802"/>
  <c r="AH100" i="802"/>
  <c r="V100" i="802"/>
  <c r="V98" i="802"/>
  <c r="AH98" i="802"/>
  <c r="Q95" i="802"/>
  <c r="AC95" i="802"/>
  <c r="Q103" i="802"/>
  <c r="AC103" i="802"/>
  <c r="W97" i="802"/>
  <c r="AI97" i="802"/>
  <c r="AI99" i="802"/>
  <c r="W99" i="802"/>
  <c r="AE102" i="802"/>
  <c r="S102" i="802"/>
  <c r="AE95" i="802"/>
  <c r="S95" i="802"/>
  <c r="AJ101" i="802"/>
  <c r="X101" i="802"/>
  <c r="X99" i="802"/>
  <c r="AJ99" i="802"/>
  <c r="Y102" i="802" l="1"/>
  <c r="AI104" i="802"/>
  <c r="Q104" i="802"/>
  <c r="X104" i="802"/>
  <c r="Y97" i="802"/>
  <c r="Y98" i="802"/>
  <c r="AK101" i="802"/>
  <c r="Y96" i="802"/>
  <c r="AK98" i="802"/>
  <c r="W104" i="802"/>
  <c r="J105" i="802" s="1"/>
  <c r="AK100" i="802"/>
  <c r="AE104" i="802"/>
  <c r="AK96" i="802"/>
  <c r="AA104" i="802"/>
  <c r="AD104" i="802"/>
  <c r="Y103" i="802"/>
  <c r="V104" i="802"/>
  <c r="Y95" i="802"/>
  <c r="P104" i="802"/>
  <c r="T104" i="802"/>
  <c r="Y100" i="802"/>
  <c r="Y99" i="802"/>
  <c r="S104" i="802"/>
  <c r="R104" i="802"/>
  <c r="AJ104" i="802"/>
  <c r="K105" i="802" s="1"/>
  <c r="AK102" i="802"/>
  <c r="Y101" i="802"/>
  <c r="AK99" i="802"/>
  <c r="AC104" i="802"/>
  <c r="D105" i="802" s="1"/>
  <c r="AK97" i="802"/>
  <c r="M97" i="802" s="1"/>
  <c r="AK103" i="802"/>
  <c r="AH104" i="802"/>
  <c r="I105" i="802" s="1"/>
  <c r="O104" i="802"/>
  <c r="AB104" i="802"/>
  <c r="C105" i="802" s="1"/>
  <c r="AK95" i="802"/>
  <c r="AF104" i="802"/>
  <c r="E105" i="802" l="1"/>
  <c r="M100" i="802"/>
  <c r="M102" i="802"/>
  <c r="G105" i="802"/>
  <c r="B105" i="802"/>
  <c r="F105" i="802"/>
  <c r="M101" i="802"/>
  <c r="AK104" i="802"/>
  <c r="M95" i="802"/>
  <c r="M103" i="802"/>
  <c r="M99" i="802"/>
  <c r="M96" i="802"/>
  <c r="M98" i="802"/>
  <c r="L105" i="802" l="1"/>
  <c r="F106" i="802"/>
  <c r="F116" i="802" s="1"/>
  <c r="F113" i="802" l="1"/>
  <c r="F117" i="802"/>
  <c r="S117" i="802" s="1"/>
  <c r="F114" i="802"/>
  <c r="F119" i="802"/>
  <c r="AE119" i="802" s="1"/>
  <c r="F121" i="802"/>
  <c r="AE121" i="802" s="1"/>
  <c r="AE116" i="802"/>
  <c r="S116" i="802"/>
  <c r="AE113" i="802"/>
  <c r="S113" i="802"/>
  <c r="S119" i="802"/>
  <c r="S114" i="802"/>
  <c r="AE114" i="802"/>
  <c r="H106" i="802"/>
  <c r="J106" i="802"/>
  <c r="D106" i="802"/>
  <c r="E106" i="802"/>
  <c r="K106" i="802"/>
  <c r="I106" i="802"/>
  <c r="C106" i="802"/>
  <c r="AE117" i="802"/>
  <c r="F118" i="802"/>
  <c r="F120" i="802"/>
  <c r="F115" i="802"/>
  <c r="G106" i="802"/>
  <c r="B106" i="802"/>
  <c r="S121" i="802" l="1"/>
  <c r="K115" i="802"/>
  <c r="K120" i="802"/>
  <c r="K118" i="802"/>
  <c r="K114" i="802"/>
  <c r="K116" i="802"/>
  <c r="K113" i="802"/>
  <c r="K121" i="802"/>
  <c r="K117" i="802"/>
  <c r="K119" i="802"/>
  <c r="H115" i="802"/>
  <c r="H118" i="802"/>
  <c r="H120" i="802"/>
  <c r="H116" i="802"/>
  <c r="H119" i="802"/>
  <c r="H113" i="802"/>
  <c r="H114" i="802"/>
  <c r="H121" i="802"/>
  <c r="H117" i="802"/>
  <c r="AE120" i="802"/>
  <c r="S120" i="802"/>
  <c r="E118" i="802"/>
  <c r="E115" i="802"/>
  <c r="E120" i="802"/>
  <c r="E119" i="802"/>
  <c r="E121" i="802"/>
  <c r="E114" i="802"/>
  <c r="E117" i="802"/>
  <c r="E113" i="802"/>
  <c r="E116" i="802"/>
  <c r="G118" i="802"/>
  <c r="G120" i="802"/>
  <c r="G115" i="802"/>
  <c r="G114" i="802"/>
  <c r="G116" i="802"/>
  <c r="G113" i="802"/>
  <c r="G121" i="802"/>
  <c r="G117" i="802"/>
  <c r="G119" i="802"/>
  <c r="I118" i="802"/>
  <c r="I120" i="802"/>
  <c r="I115" i="802"/>
  <c r="I117" i="802"/>
  <c r="I119" i="802"/>
  <c r="I113" i="802"/>
  <c r="I116" i="802"/>
  <c r="I121" i="802"/>
  <c r="I114" i="802"/>
  <c r="J118" i="802"/>
  <c r="J115" i="802"/>
  <c r="J120" i="802"/>
  <c r="J116" i="802"/>
  <c r="J113" i="802"/>
  <c r="J114" i="802"/>
  <c r="J117" i="802"/>
  <c r="J121" i="802"/>
  <c r="J119" i="802"/>
  <c r="AE115" i="802"/>
  <c r="AE122" i="802" s="1"/>
  <c r="S115" i="802"/>
  <c r="L106" i="802"/>
  <c r="B120" i="802"/>
  <c r="B115" i="802"/>
  <c r="B118" i="802"/>
  <c r="B121" i="802"/>
  <c r="B119" i="802"/>
  <c r="B113" i="802"/>
  <c r="O113" i="802" s="1"/>
  <c r="B116" i="802"/>
  <c r="B117" i="802"/>
  <c r="B114" i="802"/>
  <c r="S118" i="802"/>
  <c r="AE118" i="802"/>
  <c r="C115" i="802"/>
  <c r="C118" i="802"/>
  <c r="C120" i="802"/>
  <c r="C114" i="802"/>
  <c r="C119" i="802"/>
  <c r="C113" i="802"/>
  <c r="C121" i="802"/>
  <c r="C116" i="802"/>
  <c r="C117" i="802"/>
  <c r="D118" i="802"/>
  <c r="D120" i="802"/>
  <c r="D115" i="802"/>
  <c r="D121" i="802"/>
  <c r="D116" i="802"/>
  <c r="D117" i="802"/>
  <c r="D119" i="802"/>
  <c r="D113" i="802"/>
  <c r="D114" i="802"/>
  <c r="S122" i="802" l="1"/>
  <c r="F123" i="802"/>
  <c r="Q120" i="802"/>
  <c r="AC120" i="802"/>
  <c r="AB114" i="802"/>
  <c r="P114" i="802"/>
  <c r="O121" i="802"/>
  <c r="AA121" i="802"/>
  <c r="AI115" i="802"/>
  <c r="W115" i="802"/>
  <c r="AH117" i="802"/>
  <c r="V117" i="802"/>
  <c r="AF120" i="802"/>
  <c r="T120" i="802"/>
  <c r="R119" i="802"/>
  <c r="AD119" i="802"/>
  <c r="AG121" i="802"/>
  <c r="U121" i="802"/>
  <c r="X113" i="802"/>
  <c r="AJ113" i="802"/>
  <c r="AC114" i="802"/>
  <c r="Q114" i="802"/>
  <c r="AC118" i="802"/>
  <c r="Q118" i="802"/>
  <c r="AB120" i="802"/>
  <c r="P120" i="802"/>
  <c r="AA116" i="802"/>
  <c r="O116" i="802"/>
  <c r="AI113" i="802"/>
  <c r="W113" i="802"/>
  <c r="AH116" i="802"/>
  <c r="V116" i="802"/>
  <c r="AF119" i="802"/>
  <c r="T119" i="802"/>
  <c r="AF118" i="802"/>
  <c r="T118" i="802"/>
  <c r="AD120" i="802"/>
  <c r="R120" i="802"/>
  <c r="AJ119" i="802"/>
  <c r="X119" i="802"/>
  <c r="AJ115" i="802"/>
  <c r="X115" i="802"/>
  <c r="AC113" i="802"/>
  <c r="Q113" i="802"/>
  <c r="AC121" i="802"/>
  <c r="Q121" i="802"/>
  <c r="P113" i="802"/>
  <c r="AB113" i="802"/>
  <c r="AB118" i="802"/>
  <c r="P118" i="802"/>
  <c r="AA115" i="802"/>
  <c r="O115" i="802"/>
  <c r="AI121" i="802"/>
  <c r="W121" i="802"/>
  <c r="AI116" i="802"/>
  <c r="W116" i="802"/>
  <c r="AH113" i="802"/>
  <c r="V113" i="802"/>
  <c r="AH120" i="802"/>
  <c r="V120" i="802"/>
  <c r="T117" i="802"/>
  <c r="AF117" i="802"/>
  <c r="AF114" i="802"/>
  <c r="T114" i="802"/>
  <c r="AD114" i="802"/>
  <c r="R114" i="802"/>
  <c r="R115" i="802"/>
  <c r="AD115" i="802"/>
  <c r="AG113" i="802"/>
  <c r="U113" i="802"/>
  <c r="AG118" i="802"/>
  <c r="U118" i="802"/>
  <c r="X117" i="802"/>
  <c r="AJ117" i="802"/>
  <c r="AJ114" i="802"/>
  <c r="X114" i="802"/>
  <c r="AC117" i="802"/>
  <c r="Q117" i="802"/>
  <c r="AB116" i="802"/>
  <c r="P116" i="802"/>
  <c r="O117" i="802"/>
  <c r="AA117" i="802"/>
  <c r="W114" i="802"/>
  <c r="AI114" i="802"/>
  <c r="AH121" i="802"/>
  <c r="V121" i="802"/>
  <c r="T113" i="802"/>
  <c r="AF113" i="802"/>
  <c r="R113" i="802"/>
  <c r="AD113" i="802"/>
  <c r="U116" i="802"/>
  <c r="AG116" i="802"/>
  <c r="AJ120" i="802"/>
  <c r="X120" i="802"/>
  <c r="Q116" i="802"/>
  <c r="AC116" i="802"/>
  <c r="P121" i="802"/>
  <c r="AB121" i="802"/>
  <c r="O118" i="802"/>
  <c r="AA118" i="802"/>
  <c r="AI119" i="802"/>
  <c r="W119" i="802"/>
  <c r="W118" i="802"/>
  <c r="AI118" i="802"/>
  <c r="V115" i="802"/>
  <c r="AH115" i="802"/>
  <c r="AF116" i="802"/>
  <c r="T116" i="802"/>
  <c r="R117" i="802"/>
  <c r="AD117" i="802"/>
  <c r="AG114" i="802"/>
  <c r="U114" i="802"/>
  <c r="U120" i="802"/>
  <c r="AG120" i="802"/>
  <c r="AJ116" i="802"/>
  <c r="X116" i="802"/>
  <c r="Q119" i="802"/>
  <c r="AC119" i="802"/>
  <c r="AC115" i="802"/>
  <c r="Q115" i="802"/>
  <c r="P117" i="802"/>
  <c r="AB117" i="802"/>
  <c r="P119" i="802"/>
  <c r="AB119" i="802"/>
  <c r="AB115" i="802"/>
  <c r="P115" i="802"/>
  <c r="O114" i="802"/>
  <c r="AA114" i="802"/>
  <c r="AA119" i="802"/>
  <c r="O119" i="802"/>
  <c r="AA120" i="802"/>
  <c r="O120" i="802"/>
  <c r="AI117" i="802"/>
  <c r="W117" i="802"/>
  <c r="AI120" i="802"/>
  <c r="W120" i="802"/>
  <c r="AH114" i="802"/>
  <c r="V114" i="802"/>
  <c r="V119" i="802"/>
  <c r="AH119" i="802"/>
  <c r="AH118" i="802"/>
  <c r="V118" i="802"/>
  <c r="T121" i="802"/>
  <c r="AF121" i="802"/>
  <c r="T115" i="802"/>
  <c r="AF115" i="802"/>
  <c r="AD116" i="802"/>
  <c r="R116" i="802"/>
  <c r="AD121" i="802"/>
  <c r="R121" i="802"/>
  <c r="AD118" i="802"/>
  <c r="R118" i="802"/>
  <c r="AG117" i="802"/>
  <c r="U117" i="802"/>
  <c r="AG119" i="802"/>
  <c r="U119" i="802"/>
  <c r="U115" i="802"/>
  <c r="AG115" i="802"/>
  <c r="X121" i="802"/>
  <c r="AJ121" i="802"/>
  <c r="AJ118" i="802"/>
  <c r="X118" i="802"/>
  <c r="Y114" i="802" l="1"/>
  <c r="Y113" i="802"/>
  <c r="Y118" i="802"/>
  <c r="AK120" i="802"/>
  <c r="AD122" i="802"/>
  <c r="AB122" i="802"/>
  <c r="AK113" i="802"/>
  <c r="Y116" i="802"/>
  <c r="AK119" i="802"/>
  <c r="R122" i="802"/>
  <c r="Y117" i="802"/>
  <c r="AG122" i="802"/>
  <c r="AH122" i="802"/>
  <c r="P122" i="802"/>
  <c r="AC122" i="802"/>
  <c r="AK116" i="802"/>
  <c r="M116" i="802" s="1"/>
  <c r="X122" i="802"/>
  <c r="Y121" i="802"/>
  <c r="T122" i="802"/>
  <c r="AK115" i="802"/>
  <c r="AI122" i="802"/>
  <c r="J123" i="802" s="1"/>
  <c r="Y119" i="802"/>
  <c r="AK117" i="802"/>
  <c r="M117" i="802" s="1"/>
  <c r="U122" i="802"/>
  <c r="V122" i="802"/>
  <c r="O122" i="802"/>
  <c r="Q122" i="802"/>
  <c r="AJ122" i="802"/>
  <c r="AK121" i="802"/>
  <c r="Y120" i="802"/>
  <c r="AK114" i="802"/>
  <c r="M114" i="802" s="1"/>
  <c r="AA122" i="802"/>
  <c r="AK118" i="802"/>
  <c r="M118" i="802" s="1"/>
  <c r="AF122" i="802"/>
  <c r="Y115" i="802"/>
  <c r="W122" i="802"/>
  <c r="D123" i="802" l="1"/>
  <c r="G123" i="802"/>
  <c r="I123" i="802"/>
  <c r="M119" i="802"/>
  <c r="E123" i="802"/>
  <c r="AK122" i="802"/>
  <c r="M113" i="802"/>
  <c r="C123" i="802"/>
  <c r="M121" i="802"/>
  <c r="B123" i="802"/>
  <c r="K123" i="802"/>
  <c r="M115" i="802"/>
  <c r="H123" i="802"/>
  <c r="M120" i="802"/>
  <c r="L123" i="802" l="1"/>
  <c r="D124" i="802" s="1"/>
  <c r="G124" i="802"/>
  <c r="G138" i="802" s="1"/>
  <c r="T138" i="802" l="1"/>
  <c r="AF138" i="802"/>
  <c r="D135" i="802"/>
  <c r="D134" i="802"/>
  <c r="D132" i="802"/>
  <c r="D136" i="802"/>
  <c r="D137" i="802"/>
  <c r="D131" i="802"/>
  <c r="D138" i="802"/>
  <c r="D139" i="802"/>
  <c r="D133" i="802"/>
  <c r="K124" i="802"/>
  <c r="G137" i="802"/>
  <c r="G131" i="802"/>
  <c r="C124" i="802"/>
  <c r="G134" i="802"/>
  <c r="G132" i="802"/>
  <c r="G135" i="802"/>
  <c r="G136" i="802"/>
  <c r="F124" i="802"/>
  <c r="J124" i="802"/>
  <c r="I124" i="802"/>
  <c r="G139" i="802"/>
  <c r="H124" i="802"/>
  <c r="B124" i="802"/>
  <c r="G133" i="802"/>
  <c r="E124" i="802"/>
  <c r="AF133" i="802" l="1"/>
  <c r="T133" i="802"/>
  <c r="I136" i="802"/>
  <c r="I135" i="802"/>
  <c r="I134" i="802"/>
  <c r="I132" i="802"/>
  <c r="I139" i="802"/>
  <c r="I131" i="802"/>
  <c r="I138" i="802"/>
  <c r="I137" i="802"/>
  <c r="I133" i="802"/>
  <c r="C135" i="802"/>
  <c r="C134" i="802"/>
  <c r="C136" i="802"/>
  <c r="C132" i="802"/>
  <c r="C137" i="802"/>
  <c r="C138" i="802"/>
  <c r="C139" i="802"/>
  <c r="C133" i="802"/>
  <c r="C131" i="802"/>
  <c r="Q133" i="802"/>
  <c r="AC133" i="802"/>
  <c r="AC135" i="802"/>
  <c r="Q135" i="802"/>
  <c r="L124" i="802"/>
  <c r="B132" i="802"/>
  <c r="B134" i="802"/>
  <c r="B135" i="802"/>
  <c r="B136" i="802"/>
  <c r="B131" i="802"/>
  <c r="O131" i="802" s="1"/>
  <c r="B137" i="802"/>
  <c r="B138" i="802"/>
  <c r="B139" i="802"/>
  <c r="B133" i="802"/>
  <c r="AF132" i="802"/>
  <c r="T132" i="802"/>
  <c r="AF131" i="802"/>
  <c r="T131" i="802"/>
  <c r="AC139" i="802"/>
  <c r="Q139" i="802"/>
  <c r="Q136" i="802"/>
  <c r="AC136" i="802"/>
  <c r="H136" i="802"/>
  <c r="H134" i="802"/>
  <c r="H132" i="802"/>
  <c r="H135" i="802"/>
  <c r="H138" i="802"/>
  <c r="H139" i="802"/>
  <c r="H133" i="802"/>
  <c r="H137" i="802"/>
  <c r="H131" i="802"/>
  <c r="F132" i="802"/>
  <c r="F134" i="802"/>
  <c r="F136" i="802"/>
  <c r="F135" i="802"/>
  <c r="F137" i="802"/>
  <c r="F138" i="802"/>
  <c r="F133" i="802"/>
  <c r="F139" i="802"/>
  <c r="F131" i="802"/>
  <c r="T134" i="802"/>
  <c r="AF134" i="802"/>
  <c r="AF137" i="802"/>
  <c r="T137" i="802"/>
  <c r="AC138" i="802"/>
  <c r="Q138" i="802"/>
  <c r="AC132" i="802"/>
  <c r="Q132" i="802"/>
  <c r="AF135" i="802"/>
  <c r="T135" i="802"/>
  <c r="Q137" i="802"/>
  <c r="AC137" i="802"/>
  <c r="J132" i="802"/>
  <c r="J136" i="802"/>
  <c r="J134" i="802"/>
  <c r="J135" i="802"/>
  <c r="J139" i="802"/>
  <c r="J133" i="802"/>
  <c r="J131" i="802"/>
  <c r="J138" i="802"/>
  <c r="J137" i="802"/>
  <c r="E135" i="802"/>
  <c r="E134" i="802"/>
  <c r="E136" i="802"/>
  <c r="E132" i="802"/>
  <c r="E133" i="802"/>
  <c r="E139" i="802"/>
  <c r="E131" i="802"/>
  <c r="E137" i="802"/>
  <c r="E138" i="802"/>
  <c r="AF139" i="802"/>
  <c r="T139" i="802"/>
  <c r="AF136" i="802"/>
  <c r="T136" i="802"/>
  <c r="K134" i="802"/>
  <c r="K136" i="802"/>
  <c r="K132" i="802"/>
  <c r="K135" i="802"/>
  <c r="K131" i="802"/>
  <c r="K138" i="802"/>
  <c r="K139" i="802"/>
  <c r="K137" i="802"/>
  <c r="K133" i="802"/>
  <c r="AC131" i="802"/>
  <c r="AC140" i="802" s="1"/>
  <c r="Q131" i="802"/>
  <c r="AC134" i="802"/>
  <c r="Q134" i="802"/>
  <c r="X136" i="802" l="1"/>
  <c r="AJ136" i="802"/>
  <c r="AD137" i="802"/>
  <c r="R137" i="802"/>
  <c r="AI136" i="802"/>
  <c r="W136" i="802"/>
  <c r="S139" i="802"/>
  <c r="AE139" i="802"/>
  <c r="AG134" i="802"/>
  <c r="U134" i="802"/>
  <c r="AF140" i="802"/>
  <c r="AA136" i="802"/>
  <c r="O136" i="802"/>
  <c r="AB139" i="802"/>
  <c r="P139" i="802"/>
  <c r="AH133" i="802"/>
  <c r="V133" i="802"/>
  <c r="AH139" i="802"/>
  <c r="V139" i="802"/>
  <c r="X134" i="802"/>
  <c r="AJ134" i="802"/>
  <c r="R136" i="802"/>
  <c r="AD136" i="802"/>
  <c r="W139" i="802"/>
  <c r="AI139" i="802"/>
  <c r="AE136" i="802"/>
  <c r="S136" i="802"/>
  <c r="AG136" i="802"/>
  <c r="U136" i="802"/>
  <c r="O135" i="802"/>
  <c r="AA135" i="802"/>
  <c r="P138" i="802"/>
  <c r="AB138" i="802"/>
  <c r="V132" i="802"/>
  <c r="AH132" i="802"/>
  <c r="AJ135" i="802"/>
  <c r="X135" i="802"/>
  <c r="AD139" i="802"/>
  <c r="R139" i="802"/>
  <c r="AI138" i="802"/>
  <c r="W138" i="802"/>
  <c r="W135" i="802"/>
  <c r="AI135" i="802"/>
  <c r="AE138" i="802"/>
  <c r="S138" i="802"/>
  <c r="S134" i="802"/>
  <c r="AE134" i="802"/>
  <c r="U137" i="802"/>
  <c r="AG137" i="802"/>
  <c r="AG135" i="802"/>
  <c r="U135" i="802"/>
  <c r="AA137" i="802"/>
  <c r="O137" i="802"/>
  <c r="AA134" i="802"/>
  <c r="O134" i="802"/>
  <c r="AB131" i="802"/>
  <c r="P131" i="802"/>
  <c r="AB137" i="802"/>
  <c r="P137" i="802"/>
  <c r="AB135" i="802"/>
  <c r="P135" i="802"/>
  <c r="V138" i="802"/>
  <c r="AH138" i="802"/>
  <c r="AH134" i="802"/>
  <c r="V134" i="802"/>
  <c r="X138" i="802"/>
  <c r="AJ138" i="802"/>
  <c r="R132" i="802"/>
  <c r="AD132" i="802"/>
  <c r="AI133" i="802"/>
  <c r="W133" i="802"/>
  <c r="S135" i="802"/>
  <c r="AE135" i="802"/>
  <c r="AG139" i="802"/>
  <c r="U139" i="802"/>
  <c r="O139" i="802"/>
  <c r="AA139" i="802"/>
  <c r="AB136" i="802"/>
  <c r="P136" i="802"/>
  <c r="V136" i="802"/>
  <c r="AH136" i="802"/>
  <c r="AJ133" i="802"/>
  <c r="X133" i="802"/>
  <c r="AJ131" i="802"/>
  <c r="X131" i="802"/>
  <c r="R131" i="802"/>
  <c r="AD131" i="802"/>
  <c r="AI137" i="802"/>
  <c r="W137" i="802"/>
  <c r="AI132" i="802"/>
  <c r="W132" i="802"/>
  <c r="AE133" i="802"/>
  <c r="S133" i="802"/>
  <c r="AG131" i="802"/>
  <c r="U131" i="802"/>
  <c r="AG138" i="802"/>
  <c r="U138" i="802"/>
  <c r="O138" i="802"/>
  <c r="AA138" i="802"/>
  <c r="P134" i="802"/>
  <c r="AB134" i="802"/>
  <c r="AH137" i="802"/>
  <c r="V137" i="802"/>
  <c r="AJ137" i="802"/>
  <c r="X137" i="802"/>
  <c r="AD134" i="802"/>
  <c r="R134" i="802"/>
  <c r="Q140" i="802"/>
  <c r="D141" i="802" s="1"/>
  <c r="AJ139" i="802"/>
  <c r="X139" i="802"/>
  <c r="AJ132" i="802"/>
  <c r="X132" i="802"/>
  <c r="AD138" i="802"/>
  <c r="R138" i="802"/>
  <c r="AD133" i="802"/>
  <c r="R133" i="802"/>
  <c r="AD135" i="802"/>
  <c r="R135" i="802"/>
  <c r="W131" i="802"/>
  <c r="AI131" i="802"/>
  <c r="AI134" i="802"/>
  <c r="W134" i="802"/>
  <c r="S131" i="802"/>
  <c r="AE131" i="802"/>
  <c r="AE137" i="802"/>
  <c r="S137" i="802"/>
  <c r="AE132" i="802"/>
  <c r="S132" i="802"/>
  <c r="U133" i="802"/>
  <c r="AG133" i="802"/>
  <c r="U132" i="802"/>
  <c r="AG132" i="802"/>
  <c r="T140" i="802"/>
  <c r="AA133" i="802"/>
  <c r="O133" i="802"/>
  <c r="Y133" i="802" s="1"/>
  <c r="AA132" i="802"/>
  <c r="O132" i="802"/>
  <c r="P133" i="802"/>
  <c r="AB133" i="802"/>
  <c r="AB132" i="802"/>
  <c r="P132" i="802"/>
  <c r="AH131" i="802"/>
  <c r="V131" i="802"/>
  <c r="AH135" i="802"/>
  <c r="V135" i="802"/>
  <c r="W140" i="802" l="1"/>
  <c r="S140" i="802"/>
  <c r="AK138" i="802"/>
  <c r="G141" i="802"/>
  <c r="O140" i="802"/>
  <c r="AD140" i="802"/>
  <c r="E141" i="802" s="1"/>
  <c r="AK135" i="802"/>
  <c r="M135" i="802" s="1"/>
  <c r="AK132" i="802"/>
  <c r="AA140" i="802"/>
  <c r="AG140" i="802"/>
  <c r="R140" i="802"/>
  <c r="AK134" i="802"/>
  <c r="Y135" i="802"/>
  <c r="V140" i="802"/>
  <c r="X140" i="802"/>
  <c r="AK139" i="802"/>
  <c r="P140" i="802"/>
  <c r="Y137" i="802"/>
  <c r="Y136" i="802"/>
  <c r="Y132" i="802"/>
  <c r="U140" i="802"/>
  <c r="Y134" i="802"/>
  <c r="AK133" i="802"/>
  <c r="M133" i="802" s="1"/>
  <c r="Y138" i="802"/>
  <c r="M138" i="802" s="1"/>
  <c r="AH140" i="802"/>
  <c r="Y131" i="802"/>
  <c r="AE140" i="802"/>
  <c r="AI140" i="802"/>
  <c r="J141" i="802" s="1"/>
  <c r="AJ140" i="802"/>
  <c r="K141" i="802" s="1"/>
  <c r="Y139" i="802"/>
  <c r="AK131" i="802"/>
  <c r="AB140" i="802"/>
  <c r="AK137" i="802"/>
  <c r="AK136" i="802"/>
  <c r="M136" i="802" s="1"/>
  <c r="F141" i="802" l="1"/>
  <c r="H141" i="802"/>
  <c r="B141" i="802"/>
  <c r="M137" i="802"/>
  <c r="I141" i="802"/>
  <c r="L141" i="802" s="1"/>
  <c r="M139" i="802"/>
  <c r="M134" i="802"/>
  <c r="M132" i="802"/>
  <c r="C141" i="802"/>
  <c r="AK140" i="802"/>
  <c r="M131" i="802"/>
  <c r="D142" i="802" l="1"/>
  <c r="D157" i="802" s="1"/>
  <c r="G142" i="802"/>
  <c r="B142" i="802"/>
  <c r="E142" i="802"/>
  <c r="E150" i="802" s="1"/>
  <c r="H142" i="802"/>
  <c r="H149" i="802" s="1"/>
  <c r="J142" i="802"/>
  <c r="J155" i="802" s="1"/>
  <c r="K142" i="802"/>
  <c r="K152" i="802" s="1"/>
  <c r="F142" i="802"/>
  <c r="F155" i="802" s="1"/>
  <c r="H157" i="802"/>
  <c r="C157" i="802"/>
  <c r="B157" i="802"/>
  <c r="G157" i="802"/>
  <c r="K150" i="802"/>
  <c r="H150" i="802"/>
  <c r="I142" i="802"/>
  <c r="C149" i="802"/>
  <c r="G149" i="802"/>
  <c r="K149" i="802"/>
  <c r="J149" i="802"/>
  <c r="G155" i="802"/>
  <c r="E155" i="802"/>
  <c r="C155" i="802"/>
  <c r="I155" i="802"/>
  <c r="H155" i="802"/>
  <c r="C142" i="802"/>
  <c r="I152" i="802"/>
  <c r="E152" i="802"/>
  <c r="J152" i="802"/>
  <c r="C152" i="802"/>
  <c r="H152" i="802"/>
  <c r="G152" i="802"/>
  <c r="D155" i="802" l="1"/>
  <c r="F150" i="802"/>
  <c r="D149" i="802"/>
  <c r="J157" i="802"/>
  <c r="D152" i="802"/>
  <c r="D150" i="802"/>
  <c r="AD150" i="802"/>
  <c r="R150" i="802"/>
  <c r="AG152" i="802"/>
  <c r="U152" i="802"/>
  <c r="V155" i="802"/>
  <c r="AH155" i="802"/>
  <c r="AE155" i="802"/>
  <c r="S155" i="802"/>
  <c r="P149" i="802"/>
  <c r="AB149" i="802"/>
  <c r="AE150" i="802"/>
  <c r="S150" i="802"/>
  <c r="AA157" i="802"/>
  <c r="O157" i="802"/>
  <c r="F154" i="802"/>
  <c r="F151" i="802"/>
  <c r="F153" i="802"/>
  <c r="F156" i="802"/>
  <c r="AB152" i="802"/>
  <c r="P152" i="802"/>
  <c r="P155" i="802"/>
  <c r="AB155" i="802"/>
  <c r="AI155" i="802"/>
  <c r="W155" i="802"/>
  <c r="I156" i="802"/>
  <c r="I154" i="802"/>
  <c r="I153" i="802"/>
  <c r="I151" i="802"/>
  <c r="I150" i="802"/>
  <c r="F157" i="802"/>
  <c r="AC157" i="802"/>
  <c r="Q157" i="802"/>
  <c r="L142" i="802"/>
  <c r="B156" i="802"/>
  <c r="B153" i="802"/>
  <c r="B154" i="802"/>
  <c r="B151" i="802"/>
  <c r="AC152" i="802"/>
  <c r="Q152" i="802"/>
  <c r="C154" i="802"/>
  <c r="C156" i="802"/>
  <c r="C153" i="802"/>
  <c r="C151" i="802"/>
  <c r="AC155" i="802"/>
  <c r="Q155" i="802"/>
  <c r="F149" i="802"/>
  <c r="B149" i="802"/>
  <c r="O149" i="802" s="1"/>
  <c r="Q149" i="802"/>
  <c r="AC149" i="802"/>
  <c r="B150" i="802"/>
  <c r="C150" i="802"/>
  <c r="T157" i="802"/>
  <c r="AF157" i="802"/>
  <c r="I157" i="802"/>
  <c r="AG157" i="802"/>
  <c r="U157" i="802"/>
  <c r="J151" i="802"/>
  <c r="J156" i="802"/>
  <c r="J153" i="802"/>
  <c r="J154" i="802"/>
  <c r="G151" i="802"/>
  <c r="G153" i="802"/>
  <c r="G156" i="802"/>
  <c r="G154" i="802"/>
  <c r="AJ152" i="802"/>
  <c r="X152" i="802"/>
  <c r="AD152" i="802"/>
  <c r="R152" i="802"/>
  <c r="AD155" i="802"/>
  <c r="R155" i="802"/>
  <c r="AJ149" i="802"/>
  <c r="X149" i="802"/>
  <c r="U150" i="802"/>
  <c r="AG150" i="802"/>
  <c r="AJ150" i="802"/>
  <c r="X150" i="802"/>
  <c r="AI157" i="802"/>
  <c r="W157" i="802"/>
  <c r="E151" i="802"/>
  <c r="E154" i="802"/>
  <c r="E156" i="802"/>
  <c r="E153" i="802"/>
  <c r="AH152" i="802"/>
  <c r="V152" i="802"/>
  <c r="T155" i="802"/>
  <c r="AF155" i="802"/>
  <c r="E149" i="802"/>
  <c r="I149" i="802"/>
  <c r="AB157" i="802"/>
  <c r="P157" i="802"/>
  <c r="K153" i="802"/>
  <c r="K151" i="802"/>
  <c r="K156" i="802"/>
  <c r="K154" i="802"/>
  <c r="F152" i="802"/>
  <c r="B152" i="802"/>
  <c r="AF152" i="802"/>
  <c r="T152" i="802"/>
  <c r="W152" i="802"/>
  <c r="AI152" i="802"/>
  <c r="AG155" i="802"/>
  <c r="U155" i="802"/>
  <c r="K155" i="802"/>
  <c r="B155" i="802"/>
  <c r="AI149" i="802"/>
  <c r="W149" i="802"/>
  <c r="AF149" i="802"/>
  <c r="T149" i="802"/>
  <c r="U149" i="802"/>
  <c r="AG149" i="802"/>
  <c r="Q150" i="802"/>
  <c r="AC150" i="802"/>
  <c r="J150" i="802"/>
  <c r="G150" i="802"/>
  <c r="K157" i="802"/>
  <c r="E157" i="802"/>
  <c r="H153" i="802"/>
  <c r="H154" i="802"/>
  <c r="H156" i="802"/>
  <c r="H151" i="802"/>
  <c r="D156" i="802"/>
  <c r="D154" i="802"/>
  <c r="D153" i="802"/>
  <c r="D151" i="802"/>
  <c r="AG156" i="802" l="1"/>
  <c r="U156" i="802"/>
  <c r="AA155" i="802"/>
  <c r="O155" i="802"/>
  <c r="O152" i="802"/>
  <c r="AA152" i="802"/>
  <c r="AD156" i="802"/>
  <c r="R156" i="802"/>
  <c r="AI153" i="802"/>
  <c r="W153" i="802"/>
  <c r="AA151" i="802"/>
  <c r="O151" i="802"/>
  <c r="AE157" i="802"/>
  <c r="S157" i="802"/>
  <c r="AE154" i="802"/>
  <c r="S154" i="802"/>
  <c r="U154" i="802"/>
  <c r="AG154" i="802"/>
  <c r="X155" i="802"/>
  <c r="AJ155" i="802"/>
  <c r="X153" i="802"/>
  <c r="AJ153" i="802"/>
  <c r="AD154" i="802"/>
  <c r="R154" i="802"/>
  <c r="W156" i="802"/>
  <c r="AI156" i="802"/>
  <c r="P150" i="802"/>
  <c r="AB150" i="802"/>
  <c r="P151" i="802"/>
  <c r="AB151" i="802"/>
  <c r="AH156" i="802"/>
  <c r="V156" i="802"/>
  <c r="AC151" i="802"/>
  <c r="Q151" i="802"/>
  <c r="AF150" i="802"/>
  <c r="T150" i="802"/>
  <c r="AJ154" i="802"/>
  <c r="X154" i="802"/>
  <c r="R149" i="802"/>
  <c r="AD149" i="802"/>
  <c r="AD151" i="802"/>
  <c r="R151" i="802"/>
  <c r="AF154" i="802"/>
  <c r="T154" i="802"/>
  <c r="AI151" i="802"/>
  <c r="W151" i="802"/>
  <c r="V157" i="802"/>
  <c r="AH157" i="802"/>
  <c r="AK157" i="802" s="1"/>
  <c r="M157" i="802" s="1"/>
  <c r="O150" i="802"/>
  <c r="AA150" i="802"/>
  <c r="AE149" i="802"/>
  <c r="S149" i="802"/>
  <c r="AB153" i="802"/>
  <c r="P153" i="802"/>
  <c r="AA153" i="802"/>
  <c r="O153" i="802"/>
  <c r="V151" i="802"/>
  <c r="AH151" i="802"/>
  <c r="AE153" i="802"/>
  <c r="S153" i="802"/>
  <c r="Q154" i="802"/>
  <c r="AC154" i="802"/>
  <c r="R157" i="802"/>
  <c r="Y157" i="802" s="1"/>
  <c r="AD157" i="802"/>
  <c r="X151" i="802"/>
  <c r="AJ151" i="802"/>
  <c r="AF153" i="802"/>
  <c r="T153" i="802"/>
  <c r="T158" i="802" s="1"/>
  <c r="AB154" i="802"/>
  <c r="P154" i="802"/>
  <c r="AH154" i="802"/>
  <c r="V154" i="802"/>
  <c r="Q156" i="802"/>
  <c r="AC156" i="802"/>
  <c r="AJ157" i="802"/>
  <c r="X157" i="802"/>
  <c r="AF158" i="802"/>
  <c r="S152" i="802"/>
  <c r="AE152" i="802"/>
  <c r="V149" i="802"/>
  <c r="AH149" i="802"/>
  <c r="T151" i="802"/>
  <c r="AF151" i="802"/>
  <c r="Y149" i="802"/>
  <c r="AA154" i="802"/>
  <c r="O154" i="802"/>
  <c r="AH150" i="802"/>
  <c r="V150" i="802"/>
  <c r="S156" i="802"/>
  <c r="AE156" i="802"/>
  <c r="AG153" i="802"/>
  <c r="U153" i="802"/>
  <c r="U158" i="802" s="1"/>
  <c r="AC153" i="802"/>
  <c r="Q153" i="802"/>
  <c r="AG151" i="802"/>
  <c r="AG158" i="802" s="1"/>
  <c r="U151" i="802"/>
  <c r="AI150" i="802"/>
  <c r="W150" i="802"/>
  <c r="AJ156" i="802"/>
  <c r="X156" i="802"/>
  <c r="R153" i="802"/>
  <c r="AD153" i="802"/>
  <c r="AF156" i="802"/>
  <c r="T156" i="802"/>
  <c r="AI154" i="802"/>
  <c r="W154" i="802"/>
  <c r="AB156" i="802"/>
  <c r="P156" i="802"/>
  <c r="O156" i="802"/>
  <c r="AA156" i="802"/>
  <c r="V153" i="802"/>
  <c r="AH153" i="802"/>
  <c r="AE151" i="802"/>
  <c r="S151" i="802"/>
  <c r="AC158" i="802" l="1"/>
  <c r="AB158" i="802"/>
  <c r="AJ158" i="802"/>
  <c r="H159" i="802"/>
  <c r="W158" i="802"/>
  <c r="P158" i="802"/>
  <c r="C159" i="802" s="1"/>
  <c r="AK155" i="802"/>
  <c r="M155" i="802" s="1"/>
  <c r="AH158" i="802"/>
  <c r="X158" i="802"/>
  <c r="K159" i="802" s="1"/>
  <c r="Q158" i="802"/>
  <c r="AI158" i="802"/>
  <c r="O158" i="802"/>
  <c r="J159" i="802"/>
  <c r="G159" i="802"/>
  <c r="Y155" i="802"/>
  <c r="S158" i="802"/>
  <c r="Y154" i="802"/>
  <c r="AK153" i="802"/>
  <c r="AE158" i="802"/>
  <c r="AD158" i="802"/>
  <c r="E159" i="802" s="1"/>
  <c r="AK152" i="802"/>
  <c r="Y150" i="802"/>
  <c r="AK151" i="802"/>
  <c r="AK156" i="802"/>
  <c r="V158" i="802"/>
  <c r="Y153" i="802"/>
  <c r="Y156" i="802"/>
  <c r="AK154" i="802"/>
  <c r="M154" i="802" s="1"/>
  <c r="AK149" i="802"/>
  <c r="AA158" i="802"/>
  <c r="B159" i="802" s="1"/>
  <c r="AK150" i="802"/>
  <c r="M150" i="802" s="1"/>
  <c r="R158" i="802"/>
  <c r="Y151" i="802"/>
  <c r="Y152" i="802"/>
  <c r="D159" i="802" l="1"/>
  <c r="I159" i="802"/>
  <c r="M151" i="802"/>
  <c r="F159" i="802"/>
  <c r="AK158" i="802"/>
  <c r="M149" i="802"/>
  <c r="M153" i="802"/>
  <c r="M156" i="802"/>
  <c r="M152" i="802"/>
  <c r="L159" i="802" l="1"/>
  <c r="H160" i="802" l="1"/>
  <c r="D160" i="802"/>
  <c r="I160" i="802"/>
  <c r="C160" i="802"/>
  <c r="G160" i="802"/>
  <c r="J160" i="802"/>
  <c r="K160" i="802"/>
  <c r="B160" i="802"/>
  <c r="E160" i="802"/>
  <c r="F160" i="802"/>
  <c r="L160" i="802" l="1"/>
  <c r="B175" i="802"/>
  <c r="B172" i="802"/>
  <c r="B173" i="802"/>
  <c r="B168" i="802"/>
  <c r="B174" i="802"/>
  <c r="B169" i="802"/>
  <c r="B167" i="802"/>
  <c r="O167" i="802" s="1"/>
  <c r="B171" i="802"/>
  <c r="B170" i="802"/>
  <c r="I175" i="802"/>
  <c r="I168" i="802"/>
  <c r="I172" i="802"/>
  <c r="I173" i="802"/>
  <c r="I174" i="802"/>
  <c r="I169" i="802"/>
  <c r="I167" i="802"/>
  <c r="I170" i="802"/>
  <c r="I171" i="802"/>
  <c r="J175" i="802"/>
  <c r="J172" i="802"/>
  <c r="J173" i="802"/>
  <c r="J168" i="802"/>
  <c r="J167" i="802"/>
  <c r="J171" i="802"/>
  <c r="J174" i="802"/>
  <c r="J169" i="802"/>
  <c r="J170" i="802"/>
  <c r="D175" i="802"/>
  <c r="D173" i="802"/>
  <c r="D168" i="802"/>
  <c r="D172" i="802"/>
  <c r="D174" i="802"/>
  <c r="D169" i="802"/>
  <c r="D170" i="802"/>
  <c r="D171" i="802"/>
  <c r="D167" i="802"/>
  <c r="C175" i="802"/>
  <c r="C172" i="802"/>
  <c r="C168" i="802"/>
  <c r="C173" i="802"/>
  <c r="C169" i="802"/>
  <c r="C170" i="802"/>
  <c r="C171" i="802"/>
  <c r="C174" i="802"/>
  <c r="C167" i="802"/>
  <c r="K175" i="802"/>
  <c r="K173" i="802"/>
  <c r="K172" i="802"/>
  <c r="K168" i="802"/>
  <c r="K170" i="802"/>
  <c r="K171" i="802"/>
  <c r="K167" i="802"/>
  <c r="K169" i="802"/>
  <c r="K174" i="802"/>
  <c r="F175" i="802"/>
  <c r="F168" i="802"/>
  <c r="F173" i="802"/>
  <c r="F172" i="802"/>
  <c r="F169" i="802"/>
  <c r="F174" i="802"/>
  <c r="F171" i="802"/>
  <c r="F167" i="802"/>
  <c r="F170" i="802"/>
  <c r="E175" i="802"/>
  <c r="E173" i="802"/>
  <c r="E168" i="802"/>
  <c r="E172" i="802"/>
  <c r="E170" i="802"/>
  <c r="E171" i="802"/>
  <c r="E174" i="802"/>
  <c r="E169" i="802"/>
  <c r="E167" i="802"/>
  <c r="G175" i="802"/>
  <c r="G172" i="802"/>
  <c r="G168" i="802"/>
  <c r="G173" i="802"/>
  <c r="G169" i="802"/>
  <c r="G171" i="802"/>
  <c r="G174" i="802"/>
  <c r="G170" i="802"/>
  <c r="G167" i="802"/>
  <c r="H175" i="802"/>
  <c r="H173" i="802"/>
  <c r="H168" i="802"/>
  <c r="H172" i="802"/>
  <c r="H167" i="802"/>
  <c r="H170" i="802"/>
  <c r="H171" i="802"/>
  <c r="H174" i="802"/>
  <c r="H169" i="802"/>
  <c r="AF171" i="802" l="1"/>
  <c r="T171" i="802"/>
  <c r="AE168" i="802"/>
  <c r="S168" i="802"/>
  <c r="P172" i="802"/>
  <c r="AB172" i="802"/>
  <c r="AF175" i="802"/>
  <c r="T175" i="802"/>
  <c r="AJ167" i="802"/>
  <c r="X167" i="802"/>
  <c r="P175" i="802"/>
  <c r="AB175" i="802"/>
  <c r="AC170" i="802"/>
  <c r="Q170" i="802"/>
  <c r="AC168" i="802"/>
  <c r="Q168" i="802"/>
  <c r="AI170" i="802"/>
  <c r="W170" i="802"/>
  <c r="W167" i="802"/>
  <c r="AI167" i="802"/>
  <c r="AI175" i="802"/>
  <c r="W175" i="802"/>
  <c r="AH167" i="802"/>
  <c r="V167" i="802"/>
  <c r="AH172" i="802"/>
  <c r="V172" i="802"/>
  <c r="AA170" i="802"/>
  <c r="O170" i="802"/>
  <c r="O176" i="802" s="1"/>
  <c r="AA174" i="802"/>
  <c r="O174" i="802"/>
  <c r="O175" i="802"/>
  <c r="AA175" i="802"/>
  <c r="AG174" i="802"/>
  <c r="U174" i="802"/>
  <c r="T172" i="802"/>
  <c r="AF172" i="802"/>
  <c r="AD172" i="802"/>
  <c r="R172" i="802"/>
  <c r="AJ169" i="802"/>
  <c r="X169" i="802"/>
  <c r="AB170" i="802"/>
  <c r="P170" i="802"/>
  <c r="AC172" i="802"/>
  <c r="Q172" i="802"/>
  <c r="AI172" i="802"/>
  <c r="W172" i="802"/>
  <c r="AH173" i="802"/>
  <c r="V173" i="802"/>
  <c r="O169" i="802"/>
  <c r="AA169" i="802"/>
  <c r="AG168" i="802"/>
  <c r="U168" i="802"/>
  <c r="AF169" i="802"/>
  <c r="T169" i="802"/>
  <c r="AD168" i="802"/>
  <c r="R168" i="802"/>
  <c r="S169" i="802"/>
  <c r="AE169" i="802"/>
  <c r="X172" i="802"/>
  <c r="AJ172" i="802"/>
  <c r="AB169" i="802"/>
  <c r="P169" i="802"/>
  <c r="AG170" i="802"/>
  <c r="U170" i="802"/>
  <c r="U173" i="802"/>
  <c r="AG173" i="802"/>
  <c r="AF170" i="802"/>
  <c r="T170" i="802"/>
  <c r="AF173" i="802"/>
  <c r="T173" i="802"/>
  <c r="AD171" i="802"/>
  <c r="R171" i="802"/>
  <c r="R173" i="802"/>
  <c r="AD173" i="802"/>
  <c r="AE167" i="802"/>
  <c r="S167" i="802"/>
  <c r="AE172" i="802"/>
  <c r="S172" i="802"/>
  <c r="AJ171" i="802"/>
  <c r="X171" i="802"/>
  <c r="AJ173" i="802"/>
  <c r="X173" i="802"/>
  <c r="AB174" i="802"/>
  <c r="P174" i="802"/>
  <c r="AB173" i="802"/>
  <c r="P173" i="802"/>
  <c r="AC169" i="802"/>
  <c r="Q169" i="802"/>
  <c r="Q173" i="802"/>
  <c r="AC173" i="802"/>
  <c r="W169" i="802"/>
  <c r="AI169" i="802"/>
  <c r="AI168" i="802"/>
  <c r="W168" i="802"/>
  <c r="AH169" i="802"/>
  <c r="V169" i="802"/>
  <c r="AH168" i="802"/>
  <c r="V168" i="802"/>
  <c r="O171" i="802"/>
  <c r="AA171" i="802"/>
  <c r="O168" i="802"/>
  <c r="AA168" i="802"/>
  <c r="AG172" i="802"/>
  <c r="U172" i="802"/>
  <c r="AD169" i="802"/>
  <c r="R169" i="802"/>
  <c r="AE174" i="802"/>
  <c r="S174" i="802"/>
  <c r="X168" i="802"/>
  <c r="AJ168" i="802"/>
  <c r="Q171" i="802"/>
  <c r="AC171" i="802"/>
  <c r="W171" i="802"/>
  <c r="AI171" i="802"/>
  <c r="V170" i="802"/>
  <c r="AH170" i="802"/>
  <c r="AA172" i="802"/>
  <c r="O172" i="802"/>
  <c r="U171" i="802"/>
  <c r="AG171" i="802"/>
  <c r="AF167" i="802"/>
  <c r="T167" i="802"/>
  <c r="R174" i="802"/>
  <c r="AD174" i="802"/>
  <c r="AE170" i="802"/>
  <c r="S170" i="802"/>
  <c r="S175" i="802"/>
  <c r="AE175" i="802"/>
  <c r="AB167" i="802"/>
  <c r="P167" i="802"/>
  <c r="U169" i="802"/>
  <c r="AG169" i="802"/>
  <c r="U167" i="802"/>
  <c r="AG167" i="802"/>
  <c r="U175" i="802"/>
  <c r="AG175" i="802"/>
  <c r="AF174" i="802"/>
  <c r="T174" i="802"/>
  <c r="T168" i="802"/>
  <c r="AF168" i="802"/>
  <c r="AD167" i="802"/>
  <c r="R167" i="802"/>
  <c r="R170" i="802"/>
  <c r="AD170" i="802"/>
  <c r="AD175" i="802"/>
  <c r="R175" i="802"/>
  <c r="S171" i="802"/>
  <c r="AE171" i="802"/>
  <c r="S173" i="802"/>
  <c r="AE173" i="802"/>
  <c r="AJ174" i="802"/>
  <c r="X174" i="802"/>
  <c r="AJ170" i="802"/>
  <c r="X170" i="802"/>
  <c r="AJ175" i="802"/>
  <c r="X175" i="802"/>
  <c r="AB171" i="802"/>
  <c r="P171" i="802"/>
  <c r="P168" i="802"/>
  <c r="AB168" i="802"/>
  <c r="Q167" i="802"/>
  <c r="AC167" i="802"/>
  <c r="AC174" i="802"/>
  <c r="Q174" i="802"/>
  <c r="Q175" i="802"/>
  <c r="AC175" i="802"/>
  <c r="AI174" i="802"/>
  <c r="W174" i="802"/>
  <c r="W173" i="802"/>
  <c r="AI173" i="802"/>
  <c r="AH171" i="802"/>
  <c r="V171" i="802"/>
  <c r="V174" i="802"/>
  <c r="AH174" i="802"/>
  <c r="AH175" i="802"/>
  <c r="V175" i="802"/>
  <c r="O173" i="802"/>
  <c r="AA173" i="802"/>
  <c r="AK173" i="802" l="1"/>
  <c r="M173" i="802" s="1"/>
  <c r="Y167" i="802"/>
  <c r="M33" i="803" s="1"/>
  <c r="S176" i="802"/>
  <c r="Y170" i="802"/>
  <c r="V176" i="802"/>
  <c r="Y173" i="802"/>
  <c r="Y171" i="802"/>
  <c r="AE176" i="802"/>
  <c r="F177" i="802" s="1"/>
  <c r="Y175" i="802"/>
  <c r="AK170" i="802"/>
  <c r="AH176" i="802"/>
  <c r="W176" i="802"/>
  <c r="AK171" i="802"/>
  <c r="AK175" i="802"/>
  <c r="M175" i="802" s="1"/>
  <c r="AI176" i="802"/>
  <c r="J177" i="802" s="1"/>
  <c r="AC176" i="802"/>
  <c r="R176" i="802"/>
  <c r="AG176" i="802"/>
  <c r="P176" i="802"/>
  <c r="T176" i="802"/>
  <c r="Y172" i="802"/>
  <c r="AK168" i="802"/>
  <c r="AA176" i="802"/>
  <c r="B177" i="802" s="1"/>
  <c r="AK169" i="802"/>
  <c r="Y174" i="802"/>
  <c r="X176" i="802"/>
  <c r="Q176" i="802"/>
  <c r="AD176" i="802"/>
  <c r="E177" i="802" s="1"/>
  <c r="U176" i="802"/>
  <c r="AB176" i="802"/>
  <c r="AK167" i="802"/>
  <c r="AF176" i="802"/>
  <c r="AK172" i="802"/>
  <c r="Y168" i="802"/>
  <c r="Y169" i="802"/>
  <c r="AK174" i="802"/>
  <c r="M174" i="802" s="1"/>
  <c r="AJ176" i="802"/>
  <c r="H177" i="802" l="1"/>
  <c r="I177" i="802"/>
  <c r="M172" i="802"/>
  <c r="AY19" i="802"/>
  <c r="G177" i="802"/>
  <c r="M34" i="803"/>
  <c r="AY20" i="802"/>
  <c r="M168" i="802"/>
  <c r="M37" i="803"/>
  <c r="AY23" i="802"/>
  <c r="M35" i="803"/>
  <c r="AY21" i="802"/>
  <c r="M36" i="803"/>
  <c r="AY22" i="802"/>
  <c r="C177" i="802"/>
  <c r="K177" i="802"/>
  <c r="M40" i="803"/>
  <c r="AY26" i="802"/>
  <c r="M38" i="803"/>
  <c r="AY24" i="802"/>
  <c r="M171" i="802"/>
  <c r="M170" i="802"/>
  <c r="M39" i="803"/>
  <c r="AY25" i="802"/>
  <c r="AK176" i="802"/>
  <c r="M167" i="802"/>
  <c r="M169" i="802"/>
  <c r="D177" i="802"/>
  <c r="M41" i="803"/>
  <c r="AY27" i="802"/>
  <c r="L177" i="802" l="1"/>
  <c r="D178" i="802" s="1"/>
  <c r="D193" i="802" l="1"/>
  <c r="D190" i="802"/>
  <c r="D192" i="802"/>
  <c r="D191" i="802"/>
  <c r="D186" i="802"/>
  <c r="D187" i="802"/>
  <c r="D189" i="802"/>
  <c r="D188" i="802"/>
  <c r="D185" i="802"/>
  <c r="H178" i="802"/>
  <c r="F178" i="802"/>
  <c r="G178" i="802"/>
  <c r="J178" i="802"/>
  <c r="E178" i="802"/>
  <c r="B178" i="802"/>
  <c r="I178" i="802"/>
  <c r="K178" i="802"/>
  <c r="C178" i="802"/>
  <c r="AC190" i="802" l="1"/>
  <c r="Q190" i="802"/>
  <c r="F193" i="802"/>
  <c r="F191" i="802"/>
  <c r="F190" i="802"/>
  <c r="F192" i="802"/>
  <c r="F189" i="802"/>
  <c r="F187" i="802"/>
  <c r="F188" i="802"/>
  <c r="F186" i="802"/>
  <c r="F185" i="802"/>
  <c r="Q189" i="802"/>
  <c r="AC189" i="802"/>
  <c r="AC187" i="802"/>
  <c r="Q187" i="802"/>
  <c r="K192" i="802"/>
  <c r="K193" i="802"/>
  <c r="K190" i="802"/>
  <c r="K191" i="802"/>
  <c r="K185" i="802"/>
  <c r="K186" i="802"/>
  <c r="K187" i="802"/>
  <c r="K189" i="802"/>
  <c r="K188" i="802"/>
  <c r="J193" i="802"/>
  <c r="J191" i="802"/>
  <c r="J192" i="802"/>
  <c r="J190" i="802"/>
  <c r="J187" i="802"/>
  <c r="J188" i="802"/>
  <c r="J185" i="802"/>
  <c r="J186" i="802"/>
  <c r="J189" i="802"/>
  <c r="AC185" i="802"/>
  <c r="Q185" i="802"/>
  <c r="AC186" i="802"/>
  <c r="Q186" i="802"/>
  <c r="Q193" i="802"/>
  <c r="AC193" i="802"/>
  <c r="L178" i="802"/>
  <c r="B190" i="802"/>
  <c r="B191" i="802"/>
  <c r="B192" i="802"/>
  <c r="B193" i="802"/>
  <c r="B186" i="802"/>
  <c r="B185" i="802"/>
  <c r="O185" i="802" s="1"/>
  <c r="B187" i="802"/>
  <c r="B189" i="802"/>
  <c r="B188" i="802"/>
  <c r="Q192" i="802"/>
  <c r="AC192" i="802"/>
  <c r="C190" i="802"/>
  <c r="C193" i="802"/>
  <c r="C192" i="802"/>
  <c r="C191" i="802"/>
  <c r="C186" i="802"/>
  <c r="C189" i="802"/>
  <c r="C187" i="802"/>
  <c r="C185" i="802"/>
  <c r="C188" i="802"/>
  <c r="E190" i="802"/>
  <c r="E192" i="802"/>
  <c r="E193" i="802"/>
  <c r="E191" i="802"/>
  <c r="E189" i="802"/>
  <c r="E188" i="802"/>
  <c r="E185" i="802"/>
  <c r="E186" i="802"/>
  <c r="E187" i="802"/>
  <c r="H193" i="802"/>
  <c r="H192" i="802"/>
  <c r="H191" i="802"/>
  <c r="H190" i="802"/>
  <c r="H185" i="802"/>
  <c r="H187" i="802"/>
  <c r="H188" i="802"/>
  <c r="H189" i="802"/>
  <c r="H186" i="802"/>
  <c r="I191" i="802"/>
  <c r="I190" i="802"/>
  <c r="I192" i="802"/>
  <c r="I193" i="802"/>
  <c r="I185" i="802"/>
  <c r="I186" i="802"/>
  <c r="I187" i="802"/>
  <c r="I189" i="802"/>
  <c r="I188" i="802"/>
  <c r="G193" i="802"/>
  <c r="G192" i="802"/>
  <c r="G191" i="802"/>
  <c r="G190" i="802"/>
  <c r="G188" i="802"/>
  <c r="G187" i="802"/>
  <c r="G185" i="802"/>
  <c r="G186" i="802"/>
  <c r="G189" i="802"/>
  <c r="Q188" i="802"/>
  <c r="AC188" i="802"/>
  <c r="AC191" i="802"/>
  <c r="Q191" i="802"/>
  <c r="AD188" i="802" l="1"/>
  <c r="R188" i="802"/>
  <c r="AI189" i="802"/>
  <c r="W189" i="802"/>
  <c r="T185" i="802"/>
  <c r="AF185" i="802"/>
  <c r="U188" i="802"/>
  <c r="AG188" i="802"/>
  <c r="AB187" i="802"/>
  <c r="P187" i="802"/>
  <c r="P192" i="802"/>
  <c r="AB192" i="802"/>
  <c r="AA187" i="802"/>
  <c r="O187" i="802"/>
  <c r="AA192" i="802"/>
  <c r="O192" i="802"/>
  <c r="W186" i="802"/>
  <c r="AI186" i="802"/>
  <c r="AI190" i="802"/>
  <c r="W190" i="802"/>
  <c r="AJ186" i="802"/>
  <c r="X186" i="802"/>
  <c r="AJ193" i="802"/>
  <c r="X193" i="802"/>
  <c r="S186" i="802"/>
  <c r="AE186" i="802"/>
  <c r="AE192" i="802"/>
  <c r="S192" i="802"/>
  <c r="T190" i="802"/>
  <c r="AF190" i="802"/>
  <c r="AH190" i="802"/>
  <c r="V190" i="802"/>
  <c r="AG190" i="802"/>
  <c r="U190" i="802"/>
  <c r="R192" i="802"/>
  <c r="AD192" i="802"/>
  <c r="AB191" i="802"/>
  <c r="P191" i="802"/>
  <c r="AA193" i="802"/>
  <c r="O193" i="802"/>
  <c r="AI193" i="802"/>
  <c r="W193" i="802"/>
  <c r="X190" i="802"/>
  <c r="AJ190" i="802"/>
  <c r="AE189" i="802"/>
  <c r="S189" i="802"/>
  <c r="AF191" i="802"/>
  <c r="T191" i="802"/>
  <c r="V185" i="802"/>
  <c r="AH185" i="802"/>
  <c r="AG191" i="802"/>
  <c r="U191" i="802"/>
  <c r="R190" i="802"/>
  <c r="AD190" i="802"/>
  <c r="T187" i="802"/>
  <c r="AF187" i="802"/>
  <c r="AF192" i="802"/>
  <c r="T192" i="802"/>
  <c r="AH189" i="802"/>
  <c r="V189" i="802"/>
  <c r="AH193" i="802"/>
  <c r="V193" i="802"/>
  <c r="U187" i="802"/>
  <c r="AG187" i="802"/>
  <c r="AG192" i="802"/>
  <c r="U192" i="802"/>
  <c r="AD186" i="802"/>
  <c r="R186" i="802"/>
  <c r="AD191" i="802"/>
  <c r="R191" i="802"/>
  <c r="P189" i="802"/>
  <c r="AB189" i="802"/>
  <c r="AB193" i="802"/>
  <c r="P193" i="802"/>
  <c r="O191" i="802"/>
  <c r="AA191" i="802"/>
  <c r="Q194" i="802"/>
  <c r="W185" i="802"/>
  <c r="AI185" i="802"/>
  <c r="AI192" i="802"/>
  <c r="W192" i="802"/>
  <c r="AJ188" i="802"/>
  <c r="X188" i="802"/>
  <c r="X185" i="802"/>
  <c r="AJ185" i="802"/>
  <c r="X192" i="802"/>
  <c r="AJ192" i="802"/>
  <c r="AE188" i="802"/>
  <c r="S188" i="802"/>
  <c r="S190" i="802"/>
  <c r="AE190" i="802"/>
  <c r="AF186" i="802"/>
  <c r="T186" i="802"/>
  <c r="AH186" i="802"/>
  <c r="V186" i="802"/>
  <c r="U189" i="802"/>
  <c r="AG189" i="802"/>
  <c r="P185" i="802"/>
  <c r="AB185" i="802"/>
  <c r="O189" i="802"/>
  <c r="AA189" i="802"/>
  <c r="AI187" i="802"/>
  <c r="W187" i="802"/>
  <c r="AJ187" i="802"/>
  <c r="X187" i="802"/>
  <c r="AE185" i="802"/>
  <c r="S185" i="802"/>
  <c r="AE193" i="802"/>
  <c r="S193" i="802"/>
  <c r="V188" i="802"/>
  <c r="AH188" i="802"/>
  <c r="V191" i="802"/>
  <c r="AH191" i="802"/>
  <c r="R187" i="802"/>
  <c r="AD187" i="802"/>
  <c r="AD189" i="802"/>
  <c r="R189" i="802"/>
  <c r="AF189" i="802"/>
  <c r="T189" i="802"/>
  <c r="AF188" i="802"/>
  <c r="T188" i="802"/>
  <c r="T193" i="802"/>
  <c r="AF193" i="802"/>
  <c r="V187" i="802"/>
  <c r="AH187" i="802"/>
  <c r="V192" i="802"/>
  <c r="AH192" i="802"/>
  <c r="AG186" i="802"/>
  <c r="U186" i="802"/>
  <c r="AG185" i="802"/>
  <c r="U185" i="802"/>
  <c r="U193" i="802"/>
  <c r="AG193" i="802"/>
  <c r="AD185" i="802"/>
  <c r="R185" i="802"/>
  <c r="AD193" i="802"/>
  <c r="R193" i="802"/>
  <c r="AB188" i="802"/>
  <c r="P188" i="802"/>
  <c r="AB186" i="802"/>
  <c r="P186" i="802"/>
  <c r="P190" i="802"/>
  <c r="AB190" i="802"/>
  <c r="AA188" i="802"/>
  <c r="O188" i="802"/>
  <c r="O186" i="802"/>
  <c r="AA186" i="802"/>
  <c r="AA190" i="802"/>
  <c r="O190" i="802"/>
  <c r="AC194" i="802"/>
  <c r="D195" i="802" s="1"/>
  <c r="AI188" i="802"/>
  <c r="W188" i="802"/>
  <c r="W191" i="802"/>
  <c r="AI191" i="802"/>
  <c r="X189" i="802"/>
  <c r="AJ189" i="802"/>
  <c r="AJ191" i="802"/>
  <c r="X191" i="802"/>
  <c r="AE187" i="802"/>
  <c r="S187" i="802"/>
  <c r="S191" i="802"/>
  <c r="AE191" i="802"/>
  <c r="AD194" i="802" l="1"/>
  <c r="E195" i="802" s="1"/>
  <c r="W194" i="802"/>
  <c r="Y186" i="802"/>
  <c r="AG194" i="802"/>
  <c r="AK193" i="802"/>
  <c r="AK192" i="802"/>
  <c r="P194" i="802"/>
  <c r="Y192" i="802"/>
  <c r="Y190" i="802"/>
  <c r="AK190" i="802"/>
  <c r="AK188" i="802"/>
  <c r="Y189" i="802"/>
  <c r="X194" i="802"/>
  <c r="AK191" i="802"/>
  <c r="AH194" i="802"/>
  <c r="Y187" i="802"/>
  <c r="AF194" i="802"/>
  <c r="AE194" i="802"/>
  <c r="Y185" i="802"/>
  <c r="Y193" i="802"/>
  <c r="Y188" i="802"/>
  <c r="AK189" i="802"/>
  <c r="M189" i="802" s="1"/>
  <c r="AJ194" i="802"/>
  <c r="O194" i="802"/>
  <c r="AK186" i="802"/>
  <c r="M186" i="802" s="1"/>
  <c r="AA194" i="802"/>
  <c r="R194" i="802"/>
  <c r="U194" i="802"/>
  <c r="H195" i="802" s="1"/>
  <c r="S194" i="802"/>
  <c r="AB194" i="802"/>
  <c r="C195" i="802" s="1"/>
  <c r="AK185" i="802"/>
  <c r="AI194" i="802"/>
  <c r="J195" i="802" s="1"/>
  <c r="Y191" i="802"/>
  <c r="V194" i="802"/>
  <c r="AK187" i="802"/>
  <c r="M187" i="802" s="1"/>
  <c r="T194" i="802"/>
  <c r="M190" i="802" l="1"/>
  <c r="G195" i="802"/>
  <c r="M191" i="802"/>
  <c r="AK194" i="802"/>
  <c r="M185" i="802"/>
  <c r="K195" i="802"/>
  <c r="M192" i="802"/>
  <c r="B195" i="802"/>
  <c r="F195" i="802"/>
  <c r="I195" i="802"/>
  <c r="M188" i="802"/>
  <c r="M193" i="802"/>
  <c r="L195" i="802" l="1"/>
  <c r="G196" i="802"/>
  <c r="G206" i="802" s="1"/>
  <c r="F196" i="802"/>
  <c r="F206" i="802" s="1"/>
  <c r="G211" i="802"/>
  <c r="I211" i="802"/>
  <c r="I196" i="802"/>
  <c r="I210" i="802" s="1"/>
  <c r="I203" i="802"/>
  <c r="F209" i="802" l="1"/>
  <c r="AE209" i="802" s="1"/>
  <c r="F203" i="802"/>
  <c r="G210" i="802"/>
  <c r="T206" i="802"/>
  <c r="AF206" i="802"/>
  <c r="AF210" i="802"/>
  <c r="T210" i="802"/>
  <c r="AH211" i="802"/>
  <c r="V211" i="802"/>
  <c r="F205" i="802"/>
  <c r="F204" i="802"/>
  <c r="F208" i="802"/>
  <c r="F207" i="802"/>
  <c r="AH203" i="802"/>
  <c r="V203" i="802"/>
  <c r="I205" i="802"/>
  <c r="I204" i="802"/>
  <c r="I208" i="802"/>
  <c r="I207" i="802"/>
  <c r="G208" i="802"/>
  <c r="G207" i="802"/>
  <c r="G205" i="802"/>
  <c r="G204" i="802"/>
  <c r="G209" i="802"/>
  <c r="D196" i="802"/>
  <c r="J196" i="802"/>
  <c r="H196" i="802"/>
  <c r="C196" i="802"/>
  <c r="E196" i="802"/>
  <c r="S203" i="802"/>
  <c r="AE203" i="802"/>
  <c r="T211" i="802"/>
  <c r="AF211" i="802"/>
  <c r="AH210" i="802"/>
  <c r="V210" i="802"/>
  <c r="AE206" i="802"/>
  <c r="S206" i="802"/>
  <c r="G203" i="802"/>
  <c r="I206" i="802"/>
  <c r="F211" i="802"/>
  <c r="K196" i="802"/>
  <c r="I209" i="802"/>
  <c r="F210" i="802"/>
  <c r="B196" i="802"/>
  <c r="S209" i="802" l="1"/>
  <c r="J204" i="802"/>
  <c r="J207" i="802"/>
  <c r="J205" i="802"/>
  <c r="J208" i="802"/>
  <c r="J206" i="802"/>
  <c r="J210" i="802"/>
  <c r="J203" i="802"/>
  <c r="J209" i="802"/>
  <c r="J211" i="802"/>
  <c r="T207" i="802"/>
  <c r="AF207" i="802"/>
  <c r="AH208" i="802"/>
  <c r="V208" i="802"/>
  <c r="S204" i="802"/>
  <c r="AE204" i="802"/>
  <c r="T203" i="802"/>
  <c r="AF203" i="802"/>
  <c r="V207" i="802"/>
  <c r="AH207" i="802"/>
  <c r="D204" i="802"/>
  <c r="D208" i="802"/>
  <c r="D207" i="802"/>
  <c r="D205" i="802"/>
  <c r="D210" i="802"/>
  <c r="D211" i="802"/>
  <c r="D206" i="802"/>
  <c r="D203" i="802"/>
  <c r="D209" i="802"/>
  <c r="L196" i="802"/>
  <c r="B205" i="802"/>
  <c r="B204" i="802"/>
  <c r="B208" i="802"/>
  <c r="B207" i="802"/>
  <c r="B203" i="802"/>
  <c r="O203" i="802" s="1"/>
  <c r="B209" i="802"/>
  <c r="B206" i="802"/>
  <c r="B211" i="802"/>
  <c r="B210" i="802"/>
  <c r="AE211" i="802"/>
  <c r="S211" i="802"/>
  <c r="C208" i="802"/>
  <c r="C204" i="802"/>
  <c r="C207" i="802"/>
  <c r="C205" i="802"/>
  <c r="C210" i="802"/>
  <c r="C206" i="802"/>
  <c r="C203" i="802"/>
  <c r="C209" i="802"/>
  <c r="C211" i="802"/>
  <c r="T209" i="802"/>
  <c r="AF209" i="802"/>
  <c r="AF208" i="802"/>
  <c r="T208" i="802"/>
  <c r="V204" i="802"/>
  <c r="AH204" i="802"/>
  <c r="AE205" i="802"/>
  <c r="S205" i="802"/>
  <c r="V209" i="802"/>
  <c r="AH209" i="802"/>
  <c r="AF205" i="802"/>
  <c r="T205" i="802"/>
  <c r="S208" i="802"/>
  <c r="AE208" i="802"/>
  <c r="K205" i="802"/>
  <c r="K204" i="802"/>
  <c r="K208" i="802"/>
  <c r="K207" i="802"/>
  <c r="K211" i="802"/>
  <c r="K203" i="802"/>
  <c r="K206" i="802"/>
  <c r="K209" i="802"/>
  <c r="K210" i="802"/>
  <c r="E204" i="802"/>
  <c r="E208" i="802"/>
  <c r="E207" i="802"/>
  <c r="E205" i="802"/>
  <c r="E210" i="802"/>
  <c r="E209" i="802"/>
  <c r="E203" i="802"/>
  <c r="E211" i="802"/>
  <c r="E206" i="802"/>
  <c r="AE210" i="802"/>
  <c r="S210" i="802"/>
  <c r="AH206" i="802"/>
  <c r="V206" i="802"/>
  <c r="H207" i="802"/>
  <c r="H205" i="802"/>
  <c r="H204" i="802"/>
  <c r="H208" i="802"/>
  <c r="H211" i="802"/>
  <c r="H209" i="802"/>
  <c r="H210" i="802"/>
  <c r="H206" i="802"/>
  <c r="H203" i="802"/>
  <c r="AF204" i="802"/>
  <c r="T204" i="802"/>
  <c r="V205" i="802"/>
  <c r="AH205" i="802"/>
  <c r="AE207" i="802"/>
  <c r="S207" i="802"/>
  <c r="V212" i="802" l="1"/>
  <c r="AH212" i="802"/>
  <c r="AE212" i="802"/>
  <c r="S212" i="802"/>
  <c r="AD207" i="802"/>
  <c r="R207" i="802"/>
  <c r="AB206" i="802"/>
  <c r="P206" i="802"/>
  <c r="R209" i="802"/>
  <c r="AD209" i="802"/>
  <c r="R208" i="802"/>
  <c r="AD208" i="802"/>
  <c r="AJ209" i="802"/>
  <c r="X209" i="802"/>
  <c r="X207" i="802"/>
  <c r="AJ207" i="802"/>
  <c r="P211" i="802"/>
  <c r="AB211" i="802"/>
  <c r="P210" i="802"/>
  <c r="AB210" i="802"/>
  <c r="AB208" i="802"/>
  <c r="P208" i="802"/>
  <c r="AA210" i="802"/>
  <c r="O210" i="802"/>
  <c r="AA205" i="802"/>
  <c r="O205" i="802"/>
  <c r="AC203" i="802"/>
  <c r="Q203" i="802"/>
  <c r="Q205" i="802"/>
  <c r="AC205" i="802"/>
  <c r="AF212" i="802"/>
  <c r="W210" i="802"/>
  <c r="AI210" i="802"/>
  <c r="AI207" i="802"/>
  <c r="W207" i="802"/>
  <c r="U206" i="802"/>
  <c r="AG206" i="802"/>
  <c r="AD203" i="802"/>
  <c r="R203" i="802"/>
  <c r="X211" i="802"/>
  <c r="AJ211" i="802"/>
  <c r="AA209" i="802"/>
  <c r="O209" i="802"/>
  <c r="AC209" i="802"/>
  <c r="Q209" i="802"/>
  <c r="Q204" i="802"/>
  <c r="AC204" i="802"/>
  <c r="AI203" i="802"/>
  <c r="W203" i="802"/>
  <c r="U210" i="802"/>
  <c r="AG210" i="802"/>
  <c r="AG209" i="802"/>
  <c r="U209" i="802"/>
  <c r="AG205" i="802"/>
  <c r="U205" i="802"/>
  <c r="AD206" i="802"/>
  <c r="R206" i="802"/>
  <c r="AD210" i="802"/>
  <c r="R210" i="802"/>
  <c r="AD204" i="802"/>
  <c r="R204" i="802"/>
  <c r="AJ206" i="802"/>
  <c r="X206" i="802"/>
  <c r="AJ208" i="802"/>
  <c r="X208" i="802"/>
  <c r="AB209" i="802"/>
  <c r="P209" i="802"/>
  <c r="AB205" i="802"/>
  <c r="P205" i="802"/>
  <c r="AA211" i="802"/>
  <c r="O211" i="802"/>
  <c r="O207" i="802"/>
  <c r="Y207" i="802" s="1"/>
  <c r="AA207" i="802"/>
  <c r="Q206" i="802"/>
  <c r="AC206" i="802"/>
  <c r="AC207" i="802"/>
  <c r="Q207" i="802"/>
  <c r="T212" i="802"/>
  <c r="AI211" i="802"/>
  <c r="W211" i="802"/>
  <c r="AI206" i="802"/>
  <c r="W206" i="802"/>
  <c r="W204" i="802"/>
  <c r="AI204" i="802"/>
  <c r="AG208" i="802"/>
  <c r="U208" i="802"/>
  <c r="X210" i="802"/>
  <c r="AJ210" i="802"/>
  <c r="X205" i="802"/>
  <c r="AJ205" i="802"/>
  <c r="AB204" i="802"/>
  <c r="P204" i="802"/>
  <c r="O204" i="802"/>
  <c r="AA204" i="802"/>
  <c r="Q210" i="802"/>
  <c r="AC210" i="802"/>
  <c r="AI205" i="802"/>
  <c r="W205" i="802"/>
  <c r="AG204" i="802"/>
  <c r="U204" i="802"/>
  <c r="AG203" i="802"/>
  <c r="U203" i="802"/>
  <c r="AG211" i="802"/>
  <c r="U211" i="802"/>
  <c r="AG207" i="802"/>
  <c r="U207" i="802"/>
  <c r="R211" i="802"/>
  <c r="AD211" i="802"/>
  <c r="R205" i="802"/>
  <c r="AD205" i="802"/>
  <c r="X203" i="802"/>
  <c r="AJ203" i="802"/>
  <c r="AJ212" i="802" s="1"/>
  <c r="AJ204" i="802"/>
  <c r="X204" i="802"/>
  <c r="P203" i="802"/>
  <c r="AB203" i="802"/>
  <c r="P207" i="802"/>
  <c r="AB207" i="802"/>
  <c r="O206" i="802"/>
  <c r="AA206" i="802"/>
  <c r="AK206" i="802" s="1"/>
  <c r="O208" i="802"/>
  <c r="AA208" i="802"/>
  <c r="AC211" i="802"/>
  <c r="Q211" i="802"/>
  <c r="AC208" i="802"/>
  <c r="Q208" i="802"/>
  <c r="AI209" i="802"/>
  <c r="W209" i="802"/>
  <c r="W208" i="802"/>
  <c r="AI208" i="802"/>
  <c r="G213" i="802" l="1"/>
  <c r="Y203" i="802"/>
  <c r="F213" i="802"/>
  <c r="I213" i="802"/>
  <c r="R212" i="802"/>
  <c r="AC212" i="802"/>
  <c r="D213" i="802" s="1"/>
  <c r="Q212" i="802"/>
  <c r="Y206" i="802"/>
  <c r="M206" i="802" s="1"/>
  <c r="P212" i="802"/>
  <c r="Y209" i="802"/>
  <c r="AK208" i="802"/>
  <c r="U212" i="802"/>
  <c r="AK204" i="802"/>
  <c r="M204" i="802" s="1"/>
  <c r="AA212" i="802"/>
  <c r="AK211" i="802"/>
  <c r="AK209" i="802"/>
  <c r="M209" i="802" s="1"/>
  <c r="AD212" i="802"/>
  <c r="Y205" i="802"/>
  <c r="Y210" i="802"/>
  <c r="AB212" i="802"/>
  <c r="AK203" i="802"/>
  <c r="AI212" i="802"/>
  <c r="O212" i="802"/>
  <c r="X212" i="802"/>
  <c r="K213" i="802" s="1"/>
  <c r="Y211" i="802"/>
  <c r="Y208" i="802"/>
  <c r="AG212" i="802"/>
  <c r="Y204" i="802"/>
  <c r="AK207" i="802"/>
  <c r="M207" i="802" s="1"/>
  <c r="W212" i="802"/>
  <c r="AK205" i="802"/>
  <c r="M205" i="802" s="1"/>
  <c r="AK210" i="802"/>
  <c r="M210" i="802" s="1"/>
  <c r="M208" i="802" l="1"/>
  <c r="E213" i="802"/>
  <c r="AK212" i="802"/>
  <c r="M203" i="802"/>
  <c r="C213" i="802"/>
  <c r="H213" i="802"/>
  <c r="M211" i="802"/>
  <c r="J213" i="802"/>
  <c r="B213" i="802"/>
  <c r="L213" i="802" l="1"/>
  <c r="B214" i="802" s="1"/>
  <c r="H214" i="802"/>
  <c r="B229" i="802" l="1"/>
  <c r="O229" i="802" s="1"/>
  <c r="B221" i="802"/>
  <c r="O221" i="802" s="1"/>
  <c r="C214" i="802"/>
  <c r="J214" i="802"/>
  <c r="H227" i="802"/>
  <c r="H228" i="802"/>
  <c r="H223" i="802"/>
  <c r="H222" i="802"/>
  <c r="H224" i="802"/>
  <c r="H226" i="802"/>
  <c r="H225" i="802"/>
  <c r="C227" i="802"/>
  <c r="C226" i="802"/>
  <c r="C224" i="802"/>
  <c r="C228" i="802"/>
  <c r="C222" i="802"/>
  <c r="C225" i="802"/>
  <c r="C223" i="802"/>
  <c r="B224" i="802"/>
  <c r="B222" i="802"/>
  <c r="B223" i="802"/>
  <c r="B227" i="802"/>
  <c r="B225" i="802"/>
  <c r="B226" i="802"/>
  <c r="B228" i="802"/>
  <c r="H221" i="802"/>
  <c r="J223" i="802"/>
  <c r="J224" i="802"/>
  <c r="J225" i="802"/>
  <c r="J228" i="802"/>
  <c r="J226" i="802"/>
  <c r="J222" i="802"/>
  <c r="J227" i="802"/>
  <c r="H229" i="802"/>
  <c r="F214" i="802"/>
  <c r="I214" i="802"/>
  <c r="G214" i="802"/>
  <c r="K214" i="802"/>
  <c r="E214" i="802"/>
  <c r="D214" i="802"/>
  <c r="AA229" i="802" l="1"/>
  <c r="J229" i="802"/>
  <c r="J221" i="802"/>
  <c r="C229" i="802"/>
  <c r="C221" i="802"/>
  <c r="E226" i="802"/>
  <c r="E222" i="802"/>
  <c r="E223" i="802"/>
  <c r="E227" i="802"/>
  <c r="E224" i="802"/>
  <c r="E225" i="802"/>
  <c r="E228" i="802"/>
  <c r="E229" i="802"/>
  <c r="E221" i="802"/>
  <c r="F225" i="802"/>
  <c r="F226" i="802"/>
  <c r="F227" i="802"/>
  <c r="F223" i="802"/>
  <c r="F224" i="802"/>
  <c r="F228" i="802"/>
  <c r="F222" i="802"/>
  <c r="F229" i="802"/>
  <c r="F221" i="802"/>
  <c r="AI226" i="802"/>
  <c r="W226" i="802"/>
  <c r="AI223" i="802"/>
  <c r="W223" i="802"/>
  <c r="O227" i="802"/>
  <c r="AA227" i="802"/>
  <c r="L214" i="802"/>
  <c r="AB222" i="802"/>
  <c r="P222" i="802"/>
  <c r="AB227" i="802"/>
  <c r="P227" i="802"/>
  <c r="AG224" i="802"/>
  <c r="U224" i="802"/>
  <c r="U227" i="802"/>
  <c r="AG227" i="802"/>
  <c r="K222" i="802"/>
  <c r="K225" i="802"/>
  <c r="K226" i="802"/>
  <c r="K228" i="802"/>
  <c r="K223" i="802"/>
  <c r="K227" i="802"/>
  <c r="K224" i="802"/>
  <c r="K229" i="802"/>
  <c r="K221" i="802"/>
  <c r="U229" i="802"/>
  <c r="AG229" i="802"/>
  <c r="W228" i="802"/>
  <c r="AI228" i="802"/>
  <c r="AA228" i="802"/>
  <c r="O228" i="802"/>
  <c r="AA223" i="802"/>
  <c r="O223" i="802"/>
  <c r="P228" i="802"/>
  <c r="AB228" i="802"/>
  <c r="AG222" i="802"/>
  <c r="U222" i="802"/>
  <c r="G225" i="802"/>
  <c r="G228" i="802"/>
  <c r="G224" i="802"/>
  <c r="G222" i="802"/>
  <c r="G223" i="802"/>
  <c r="G227" i="802"/>
  <c r="G226" i="802"/>
  <c r="G221" i="802"/>
  <c r="G229" i="802"/>
  <c r="W227" i="802"/>
  <c r="AI227" i="802"/>
  <c r="W225" i="802"/>
  <c r="AI225" i="802"/>
  <c r="U221" i="802"/>
  <c r="AG221" i="802"/>
  <c r="AA226" i="802"/>
  <c r="O226" i="802"/>
  <c r="AA222" i="802"/>
  <c r="O222" i="802"/>
  <c r="AB223" i="802"/>
  <c r="P223" i="802"/>
  <c r="P224" i="802"/>
  <c r="AB224" i="802"/>
  <c r="AG225" i="802"/>
  <c r="U225" i="802"/>
  <c r="U223" i="802"/>
  <c r="AG223" i="802"/>
  <c r="D224" i="802"/>
  <c r="D226" i="802"/>
  <c r="D222" i="802"/>
  <c r="D223" i="802"/>
  <c r="D227" i="802"/>
  <c r="D225" i="802"/>
  <c r="D228" i="802"/>
  <c r="D229" i="802"/>
  <c r="D221" i="802"/>
  <c r="I222" i="802"/>
  <c r="I223" i="802"/>
  <c r="I227" i="802"/>
  <c r="I225" i="802"/>
  <c r="I226" i="802"/>
  <c r="I224" i="802"/>
  <c r="I228" i="802"/>
  <c r="I221" i="802"/>
  <c r="I229" i="802"/>
  <c r="AI222" i="802"/>
  <c r="W222" i="802"/>
  <c r="AI224" i="802"/>
  <c r="W224" i="802"/>
  <c r="O225" i="802"/>
  <c r="AA225" i="802"/>
  <c r="O224" i="802"/>
  <c r="AA224" i="802"/>
  <c r="AB225" i="802"/>
  <c r="P225" i="802"/>
  <c r="AB226" i="802"/>
  <c r="P226" i="802"/>
  <c r="AG226" i="802"/>
  <c r="U226" i="802"/>
  <c r="AG228" i="802"/>
  <c r="U228" i="802"/>
  <c r="AB230" i="802" l="1"/>
  <c r="C231" i="802" s="1"/>
  <c r="P221" i="802"/>
  <c r="AB221" i="802"/>
  <c r="AB229" i="802"/>
  <c r="P229" i="802"/>
  <c r="P230" i="802" s="1"/>
  <c r="W221" i="802"/>
  <c r="W230" i="802" s="1"/>
  <c r="AI221" i="802"/>
  <c r="AI230" i="802" s="1"/>
  <c r="AI229" i="802"/>
  <c r="W229" i="802"/>
  <c r="AH229" i="802"/>
  <c r="V229" i="802"/>
  <c r="V226" i="802"/>
  <c r="AH226" i="802"/>
  <c r="V222" i="802"/>
  <c r="AH222" i="802"/>
  <c r="AC228" i="802"/>
  <c r="Q228" i="802"/>
  <c r="Q222" i="802"/>
  <c r="AC222" i="802"/>
  <c r="AG230" i="802"/>
  <c r="H231" i="802" s="1"/>
  <c r="T226" i="802"/>
  <c r="AF226" i="802"/>
  <c r="T224" i="802"/>
  <c r="AF224" i="802"/>
  <c r="X224" i="802"/>
  <c r="AJ224" i="802"/>
  <c r="AJ226" i="802"/>
  <c r="X226" i="802"/>
  <c r="S221" i="802"/>
  <c r="AE221" i="802"/>
  <c r="AE224" i="802"/>
  <c r="S224" i="802"/>
  <c r="S225" i="802"/>
  <c r="AE225" i="802"/>
  <c r="R228" i="802"/>
  <c r="AD228" i="802"/>
  <c r="AD223" i="802"/>
  <c r="R223" i="802"/>
  <c r="AH221" i="802"/>
  <c r="V221" i="802"/>
  <c r="V225" i="802"/>
  <c r="AH225" i="802"/>
  <c r="Q225" i="802"/>
  <c r="Y225" i="802" s="1"/>
  <c r="AC225" i="802"/>
  <c r="AC226" i="802"/>
  <c r="Q226" i="802"/>
  <c r="U230" i="802"/>
  <c r="T227" i="802"/>
  <c r="AF227" i="802"/>
  <c r="T228" i="802"/>
  <c r="Y228" i="802" s="1"/>
  <c r="AF228" i="802"/>
  <c r="AJ227" i="802"/>
  <c r="X227" i="802"/>
  <c r="AJ225" i="802"/>
  <c r="X225" i="802"/>
  <c r="S229" i="802"/>
  <c r="AE229" i="802"/>
  <c r="S223" i="802"/>
  <c r="AE223" i="802"/>
  <c r="AD225" i="802"/>
  <c r="R225" i="802"/>
  <c r="R222" i="802"/>
  <c r="AD222" i="802"/>
  <c r="AH228" i="802"/>
  <c r="V228" i="802"/>
  <c r="AH227" i="802"/>
  <c r="V227" i="802"/>
  <c r="AC221" i="802"/>
  <c r="Q221" i="802"/>
  <c r="Q227" i="802"/>
  <c r="AC227" i="802"/>
  <c r="AC224" i="802"/>
  <c r="Q224" i="802"/>
  <c r="O230" i="802"/>
  <c r="AF229" i="802"/>
  <c r="T229" i="802"/>
  <c r="AF223" i="802"/>
  <c r="T223" i="802"/>
  <c r="AF225" i="802"/>
  <c r="T225" i="802"/>
  <c r="AJ221" i="802"/>
  <c r="X221" i="802"/>
  <c r="X223" i="802"/>
  <c r="AJ223" i="802"/>
  <c r="X222" i="802"/>
  <c r="AJ222" i="802"/>
  <c r="AE222" i="802"/>
  <c r="S222" i="802"/>
  <c r="AE227" i="802"/>
  <c r="S227" i="802"/>
  <c r="AD221" i="802"/>
  <c r="R221" i="802"/>
  <c r="AD224" i="802"/>
  <c r="R224" i="802"/>
  <c r="R226" i="802"/>
  <c r="AD226" i="802"/>
  <c r="AK226" i="802" s="1"/>
  <c r="V224" i="802"/>
  <c r="AH224" i="802"/>
  <c r="AH223" i="802"/>
  <c r="V223" i="802"/>
  <c r="AC229" i="802"/>
  <c r="Q229" i="802"/>
  <c r="Q223" i="802"/>
  <c r="AC223" i="802"/>
  <c r="AA230" i="802"/>
  <c r="AF221" i="802"/>
  <c r="T221" i="802"/>
  <c r="AF222" i="802"/>
  <c r="T222" i="802"/>
  <c r="AJ229" i="802"/>
  <c r="X229" i="802"/>
  <c r="X228" i="802"/>
  <c r="AJ228" i="802"/>
  <c r="AE228" i="802"/>
  <c r="S228" i="802"/>
  <c r="AE226" i="802"/>
  <c r="S226" i="802"/>
  <c r="R229" i="802"/>
  <c r="AD229" i="802"/>
  <c r="AD227" i="802"/>
  <c r="R227" i="802"/>
  <c r="J231" i="802" l="1"/>
  <c r="AK223" i="802"/>
  <c r="Y222" i="802"/>
  <c r="AK228" i="802"/>
  <c r="M228" i="802" s="1"/>
  <c r="AK222" i="802"/>
  <c r="Y224" i="802"/>
  <c r="Y227" i="802"/>
  <c r="M227" i="802" s="1"/>
  <c r="AK224" i="802"/>
  <c r="M224" i="802" s="1"/>
  <c r="X230" i="802"/>
  <c r="Y223" i="802"/>
  <c r="AK227" i="802"/>
  <c r="Y226" i="802"/>
  <c r="M226" i="802" s="1"/>
  <c r="AK225" i="802"/>
  <c r="M225" i="802" s="1"/>
  <c r="T230" i="802"/>
  <c r="M222" i="802"/>
  <c r="AC230" i="802"/>
  <c r="AK221" i="802"/>
  <c r="AH230" i="802"/>
  <c r="AF230" i="802"/>
  <c r="G231" i="802" s="1"/>
  <c r="R230" i="802"/>
  <c r="AJ230" i="802"/>
  <c r="K231" i="802" s="1"/>
  <c r="B231" i="802"/>
  <c r="Y229" i="802"/>
  <c r="AD230" i="802"/>
  <c r="AE230" i="802"/>
  <c r="F231" i="802" s="1"/>
  <c r="AK229" i="802"/>
  <c r="M229" i="802" s="1"/>
  <c r="Q230" i="802"/>
  <c r="Y221" i="802"/>
  <c r="V230" i="802"/>
  <c r="S230" i="802"/>
  <c r="M223" i="802" l="1"/>
  <c r="I231" i="802"/>
  <c r="E231" i="802"/>
  <c r="AK230" i="802"/>
  <c r="M221" i="802"/>
  <c r="D231" i="802"/>
  <c r="L231" i="802" s="1"/>
  <c r="K232" i="802" l="1"/>
  <c r="B232" i="802"/>
  <c r="G232" i="802"/>
  <c r="G241" i="802"/>
  <c r="G242" i="802"/>
  <c r="G243" i="802"/>
  <c r="G247" i="802"/>
  <c r="G240" i="802"/>
  <c r="B243" i="802"/>
  <c r="B242" i="802"/>
  <c r="B241" i="802"/>
  <c r="B240" i="802"/>
  <c r="K241" i="802"/>
  <c r="K242" i="802"/>
  <c r="K243" i="802"/>
  <c r="B246" i="802"/>
  <c r="J232" i="802"/>
  <c r="C232" i="802"/>
  <c r="H232" i="802"/>
  <c r="K245" i="802"/>
  <c r="K239" i="802"/>
  <c r="C239" i="802"/>
  <c r="B239" i="802"/>
  <c r="O239" i="802" s="1"/>
  <c r="G239" i="802"/>
  <c r="B247" i="802"/>
  <c r="B244" i="802"/>
  <c r="E232" i="802"/>
  <c r="E239" i="802" s="1"/>
  <c r="G246" i="802"/>
  <c r="I232" i="802"/>
  <c r="D232" i="802"/>
  <c r="G245" i="802"/>
  <c r="B245" i="802"/>
  <c r="K247" i="802"/>
  <c r="G244" i="802"/>
  <c r="F232" i="802"/>
  <c r="K240" i="802" l="1"/>
  <c r="K246" i="802"/>
  <c r="K244" i="802"/>
  <c r="AF244" i="802"/>
  <c r="T244" i="802"/>
  <c r="D241" i="802"/>
  <c r="D242" i="802"/>
  <c r="D243" i="802"/>
  <c r="D246" i="802"/>
  <c r="D245" i="802"/>
  <c r="D244" i="802"/>
  <c r="D240" i="802"/>
  <c r="D247" i="802"/>
  <c r="AA244" i="802"/>
  <c r="O244" i="802"/>
  <c r="R239" i="802"/>
  <c r="AD239" i="802"/>
  <c r="J241" i="802"/>
  <c r="J242" i="802"/>
  <c r="J243" i="802"/>
  <c r="J244" i="802"/>
  <c r="J240" i="802"/>
  <c r="J246" i="802"/>
  <c r="J247" i="802"/>
  <c r="J245" i="802"/>
  <c r="X241" i="802"/>
  <c r="AJ241" i="802"/>
  <c r="AA240" i="802"/>
  <c r="O240" i="802"/>
  <c r="L232" i="802"/>
  <c r="AF243" i="802"/>
  <c r="T243" i="802"/>
  <c r="AJ247" i="802"/>
  <c r="X247" i="802"/>
  <c r="I241" i="802"/>
  <c r="I243" i="802"/>
  <c r="I242" i="802"/>
  <c r="I247" i="802"/>
  <c r="I246" i="802"/>
  <c r="I244" i="802"/>
  <c r="I240" i="802"/>
  <c r="I245" i="802"/>
  <c r="AA247" i="802"/>
  <c r="O247" i="802"/>
  <c r="AB239" i="802"/>
  <c r="P239" i="802"/>
  <c r="J239" i="802"/>
  <c r="X245" i="802"/>
  <c r="AJ245" i="802"/>
  <c r="O246" i="802"/>
  <c r="AA246" i="802"/>
  <c r="AA241" i="802"/>
  <c r="O241" i="802"/>
  <c r="AF242" i="802"/>
  <c r="T242" i="802"/>
  <c r="AA245" i="802"/>
  <c r="O245" i="802"/>
  <c r="AF246" i="802"/>
  <c r="T246" i="802"/>
  <c r="T239" i="802"/>
  <c r="AF239" i="802"/>
  <c r="AJ239" i="802"/>
  <c r="X239" i="802"/>
  <c r="D239" i="802"/>
  <c r="H241" i="802"/>
  <c r="H242" i="802"/>
  <c r="H243" i="802"/>
  <c r="H240" i="802"/>
  <c r="H245" i="802"/>
  <c r="H244" i="802"/>
  <c r="H247" i="802"/>
  <c r="H246" i="802"/>
  <c r="X243" i="802"/>
  <c r="AJ243" i="802"/>
  <c r="O242" i="802"/>
  <c r="AA242" i="802"/>
  <c r="AF240" i="802"/>
  <c r="T240" i="802"/>
  <c r="T241" i="802"/>
  <c r="AF241" i="802"/>
  <c r="F243" i="802"/>
  <c r="F241" i="802"/>
  <c r="F242" i="802"/>
  <c r="F246" i="802"/>
  <c r="F244" i="802"/>
  <c r="F247" i="802"/>
  <c r="F240" i="802"/>
  <c r="F245" i="802"/>
  <c r="T245" i="802"/>
  <c r="AF245" i="802"/>
  <c r="E242" i="802"/>
  <c r="E241" i="802"/>
  <c r="E243" i="802"/>
  <c r="E245" i="802"/>
  <c r="E240" i="802"/>
  <c r="E247" i="802"/>
  <c r="E246" i="802"/>
  <c r="E244" i="802"/>
  <c r="I239" i="802"/>
  <c r="F239" i="802"/>
  <c r="H239" i="802"/>
  <c r="C241" i="802"/>
  <c r="C242" i="802"/>
  <c r="C243" i="802"/>
  <c r="C246" i="802"/>
  <c r="C240" i="802"/>
  <c r="C244" i="802"/>
  <c r="C245" i="802"/>
  <c r="C247" i="802"/>
  <c r="AJ242" i="802"/>
  <c r="X242" i="802"/>
  <c r="AA243" i="802"/>
  <c r="O243" i="802"/>
  <c r="T247" i="802"/>
  <c r="AF247" i="802"/>
  <c r="X244" i="802" l="1"/>
  <c r="AJ244" i="802"/>
  <c r="AJ246" i="802"/>
  <c r="X246" i="802"/>
  <c r="AJ240" i="802"/>
  <c r="X240" i="802"/>
  <c r="P241" i="802"/>
  <c r="AB241" i="802"/>
  <c r="AD240" i="802"/>
  <c r="R240" i="802"/>
  <c r="S245" i="802"/>
  <c r="AE245" i="802"/>
  <c r="AG245" i="802"/>
  <c r="U245" i="802"/>
  <c r="AJ248" i="802"/>
  <c r="V245" i="802"/>
  <c r="Y245" i="802" s="1"/>
  <c r="AH245" i="802"/>
  <c r="W246" i="802"/>
  <c r="AI246" i="802"/>
  <c r="AC245" i="802"/>
  <c r="Q245" i="802"/>
  <c r="AB247" i="802"/>
  <c r="P247" i="802"/>
  <c r="AD245" i="802"/>
  <c r="R245" i="802"/>
  <c r="AE240" i="802"/>
  <c r="S240" i="802"/>
  <c r="AG246" i="802"/>
  <c r="U246" i="802"/>
  <c r="AF248" i="802"/>
  <c r="AH242" i="802"/>
  <c r="V242" i="802"/>
  <c r="W240" i="802"/>
  <c r="AI240" i="802"/>
  <c r="Q247" i="802"/>
  <c r="AC247" i="802"/>
  <c r="P245" i="802"/>
  <c r="AB245" i="802"/>
  <c r="P243" i="802"/>
  <c r="AB243" i="802"/>
  <c r="AG239" i="802"/>
  <c r="U239" i="802"/>
  <c r="AD246" i="802"/>
  <c r="R246" i="802"/>
  <c r="R243" i="802"/>
  <c r="AD243" i="802"/>
  <c r="AE247" i="802"/>
  <c r="S247" i="802"/>
  <c r="AE241" i="802"/>
  <c r="S241" i="802"/>
  <c r="AG247" i="802"/>
  <c r="U247" i="802"/>
  <c r="U243" i="802"/>
  <c r="AG243" i="802"/>
  <c r="Q239" i="802"/>
  <c r="AC239" i="802"/>
  <c r="T248" i="802"/>
  <c r="AH244" i="802"/>
  <c r="V244" i="802"/>
  <c r="V243" i="802"/>
  <c r="AH243" i="802"/>
  <c r="AI245" i="802"/>
  <c r="W245" i="802"/>
  <c r="AI244" i="802"/>
  <c r="W244" i="802"/>
  <c r="O248" i="802"/>
  <c r="Q240" i="802"/>
  <c r="AC240" i="802"/>
  <c r="AC243" i="802"/>
  <c r="Q243" i="802"/>
  <c r="P240" i="802"/>
  <c r="AB240" i="802"/>
  <c r="AK240" i="802" s="1"/>
  <c r="V239" i="802"/>
  <c r="AH239" i="802"/>
  <c r="AD242" i="802"/>
  <c r="R242" i="802"/>
  <c r="S246" i="802"/>
  <c r="AE246" i="802"/>
  <c r="AG241" i="802"/>
  <c r="U241" i="802"/>
  <c r="V247" i="802"/>
  <c r="AH247" i="802"/>
  <c r="W242" i="802"/>
  <c r="AI242" i="802"/>
  <c r="AC241" i="802"/>
  <c r="Q241" i="802"/>
  <c r="AB246" i="802"/>
  <c r="P246" i="802"/>
  <c r="Y246" i="802" s="1"/>
  <c r="AD244" i="802"/>
  <c r="R244" i="802"/>
  <c r="S242" i="802"/>
  <c r="AE242" i="802"/>
  <c r="U240" i="802"/>
  <c r="AG240" i="802"/>
  <c r="AH240" i="802"/>
  <c r="V240" i="802"/>
  <c r="W241" i="802"/>
  <c r="AI241" i="802"/>
  <c r="Q246" i="802"/>
  <c r="AC246" i="802"/>
  <c r="AB244" i="802"/>
  <c r="P244" i="802"/>
  <c r="AB242" i="802"/>
  <c r="AK242" i="802" s="1"/>
  <c r="P242" i="802"/>
  <c r="AE239" i="802"/>
  <c r="S239" i="802"/>
  <c r="R247" i="802"/>
  <c r="AD247" i="802"/>
  <c r="R241" i="802"/>
  <c r="AD241" i="802"/>
  <c r="S244" i="802"/>
  <c r="AE244" i="802"/>
  <c r="AE243" i="802"/>
  <c r="S243" i="802"/>
  <c r="U244" i="802"/>
  <c r="AG244" i="802"/>
  <c r="U242" i="802"/>
  <c r="AG242" i="802"/>
  <c r="X248" i="802"/>
  <c r="AI239" i="802"/>
  <c r="W239" i="802"/>
  <c r="V246" i="802"/>
  <c r="AH246" i="802"/>
  <c r="AH241" i="802"/>
  <c r="V241" i="802"/>
  <c r="AA248" i="802"/>
  <c r="B249" i="802" s="1"/>
  <c r="AI247" i="802"/>
  <c r="W247" i="802"/>
  <c r="AI243" i="802"/>
  <c r="W243" i="802"/>
  <c r="Q244" i="802"/>
  <c r="AC244" i="802"/>
  <c r="AC242" i="802"/>
  <c r="Q242" i="802"/>
  <c r="Y240" i="802" l="1"/>
  <c r="Y243" i="802"/>
  <c r="Y247" i="802"/>
  <c r="Y241" i="802"/>
  <c r="AK244" i="802"/>
  <c r="M244" i="802" s="1"/>
  <c r="AK241" i="802"/>
  <c r="AB248" i="802"/>
  <c r="AK247" i="802"/>
  <c r="M247" i="802" s="1"/>
  <c r="AK246" i="802"/>
  <c r="AK245" i="802"/>
  <c r="M245" i="802" s="1"/>
  <c r="Y244" i="802"/>
  <c r="R248" i="802"/>
  <c r="AI248" i="802"/>
  <c r="J249" i="802" s="1"/>
  <c r="Y242" i="802"/>
  <c r="M242" i="802" s="1"/>
  <c r="AD248" i="802"/>
  <c r="E249" i="802" s="1"/>
  <c r="M241" i="802"/>
  <c r="M246" i="802"/>
  <c r="AE248" i="802"/>
  <c r="Q248" i="802"/>
  <c r="M240" i="802"/>
  <c r="P248" i="802"/>
  <c r="C249" i="802" s="1"/>
  <c r="V248" i="802"/>
  <c r="U248" i="802"/>
  <c r="G249" i="802"/>
  <c r="AK243" i="802"/>
  <c r="M243" i="802" s="1"/>
  <c r="AH248" i="802"/>
  <c r="W248" i="802"/>
  <c r="S248" i="802"/>
  <c r="Y239" i="802"/>
  <c r="AC248" i="802"/>
  <c r="AG248" i="802"/>
  <c r="H249" i="802" s="1"/>
  <c r="AK239" i="802"/>
  <c r="K249" i="802"/>
  <c r="I249" i="802" l="1"/>
  <c r="D249" i="802"/>
  <c r="AK248" i="802"/>
  <c r="M239" i="802"/>
  <c r="F249" i="802"/>
  <c r="L249" i="802" s="1"/>
  <c r="B250" i="802" l="1"/>
  <c r="C250" i="802"/>
  <c r="J250" i="802"/>
  <c r="I250" i="802"/>
  <c r="H250" i="802"/>
  <c r="E250" i="802"/>
  <c r="E257" i="802" s="1"/>
  <c r="D250" i="802"/>
  <c r="D257" i="802" s="1"/>
  <c r="G250" i="802"/>
  <c r="G257" i="802" s="1"/>
  <c r="K250" i="802"/>
  <c r="K257" i="802"/>
  <c r="C257" i="802"/>
  <c r="B257" i="802"/>
  <c r="H257" i="802"/>
  <c r="F250" i="802"/>
  <c r="F257" i="802" s="1"/>
  <c r="T257" i="802" l="1"/>
  <c r="G18" i="803"/>
  <c r="G33" i="803" s="1"/>
  <c r="AS4" i="802"/>
  <c r="AS19" i="802" s="1"/>
  <c r="AF257" i="802"/>
  <c r="D18" i="803"/>
  <c r="D33" i="803" s="1"/>
  <c r="Q257" i="802"/>
  <c r="AC257" i="802"/>
  <c r="AP4" i="802"/>
  <c r="AP19" i="802" s="1"/>
  <c r="E18" i="803"/>
  <c r="E33" i="803" s="1"/>
  <c r="AD257" i="802"/>
  <c r="AQ4" i="802"/>
  <c r="AQ19" i="802" s="1"/>
  <c r="R257" i="802"/>
  <c r="H18" i="803"/>
  <c r="H33" i="803" s="1"/>
  <c r="U257" i="802"/>
  <c r="AG257" i="802"/>
  <c r="AT4" i="802"/>
  <c r="AT19" i="802" s="1"/>
  <c r="B18" i="803"/>
  <c r="AN4" i="802"/>
  <c r="O257" i="802"/>
  <c r="AR4" i="802"/>
  <c r="AR19" i="802" s="1"/>
  <c r="S257" i="802"/>
  <c r="F18" i="803"/>
  <c r="F33" i="803" s="1"/>
  <c r="AE257" i="802"/>
  <c r="AB257" i="802"/>
  <c r="P257" i="802"/>
  <c r="C18" i="803"/>
  <c r="C33" i="803" s="1"/>
  <c r="AO4" i="802"/>
  <c r="AO19" i="802" s="1"/>
  <c r="G263" i="802"/>
  <c r="G265" i="802"/>
  <c r="G262" i="802"/>
  <c r="G259" i="802"/>
  <c r="G261" i="802"/>
  <c r="G264" i="802"/>
  <c r="G260" i="802"/>
  <c r="G258" i="802"/>
  <c r="I265" i="802"/>
  <c r="I262" i="802"/>
  <c r="I263" i="802"/>
  <c r="I260" i="802"/>
  <c r="I264" i="802"/>
  <c r="I259" i="802"/>
  <c r="I261" i="802"/>
  <c r="I258" i="802"/>
  <c r="D262" i="802"/>
  <c r="D265" i="802"/>
  <c r="D263" i="802"/>
  <c r="D260" i="802"/>
  <c r="D259" i="802"/>
  <c r="D258" i="802"/>
  <c r="D264" i="802"/>
  <c r="D261" i="802"/>
  <c r="J262" i="802"/>
  <c r="J265" i="802"/>
  <c r="J263" i="802"/>
  <c r="J261" i="802"/>
  <c r="J258" i="802"/>
  <c r="J264" i="802"/>
  <c r="J259" i="802"/>
  <c r="J260" i="802"/>
  <c r="K18" i="803"/>
  <c r="K33" i="803" s="1"/>
  <c r="AJ257" i="802"/>
  <c r="X257" i="802"/>
  <c r="AW4" i="802"/>
  <c r="AW19" i="802" s="1"/>
  <c r="E263" i="802"/>
  <c r="E262" i="802"/>
  <c r="E265" i="802"/>
  <c r="E258" i="802"/>
  <c r="E261" i="802"/>
  <c r="E260" i="802"/>
  <c r="E259" i="802"/>
  <c r="E264" i="802"/>
  <c r="C263" i="802"/>
  <c r="C265" i="802"/>
  <c r="C262" i="802"/>
  <c r="C264" i="802"/>
  <c r="C259" i="802"/>
  <c r="C258" i="802"/>
  <c r="C261" i="802"/>
  <c r="C260" i="802"/>
  <c r="F263" i="802"/>
  <c r="F265" i="802"/>
  <c r="F262" i="802"/>
  <c r="F260" i="802"/>
  <c r="F261" i="802"/>
  <c r="F258" i="802"/>
  <c r="F264" i="802"/>
  <c r="F259" i="802"/>
  <c r="J257" i="802"/>
  <c r="I257" i="802"/>
  <c r="K262" i="802"/>
  <c r="K263" i="802"/>
  <c r="K265" i="802"/>
  <c r="K261" i="802"/>
  <c r="K259" i="802"/>
  <c r="K264" i="802"/>
  <c r="K258" i="802"/>
  <c r="K260" i="802"/>
  <c r="H265" i="802"/>
  <c r="H263" i="802"/>
  <c r="H262" i="802"/>
  <c r="H258" i="802"/>
  <c r="H259" i="802"/>
  <c r="H260" i="802"/>
  <c r="H264" i="802"/>
  <c r="H261" i="802"/>
  <c r="L250" i="802"/>
  <c r="B262" i="802"/>
  <c r="B263" i="802"/>
  <c r="B265" i="802"/>
  <c r="B264" i="802"/>
  <c r="B261" i="802"/>
  <c r="B260" i="802"/>
  <c r="B258" i="802"/>
  <c r="B259" i="802"/>
  <c r="B20" i="803" l="1"/>
  <c r="B35" i="803" s="1"/>
  <c r="O259" i="802"/>
  <c r="AA259" i="802"/>
  <c r="AN6" i="802"/>
  <c r="AN21" i="802" s="1"/>
  <c r="H21" i="803"/>
  <c r="H36" i="803" s="1"/>
  <c r="U260" i="802"/>
  <c r="AG260" i="802"/>
  <c r="AT7" i="802"/>
  <c r="AT22" i="802" s="1"/>
  <c r="K19" i="803"/>
  <c r="K34" i="803" s="1"/>
  <c r="X258" i="802"/>
  <c r="AW5" i="802"/>
  <c r="AW20" i="802" s="1"/>
  <c r="AJ258" i="802"/>
  <c r="I18" i="803"/>
  <c r="I33" i="803" s="1"/>
  <c r="AH257" i="802"/>
  <c r="V257" i="802"/>
  <c r="AU4" i="802"/>
  <c r="AU19" i="802" s="1"/>
  <c r="F26" i="803"/>
  <c r="F41" i="803" s="1"/>
  <c r="AE265" i="802"/>
  <c r="S265" i="802"/>
  <c r="AR12" i="802"/>
  <c r="AR27" i="802" s="1"/>
  <c r="C22" i="803"/>
  <c r="C37" i="803" s="1"/>
  <c r="P261" i="802"/>
  <c r="AB261" i="802"/>
  <c r="AO8" i="802"/>
  <c r="AO23" i="802" s="1"/>
  <c r="E25" i="803"/>
  <c r="E40" i="803" s="1"/>
  <c r="R264" i="802"/>
  <c r="AQ11" i="802"/>
  <c r="AQ26" i="802" s="1"/>
  <c r="AD264" i="802"/>
  <c r="E19" i="803"/>
  <c r="E34" i="803" s="1"/>
  <c r="AD258" i="802"/>
  <c r="R258" i="802"/>
  <c r="AQ5" i="802"/>
  <c r="AQ20" i="802" s="1"/>
  <c r="W258" i="802"/>
  <c r="J19" i="803"/>
  <c r="J34" i="803" s="1"/>
  <c r="AI258" i="802"/>
  <c r="AV5" i="802"/>
  <c r="AV20" i="802" s="1"/>
  <c r="D19" i="803"/>
  <c r="D34" i="803" s="1"/>
  <c r="AC258" i="802"/>
  <c r="Q258" i="802"/>
  <c r="AP5" i="802"/>
  <c r="AP20" i="802" s="1"/>
  <c r="I22" i="803"/>
  <c r="I37" i="803" s="1"/>
  <c r="AH261" i="802"/>
  <c r="V261" i="802"/>
  <c r="AU8" i="802"/>
  <c r="AU23" i="802" s="1"/>
  <c r="T258" i="802"/>
  <c r="G19" i="803"/>
  <c r="G34" i="803" s="1"/>
  <c r="AF258" i="802"/>
  <c r="AF266" i="802" s="1"/>
  <c r="AS5" i="802"/>
  <c r="AS20" i="802" s="1"/>
  <c r="AS28" i="802" s="1"/>
  <c r="AA258" i="802"/>
  <c r="O258" i="802"/>
  <c r="B19" i="803"/>
  <c r="B34" i="803" s="1"/>
  <c r="AN5" i="802"/>
  <c r="AN20" i="802" s="1"/>
  <c r="U265" i="802"/>
  <c r="H26" i="803"/>
  <c r="H41" i="803" s="1"/>
  <c r="AG265" i="802"/>
  <c r="AT12" i="802"/>
  <c r="AT27" i="802" s="1"/>
  <c r="K25" i="803"/>
  <c r="K40" i="803" s="1"/>
  <c r="X264" i="802"/>
  <c r="AJ264" i="802"/>
  <c r="AW11" i="802"/>
  <c r="AW26" i="802" s="1"/>
  <c r="J18" i="803"/>
  <c r="J33" i="803" s="1"/>
  <c r="AV4" i="802"/>
  <c r="AV19" i="802" s="1"/>
  <c r="AI257" i="802"/>
  <c r="AK257" i="802" s="1"/>
  <c r="W257" i="802"/>
  <c r="F22" i="803"/>
  <c r="F37" i="803" s="1"/>
  <c r="AR8" i="802"/>
  <c r="AR23" i="802" s="1"/>
  <c r="AE261" i="802"/>
  <c r="S261" i="802"/>
  <c r="S263" i="802"/>
  <c r="F24" i="803"/>
  <c r="F39" i="803" s="1"/>
  <c r="AE263" i="802"/>
  <c r="AR10" i="802"/>
  <c r="AR25" i="802" s="1"/>
  <c r="C19" i="803"/>
  <c r="C34" i="803" s="1"/>
  <c r="P258" i="802"/>
  <c r="AO5" i="802"/>
  <c r="AO20" i="802" s="1"/>
  <c r="AB258" i="802"/>
  <c r="AB265" i="802"/>
  <c r="C26" i="803"/>
  <c r="C41" i="803" s="1"/>
  <c r="P265" i="802"/>
  <c r="AO12" i="802"/>
  <c r="AO27" i="802" s="1"/>
  <c r="E20" i="803"/>
  <c r="E35" i="803" s="1"/>
  <c r="R259" i="802"/>
  <c r="AD259" i="802"/>
  <c r="AQ6" i="802"/>
  <c r="AQ21" i="802" s="1"/>
  <c r="E26" i="803"/>
  <c r="E41" i="803" s="1"/>
  <c r="AD265" i="802"/>
  <c r="R265" i="802"/>
  <c r="AQ12" i="802"/>
  <c r="AQ27" i="802" s="1"/>
  <c r="AI260" i="802"/>
  <c r="J21" i="803"/>
  <c r="J36" i="803" s="1"/>
  <c r="W260" i="802"/>
  <c r="AV7" i="802"/>
  <c r="AV22" i="802" s="1"/>
  <c r="J22" i="803"/>
  <c r="J37" i="803" s="1"/>
  <c r="AI261" i="802"/>
  <c r="W261" i="802"/>
  <c r="AV8" i="802"/>
  <c r="AV23" i="802" s="1"/>
  <c r="D20" i="803"/>
  <c r="D35" i="803" s="1"/>
  <c r="AP6" i="802"/>
  <c r="AP21" i="802" s="1"/>
  <c r="Q259" i="802"/>
  <c r="AC259" i="802"/>
  <c r="I20" i="803"/>
  <c r="I35" i="803" s="1"/>
  <c r="AH259" i="802"/>
  <c r="V259" i="802"/>
  <c r="AU6" i="802"/>
  <c r="AU21" i="802" s="1"/>
  <c r="T260" i="802"/>
  <c r="G21" i="803"/>
  <c r="G36" i="803" s="1"/>
  <c r="AF260" i="802"/>
  <c r="AS7" i="802"/>
  <c r="AS22" i="802" s="1"/>
  <c r="B21" i="803"/>
  <c r="B36" i="803" s="1"/>
  <c r="AA260" i="802"/>
  <c r="O260" i="802"/>
  <c r="AN7" i="802"/>
  <c r="AN22" i="802" s="1"/>
  <c r="B24" i="803"/>
  <c r="B39" i="803" s="1"/>
  <c r="O263" i="802"/>
  <c r="AA263" i="802"/>
  <c r="AN10" i="802"/>
  <c r="AN25" i="802" s="1"/>
  <c r="U261" i="802"/>
  <c r="H22" i="803"/>
  <c r="H37" i="803" s="1"/>
  <c r="H42" i="803" s="1"/>
  <c r="AG261" i="802"/>
  <c r="AT8" i="802"/>
  <c r="AT23" i="802" s="1"/>
  <c r="H19" i="803"/>
  <c r="H34" i="803" s="1"/>
  <c r="AG258" i="802"/>
  <c r="U258" i="802"/>
  <c r="AT5" i="802"/>
  <c r="AT20" i="802" s="1"/>
  <c r="AJ259" i="802"/>
  <c r="K43" i="803" s="1"/>
  <c r="K20" i="803"/>
  <c r="K35" i="803" s="1"/>
  <c r="X259" i="802"/>
  <c r="AW6" i="802"/>
  <c r="AW21" i="802" s="1"/>
  <c r="X262" i="802"/>
  <c r="AW9" i="802"/>
  <c r="AW24" i="802" s="1"/>
  <c r="K23" i="803"/>
  <c r="K38" i="803" s="1"/>
  <c r="AJ262" i="802"/>
  <c r="F20" i="803"/>
  <c r="F35" i="803" s="1"/>
  <c r="S259" i="802"/>
  <c r="AE259" i="802"/>
  <c r="AR6" i="802"/>
  <c r="AR21" i="802" s="1"/>
  <c r="F21" i="803"/>
  <c r="F36" i="803" s="1"/>
  <c r="AE260" i="802"/>
  <c r="S260" i="802"/>
  <c r="AR7" i="802"/>
  <c r="AR22" i="802" s="1"/>
  <c r="AB259" i="802"/>
  <c r="C20" i="803"/>
  <c r="C35" i="803" s="1"/>
  <c r="P259" i="802"/>
  <c r="AO6" i="802"/>
  <c r="AO21" i="802" s="1"/>
  <c r="AO28" i="802" s="1"/>
  <c r="AB263" i="802"/>
  <c r="P263" i="802"/>
  <c r="C24" i="803"/>
  <c r="C39" i="803" s="1"/>
  <c r="AO10" i="802"/>
  <c r="AO25" i="802" s="1"/>
  <c r="E21" i="803"/>
  <c r="E36" i="803" s="1"/>
  <c r="R260" i="802"/>
  <c r="AD260" i="802"/>
  <c r="AQ7" i="802"/>
  <c r="AQ22" i="802" s="1"/>
  <c r="E23" i="803"/>
  <c r="E38" i="803" s="1"/>
  <c r="R262" i="802"/>
  <c r="AD262" i="802"/>
  <c r="AQ9" i="802"/>
  <c r="AQ24" i="802" s="1"/>
  <c r="W259" i="802"/>
  <c r="AI259" i="802"/>
  <c r="J20" i="803"/>
  <c r="J35" i="803" s="1"/>
  <c r="AV6" i="802"/>
  <c r="AV21" i="802" s="1"/>
  <c r="W263" i="802"/>
  <c r="AI263" i="802"/>
  <c r="AV10" i="802"/>
  <c r="AV25" i="802" s="1"/>
  <c r="J24" i="803"/>
  <c r="J39" i="803" s="1"/>
  <c r="D22" i="803"/>
  <c r="D37" i="803" s="1"/>
  <c r="Q261" i="802"/>
  <c r="AC261" i="802"/>
  <c r="AP8" i="802"/>
  <c r="AP23" i="802" s="1"/>
  <c r="D21" i="803"/>
  <c r="D36" i="803" s="1"/>
  <c r="AC260" i="802"/>
  <c r="Q260" i="802"/>
  <c r="AP7" i="802"/>
  <c r="AP22" i="802" s="1"/>
  <c r="I25" i="803"/>
  <c r="I40" i="803" s="1"/>
  <c r="V264" i="802"/>
  <c r="AU11" i="802"/>
  <c r="AU26" i="802" s="1"/>
  <c r="AH264" i="802"/>
  <c r="I26" i="803"/>
  <c r="I41" i="803" s="1"/>
  <c r="AH265" i="802"/>
  <c r="V265" i="802"/>
  <c r="AU12" i="802"/>
  <c r="AU27" i="802" s="1"/>
  <c r="AF264" i="802"/>
  <c r="T264" i="802"/>
  <c r="G25" i="803"/>
  <c r="G40" i="803" s="1"/>
  <c r="AS11" i="802"/>
  <c r="AS26" i="802" s="1"/>
  <c r="G26" i="803"/>
  <c r="G41" i="803" s="1"/>
  <c r="T265" i="802"/>
  <c r="AF265" i="802"/>
  <c r="AS12" i="802"/>
  <c r="AS27" i="802" s="1"/>
  <c r="L33" i="803"/>
  <c r="AA264" i="802"/>
  <c r="B25" i="803"/>
  <c r="B40" i="803" s="1"/>
  <c r="O264" i="802"/>
  <c r="AN11" i="802"/>
  <c r="AN26" i="802" s="1"/>
  <c r="H24" i="803"/>
  <c r="H39" i="803" s="1"/>
  <c r="AG263" i="802"/>
  <c r="U263" i="802"/>
  <c r="AT10" i="802"/>
  <c r="AT25" i="802" s="1"/>
  <c r="AJ265" i="802"/>
  <c r="X265" i="802"/>
  <c r="K26" i="803"/>
  <c r="K41" i="803" s="1"/>
  <c r="AW12" i="802"/>
  <c r="AW27" i="802" s="1"/>
  <c r="AE258" i="802"/>
  <c r="S258" i="802"/>
  <c r="F19" i="803"/>
  <c r="F34" i="803" s="1"/>
  <c r="AR5" i="802"/>
  <c r="AR20" i="802" s="1"/>
  <c r="C23" i="803"/>
  <c r="C38" i="803" s="1"/>
  <c r="P262" i="802"/>
  <c r="AB262" i="802"/>
  <c r="AO9" i="802"/>
  <c r="AO24" i="802" s="1"/>
  <c r="AI262" i="802"/>
  <c r="J23" i="803"/>
  <c r="J38" i="803" s="1"/>
  <c r="W262" i="802"/>
  <c r="AV9" i="802"/>
  <c r="AV24" i="802" s="1"/>
  <c r="D26" i="803"/>
  <c r="D41" i="803" s="1"/>
  <c r="Q265" i="802"/>
  <c r="AC265" i="802"/>
  <c r="AP12" i="802"/>
  <c r="AP27" i="802" s="1"/>
  <c r="I24" i="803"/>
  <c r="I39" i="803" s="1"/>
  <c r="V263" i="802"/>
  <c r="AU10" i="802"/>
  <c r="AU25" i="802" s="1"/>
  <c r="AH263" i="802"/>
  <c r="G20" i="803"/>
  <c r="G35" i="803" s="1"/>
  <c r="AF259" i="802"/>
  <c r="T259" i="802"/>
  <c r="AS6" i="802"/>
  <c r="AS21" i="802" s="1"/>
  <c r="AN12" i="802"/>
  <c r="AN27" i="802" s="1"/>
  <c r="AA265" i="802"/>
  <c r="B26" i="803"/>
  <c r="B41" i="803" s="1"/>
  <c r="O265" i="802"/>
  <c r="AT6" i="802"/>
  <c r="AT21" i="802" s="1"/>
  <c r="AG259" i="802"/>
  <c r="H20" i="803"/>
  <c r="H35" i="803" s="1"/>
  <c r="U259" i="802"/>
  <c r="AJ263" i="802"/>
  <c r="X263" i="802"/>
  <c r="K24" i="803"/>
  <c r="K39" i="803" s="1"/>
  <c r="AW10" i="802"/>
  <c r="AW25" i="802" s="1"/>
  <c r="AC262" i="802"/>
  <c r="Q262" i="802"/>
  <c r="D23" i="803"/>
  <c r="D38" i="803" s="1"/>
  <c r="AP9" i="802"/>
  <c r="AP24" i="802" s="1"/>
  <c r="I23" i="803"/>
  <c r="I38" i="803" s="1"/>
  <c r="AH262" i="802"/>
  <c r="V262" i="802"/>
  <c r="AU9" i="802"/>
  <c r="AU24" i="802" s="1"/>
  <c r="T262" i="802"/>
  <c r="G23" i="803"/>
  <c r="G38" i="803" s="1"/>
  <c r="AS9" i="802"/>
  <c r="AS24" i="802" s="1"/>
  <c r="AF262" i="802"/>
  <c r="AN8" i="802"/>
  <c r="AN23" i="802" s="1"/>
  <c r="B22" i="803"/>
  <c r="B37" i="803" s="1"/>
  <c r="O261" i="802"/>
  <c r="AA261" i="802"/>
  <c r="AA262" i="802"/>
  <c r="B23" i="803"/>
  <c r="B38" i="803" s="1"/>
  <c r="O262" i="802"/>
  <c r="AN9" i="802"/>
  <c r="AN24" i="802" s="1"/>
  <c r="AG264" i="802"/>
  <c r="U264" i="802"/>
  <c r="H25" i="803"/>
  <c r="H40" i="803" s="1"/>
  <c r="AT11" i="802"/>
  <c r="AT26" i="802" s="1"/>
  <c r="H23" i="803"/>
  <c r="H38" i="803" s="1"/>
  <c r="AG262" i="802"/>
  <c r="U262" i="802"/>
  <c r="AT9" i="802"/>
  <c r="AT24" i="802" s="1"/>
  <c r="K21" i="803"/>
  <c r="K36" i="803" s="1"/>
  <c r="AJ260" i="802"/>
  <c r="X260" i="802"/>
  <c r="AW7" i="802"/>
  <c r="AW22" i="802" s="1"/>
  <c r="K22" i="803"/>
  <c r="K37" i="803" s="1"/>
  <c r="X261" i="802"/>
  <c r="AJ261" i="802"/>
  <c r="AW8" i="802"/>
  <c r="AW23" i="802" s="1"/>
  <c r="F25" i="803"/>
  <c r="F40" i="803" s="1"/>
  <c r="AE264" i="802"/>
  <c r="S264" i="802"/>
  <c r="AR11" i="802"/>
  <c r="AR26" i="802" s="1"/>
  <c r="F23" i="803"/>
  <c r="F38" i="803" s="1"/>
  <c r="S262" i="802"/>
  <c r="AE262" i="802"/>
  <c r="AR9" i="802"/>
  <c r="AR24" i="802" s="1"/>
  <c r="C21" i="803"/>
  <c r="C36" i="803" s="1"/>
  <c r="AB260" i="802"/>
  <c r="AO7" i="802"/>
  <c r="AO22" i="802" s="1"/>
  <c r="P260" i="802"/>
  <c r="C25" i="803"/>
  <c r="C40" i="803" s="1"/>
  <c r="P264" i="802"/>
  <c r="AB264" i="802"/>
  <c r="AO11" i="802"/>
  <c r="AO26" i="802" s="1"/>
  <c r="E22" i="803"/>
  <c r="E37" i="803" s="1"/>
  <c r="AD261" i="802"/>
  <c r="R261" i="802"/>
  <c r="AQ8" i="802"/>
  <c r="AQ23" i="802" s="1"/>
  <c r="E24" i="803"/>
  <c r="E39" i="803" s="1"/>
  <c r="AD263" i="802"/>
  <c r="R263" i="802"/>
  <c r="AQ10" i="802"/>
  <c r="AQ25" i="802" s="1"/>
  <c r="J25" i="803"/>
  <c r="J40" i="803" s="1"/>
  <c r="AI264" i="802"/>
  <c r="W264" i="802"/>
  <c r="AV11" i="802"/>
  <c r="AV26" i="802" s="1"/>
  <c r="J26" i="803"/>
  <c r="J41" i="803" s="1"/>
  <c r="AI265" i="802"/>
  <c r="AV12" i="802"/>
  <c r="AV27" i="802" s="1"/>
  <c r="W265" i="802"/>
  <c r="Q264" i="802"/>
  <c r="D25" i="803"/>
  <c r="D40" i="803" s="1"/>
  <c r="AP11" i="802"/>
  <c r="AP26" i="802" s="1"/>
  <c r="AC264" i="802"/>
  <c r="D24" i="803"/>
  <c r="D39" i="803" s="1"/>
  <c r="AP10" i="802"/>
  <c r="AP25" i="802" s="1"/>
  <c r="AC263" i="802"/>
  <c r="Q263" i="802"/>
  <c r="I19" i="803"/>
  <c r="I34" i="803" s="1"/>
  <c r="V258" i="802"/>
  <c r="AH258" i="802"/>
  <c r="AU5" i="802"/>
  <c r="AU20" i="802" s="1"/>
  <c r="I21" i="803"/>
  <c r="I36" i="803" s="1"/>
  <c r="V260" i="802"/>
  <c r="AU7" i="802"/>
  <c r="AU22" i="802" s="1"/>
  <c r="AH260" i="802"/>
  <c r="AF261" i="802"/>
  <c r="T261" i="802"/>
  <c r="G22" i="803"/>
  <c r="G37" i="803" s="1"/>
  <c r="G42" i="803" s="1"/>
  <c r="AS8" i="802"/>
  <c r="AS23" i="802" s="1"/>
  <c r="G24" i="803"/>
  <c r="G39" i="803" s="1"/>
  <c r="AF263" i="802"/>
  <c r="T263" i="802"/>
  <c r="AS10" i="802"/>
  <c r="AS25" i="802" s="1"/>
  <c r="AQ28" i="802" l="1"/>
  <c r="AQ29" i="802"/>
  <c r="AO29" i="802"/>
  <c r="AR29" i="802"/>
  <c r="F42" i="803"/>
  <c r="AT28" i="802"/>
  <c r="AR28" i="802"/>
  <c r="C42" i="803"/>
  <c r="S266" i="802"/>
  <c r="U266" i="802"/>
  <c r="AC266" i="802"/>
  <c r="C43" i="803"/>
  <c r="AP28" i="802"/>
  <c r="L41" i="803"/>
  <c r="Q266" i="802"/>
  <c r="D43" i="803"/>
  <c r="F43" i="803"/>
  <c r="AW28" i="802"/>
  <c r="AG266" i="802"/>
  <c r="H267" i="802" s="1"/>
  <c r="AW29" i="802"/>
  <c r="K42" i="803"/>
  <c r="G43" i="803"/>
  <c r="P266" i="802"/>
  <c r="R266" i="802"/>
  <c r="AQ14" i="802" s="1"/>
  <c r="L38" i="803"/>
  <c r="T266" i="802"/>
  <c r="D42" i="803"/>
  <c r="E42" i="803"/>
  <c r="AS29" i="802"/>
  <c r="AD266" i="802"/>
  <c r="E267" i="802" s="1"/>
  <c r="X266" i="802"/>
  <c r="AT29" i="802"/>
  <c r="D28" i="803"/>
  <c r="AP14" i="802"/>
  <c r="G28" i="803"/>
  <c r="AS14" i="802"/>
  <c r="AT13" i="802"/>
  <c r="C28" i="803"/>
  <c r="AO14" i="802"/>
  <c r="E28" i="803"/>
  <c r="F28" i="803"/>
  <c r="AR14" i="802"/>
  <c r="K28" i="803"/>
  <c r="AW14" i="802"/>
  <c r="H28" i="803"/>
  <c r="AT14" i="802"/>
  <c r="D267" i="802"/>
  <c r="AK264" i="802"/>
  <c r="AK263" i="802"/>
  <c r="Y258" i="802"/>
  <c r="AX21" i="802"/>
  <c r="AJ266" i="802"/>
  <c r="K267" i="802" s="1"/>
  <c r="AK262" i="802"/>
  <c r="AE266" i="802"/>
  <c r="F267" i="802" s="1"/>
  <c r="AK265" i="802"/>
  <c r="E43" i="803"/>
  <c r="Y263" i="802"/>
  <c r="H43" i="803"/>
  <c r="V266" i="802"/>
  <c r="AK259" i="802"/>
  <c r="AX24" i="802"/>
  <c r="AK261" i="802"/>
  <c r="AP29" i="802"/>
  <c r="Y257" i="802"/>
  <c r="M257" i="802" s="1"/>
  <c r="AX27" i="802"/>
  <c r="Y264" i="802"/>
  <c r="L39" i="803"/>
  <c r="L36" i="803"/>
  <c r="W266" i="802"/>
  <c r="AX20" i="802"/>
  <c r="AN28" i="802"/>
  <c r="AB266" i="802"/>
  <c r="C267" i="802" s="1"/>
  <c r="I43" i="803"/>
  <c r="AH266" i="802"/>
  <c r="AU29" i="802"/>
  <c r="Y259" i="802"/>
  <c r="L37" i="803"/>
  <c r="G267" i="802"/>
  <c r="Y260" i="802"/>
  <c r="AV28" i="802"/>
  <c r="AU28" i="802"/>
  <c r="AX23" i="802"/>
  <c r="AX26" i="802"/>
  <c r="AK260" i="802"/>
  <c r="J42" i="803"/>
  <c r="AK258" i="802"/>
  <c r="AN29" i="802"/>
  <c r="AA266" i="802"/>
  <c r="B43" i="803"/>
  <c r="Y262" i="802"/>
  <c r="Y261" i="802"/>
  <c r="O266" i="802"/>
  <c r="Y265" i="802"/>
  <c r="L40" i="803"/>
  <c r="AX25" i="802"/>
  <c r="AX22" i="802"/>
  <c r="AX19" i="802"/>
  <c r="J43" i="803"/>
  <c r="AV29" i="802"/>
  <c r="AI266" i="802"/>
  <c r="L34" i="803"/>
  <c r="B42" i="803"/>
  <c r="I42" i="803"/>
  <c r="L35" i="803"/>
  <c r="J267" i="802" l="1"/>
  <c r="M262" i="802"/>
  <c r="M258" i="802"/>
  <c r="M24" i="803"/>
  <c r="AY10" i="802"/>
  <c r="M263" i="802"/>
  <c r="M23" i="803"/>
  <c r="AY9" i="802"/>
  <c r="AS13" i="802"/>
  <c r="M261" i="802"/>
  <c r="L18" i="803"/>
  <c r="AX4" i="802"/>
  <c r="BB3" i="802" s="1"/>
  <c r="AW13" i="802"/>
  <c r="M26" i="803"/>
  <c r="AY12" i="802"/>
  <c r="J28" i="803"/>
  <c r="AV14" i="802"/>
  <c r="AK266" i="802"/>
  <c r="M43" i="803" s="1"/>
  <c r="M265" i="802"/>
  <c r="AP13" i="802"/>
  <c r="M22" i="803"/>
  <c r="AY8" i="802"/>
  <c r="M21" i="803"/>
  <c r="AY7" i="802"/>
  <c r="I28" i="803"/>
  <c r="AU14" i="802"/>
  <c r="L23" i="803"/>
  <c r="AX9" i="802"/>
  <c r="BB8" i="802" s="1"/>
  <c r="L19" i="803"/>
  <c r="AX5" i="802"/>
  <c r="BB4" i="802" s="1"/>
  <c r="I267" i="802"/>
  <c r="M25" i="803"/>
  <c r="AY11" i="802"/>
  <c r="M264" i="802"/>
  <c r="AQ13" i="802"/>
  <c r="AV13" i="802"/>
  <c r="B28" i="803"/>
  <c r="AN14" i="802"/>
  <c r="B267" i="802"/>
  <c r="M260" i="802"/>
  <c r="M20" i="803"/>
  <c r="AY6" i="802"/>
  <c r="AO13" i="802"/>
  <c r="M18" i="803"/>
  <c r="AY4" i="802"/>
  <c r="M259" i="802"/>
  <c r="AR13" i="802"/>
  <c r="M19" i="803"/>
  <c r="AY5" i="802"/>
  <c r="AU13" i="802" l="1"/>
  <c r="L22" i="803"/>
  <c r="AX8" i="802"/>
  <c r="BB7" i="802" s="1"/>
  <c r="L21" i="803"/>
  <c r="AX7" i="802"/>
  <c r="BB6" i="802" s="1"/>
  <c r="L20" i="803"/>
  <c r="AX6" i="802"/>
  <c r="BB5" i="802" s="1"/>
  <c r="L267" i="802"/>
  <c r="AN13" i="802"/>
  <c r="BB13" i="802" s="1" a="1"/>
  <c r="L25" i="803"/>
  <c r="AX11" i="802"/>
  <c r="BB10" i="802" s="1"/>
  <c r="L24" i="803"/>
  <c r="AX10" i="802"/>
  <c r="BB9" i="802" s="1"/>
  <c r="L26" i="803"/>
  <c r="AX12" i="802"/>
  <c r="BB11" i="802" s="1"/>
  <c r="BB19" i="802" l="1"/>
  <c r="BB15" i="802"/>
  <c r="BB22" i="802"/>
  <c r="BB17" i="802"/>
  <c r="BB21" i="802"/>
  <c r="BB16" i="802"/>
  <c r="BB13" i="802"/>
  <c r="BB20" i="802"/>
  <c r="BB18" i="802"/>
  <c r="BB14" i="802"/>
  <c r="H268" i="802"/>
  <c r="C268" i="802"/>
  <c r="F268" i="802"/>
  <c r="E268" i="802"/>
  <c r="K268" i="802"/>
  <c r="D268" i="802"/>
  <c r="J268" i="802"/>
  <c r="G268" i="802"/>
  <c r="B268" i="802"/>
  <c r="I268" i="802"/>
  <c r="I27" i="803" l="1"/>
  <c r="I276" i="802"/>
  <c r="I280" i="802"/>
  <c r="I275" i="802"/>
  <c r="I281" i="802"/>
  <c r="I282" i="802"/>
  <c r="I283" i="802"/>
  <c r="I279" i="802"/>
  <c r="I277" i="802"/>
  <c r="I278" i="802"/>
  <c r="C27" i="803"/>
  <c r="C275" i="802"/>
  <c r="C280" i="802"/>
  <c r="C276" i="802"/>
  <c r="C282" i="802"/>
  <c r="C279" i="802"/>
  <c r="C278" i="802"/>
  <c r="C281" i="802"/>
  <c r="C283" i="802"/>
  <c r="C277" i="802"/>
  <c r="B27" i="803"/>
  <c r="L268" i="802"/>
  <c r="B276" i="802"/>
  <c r="B280" i="802"/>
  <c r="B275" i="802"/>
  <c r="O275" i="802" s="1"/>
  <c r="B279" i="802"/>
  <c r="B283" i="802"/>
  <c r="B282" i="802"/>
  <c r="B278" i="802"/>
  <c r="B277" i="802"/>
  <c r="B281" i="802"/>
  <c r="K27" i="803"/>
  <c r="K275" i="802"/>
  <c r="K280" i="802"/>
  <c r="K276" i="802"/>
  <c r="K282" i="802"/>
  <c r="K281" i="802"/>
  <c r="K277" i="802"/>
  <c r="K283" i="802"/>
  <c r="K279" i="802"/>
  <c r="K278" i="802"/>
  <c r="H27" i="803"/>
  <c r="H280" i="802"/>
  <c r="H276" i="802"/>
  <c r="H275" i="802"/>
  <c r="H278" i="802"/>
  <c r="H282" i="802"/>
  <c r="H277" i="802"/>
  <c r="H281" i="802"/>
  <c r="H283" i="802"/>
  <c r="H279" i="802"/>
  <c r="G27" i="803"/>
  <c r="G280" i="802"/>
  <c r="G276" i="802"/>
  <c r="G275" i="802"/>
  <c r="G278" i="802"/>
  <c r="G277" i="802"/>
  <c r="G283" i="802"/>
  <c r="G279" i="802"/>
  <c r="G282" i="802"/>
  <c r="G281" i="802"/>
  <c r="E27" i="803"/>
  <c r="E275" i="802"/>
  <c r="E280" i="802"/>
  <c r="E276" i="802"/>
  <c r="E277" i="802"/>
  <c r="E279" i="802"/>
  <c r="E283" i="802"/>
  <c r="E278" i="802"/>
  <c r="E282" i="802"/>
  <c r="E281" i="802"/>
  <c r="D27" i="803"/>
  <c r="D275" i="802"/>
  <c r="D276" i="802"/>
  <c r="D280" i="802"/>
  <c r="D281" i="802"/>
  <c r="D278" i="802"/>
  <c r="D277" i="802"/>
  <c r="D282" i="802"/>
  <c r="D283" i="802"/>
  <c r="D279" i="802"/>
  <c r="J27" i="803"/>
  <c r="J275" i="802"/>
  <c r="J276" i="802"/>
  <c r="J280" i="802"/>
  <c r="J282" i="802"/>
  <c r="J281" i="802"/>
  <c r="J279" i="802"/>
  <c r="J278" i="802"/>
  <c r="J277" i="802"/>
  <c r="J283" i="802"/>
  <c r="F27" i="803"/>
  <c r="F275" i="802"/>
  <c r="F280" i="802"/>
  <c r="F276" i="802"/>
  <c r="F278" i="802"/>
  <c r="F282" i="802"/>
  <c r="F279" i="802"/>
  <c r="F277" i="802"/>
  <c r="F281" i="802"/>
  <c r="F283" i="802"/>
  <c r="S280" i="802" l="1"/>
  <c r="AE280" i="802"/>
  <c r="AI281" i="802"/>
  <c r="W281" i="802"/>
  <c r="AC283" i="802"/>
  <c r="Q283" i="802"/>
  <c r="AD276" i="802"/>
  <c r="R276" i="802"/>
  <c r="AF276" i="802"/>
  <c r="T276" i="802"/>
  <c r="U282" i="802"/>
  <c r="AG282" i="802"/>
  <c r="X279" i="802"/>
  <c r="AJ279" i="802"/>
  <c r="P281" i="802"/>
  <c r="AB281" i="802"/>
  <c r="AH280" i="802"/>
  <c r="V280" i="802"/>
  <c r="AE282" i="802"/>
  <c r="S282" i="802"/>
  <c r="AI277" i="802"/>
  <c r="W277" i="802"/>
  <c r="AC280" i="802"/>
  <c r="Q280" i="802"/>
  <c r="AD280" i="802"/>
  <c r="R280" i="802"/>
  <c r="AF280" i="802"/>
  <c r="T280" i="802"/>
  <c r="U278" i="802"/>
  <c r="AG278" i="802"/>
  <c r="X283" i="802"/>
  <c r="AJ283" i="802"/>
  <c r="AA282" i="802"/>
  <c r="O282" i="802"/>
  <c r="AB278" i="802"/>
  <c r="P278" i="802"/>
  <c r="AH278" i="802"/>
  <c r="V278" i="802"/>
  <c r="V276" i="802"/>
  <c r="AH276" i="802"/>
  <c r="AE281" i="802"/>
  <c r="S281" i="802"/>
  <c r="AE278" i="802"/>
  <c r="S278" i="802"/>
  <c r="AI278" i="802"/>
  <c r="W278" i="802"/>
  <c r="W280" i="802"/>
  <c r="AI280" i="802"/>
  <c r="Q277" i="802"/>
  <c r="AC277" i="802"/>
  <c r="Q276" i="802"/>
  <c r="AC276" i="802"/>
  <c r="R281" i="802"/>
  <c r="AD281" i="802"/>
  <c r="R279" i="802"/>
  <c r="AD279" i="802"/>
  <c r="AD275" i="802"/>
  <c r="R275" i="802"/>
  <c r="T282" i="802"/>
  <c r="AF282" i="802"/>
  <c r="T278" i="802"/>
  <c r="AF278" i="802"/>
  <c r="AG281" i="802"/>
  <c r="U281" i="802"/>
  <c r="AG275" i="802"/>
  <c r="U275" i="802"/>
  <c r="X277" i="802"/>
  <c r="AJ277" i="802"/>
  <c r="AJ280" i="802"/>
  <c r="X280" i="802"/>
  <c r="AA281" i="802"/>
  <c r="O281" i="802"/>
  <c r="O283" i="802"/>
  <c r="AA283" i="802"/>
  <c r="O276" i="802"/>
  <c r="AA276" i="802"/>
  <c r="AB277" i="802"/>
  <c r="P277" i="802"/>
  <c r="P279" i="802"/>
  <c r="AB279" i="802"/>
  <c r="P275" i="802"/>
  <c r="AB275" i="802"/>
  <c r="V277" i="802"/>
  <c r="AH277" i="802"/>
  <c r="V281" i="802"/>
  <c r="AH281" i="802"/>
  <c r="AE279" i="802"/>
  <c r="S279" i="802"/>
  <c r="AI283" i="802"/>
  <c r="W283" i="802"/>
  <c r="AI275" i="802"/>
  <c r="W275" i="802"/>
  <c r="Q281" i="802"/>
  <c r="AC281" i="802"/>
  <c r="AD278" i="802"/>
  <c r="R278" i="802"/>
  <c r="T283" i="802"/>
  <c r="AF283" i="802"/>
  <c r="AG279" i="802"/>
  <c r="U279" i="802"/>
  <c r="AG280" i="802"/>
  <c r="U280" i="802"/>
  <c r="AJ282" i="802"/>
  <c r="X282" i="802"/>
  <c r="O278" i="802"/>
  <c r="AA278" i="802"/>
  <c r="AB276" i="802"/>
  <c r="P276" i="802"/>
  <c r="AH283" i="802"/>
  <c r="V283" i="802"/>
  <c r="S283" i="802"/>
  <c r="AE283" i="802"/>
  <c r="S275" i="802"/>
  <c r="AE275" i="802"/>
  <c r="AI282" i="802"/>
  <c r="W282" i="802"/>
  <c r="Q282" i="802"/>
  <c r="AC282" i="802"/>
  <c r="AD283" i="802"/>
  <c r="R283" i="802"/>
  <c r="AF281" i="802"/>
  <c r="T281" i="802"/>
  <c r="AF277" i="802"/>
  <c r="T277" i="802"/>
  <c r="AG283" i="802"/>
  <c r="U283" i="802"/>
  <c r="AJ276" i="802"/>
  <c r="X276" i="802"/>
  <c r="O280" i="802"/>
  <c r="AA280" i="802"/>
  <c r="AB280" i="802"/>
  <c r="P280" i="802"/>
  <c r="AH282" i="802"/>
  <c r="V282" i="802"/>
  <c r="AE277" i="802"/>
  <c r="S277" i="802"/>
  <c r="S276" i="802"/>
  <c r="AE276" i="802"/>
  <c r="AI279" i="802"/>
  <c r="W279" i="802"/>
  <c r="W276" i="802"/>
  <c r="AI276" i="802"/>
  <c r="AC279" i="802"/>
  <c r="Q279" i="802"/>
  <c r="Q278" i="802"/>
  <c r="AC278" i="802"/>
  <c r="AC275" i="802"/>
  <c r="Q275" i="802"/>
  <c r="AD282" i="802"/>
  <c r="R282" i="802"/>
  <c r="R277" i="802"/>
  <c r="AD277" i="802"/>
  <c r="T279" i="802"/>
  <c r="AF279" i="802"/>
  <c r="T275" i="802"/>
  <c r="AF275" i="802"/>
  <c r="AG277" i="802"/>
  <c r="U277" i="802"/>
  <c r="AG276" i="802"/>
  <c r="U276" i="802"/>
  <c r="X278" i="802"/>
  <c r="AJ278" i="802"/>
  <c r="X281" i="802"/>
  <c r="AJ281" i="802"/>
  <c r="X275" i="802"/>
  <c r="AJ275" i="802"/>
  <c r="AA277" i="802"/>
  <c r="O277" i="802"/>
  <c r="AA279" i="802"/>
  <c r="O279" i="802"/>
  <c r="P283" i="802"/>
  <c r="AB283" i="802"/>
  <c r="AB282" i="802"/>
  <c r="P282" i="802"/>
  <c r="AH279" i="802"/>
  <c r="V279" i="802"/>
  <c r="AH275" i="802"/>
  <c r="V275" i="802"/>
  <c r="AJ284" i="802" l="1"/>
  <c r="K285" i="802" s="1"/>
  <c r="V284" i="802"/>
  <c r="AK280" i="802"/>
  <c r="Y279" i="802"/>
  <c r="AK278" i="802"/>
  <c r="AK283" i="802"/>
  <c r="R284" i="802"/>
  <c r="O284" i="802"/>
  <c r="X284" i="802"/>
  <c r="S284" i="802"/>
  <c r="P284" i="802"/>
  <c r="AD284" i="802"/>
  <c r="Y275" i="802"/>
  <c r="Y277" i="802"/>
  <c r="AF284" i="802"/>
  <c r="Q284" i="802"/>
  <c r="W284" i="802"/>
  <c r="AK276" i="802"/>
  <c r="AA284" i="802"/>
  <c r="Y281" i="802"/>
  <c r="AE284" i="802"/>
  <c r="F285" i="802" s="1"/>
  <c r="AB284" i="802"/>
  <c r="C285" i="802" s="1"/>
  <c r="AK275" i="802"/>
  <c r="U284" i="802"/>
  <c r="Y282" i="802"/>
  <c r="AH284" i="802"/>
  <c r="I285" i="802" s="1"/>
  <c r="AK279" i="802"/>
  <c r="M279" i="802" s="1"/>
  <c r="Y280" i="802"/>
  <c r="M280" i="802" s="1"/>
  <c r="Y278" i="802"/>
  <c r="Y283" i="802"/>
  <c r="AG284" i="802"/>
  <c r="AK282" i="802"/>
  <c r="AK277" i="802"/>
  <c r="M277" i="802" s="1"/>
  <c r="T284" i="802"/>
  <c r="AC284" i="802"/>
  <c r="AI284" i="802"/>
  <c r="J285" i="802" s="1"/>
  <c r="Y276" i="802"/>
  <c r="AK281" i="802"/>
  <c r="M281" i="802" s="1"/>
  <c r="B285" i="802" l="1"/>
  <c r="D285" i="802"/>
  <c r="M276" i="802"/>
  <c r="M283" i="802"/>
  <c r="M282" i="802"/>
  <c r="M278" i="802"/>
  <c r="G285" i="802"/>
  <c r="H285" i="802"/>
  <c r="AK284" i="802"/>
  <c r="M275" i="802"/>
  <c r="E285" i="802"/>
  <c r="L285" i="802" l="1"/>
  <c r="H286" i="802" s="1"/>
  <c r="H295" i="802" l="1"/>
  <c r="H298" i="802"/>
  <c r="H299" i="802"/>
  <c r="H297" i="802"/>
  <c r="H300" i="802"/>
  <c r="H301" i="802"/>
  <c r="H296" i="802"/>
  <c r="H293" i="802"/>
  <c r="H294" i="802"/>
  <c r="E286" i="802"/>
  <c r="F286" i="802"/>
  <c r="J286" i="802"/>
  <c r="B286" i="802"/>
  <c r="K286" i="802"/>
  <c r="D286" i="802"/>
  <c r="C286" i="802"/>
  <c r="I286" i="802"/>
  <c r="G286" i="802"/>
  <c r="D295" i="802" l="1"/>
  <c r="D298" i="802"/>
  <c r="D299" i="802"/>
  <c r="D297" i="802"/>
  <c r="D301" i="802"/>
  <c r="D294" i="802"/>
  <c r="D296" i="802"/>
  <c r="D293" i="802"/>
  <c r="D300" i="802"/>
  <c r="AG296" i="802"/>
  <c r="U296" i="802"/>
  <c r="G299" i="802"/>
  <c r="G298" i="802"/>
  <c r="G295" i="802"/>
  <c r="G297" i="802"/>
  <c r="G301" i="802"/>
  <c r="G300" i="802"/>
  <c r="G294" i="802"/>
  <c r="G293" i="802"/>
  <c r="G296" i="802"/>
  <c r="E298" i="802"/>
  <c r="E297" i="802"/>
  <c r="E299" i="802"/>
  <c r="E295" i="802"/>
  <c r="E301" i="802"/>
  <c r="E294" i="802"/>
  <c r="E293" i="802"/>
  <c r="E300" i="802"/>
  <c r="E296" i="802"/>
  <c r="AG301" i="802"/>
  <c r="U301" i="802"/>
  <c r="I295" i="802"/>
  <c r="I298" i="802"/>
  <c r="I299" i="802"/>
  <c r="I297" i="802"/>
  <c r="I293" i="802"/>
  <c r="I296" i="802"/>
  <c r="I300" i="802"/>
  <c r="I301" i="802"/>
  <c r="I294" i="802"/>
  <c r="L286" i="802"/>
  <c r="B295" i="802"/>
  <c r="B297" i="802"/>
  <c r="B299" i="802"/>
  <c r="B298" i="802"/>
  <c r="B300" i="802"/>
  <c r="B296" i="802"/>
  <c r="B301" i="802"/>
  <c r="B294" i="802"/>
  <c r="B293" i="802"/>
  <c r="O293" i="802" s="1"/>
  <c r="AG300" i="802"/>
  <c r="U300" i="802"/>
  <c r="U295" i="802"/>
  <c r="AG295" i="802"/>
  <c r="F299" i="802"/>
  <c r="F297" i="802"/>
  <c r="F295" i="802"/>
  <c r="F298" i="802"/>
  <c r="F296" i="802"/>
  <c r="F300" i="802"/>
  <c r="F301" i="802"/>
  <c r="F294" i="802"/>
  <c r="F293" i="802"/>
  <c r="U299" i="802"/>
  <c r="AG299" i="802"/>
  <c r="K297" i="802"/>
  <c r="K295" i="802"/>
  <c r="K298" i="802"/>
  <c r="K299" i="802"/>
  <c r="K293" i="802"/>
  <c r="K296" i="802"/>
  <c r="K301" i="802"/>
  <c r="K294" i="802"/>
  <c r="K300" i="802"/>
  <c r="AG298" i="802"/>
  <c r="U298" i="802"/>
  <c r="U294" i="802"/>
  <c r="AG294" i="802"/>
  <c r="C298" i="802"/>
  <c r="C295" i="802"/>
  <c r="C297" i="802"/>
  <c r="C299" i="802"/>
  <c r="C301" i="802"/>
  <c r="C300" i="802"/>
  <c r="C294" i="802"/>
  <c r="C296" i="802"/>
  <c r="C293" i="802"/>
  <c r="J299" i="802"/>
  <c r="J298" i="802"/>
  <c r="J295" i="802"/>
  <c r="J297" i="802"/>
  <c r="J293" i="802"/>
  <c r="J294" i="802"/>
  <c r="J296" i="802"/>
  <c r="J301" i="802"/>
  <c r="J300" i="802"/>
  <c r="AG293" i="802"/>
  <c r="U293" i="802"/>
  <c r="AG297" i="802"/>
  <c r="U297" i="802"/>
  <c r="W301" i="802" l="1"/>
  <c r="AI301" i="802"/>
  <c r="AB295" i="802"/>
  <c r="P295" i="802"/>
  <c r="AJ294" i="802"/>
  <c r="X294" i="802"/>
  <c r="AE298" i="802"/>
  <c r="S298" i="802"/>
  <c r="O297" i="802"/>
  <c r="AA297" i="802"/>
  <c r="V293" i="802"/>
  <c r="AH293" i="802"/>
  <c r="AD296" i="802"/>
  <c r="R296" i="802"/>
  <c r="R298" i="802"/>
  <c r="AD298" i="802"/>
  <c r="AF295" i="802"/>
  <c r="T295" i="802"/>
  <c r="AC296" i="802"/>
  <c r="Q296" i="802"/>
  <c r="U302" i="802"/>
  <c r="AI295" i="802"/>
  <c r="W295" i="802"/>
  <c r="AB301" i="802"/>
  <c r="P301" i="802"/>
  <c r="AJ298" i="802"/>
  <c r="X298" i="802"/>
  <c r="S301" i="802"/>
  <c r="AE301" i="802"/>
  <c r="AA295" i="802"/>
  <c r="AK295" i="802" s="1"/>
  <c r="O295" i="802"/>
  <c r="AH297" i="802"/>
  <c r="V297" i="802"/>
  <c r="R300" i="802"/>
  <c r="AD300" i="802"/>
  <c r="T300" i="802"/>
  <c r="AF300" i="802"/>
  <c r="AC298" i="802"/>
  <c r="Q298" i="802"/>
  <c r="AG302" i="802"/>
  <c r="AI294" i="802"/>
  <c r="W294" i="802"/>
  <c r="AI298" i="802"/>
  <c r="W298" i="802"/>
  <c r="P296" i="802"/>
  <c r="AB296" i="802"/>
  <c r="P299" i="802"/>
  <c r="AB299" i="802"/>
  <c r="X296" i="802"/>
  <c r="AJ296" i="802"/>
  <c r="AJ295" i="802"/>
  <c r="X295" i="802"/>
  <c r="AE300" i="802"/>
  <c r="S300" i="802"/>
  <c r="S297" i="802"/>
  <c r="AE297" i="802"/>
  <c r="AA294" i="802"/>
  <c r="O294" i="802"/>
  <c r="AA298" i="802"/>
  <c r="O298" i="802"/>
  <c r="AH300" i="802"/>
  <c r="V300" i="802"/>
  <c r="AH299" i="802"/>
  <c r="V299" i="802"/>
  <c r="AD293" i="802"/>
  <c r="R293" i="802"/>
  <c r="AD299" i="802"/>
  <c r="R299" i="802"/>
  <c r="T296" i="802"/>
  <c r="AF296" i="802"/>
  <c r="AF301" i="802"/>
  <c r="T301" i="802"/>
  <c r="AF299" i="802"/>
  <c r="T299" i="802"/>
  <c r="AC300" i="802"/>
  <c r="Q300" i="802"/>
  <c r="Q301" i="802"/>
  <c r="AC301" i="802"/>
  <c r="Q295" i="802"/>
  <c r="AC295" i="802"/>
  <c r="W297" i="802"/>
  <c r="AI297" i="802"/>
  <c r="P300" i="802"/>
  <c r="AB300" i="802"/>
  <c r="AJ299" i="802"/>
  <c r="X299" i="802"/>
  <c r="AE294" i="802"/>
  <c r="S294" i="802"/>
  <c r="AA296" i="802"/>
  <c r="O296" i="802"/>
  <c r="V294" i="802"/>
  <c r="AH294" i="802"/>
  <c r="AH295" i="802"/>
  <c r="V295" i="802"/>
  <c r="AD301" i="802"/>
  <c r="R301" i="802"/>
  <c r="AF294" i="802"/>
  <c r="T294" i="802"/>
  <c r="Q299" i="802"/>
  <c r="AC299" i="802"/>
  <c r="AI296" i="802"/>
  <c r="W296" i="802"/>
  <c r="AB293" i="802"/>
  <c r="P293" i="802"/>
  <c r="AB298" i="802"/>
  <c r="P298" i="802"/>
  <c r="AJ301" i="802"/>
  <c r="X301" i="802"/>
  <c r="AE295" i="802"/>
  <c r="S295" i="802"/>
  <c r="AA300" i="802"/>
  <c r="O300" i="802"/>
  <c r="AH301" i="802"/>
  <c r="V301" i="802"/>
  <c r="AD295" i="802"/>
  <c r="R295" i="802"/>
  <c r="AF298" i="802"/>
  <c r="T298" i="802"/>
  <c r="Q294" i="802"/>
  <c r="AC294" i="802"/>
  <c r="W300" i="802"/>
  <c r="AI300" i="802"/>
  <c r="W293" i="802"/>
  <c r="AI293" i="802"/>
  <c r="W299" i="802"/>
  <c r="AI299" i="802"/>
  <c r="P294" i="802"/>
  <c r="AB294" i="802"/>
  <c r="AB297" i="802"/>
  <c r="P297" i="802"/>
  <c r="X300" i="802"/>
  <c r="AJ300" i="802"/>
  <c r="AJ293" i="802"/>
  <c r="X293" i="802"/>
  <c r="X302" i="802" s="1"/>
  <c r="AJ297" i="802"/>
  <c r="X297" i="802"/>
  <c r="S293" i="802"/>
  <c r="AE293" i="802"/>
  <c r="S296" i="802"/>
  <c r="AE296" i="802"/>
  <c r="AE299" i="802"/>
  <c r="S299" i="802"/>
  <c r="O301" i="802"/>
  <c r="AA301" i="802"/>
  <c r="AA299" i="802"/>
  <c r="O299" i="802"/>
  <c r="AH296" i="802"/>
  <c r="V296" i="802"/>
  <c r="V298" i="802"/>
  <c r="AH298" i="802"/>
  <c r="R294" i="802"/>
  <c r="AD294" i="802"/>
  <c r="AD297" i="802"/>
  <c r="R297" i="802"/>
  <c r="AF293" i="802"/>
  <c r="T293" i="802"/>
  <c r="AF297" i="802"/>
  <c r="T297" i="802"/>
  <c r="AC293" i="802"/>
  <c r="Q293" i="802"/>
  <c r="AC297" i="802"/>
  <c r="Q297" i="802"/>
  <c r="H303" i="802" l="1"/>
  <c r="Y299" i="802"/>
  <c r="AE302" i="802"/>
  <c r="Y296" i="802"/>
  <c r="Y294" i="802"/>
  <c r="AJ302" i="802"/>
  <c r="K303" i="802" s="1"/>
  <c r="AK296" i="802"/>
  <c r="AD302" i="802"/>
  <c r="E303" i="802" s="1"/>
  <c r="AK294" i="802"/>
  <c r="AA302" i="802"/>
  <c r="O302" i="802"/>
  <c r="V302" i="802"/>
  <c r="Q302" i="802"/>
  <c r="T302" i="802"/>
  <c r="AK301" i="802"/>
  <c r="AI302" i="802"/>
  <c r="J303" i="802" s="1"/>
  <c r="Y300" i="802"/>
  <c r="P302" i="802"/>
  <c r="Y298" i="802"/>
  <c r="Y293" i="802"/>
  <c r="AK297" i="802"/>
  <c r="M297" i="802" s="1"/>
  <c r="R302" i="802"/>
  <c r="AH302" i="802"/>
  <c r="I303" i="802" s="1"/>
  <c r="AK299" i="802"/>
  <c r="M299" i="802" s="1"/>
  <c r="S302" i="802"/>
  <c r="AC302" i="802"/>
  <c r="AF302" i="802"/>
  <c r="Y301" i="802"/>
  <c r="W302" i="802"/>
  <c r="AK300" i="802"/>
  <c r="AB302" i="802"/>
  <c r="AK293" i="802"/>
  <c r="AK298" i="802"/>
  <c r="Y295" i="802"/>
  <c r="M295" i="802" s="1"/>
  <c r="Y297" i="802"/>
  <c r="B303" i="802" l="1"/>
  <c r="M298" i="802"/>
  <c r="F303" i="802"/>
  <c r="M294" i="802"/>
  <c r="AK302" i="802"/>
  <c r="M293" i="802"/>
  <c r="M300" i="802"/>
  <c r="C303" i="802"/>
  <c r="L303" i="802" s="1"/>
  <c r="G303" i="802"/>
  <c r="D303" i="802"/>
  <c r="M301" i="802"/>
  <c r="M296" i="802"/>
  <c r="H304" i="802" l="1"/>
  <c r="J304" i="802"/>
  <c r="F304" i="802"/>
  <c r="K304" i="802"/>
  <c r="K318" i="802" s="1"/>
  <c r="E304" i="802"/>
  <c r="E318" i="802" s="1"/>
  <c r="B304" i="802"/>
  <c r="B314" i="802" s="1"/>
  <c r="I304" i="802"/>
  <c r="I318" i="802" s="1"/>
  <c r="F318" i="802"/>
  <c r="J318" i="802"/>
  <c r="H318" i="802"/>
  <c r="H311" i="802"/>
  <c r="C311" i="802"/>
  <c r="K311" i="802"/>
  <c r="E311" i="802"/>
  <c r="J311" i="802"/>
  <c r="C304" i="802"/>
  <c r="I314" i="802"/>
  <c r="E314" i="802"/>
  <c r="J314" i="802"/>
  <c r="H314" i="802"/>
  <c r="F314" i="802"/>
  <c r="C314" i="802"/>
  <c r="H319" i="802"/>
  <c r="J319" i="802"/>
  <c r="E319" i="802"/>
  <c r="F319" i="802"/>
  <c r="C319" i="802"/>
  <c r="I319" i="802"/>
  <c r="D304" i="802"/>
  <c r="D314" i="802" s="1"/>
  <c r="G304" i="802"/>
  <c r="G319" i="802" s="1"/>
  <c r="B319" i="802" l="1"/>
  <c r="D319" i="802"/>
  <c r="B311" i="802"/>
  <c r="O311" i="802" s="1"/>
  <c r="B318" i="802"/>
  <c r="G311" i="802"/>
  <c r="T311" i="802" s="1"/>
  <c r="AJ318" i="802"/>
  <c r="X318" i="802"/>
  <c r="AC314" i="802"/>
  <c r="Q314" i="802"/>
  <c r="AE319" i="802"/>
  <c r="S319" i="802"/>
  <c r="O314" i="802"/>
  <c r="AA314" i="802"/>
  <c r="U311" i="802"/>
  <c r="AG311" i="802"/>
  <c r="V318" i="802"/>
  <c r="AH318" i="802"/>
  <c r="V319" i="802"/>
  <c r="AH319" i="802"/>
  <c r="AG319" i="802"/>
  <c r="U319" i="802"/>
  <c r="AG314" i="802"/>
  <c r="U314" i="802"/>
  <c r="AF311" i="802"/>
  <c r="O318" i="802"/>
  <c r="AA318" i="802"/>
  <c r="I312" i="802"/>
  <c r="I316" i="802"/>
  <c r="I313" i="802"/>
  <c r="I315" i="802"/>
  <c r="I317" i="802"/>
  <c r="G315" i="802"/>
  <c r="G312" i="802"/>
  <c r="G313" i="802"/>
  <c r="G317" i="802"/>
  <c r="G316" i="802"/>
  <c r="K319" i="802"/>
  <c r="R319" i="802"/>
  <c r="AD319" i="802"/>
  <c r="G314" i="802"/>
  <c r="C313" i="802"/>
  <c r="C317" i="802"/>
  <c r="C315" i="802"/>
  <c r="C312" i="802"/>
  <c r="C316" i="802"/>
  <c r="AI311" i="802"/>
  <c r="W311" i="802"/>
  <c r="I311" i="802"/>
  <c r="C318" i="802"/>
  <c r="W318" i="802"/>
  <c r="AI318" i="802"/>
  <c r="L304" i="802"/>
  <c r="B317" i="802"/>
  <c r="B315" i="802"/>
  <c r="B316" i="802"/>
  <c r="B313" i="802"/>
  <c r="B312" i="802"/>
  <c r="J313" i="802"/>
  <c r="J317" i="802"/>
  <c r="J312" i="802"/>
  <c r="J316" i="802"/>
  <c r="J315" i="802"/>
  <c r="AA319" i="802"/>
  <c r="O319" i="802"/>
  <c r="AC319" i="802"/>
  <c r="Q319" i="802"/>
  <c r="AB314" i="802"/>
  <c r="P314" i="802"/>
  <c r="R314" i="802"/>
  <c r="AD314" i="802"/>
  <c r="AJ311" i="802"/>
  <c r="X311" i="802"/>
  <c r="U318" i="802"/>
  <c r="AG318" i="802"/>
  <c r="K313" i="802"/>
  <c r="K317" i="802"/>
  <c r="K315" i="802"/>
  <c r="K312" i="802"/>
  <c r="K316" i="802"/>
  <c r="AF319" i="802"/>
  <c r="T319" i="802"/>
  <c r="S314" i="802"/>
  <c r="AE314" i="802"/>
  <c r="AH314" i="802"/>
  <c r="V314" i="802"/>
  <c r="P311" i="802"/>
  <c r="AB311" i="802"/>
  <c r="S318" i="802"/>
  <c r="AE318" i="802"/>
  <c r="F316" i="802"/>
  <c r="F317" i="802"/>
  <c r="F313" i="802"/>
  <c r="F315" i="802"/>
  <c r="F312" i="802"/>
  <c r="D315" i="802"/>
  <c r="D313" i="802"/>
  <c r="D317" i="802"/>
  <c r="D312" i="802"/>
  <c r="D316" i="802"/>
  <c r="P319" i="802"/>
  <c r="AB319" i="802"/>
  <c r="AI319" i="802"/>
  <c r="W319" i="802"/>
  <c r="K314" i="802"/>
  <c r="W314" i="802"/>
  <c r="AI314" i="802"/>
  <c r="F311" i="802"/>
  <c r="R311" i="802"/>
  <c r="AD311" i="802"/>
  <c r="D311" i="802"/>
  <c r="G318" i="802"/>
  <c r="D318" i="802"/>
  <c r="AD318" i="802"/>
  <c r="R318" i="802"/>
  <c r="E313" i="802"/>
  <c r="E315" i="802"/>
  <c r="E312" i="802"/>
  <c r="E317" i="802"/>
  <c r="E316" i="802"/>
  <c r="H317" i="802"/>
  <c r="H316" i="802"/>
  <c r="H315" i="802"/>
  <c r="H312" i="802"/>
  <c r="H313" i="802"/>
  <c r="AG317" i="802" l="1"/>
  <c r="U317" i="802"/>
  <c r="AC311" i="802"/>
  <c r="Q311" i="802"/>
  <c r="Q312" i="802"/>
  <c r="AC312" i="802"/>
  <c r="X317" i="802"/>
  <c r="AJ317" i="802"/>
  <c r="AA315" i="802"/>
  <c r="O315" i="802"/>
  <c r="AB315" i="802"/>
  <c r="P315" i="802"/>
  <c r="AF316" i="802"/>
  <c r="T316" i="802"/>
  <c r="V313" i="802"/>
  <c r="AH313" i="802"/>
  <c r="R315" i="802"/>
  <c r="AD315" i="802"/>
  <c r="AE312" i="802"/>
  <c r="S312" i="802"/>
  <c r="X313" i="802"/>
  <c r="AJ313" i="802"/>
  <c r="AI312" i="802"/>
  <c r="W312" i="802"/>
  <c r="AA317" i="802"/>
  <c r="O317" i="802"/>
  <c r="T317" i="802"/>
  <c r="AF317" i="802"/>
  <c r="AG315" i="802"/>
  <c r="U315" i="802"/>
  <c r="AD316" i="802"/>
  <c r="R316" i="802"/>
  <c r="AD313" i="802"/>
  <c r="R313" i="802"/>
  <c r="AC318" i="802"/>
  <c r="Q318" i="802"/>
  <c r="AJ314" i="802"/>
  <c r="X314" i="802"/>
  <c r="AC313" i="802"/>
  <c r="Q313" i="802"/>
  <c r="AE315" i="802"/>
  <c r="S315" i="802"/>
  <c r="AJ312" i="802"/>
  <c r="X312" i="802"/>
  <c r="AI317" i="802"/>
  <c r="W317" i="802"/>
  <c r="O313" i="802"/>
  <c r="AA313" i="802"/>
  <c r="AB318" i="802"/>
  <c r="P318" i="802"/>
  <c r="P316" i="802"/>
  <c r="AB316" i="802"/>
  <c r="P313" i="802"/>
  <c r="AB313" i="802"/>
  <c r="T313" i="802"/>
  <c r="AF313" i="802"/>
  <c r="AH317" i="802"/>
  <c r="V317" i="802"/>
  <c r="AH312" i="802"/>
  <c r="V312" i="802"/>
  <c r="AG313" i="802"/>
  <c r="U313" i="802"/>
  <c r="AD312" i="802"/>
  <c r="AD320" i="802" s="1"/>
  <c r="R312" i="802"/>
  <c r="R320" i="802" s="1"/>
  <c r="AE317" i="802"/>
  <c r="S317" i="802"/>
  <c r="W316" i="802"/>
  <c r="AI316" i="802"/>
  <c r="AF314" i="802"/>
  <c r="T314" i="802"/>
  <c r="Y314" i="802" s="1"/>
  <c r="T315" i="802"/>
  <c r="AF315" i="802"/>
  <c r="U312" i="802"/>
  <c r="AG312" i="802"/>
  <c r="AC317" i="802"/>
  <c r="Q317" i="802"/>
  <c r="AE316" i="802"/>
  <c r="S316" i="802"/>
  <c r="AJ316" i="802"/>
  <c r="X316" i="802"/>
  <c r="O312" i="802"/>
  <c r="AA312" i="802"/>
  <c r="P317" i="802"/>
  <c r="AB317" i="802"/>
  <c r="AH316" i="802"/>
  <c r="V316" i="802"/>
  <c r="U316" i="802"/>
  <c r="AG316" i="802"/>
  <c r="R317" i="802"/>
  <c r="AD317" i="802"/>
  <c r="AF318" i="802"/>
  <c r="T318" i="802"/>
  <c r="AE311" i="802"/>
  <c r="AE320" i="802" s="1"/>
  <c r="S311" i="802"/>
  <c r="Q316" i="802"/>
  <c r="AC316" i="802"/>
  <c r="AC315" i="802"/>
  <c r="Q315" i="802"/>
  <c r="AE313" i="802"/>
  <c r="S313" i="802"/>
  <c r="AJ315" i="802"/>
  <c r="X315" i="802"/>
  <c r="AI315" i="802"/>
  <c r="W315" i="802"/>
  <c r="AI313" i="802"/>
  <c r="W313" i="802"/>
  <c r="AA316" i="802"/>
  <c r="O316" i="802"/>
  <c r="V311" i="802"/>
  <c r="Y311" i="802" s="1"/>
  <c r="AH311" i="802"/>
  <c r="AB312" i="802"/>
  <c r="AB320" i="802" s="1"/>
  <c r="P312" i="802"/>
  <c r="P320" i="802" s="1"/>
  <c r="X319" i="802"/>
  <c r="Y319" i="802" s="1"/>
  <c r="AJ319" i="802"/>
  <c r="AK319" i="802" s="1"/>
  <c r="M319" i="802" s="1"/>
  <c r="T312" i="802"/>
  <c r="AF312" i="802"/>
  <c r="V315" i="802"/>
  <c r="AH315" i="802"/>
  <c r="AK314" i="802" l="1"/>
  <c r="X320" i="802"/>
  <c r="W320" i="802"/>
  <c r="AF320" i="802"/>
  <c r="AJ320" i="802"/>
  <c r="AG320" i="802"/>
  <c r="H321" i="802" s="1"/>
  <c r="Y318" i="802"/>
  <c r="AI320" i="802"/>
  <c r="J321" i="802" s="1"/>
  <c r="U320" i="802"/>
  <c r="AK318" i="802"/>
  <c r="C321" i="802"/>
  <c r="K321" i="802"/>
  <c r="E321" i="802"/>
  <c r="M318" i="802"/>
  <c r="M314" i="802"/>
  <c r="AK312" i="802"/>
  <c r="AA320" i="802"/>
  <c r="AK317" i="802"/>
  <c r="Y316" i="802"/>
  <c r="Y312" i="802"/>
  <c r="O320" i="802"/>
  <c r="AK311" i="802"/>
  <c r="AC320" i="802"/>
  <c r="D321" i="802" s="1"/>
  <c r="AK316" i="802"/>
  <c r="AK313" i="802"/>
  <c r="Y315" i="802"/>
  <c r="V320" i="802"/>
  <c r="Q320" i="802"/>
  <c r="T320" i="802"/>
  <c r="G321" i="802" s="1"/>
  <c r="AH320" i="802"/>
  <c r="I321" i="802" s="1"/>
  <c r="S320" i="802"/>
  <c r="F321" i="802" s="1"/>
  <c r="Y313" i="802"/>
  <c r="Y317" i="802"/>
  <c r="AK315" i="802"/>
  <c r="M315" i="802" s="1"/>
  <c r="M317" i="802" l="1"/>
  <c r="M313" i="802"/>
  <c r="B321" i="802"/>
  <c r="AK320" i="802"/>
  <c r="M311" i="802"/>
  <c r="M316" i="802"/>
  <c r="M312" i="802"/>
  <c r="L321" i="802" l="1"/>
  <c r="B322" i="802" s="1"/>
  <c r="H322" i="802" l="1"/>
  <c r="G322" i="802"/>
  <c r="K322" i="802"/>
  <c r="C322" i="802"/>
  <c r="L322" i="802" s="1"/>
  <c r="F322" i="802"/>
  <c r="D322" i="802"/>
  <c r="I322" i="802"/>
  <c r="E322" i="802"/>
  <c r="J322" i="802"/>
  <c r="O11" i="694" l="1"/>
  <c r="J9" i="694"/>
  <c r="J8" i="694"/>
  <c r="J7" i="694"/>
  <c r="O6" i="694" s="1"/>
  <c r="J6" i="694"/>
  <c r="J5" i="694"/>
  <c r="E4" i="694"/>
  <c r="J10" i="694" l="1"/>
  <c r="J11" i="694" s="1"/>
  <c r="J12" i="694" s="1"/>
  <c r="J13" i="694" s="1"/>
  <c r="N7" i="797"/>
  <c r="M7" i="797"/>
  <c r="L7" i="797"/>
  <c r="K7" i="797"/>
  <c r="J7" i="797"/>
  <c r="F7" i="797"/>
  <c r="E7" i="797"/>
  <c r="D7" i="797"/>
  <c r="C7" i="797"/>
  <c r="B7" i="797"/>
  <c r="O6" i="797"/>
  <c r="I6" i="797"/>
  <c r="G6" i="797"/>
  <c r="S5" i="797"/>
  <c r="R5" i="797"/>
  <c r="O5" i="797"/>
  <c r="I5" i="797"/>
  <c r="G5" i="797"/>
  <c r="Y4" i="797"/>
  <c r="O4" i="797"/>
  <c r="O7" i="797" s="1"/>
  <c r="Q5" i="797" s="1"/>
  <c r="I4" i="797"/>
  <c r="G4" i="797"/>
  <c r="G7" i="797" s="1"/>
  <c r="N3" i="797"/>
  <c r="M3" i="797"/>
  <c r="L3" i="797"/>
  <c r="K3" i="797"/>
  <c r="J3" i="797"/>
  <c r="I3" i="797"/>
  <c r="F7" i="796"/>
  <c r="E7" i="796"/>
  <c r="D7" i="796"/>
  <c r="C7" i="796"/>
  <c r="B7" i="796"/>
  <c r="G6" i="796"/>
  <c r="G5" i="796"/>
  <c r="G4" i="796"/>
  <c r="N3" i="796"/>
  <c r="N7" i="795"/>
  <c r="M7" i="795"/>
  <c r="L7" i="795"/>
  <c r="K7" i="795"/>
  <c r="J7" i="795"/>
  <c r="F7" i="795"/>
  <c r="E7" i="795"/>
  <c r="D7" i="795"/>
  <c r="C7" i="795"/>
  <c r="B7" i="795"/>
  <c r="O6" i="795"/>
  <c r="I6" i="795"/>
  <c r="G6" i="795"/>
  <c r="G7" i="795" s="1"/>
  <c r="S5" i="795"/>
  <c r="R5" i="795"/>
  <c r="O5" i="795"/>
  <c r="I5" i="795"/>
  <c r="G5" i="795"/>
  <c r="O4" i="795"/>
  <c r="I4" i="795"/>
  <c r="G4" i="795"/>
  <c r="N3" i="795"/>
  <c r="M3" i="795"/>
  <c r="L3" i="795"/>
  <c r="K3" i="795"/>
  <c r="J3" i="795"/>
  <c r="I3" i="795"/>
  <c r="J4" i="797" l="1" a="1"/>
  <c r="K5" i="797" s="1"/>
  <c r="T5" i="795"/>
  <c r="G7" i="796"/>
  <c r="O7" i="795"/>
  <c r="Q5" i="795" s="1"/>
  <c r="J4" i="795" a="1"/>
  <c r="N5" i="795" s="1"/>
  <c r="T5" i="797"/>
  <c r="J14" i="694"/>
  <c r="O4" i="694" s="1"/>
  <c r="O5" i="694" s="1"/>
  <c r="O7" i="694" s="1"/>
  <c r="O8" i="694" s="1"/>
  <c r="O12" i="694"/>
  <c r="O14" i="694" s="1"/>
  <c r="Y5" i="797"/>
  <c r="Y6" i="797" s="1"/>
  <c r="AB5" i="797"/>
  <c r="AB6" i="797" s="1"/>
  <c r="J6" i="795"/>
  <c r="M6" i="795"/>
  <c r="M5" i="795"/>
  <c r="K6" i="795"/>
  <c r="N4" i="797"/>
  <c r="J6" i="797"/>
  <c r="J5" i="797"/>
  <c r="L5" i="797"/>
  <c r="E6" i="794" a="1"/>
  <c r="E6" i="794" s="1"/>
  <c r="E8" i="794" s="1"/>
  <c r="E11" i="794"/>
  <c r="F7" i="794" s="1"/>
  <c r="F8" i="794" s="1"/>
  <c r="E10" i="794" a="1"/>
  <c r="E10" i="794" s="1"/>
  <c r="F6" i="794" s="1"/>
  <c r="G8" i="794" l="1"/>
  <c r="H8" i="794"/>
  <c r="G6" i="794"/>
  <c r="K6" i="797"/>
  <c r="N6" i="797"/>
  <c r="J4" i="795"/>
  <c r="L4" i="795"/>
  <c r="O13" i="694"/>
  <c r="O15" i="694" s="1"/>
  <c r="H6" i="794"/>
  <c r="K4" i="797"/>
  <c r="J4" i="797"/>
  <c r="N4" i="795"/>
  <c r="K5" i="795"/>
  <c r="E7" i="794"/>
  <c r="L6" i="795"/>
  <c r="M6" i="797"/>
  <c r="L6" i="797"/>
  <c r="K4" i="795"/>
  <c r="M5" i="797"/>
  <c r="L4" i="797"/>
  <c r="M4" i="795"/>
  <c r="J5" i="795"/>
  <c r="N5" i="797"/>
  <c r="N6" i="795"/>
  <c r="M4" i="797"/>
  <c r="L5" i="795"/>
  <c r="V9" i="795"/>
  <c r="S9" i="795"/>
  <c r="U9" i="795"/>
  <c r="S10" i="795"/>
  <c r="V10" i="795"/>
  <c r="U10" i="795"/>
  <c r="V10" i="797"/>
  <c r="S10" i="797"/>
  <c r="U10" i="797"/>
  <c r="S9" i="797"/>
  <c r="V9" i="797"/>
  <c r="U9" i="797"/>
  <c r="N5" i="796"/>
  <c r="N7" i="796" s="1"/>
  <c r="N4" i="796"/>
  <c r="N6" i="796" s="1"/>
  <c r="Z29" i="741"/>
  <c r="AA29" i="741"/>
  <c r="AB29" i="741"/>
  <c r="AC29" i="741"/>
  <c r="Y29" i="741"/>
  <c r="G7" i="794" l="1"/>
  <c r="H7" i="794"/>
  <c r="N8" i="796"/>
  <c r="N9" i="796" s="1"/>
  <c r="N10" i="796" s="1"/>
  <c r="N12" i="796" s="1"/>
  <c r="H11" i="783" l="1"/>
  <c r="G11" i="783"/>
  <c r="F5" i="783" a="1"/>
  <c r="F8" i="783" s="1"/>
  <c r="G6" i="782"/>
  <c r="H5" i="782" s="1"/>
  <c r="F6" i="782"/>
  <c r="H4" i="782" s="1"/>
  <c r="F14" i="782" s="1"/>
  <c r="F5" i="782"/>
  <c r="G4" i="782"/>
  <c r="F8" i="781"/>
  <c r="F9" i="781" s="1"/>
  <c r="F16" i="781" s="1"/>
  <c r="G6" i="781"/>
  <c r="H5" i="781" s="1"/>
  <c r="F10" i="781" s="1"/>
  <c r="F6" i="781"/>
  <c r="H4" i="781"/>
  <c r="F11" i="781" s="1"/>
  <c r="F5" i="781"/>
  <c r="G4" i="781" s="1"/>
  <c r="F5" i="783"/>
  <c r="O24" i="741"/>
  <c r="O23" i="741"/>
  <c r="AO9" i="753"/>
  <c r="O17" i="751"/>
  <c r="P17" i="751"/>
  <c r="Q17" i="751"/>
  <c r="R17" i="751"/>
  <c r="O18" i="751"/>
  <c r="P18" i="751"/>
  <c r="Q18" i="751"/>
  <c r="R18" i="751"/>
  <c r="O19" i="751"/>
  <c r="P19" i="751"/>
  <c r="Q19" i="751"/>
  <c r="R19" i="751"/>
  <c r="P16" i="751"/>
  <c r="Q16" i="751"/>
  <c r="R16" i="751"/>
  <c r="O16" i="751"/>
  <c r="U17" i="751"/>
  <c r="U15" i="751"/>
  <c r="L12" i="751"/>
  <c r="K12" i="751"/>
  <c r="J12" i="751"/>
  <c r="I12" i="751"/>
  <c r="L11" i="751"/>
  <c r="K11" i="751"/>
  <c r="J11" i="751"/>
  <c r="I11" i="751"/>
  <c r="T11" i="751" s="1"/>
  <c r="L10" i="751"/>
  <c r="K10" i="751"/>
  <c r="J10" i="751"/>
  <c r="I10" i="751"/>
  <c r="T10" i="751" s="1"/>
  <c r="L9" i="751"/>
  <c r="K9" i="751"/>
  <c r="J9" i="751"/>
  <c r="I9" i="751"/>
  <c r="T9" i="751" s="1"/>
  <c r="L8" i="751"/>
  <c r="K8" i="751"/>
  <c r="J8" i="751"/>
  <c r="I8" i="751"/>
  <c r="T8" i="751"/>
  <c r="L7" i="751"/>
  <c r="K7" i="751"/>
  <c r="T7" i="751" s="1"/>
  <c r="J7" i="751"/>
  <c r="I7" i="751"/>
  <c r="L6" i="751"/>
  <c r="K6" i="751"/>
  <c r="J6" i="751"/>
  <c r="I6" i="751"/>
  <c r="T6" i="751" s="1"/>
  <c r="L5" i="751"/>
  <c r="K5" i="751"/>
  <c r="J5" i="751"/>
  <c r="I5" i="751"/>
  <c r="T5" i="751" s="1"/>
  <c r="L4" i="751"/>
  <c r="K4" i="751"/>
  <c r="T4" i="751" s="1"/>
  <c r="J4" i="751"/>
  <c r="I4" i="751"/>
  <c r="T12" i="751"/>
  <c r="U12" i="751" s="1"/>
  <c r="L19" i="750"/>
  <c r="K19" i="750"/>
  <c r="J19" i="750"/>
  <c r="I19" i="750"/>
  <c r="L18" i="750"/>
  <c r="K18" i="750"/>
  <c r="J18" i="750"/>
  <c r="I18" i="750"/>
  <c r="L17" i="750"/>
  <c r="K17" i="750"/>
  <c r="J17" i="750"/>
  <c r="I17" i="750"/>
  <c r="L16" i="750"/>
  <c r="K16" i="750"/>
  <c r="J16" i="750"/>
  <c r="I16" i="750"/>
  <c r="U18" i="745"/>
  <c r="U17" i="745"/>
  <c r="U15" i="745"/>
  <c r="L12" i="745"/>
  <c r="T12" i="745" s="1"/>
  <c r="K12" i="745"/>
  <c r="J12" i="745"/>
  <c r="I12" i="745"/>
  <c r="L11" i="745"/>
  <c r="K11" i="745"/>
  <c r="J11" i="745"/>
  <c r="I11" i="745"/>
  <c r="T11" i="745"/>
  <c r="L10" i="745"/>
  <c r="K10" i="745"/>
  <c r="J10" i="745"/>
  <c r="T10" i="745" s="1"/>
  <c r="I10" i="745"/>
  <c r="L9" i="745"/>
  <c r="K9" i="745"/>
  <c r="J9" i="745"/>
  <c r="I9" i="745"/>
  <c r="T9" i="745" s="1"/>
  <c r="L8" i="745"/>
  <c r="K8" i="745"/>
  <c r="J8" i="745"/>
  <c r="I8" i="745"/>
  <c r="T8" i="745" s="1"/>
  <c r="L7" i="745"/>
  <c r="K7" i="745"/>
  <c r="J7" i="745"/>
  <c r="I7" i="745"/>
  <c r="L6" i="745"/>
  <c r="K6" i="745"/>
  <c r="J6" i="745"/>
  <c r="I6" i="745"/>
  <c r="T6" i="745" s="1"/>
  <c r="L5" i="745"/>
  <c r="K5" i="745"/>
  <c r="J5" i="745"/>
  <c r="I5" i="745"/>
  <c r="T5" i="745" s="1"/>
  <c r="L4" i="745"/>
  <c r="K4" i="745"/>
  <c r="J4" i="745"/>
  <c r="I4" i="745"/>
  <c r="T4" i="745" s="1"/>
  <c r="I17" i="749"/>
  <c r="R10" i="749"/>
  <c r="I10" i="749"/>
  <c r="R4" i="749"/>
  <c r="I4" i="749"/>
  <c r="N15" i="748" a="1"/>
  <c r="N18" i="748"/>
  <c r="U14" i="748"/>
  <c r="U13" i="748"/>
  <c r="L11" i="748"/>
  <c r="K11" i="748"/>
  <c r="J11" i="748"/>
  <c r="I11" i="748"/>
  <c r="L10" i="748"/>
  <c r="K10" i="748"/>
  <c r="J10" i="748"/>
  <c r="I10" i="748"/>
  <c r="L9" i="748"/>
  <c r="K9" i="748"/>
  <c r="J9" i="748"/>
  <c r="I9" i="748"/>
  <c r="L8" i="748"/>
  <c r="K8" i="748"/>
  <c r="J8" i="748"/>
  <c r="I8" i="748"/>
  <c r="L7" i="748"/>
  <c r="K7" i="748"/>
  <c r="J7" i="748"/>
  <c r="I7" i="748"/>
  <c r="L6" i="748"/>
  <c r="K6" i="748"/>
  <c r="J6" i="748"/>
  <c r="I6" i="748"/>
  <c r="L5" i="748"/>
  <c r="K5" i="748"/>
  <c r="J5" i="748"/>
  <c r="I5" i="748"/>
  <c r="L4" i="748"/>
  <c r="K4" i="748"/>
  <c r="J4" i="748"/>
  <c r="I4" i="748"/>
  <c r="R18" i="746"/>
  <c r="Q18" i="746"/>
  <c r="P18" i="746"/>
  <c r="O18" i="746"/>
  <c r="R17" i="746"/>
  <c r="Q17" i="746"/>
  <c r="P17" i="746"/>
  <c r="O17" i="746"/>
  <c r="R16" i="746"/>
  <c r="Q16" i="746"/>
  <c r="P16" i="746"/>
  <c r="O16" i="746"/>
  <c r="R15" i="746"/>
  <c r="Q15" i="746"/>
  <c r="P15" i="746"/>
  <c r="O15" i="746"/>
  <c r="U14" i="746"/>
  <c r="U13" i="746"/>
  <c r="L11" i="746"/>
  <c r="K11" i="746"/>
  <c r="J11" i="746"/>
  <c r="I11" i="746"/>
  <c r="L10" i="746"/>
  <c r="K10" i="746"/>
  <c r="J10" i="746"/>
  <c r="I10" i="746"/>
  <c r="L9" i="746"/>
  <c r="T9" i="746" s="1"/>
  <c r="K9" i="746"/>
  <c r="J9" i="746"/>
  <c r="I9" i="746"/>
  <c r="L8" i="746"/>
  <c r="K8" i="746"/>
  <c r="J8" i="746"/>
  <c r="I8" i="746"/>
  <c r="T8" i="746"/>
  <c r="L7" i="746"/>
  <c r="K7" i="746"/>
  <c r="J7" i="746"/>
  <c r="I7" i="746"/>
  <c r="L6" i="746"/>
  <c r="K6" i="746"/>
  <c r="J6" i="746"/>
  <c r="I6" i="746"/>
  <c r="L5" i="746"/>
  <c r="K5" i="746"/>
  <c r="J5" i="746"/>
  <c r="I5" i="746"/>
  <c r="L4" i="746"/>
  <c r="K4" i="746"/>
  <c r="J4" i="746"/>
  <c r="I4" i="746"/>
  <c r="T4" i="746" s="1"/>
  <c r="U15" i="746" s="1"/>
  <c r="U14" i="747"/>
  <c r="P18" i="747"/>
  <c r="U13" i="747"/>
  <c r="L11" i="747"/>
  <c r="K11" i="747"/>
  <c r="J11" i="747"/>
  <c r="I11" i="747"/>
  <c r="L10" i="747"/>
  <c r="K10" i="747"/>
  <c r="J10" i="747"/>
  <c r="I10" i="747"/>
  <c r="L9" i="747"/>
  <c r="K9" i="747"/>
  <c r="J9" i="747"/>
  <c r="I9" i="747"/>
  <c r="T9" i="747" s="1"/>
  <c r="L8" i="747"/>
  <c r="K8" i="747"/>
  <c r="J8" i="747"/>
  <c r="T8" i="747" s="1"/>
  <c r="I8" i="747"/>
  <c r="L7" i="747"/>
  <c r="K7" i="747"/>
  <c r="J7" i="747"/>
  <c r="I7" i="747"/>
  <c r="L6" i="747"/>
  <c r="K6" i="747"/>
  <c r="J6" i="747"/>
  <c r="I6" i="747"/>
  <c r="L5" i="747"/>
  <c r="K5" i="747"/>
  <c r="J5" i="747"/>
  <c r="I5" i="747"/>
  <c r="L4" i="747"/>
  <c r="K4" i="747"/>
  <c r="J4" i="747"/>
  <c r="I4" i="747"/>
  <c r="T4" i="747" s="1"/>
  <c r="R18" i="743"/>
  <c r="P18" i="743"/>
  <c r="O18" i="743"/>
  <c r="Q17" i="743"/>
  <c r="O17" i="743"/>
  <c r="R16" i="743"/>
  <c r="Q16" i="743"/>
  <c r="P16" i="743"/>
  <c r="Q15" i="743"/>
  <c r="P15" i="743"/>
  <c r="O15" i="743"/>
  <c r="U14" i="743"/>
  <c r="Q18" i="743"/>
  <c r="U13" i="743"/>
  <c r="L11" i="743"/>
  <c r="K11" i="743"/>
  <c r="J11" i="743"/>
  <c r="I11" i="743"/>
  <c r="L10" i="743"/>
  <c r="K10" i="743"/>
  <c r="J10" i="743"/>
  <c r="I10" i="743"/>
  <c r="T10" i="743" s="1"/>
  <c r="L9" i="743"/>
  <c r="K9" i="743"/>
  <c r="J9" i="743"/>
  <c r="I9" i="743"/>
  <c r="L8" i="743"/>
  <c r="K8" i="743"/>
  <c r="J8" i="743"/>
  <c r="I8" i="743"/>
  <c r="T8" i="743" s="1"/>
  <c r="L7" i="743"/>
  <c r="K7" i="743"/>
  <c r="J7" i="743"/>
  <c r="I7" i="743"/>
  <c r="T7" i="743" s="1"/>
  <c r="L6" i="743"/>
  <c r="K6" i="743"/>
  <c r="J6" i="743"/>
  <c r="I6" i="743"/>
  <c r="T6" i="743" s="1"/>
  <c r="L5" i="743"/>
  <c r="K5" i="743"/>
  <c r="J5" i="743"/>
  <c r="I5" i="743"/>
  <c r="T5" i="743" s="1"/>
  <c r="L4" i="743"/>
  <c r="K4" i="743"/>
  <c r="J4" i="743"/>
  <c r="I4" i="743"/>
  <c r="U14" i="742"/>
  <c r="U13" i="742"/>
  <c r="L11" i="742"/>
  <c r="K11" i="742"/>
  <c r="J11" i="742"/>
  <c r="I11" i="742"/>
  <c r="L10" i="742"/>
  <c r="K10" i="742"/>
  <c r="T10" i="742" s="1"/>
  <c r="J10" i="742"/>
  <c r="I10" i="742"/>
  <c r="L9" i="742"/>
  <c r="T9" i="742" s="1"/>
  <c r="K9" i="742"/>
  <c r="J9" i="742"/>
  <c r="I9" i="742"/>
  <c r="L8" i="742"/>
  <c r="K8" i="742"/>
  <c r="T8" i="742" s="1"/>
  <c r="J8" i="742"/>
  <c r="I8" i="742"/>
  <c r="L7" i="742"/>
  <c r="K7" i="742"/>
  <c r="J7" i="742"/>
  <c r="I7" i="742"/>
  <c r="L6" i="742"/>
  <c r="K6" i="742"/>
  <c r="J6" i="742"/>
  <c r="T6" i="742" s="1"/>
  <c r="I6" i="742"/>
  <c r="L5" i="742"/>
  <c r="O4" i="742" s="1" a="1"/>
  <c r="K5" i="742"/>
  <c r="T5" i="742" s="1"/>
  <c r="J5" i="742"/>
  <c r="I5" i="742"/>
  <c r="L4" i="742"/>
  <c r="K4" i="742"/>
  <c r="J4" i="742"/>
  <c r="I4" i="742"/>
  <c r="AD4" i="741"/>
  <c r="A5" i="741"/>
  <c r="A6" i="741" s="1"/>
  <c r="A7" i="741" s="1"/>
  <c r="A8" i="741" s="1"/>
  <c r="A9" i="741" s="1"/>
  <c r="A10" i="741" s="1"/>
  <c r="A11" i="741" s="1"/>
  <c r="A12" i="741" s="1"/>
  <c r="A13" i="741" s="1"/>
  <c r="A14" i="741" s="1"/>
  <c r="A15" i="741" s="1"/>
  <c r="A16" i="741" s="1"/>
  <c r="A17" i="741" s="1"/>
  <c r="A18" i="741" s="1"/>
  <c r="A19" i="741" s="1"/>
  <c r="A20" i="741" s="1"/>
  <c r="A21" i="741" s="1"/>
  <c r="S5" i="741"/>
  <c r="X5" i="741"/>
  <c r="AD5" i="741"/>
  <c r="S6" i="741"/>
  <c r="S7" i="741" s="1"/>
  <c r="S8" i="741" s="1"/>
  <c r="S9" i="741" s="1"/>
  <c r="S10" i="741" s="1"/>
  <c r="S11" i="741" s="1"/>
  <c r="S12" i="741" s="1"/>
  <c r="S13" i="741" s="1"/>
  <c r="S14" i="741" s="1"/>
  <c r="S15" i="741" s="1"/>
  <c r="S16" i="741" s="1"/>
  <c r="S17" i="741" s="1"/>
  <c r="S18" i="741" s="1"/>
  <c r="S19" i="741" s="1"/>
  <c r="S20" i="741" s="1"/>
  <c r="S21" i="741" s="1"/>
  <c r="X6" i="741"/>
  <c r="X7" i="741" s="1"/>
  <c r="X8" i="741" s="1"/>
  <c r="X9" i="741" s="1"/>
  <c r="X10" i="741" s="1"/>
  <c r="X11" i="741" s="1"/>
  <c r="X12" i="741" s="1"/>
  <c r="X13" i="741" s="1"/>
  <c r="X14" i="741" s="1"/>
  <c r="X15" i="741" s="1"/>
  <c r="X16" i="741" s="1"/>
  <c r="X17" i="741" s="1"/>
  <c r="X18" i="741" s="1"/>
  <c r="X19" i="741" s="1"/>
  <c r="X20" i="741" s="1"/>
  <c r="X21" i="741" s="1"/>
  <c r="AD6" i="741"/>
  <c r="AD7" i="741"/>
  <c r="AG7" i="741"/>
  <c r="AH7" i="741"/>
  <c r="AI7" i="741"/>
  <c r="AJ7" i="741"/>
  <c r="AK7" i="741"/>
  <c r="AD8" i="741"/>
  <c r="T4" i="748"/>
  <c r="U15" i="748" s="1"/>
  <c r="U16" i="748" s="1"/>
  <c r="T7" i="748"/>
  <c r="T8" i="748"/>
  <c r="T10" i="748"/>
  <c r="T11" i="748"/>
  <c r="T4" i="743"/>
  <c r="R17" i="743"/>
  <c r="U12" i="745"/>
  <c r="W12" i="745"/>
  <c r="Q18" i="748"/>
  <c r="P18" i="748"/>
  <c r="O18" i="748"/>
  <c r="R18" i="748"/>
  <c r="T6" i="748"/>
  <c r="T5" i="748"/>
  <c r="T9" i="748"/>
  <c r="N15" i="748"/>
  <c r="N16" i="748"/>
  <c r="N17" i="748"/>
  <c r="Q17" i="748" s="1"/>
  <c r="T6" i="746"/>
  <c r="T10" i="746"/>
  <c r="T7" i="746"/>
  <c r="O4" i="746" a="1"/>
  <c r="T5" i="746"/>
  <c r="T11" i="746"/>
  <c r="T7" i="747"/>
  <c r="Q18" i="747"/>
  <c r="T6" i="747"/>
  <c r="T10" i="747"/>
  <c r="O15" i="747"/>
  <c r="P16" i="747"/>
  <c r="Q17" i="747"/>
  <c r="R18" i="747"/>
  <c r="T11" i="747"/>
  <c r="R15" i="747"/>
  <c r="T5" i="747"/>
  <c r="U15" i="747"/>
  <c r="U16" i="747" s="1"/>
  <c r="P15" i="747"/>
  <c r="Q16" i="747"/>
  <c r="R17" i="747"/>
  <c r="O18" i="747"/>
  <c r="O16" i="747"/>
  <c r="P17" i="747"/>
  <c r="Q15" i="747"/>
  <c r="O4" i="747" s="1" a="1"/>
  <c r="R16" i="747"/>
  <c r="O17" i="747"/>
  <c r="T9" i="743"/>
  <c r="R15" i="743"/>
  <c r="O4" i="743" s="1" a="1"/>
  <c r="O16" i="743"/>
  <c r="P17" i="743"/>
  <c r="T4" i="742"/>
  <c r="G9" i="741"/>
  <c r="H9" i="741"/>
  <c r="K9" i="741"/>
  <c r="L9" i="741"/>
  <c r="O9" i="741"/>
  <c r="P9" i="741"/>
  <c r="AD9" i="741"/>
  <c r="AD10" i="741"/>
  <c r="G11" i="741"/>
  <c r="K11" i="741"/>
  <c r="O11" i="741"/>
  <c r="AD11" i="741"/>
  <c r="G12" i="741"/>
  <c r="K12" i="741"/>
  <c r="O12" i="741"/>
  <c r="AD12" i="741"/>
  <c r="AD13" i="741"/>
  <c r="AD14" i="741"/>
  <c r="AK10" i="741" s="1"/>
  <c r="AD15" i="741"/>
  <c r="AD17" i="741"/>
  <c r="AD18" i="741"/>
  <c r="AD19" i="741"/>
  <c r="AD20" i="741"/>
  <c r="G21" i="741"/>
  <c r="H21" i="741"/>
  <c r="K21" i="741"/>
  <c r="L21" i="741"/>
  <c r="O21" i="741"/>
  <c r="P21" i="741"/>
  <c r="AD21" i="741"/>
  <c r="AD22" i="741"/>
  <c r="B23" i="741"/>
  <c r="G23" i="741"/>
  <c r="K23" i="741"/>
  <c r="O16" i="748"/>
  <c r="R16" i="748"/>
  <c r="Q16" i="748"/>
  <c r="P16" i="748"/>
  <c r="P17" i="748"/>
  <c r="R15" i="748"/>
  <c r="Q15" i="748"/>
  <c r="P15" i="748"/>
  <c r="O15" i="748"/>
  <c r="O6" i="746"/>
  <c r="R5" i="746"/>
  <c r="P11" i="746"/>
  <c r="B24" i="741"/>
  <c r="G24" i="741"/>
  <c r="K24" i="741"/>
  <c r="B25" i="741"/>
  <c r="T25" i="741"/>
  <c r="AB26" i="741"/>
  <c r="AC26" i="741"/>
  <c r="Y28" i="741"/>
  <c r="Z28" i="741"/>
  <c r="AA28" i="741"/>
  <c r="AB28" i="741"/>
  <c r="AC28" i="741"/>
  <c r="Z30" i="741"/>
  <c r="AA30" i="741"/>
  <c r="Q2" i="740"/>
  <c r="AK3" i="740"/>
  <c r="AN3" i="740"/>
  <c r="AV3" i="740"/>
  <c r="E4" i="740"/>
  <c r="F4" i="740"/>
  <c r="E5" i="740"/>
  <c r="F5" i="740"/>
  <c r="E6" i="740"/>
  <c r="F6" i="740"/>
  <c r="E7" i="740"/>
  <c r="F7" i="740"/>
  <c r="AC15" i="740" s="1"/>
  <c r="E8" i="740"/>
  <c r="F8" i="740"/>
  <c r="E9" i="740"/>
  <c r="F9" i="740"/>
  <c r="E10" i="740"/>
  <c r="F10" i="740"/>
  <c r="E11" i="740"/>
  <c r="F11" i="740"/>
  <c r="AP11" i="740"/>
  <c r="E12" i="740"/>
  <c r="F12" i="740"/>
  <c r="E13" i="740"/>
  <c r="F13" i="740"/>
  <c r="AB13" i="740"/>
  <c r="AP12" i="740"/>
  <c r="AP13" i="740"/>
  <c r="E14" i="740"/>
  <c r="F14" i="740"/>
  <c r="E15" i="740"/>
  <c r="F15" i="740"/>
  <c r="AK18" i="740" s="1"/>
  <c r="E16" i="740"/>
  <c r="F16" i="740"/>
  <c r="E17" i="740"/>
  <c r="F17" i="740"/>
  <c r="E18" i="740"/>
  <c r="F18" i="740"/>
  <c r="AP14" i="740"/>
  <c r="AP15" i="740" s="1"/>
  <c r="E19" i="740"/>
  <c r="F19" i="740"/>
  <c r="AA19" i="740" a="1"/>
  <c r="AA19" i="740"/>
  <c r="E20" i="740"/>
  <c r="F20" i="740"/>
  <c r="E21" i="740"/>
  <c r="F21" i="740"/>
  <c r="E22" i="740"/>
  <c r="F22" i="740"/>
  <c r="E23" i="740"/>
  <c r="F23" i="740"/>
  <c r="L5" i="739"/>
  <c r="M5" i="739"/>
  <c r="C16" i="739" s="1"/>
  <c r="N5" i="739"/>
  <c r="O5" i="739"/>
  <c r="P5" i="739"/>
  <c r="Q5" i="739"/>
  <c r="R5" i="739"/>
  <c r="S5" i="739"/>
  <c r="L6" i="739"/>
  <c r="M6" i="739"/>
  <c r="N6" i="739"/>
  <c r="O6" i="739"/>
  <c r="P6" i="739"/>
  <c r="Q6" i="739"/>
  <c r="R6" i="739"/>
  <c r="S6" i="739"/>
  <c r="AK16" i="740"/>
  <c r="AK17" i="740"/>
  <c r="AK4" i="740"/>
  <c r="V6" i="740"/>
  <c r="W2" i="740" s="1"/>
  <c r="W3" i="740" s="1"/>
  <c r="AQ6" i="740"/>
  <c r="AQ5" i="740"/>
  <c r="AR5" i="740" s="1"/>
  <c r="AN10" i="740"/>
  <c r="AN4" i="740"/>
  <c r="AN5" i="740" s="1"/>
  <c r="AN8" i="740"/>
  <c r="L7" i="739"/>
  <c r="M7" i="739"/>
  <c r="N7" i="739"/>
  <c r="O7" i="739"/>
  <c r="P7" i="739"/>
  <c r="Q7" i="739"/>
  <c r="R7" i="739"/>
  <c r="S7" i="739"/>
  <c r="L8" i="739"/>
  <c r="M8" i="739"/>
  <c r="N8" i="739"/>
  <c r="O8" i="739"/>
  <c r="P8" i="739"/>
  <c r="Q8" i="739"/>
  <c r="R8" i="739"/>
  <c r="S8" i="739"/>
  <c r="L9" i="739"/>
  <c r="M9" i="739"/>
  <c r="N9" i="739"/>
  <c r="O9" i="739"/>
  <c r="P9" i="739"/>
  <c r="Q9" i="739"/>
  <c r="R9" i="739"/>
  <c r="S9" i="739"/>
  <c r="L10" i="739"/>
  <c r="M10" i="739"/>
  <c r="N10" i="739"/>
  <c r="O10" i="739"/>
  <c r="P10" i="739"/>
  <c r="Q10" i="739"/>
  <c r="R10" i="739"/>
  <c r="S10" i="739"/>
  <c r="L11" i="739"/>
  <c r="M11" i="739"/>
  <c r="N11" i="739"/>
  <c r="O11" i="739"/>
  <c r="P11" i="739"/>
  <c r="Q11" i="739"/>
  <c r="R11" i="739"/>
  <c r="S11" i="739"/>
  <c r="B12" i="739"/>
  <c r="C12" i="739"/>
  <c r="D12" i="739"/>
  <c r="E12" i="739"/>
  <c r="F12" i="739"/>
  <c r="G12" i="739"/>
  <c r="H12" i="739"/>
  <c r="I12" i="739"/>
  <c r="C14" i="739"/>
  <c r="C15" i="739"/>
  <c r="C20" i="739"/>
  <c r="J5" i="738"/>
  <c r="J6" i="738"/>
  <c r="J7" i="738"/>
  <c r="J8" i="738"/>
  <c r="J9" i="738"/>
  <c r="J10" i="738"/>
  <c r="J11" i="738"/>
  <c r="B12" i="738"/>
  <c r="C12" i="738"/>
  <c r="D12" i="738"/>
  <c r="E12" i="738"/>
  <c r="F12" i="738"/>
  <c r="G12" i="738"/>
  <c r="H12" i="738"/>
  <c r="I12" i="738"/>
  <c r="C14" i="738"/>
  <c r="C16" i="738" s="1"/>
  <c r="C17" i="738" s="1"/>
  <c r="C15" i="738"/>
  <c r="C22" i="738"/>
  <c r="N30" i="738"/>
  <c r="W3" i="737"/>
  <c r="X3" i="737" s="1"/>
  <c r="Y3" i="737" s="1"/>
  <c r="Z3" i="737" s="1"/>
  <c r="AA3" i="737" s="1"/>
  <c r="AB3" i="737" s="1"/>
  <c r="AC3" i="737" s="1"/>
  <c r="AD3" i="737" s="1"/>
  <c r="AE3" i="737" s="1"/>
  <c r="AF3" i="737" s="1"/>
  <c r="H4" i="737"/>
  <c r="S4" i="737"/>
  <c r="AJ4" i="737"/>
  <c r="A5" i="737"/>
  <c r="A6" i="737" s="1"/>
  <c r="L5" i="737"/>
  <c r="U5" i="737"/>
  <c r="S6" i="737"/>
  <c r="U6" i="737"/>
  <c r="U7" i="737"/>
  <c r="U8" i="737" s="1"/>
  <c r="U9" i="737" s="1"/>
  <c r="U10" i="737" s="1"/>
  <c r="U11" i="737" s="1"/>
  <c r="AG8" i="737"/>
  <c r="AJ8" i="737"/>
  <c r="AG4" i="737"/>
  <c r="AG5" i="737"/>
  <c r="AG6" i="737"/>
  <c r="AG7" i="737"/>
  <c r="AG9" i="737"/>
  <c r="AG10" i="737"/>
  <c r="AG11" i="737"/>
  <c r="V12" i="737"/>
  <c r="W12" i="737"/>
  <c r="X12" i="737"/>
  <c r="Y12" i="737"/>
  <c r="Z12" i="737"/>
  <c r="AA12" i="737"/>
  <c r="AB12" i="737"/>
  <c r="AC12" i="737"/>
  <c r="AD12" i="737"/>
  <c r="AE12" i="737"/>
  <c r="AF12" i="737"/>
  <c r="W16" i="737"/>
  <c r="X16" i="737" s="1"/>
  <c r="Y16" i="737" s="1"/>
  <c r="Z16" i="737" s="1"/>
  <c r="AA16" i="737" s="1"/>
  <c r="AB16" i="737" s="1"/>
  <c r="AC16" i="737" s="1"/>
  <c r="AD16" i="737" s="1"/>
  <c r="AE16" i="737" s="1"/>
  <c r="AF16" i="737" s="1"/>
  <c r="AJ17" i="737"/>
  <c r="U18" i="737"/>
  <c r="U19" i="737" s="1"/>
  <c r="U20" i="737" s="1"/>
  <c r="U21" i="737" s="1"/>
  <c r="U22" i="737" s="1"/>
  <c r="U23" i="737" s="1"/>
  <c r="U24" i="737" s="1"/>
  <c r="V25" i="737"/>
  <c r="W25" i="737"/>
  <c r="X25" i="737"/>
  <c r="Y25" i="737"/>
  <c r="Z25" i="737"/>
  <c r="AA25" i="737"/>
  <c r="AB25" i="737"/>
  <c r="AC25" i="737"/>
  <c r="AD25" i="737"/>
  <c r="AE25" i="737"/>
  <c r="AF25" i="737"/>
  <c r="D29" i="737"/>
  <c r="E29" i="737"/>
  <c r="F29" i="737"/>
  <c r="G29" i="737"/>
  <c r="M54" i="737"/>
  <c r="N54" i="737"/>
  <c r="O54" i="737"/>
  <c r="E7" i="736"/>
  <c r="E10" i="736" s="1"/>
  <c r="P7" i="736"/>
  <c r="P16" i="736" s="1"/>
  <c r="E8" i="736"/>
  <c r="P8" i="736"/>
  <c r="P17" i="736" s="1"/>
  <c r="P10" i="736"/>
  <c r="E9" i="736"/>
  <c r="E18" i="736"/>
  <c r="P9" i="736"/>
  <c r="B10" i="736"/>
  <c r="B19" i="736" s="1"/>
  <c r="C10" i="736"/>
  <c r="D10" i="736"/>
  <c r="M10" i="736"/>
  <c r="N10" i="736"/>
  <c r="O10" i="736"/>
  <c r="H13" i="736" a="1"/>
  <c r="J15" i="736" s="1"/>
  <c r="J13" i="736"/>
  <c r="S13" i="736" a="1"/>
  <c r="U15" i="736" s="1"/>
  <c r="H14" i="736"/>
  <c r="T14" i="736"/>
  <c r="E16" i="736"/>
  <c r="P18" i="736"/>
  <c r="C19" i="736"/>
  <c r="D19" i="736"/>
  <c r="M19" i="736"/>
  <c r="N19" i="736"/>
  <c r="O19" i="736"/>
  <c r="H35" i="736"/>
  <c r="S35" i="736"/>
  <c r="E17" i="736"/>
  <c r="T15" i="736"/>
  <c r="J14" i="736"/>
  <c r="T13" i="736"/>
  <c r="S15" i="736"/>
  <c r="I14" i="736"/>
  <c r="S13" i="736"/>
  <c r="I15" i="736"/>
  <c r="S14" i="736"/>
  <c r="E7" i="735"/>
  <c r="P7" i="735"/>
  <c r="E8" i="735"/>
  <c r="P8" i="735"/>
  <c r="P10" i="735" s="1"/>
  <c r="P19" i="735" s="1"/>
  <c r="M16" i="735" s="1"/>
  <c r="E9" i="735"/>
  <c r="P9" i="735"/>
  <c r="P18" i="735" s="1"/>
  <c r="B10" i="735"/>
  <c r="C10" i="735"/>
  <c r="D10" i="735"/>
  <c r="D19" i="735" s="1"/>
  <c r="E10" i="735"/>
  <c r="E19" i="735" s="1"/>
  <c r="M10" i="735"/>
  <c r="N10" i="735"/>
  <c r="N19" i="735" s="1"/>
  <c r="O10" i="735"/>
  <c r="O19" i="735" s="1"/>
  <c r="E16" i="735"/>
  <c r="P16" i="735"/>
  <c r="E17" i="735"/>
  <c r="E18" i="735"/>
  <c r="B19" i="735"/>
  <c r="B16" i="735" s="1"/>
  <c r="C19" i="735"/>
  <c r="M19" i="735"/>
  <c r="E5" i="734"/>
  <c r="E6" i="734"/>
  <c r="E8" i="734" s="1"/>
  <c r="E7" i="734"/>
  <c r="B8" i="734"/>
  <c r="C8" i="734"/>
  <c r="D8" i="734"/>
  <c r="B10" i="734"/>
  <c r="E10" i="734"/>
  <c r="C10" i="734"/>
  <c r="D10" i="734"/>
  <c r="M14" i="734"/>
  <c r="E18" i="734"/>
  <c r="E21" i="734"/>
  <c r="E19" i="734"/>
  <c r="E20" i="734"/>
  <c r="B21" i="734"/>
  <c r="C21" i="734"/>
  <c r="D21" i="734"/>
  <c r="B10" i="732"/>
  <c r="B11" i="732" s="1"/>
  <c r="C14" i="732" s="1"/>
  <c r="C15" i="732" s="1"/>
  <c r="C16" i="732" s="1"/>
  <c r="C17" i="732" s="1"/>
  <c r="M10" i="732"/>
  <c r="M13" i="732" s="1"/>
  <c r="M14" i="732" s="1"/>
  <c r="M15" i="732" s="1"/>
  <c r="M16" i="732" s="1"/>
  <c r="M11" i="732"/>
  <c r="A5" i="731"/>
  <c r="N5" i="731"/>
  <c r="A6" i="731"/>
  <c r="A7" i="731" s="1"/>
  <c r="S9" i="731"/>
  <c r="T9" i="731"/>
  <c r="U9" i="731" s="1"/>
  <c r="S10" i="731"/>
  <c r="T10" i="731"/>
  <c r="U10" i="731" s="1"/>
  <c r="S11" i="731"/>
  <c r="T11" i="731"/>
  <c r="U11" i="731" s="1"/>
  <c r="S12" i="731"/>
  <c r="T12" i="731"/>
  <c r="U12" i="731" s="1"/>
  <c r="S13" i="731"/>
  <c r="T13" i="731"/>
  <c r="U13" i="731" s="1"/>
  <c r="S14" i="731"/>
  <c r="T14" i="731"/>
  <c r="U14" i="731" s="1"/>
  <c r="S15" i="731"/>
  <c r="T15" i="731"/>
  <c r="U15" i="731" s="1"/>
  <c r="S16" i="731"/>
  <c r="U16" i="731"/>
  <c r="T16" i="731"/>
  <c r="S17" i="731"/>
  <c r="T17" i="731"/>
  <c r="U17" i="731" s="1"/>
  <c r="S18" i="731"/>
  <c r="T18" i="731"/>
  <c r="U18" i="731" s="1"/>
  <c r="S19" i="731"/>
  <c r="T19" i="731"/>
  <c r="U19" i="731" s="1"/>
  <c r="S20" i="731"/>
  <c r="U20" i="731" s="1"/>
  <c r="T20" i="731"/>
  <c r="A5" i="730"/>
  <c r="A6" i="730" s="1"/>
  <c r="A7" i="730" s="1"/>
  <c r="A8" i="730" s="1"/>
  <c r="A9" i="730" s="1"/>
  <c r="A10" i="730" s="1"/>
  <c r="A11" i="730" s="1"/>
  <c r="A12" i="730" s="1"/>
  <c r="A13" i="730" s="1"/>
  <c r="A14" i="730" s="1"/>
  <c r="A15" i="730" s="1"/>
  <c r="A16" i="730" s="1"/>
  <c r="A17" i="730" s="1"/>
  <c r="A18" i="730" s="1"/>
  <c r="M7" i="730"/>
  <c r="N7" i="730"/>
  <c r="O7" i="730"/>
  <c r="P7" i="730"/>
  <c r="Q7" i="730"/>
  <c r="R7" i="730"/>
  <c r="S7" i="730"/>
  <c r="T7" i="730"/>
  <c r="U7" i="730"/>
  <c r="V7" i="730"/>
  <c r="L4" i="729"/>
  <c r="A5" i="729"/>
  <c r="L5" i="729"/>
  <c r="A6" i="729"/>
  <c r="A7" i="729" s="1"/>
  <c r="A8" i="729" s="1"/>
  <c r="A9" i="729" s="1"/>
  <c r="A10" i="729" s="1"/>
  <c r="A11" i="729" s="1"/>
  <c r="A12" i="729" s="1"/>
  <c r="A13" i="729" s="1"/>
  <c r="A14" i="729" s="1"/>
  <c r="A15" i="729" s="1"/>
  <c r="A16" i="729" s="1"/>
  <c r="A17" i="729" s="1"/>
  <c r="A18" i="729" s="1"/>
  <c r="L6" i="729"/>
  <c r="L7" i="729"/>
  <c r="L8" i="729"/>
  <c r="L9" i="729"/>
  <c r="L10" i="729"/>
  <c r="L11" i="729"/>
  <c r="L12" i="729"/>
  <c r="B24" i="729" s="1"/>
  <c r="L13" i="729"/>
  <c r="L14" i="729"/>
  <c r="L15" i="729"/>
  <c r="L16" i="729"/>
  <c r="L17" i="729"/>
  <c r="L18" i="729"/>
  <c r="B19" i="729"/>
  <c r="C19" i="729"/>
  <c r="D19" i="729"/>
  <c r="E19" i="729"/>
  <c r="F19" i="729"/>
  <c r="G19" i="729"/>
  <c r="H19" i="729"/>
  <c r="I19" i="729"/>
  <c r="J19" i="729"/>
  <c r="K19" i="729"/>
  <c r="B20" i="729"/>
  <c r="L20" i="729" s="1"/>
  <c r="B23" i="729" s="1"/>
  <c r="C20" i="729"/>
  <c r="D20" i="729"/>
  <c r="E20" i="729"/>
  <c r="F20" i="729"/>
  <c r="G20" i="729"/>
  <c r="H20" i="729"/>
  <c r="I20" i="729"/>
  <c r="J20" i="729"/>
  <c r="K20" i="729"/>
  <c r="B22" i="729"/>
  <c r="O42" i="729"/>
  <c r="M4" i="728"/>
  <c r="H27" i="728" s="1"/>
  <c r="A5" i="728"/>
  <c r="O52" i="728" s="1"/>
  <c r="A6" i="728"/>
  <c r="A7" i="728" s="1"/>
  <c r="M5" i="728"/>
  <c r="I28" i="728" s="1"/>
  <c r="B28" i="728"/>
  <c r="M6" i="728"/>
  <c r="H29" i="728" s="1"/>
  <c r="M7" i="728"/>
  <c r="B30" i="728"/>
  <c r="M8" i="728"/>
  <c r="I31" i="728" s="1"/>
  <c r="M9" i="728"/>
  <c r="E32" i="728" s="1"/>
  <c r="B32" i="728"/>
  <c r="M10" i="728"/>
  <c r="C33" i="728" s="1"/>
  <c r="M11" i="728"/>
  <c r="B34" i="728"/>
  <c r="M12" i="728"/>
  <c r="M13" i="728"/>
  <c r="L36" i="728" s="1"/>
  <c r="M14" i="728"/>
  <c r="M15" i="728"/>
  <c r="B38" i="728" s="1"/>
  <c r="B16" i="728"/>
  <c r="C16" i="728"/>
  <c r="D16" i="728"/>
  <c r="E16" i="728"/>
  <c r="F16" i="728"/>
  <c r="G16" i="728"/>
  <c r="H16" i="728"/>
  <c r="I16" i="728"/>
  <c r="J16" i="728"/>
  <c r="K16" i="728"/>
  <c r="L16" i="728"/>
  <c r="M16" i="728"/>
  <c r="B17" i="728"/>
  <c r="C17" i="728"/>
  <c r="D17" i="728"/>
  <c r="E17" i="728"/>
  <c r="F17" i="728"/>
  <c r="G17" i="728"/>
  <c r="H17" i="728"/>
  <c r="I17" i="728"/>
  <c r="J17" i="728"/>
  <c r="K17" i="728"/>
  <c r="L17" i="728"/>
  <c r="B19" i="728"/>
  <c r="B27" i="728"/>
  <c r="C27" i="728"/>
  <c r="E27" i="728"/>
  <c r="F27" i="728"/>
  <c r="G27" i="728"/>
  <c r="J27" i="728"/>
  <c r="L27" i="728"/>
  <c r="A28" i="728"/>
  <c r="E28" i="728"/>
  <c r="A29" i="728"/>
  <c r="A30" i="728" s="1"/>
  <c r="A31" i="728" s="1"/>
  <c r="A32" i="728" s="1"/>
  <c r="A33" i="728" s="1"/>
  <c r="A34" i="728" s="1"/>
  <c r="A35" i="728" s="1"/>
  <c r="A36" i="728" s="1"/>
  <c r="A37" i="728" s="1"/>
  <c r="A38" i="728" s="1"/>
  <c r="C29" i="728"/>
  <c r="D29" i="728"/>
  <c r="F29" i="728"/>
  <c r="G29" i="728"/>
  <c r="I29" i="728"/>
  <c r="J29" i="728"/>
  <c r="L29" i="728"/>
  <c r="E30" i="728"/>
  <c r="I30" i="728"/>
  <c r="B31" i="728"/>
  <c r="C31" i="728"/>
  <c r="D31" i="728"/>
  <c r="F31" i="728"/>
  <c r="G31" i="728"/>
  <c r="J31" i="728"/>
  <c r="K31" i="728"/>
  <c r="L31" i="728"/>
  <c r="I32" i="728"/>
  <c r="D33" i="728"/>
  <c r="E33" i="728"/>
  <c r="F33" i="728"/>
  <c r="G33" i="728"/>
  <c r="H33" i="728"/>
  <c r="I33" i="728"/>
  <c r="K33" i="728"/>
  <c r="E34" i="728"/>
  <c r="I34" i="728"/>
  <c r="B35" i="728"/>
  <c r="D35" i="728"/>
  <c r="E35" i="728"/>
  <c r="F35" i="728"/>
  <c r="G35" i="728"/>
  <c r="H35" i="728"/>
  <c r="I35" i="728"/>
  <c r="J35" i="728"/>
  <c r="L35" i="728"/>
  <c r="B37" i="728"/>
  <c r="C37" i="728"/>
  <c r="E37" i="728"/>
  <c r="G37" i="728"/>
  <c r="H37" i="728"/>
  <c r="J37" i="728"/>
  <c r="K37" i="728"/>
  <c r="E38" i="728"/>
  <c r="B40" i="728"/>
  <c r="C40" i="728"/>
  <c r="D40" i="728"/>
  <c r="E40" i="728"/>
  <c r="F40" i="728"/>
  <c r="G40" i="728"/>
  <c r="H40" i="728"/>
  <c r="I40" i="728"/>
  <c r="J40" i="728"/>
  <c r="K40" i="728"/>
  <c r="L40" i="728"/>
  <c r="P40" i="728"/>
  <c r="L38" i="728"/>
  <c r="H38" i="728"/>
  <c r="D38" i="728"/>
  <c r="H36" i="728"/>
  <c r="D36" i="728"/>
  <c r="L34" i="728"/>
  <c r="H34" i="728"/>
  <c r="D34" i="728"/>
  <c r="L32" i="728"/>
  <c r="H32" i="728"/>
  <c r="L30" i="728"/>
  <c r="H30" i="728"/>
  <c r="D30" i="728"/>
  <c r="L28" i="728"/>
  <c r="H28" i="728"/>
  <c r="D28" i="728"/>
  <c r="K38" i="728"/>
  <c r="G38" i="728"/>
  <c r="K36" i="728"/>
  <c r="G36" i="728"/>
  <c r="C36" i="728"/>
  <c r="K34" i="728"/>
  <c r="G34" i="728"/>
  <c r="C34" i="728"/>
  <c r="K32" i="728"/>
  <c r="C32" i="728"/>
  <c r="K30" i="728"/>
  <c r="G30" i="728"/>
  <c r="C30" i="728"/>
  <c r="K28" i="728"/>
  <c r="G28" i="728"/>
  <c r="C28" i="728"/>
  <c r="J38" i="728"/>
  <c r="F38" i="728"/>
  <c r="J36" i="728"/>
  <c r="F36" i="728"/>
  <c r="J34" i="728"/>
  <c r="F34" i="728"/>
  <c r="J32" i="728"/>
  <c r="J30" i="728"/>
  <c r="F30" i="728"/>
  <c r="J28" i="728"/>
  <c r="F28" i="728"/>
  <c r="P50" i="728"/>
  <c r="Q50" i="728"/>
  <c r="R50" i="728"/>
  <c r="S50" i="728"/>
  <c r="T50" i="728"/>
  <c r="U50" i="728"/>
  <c r="V50" i="728"/>
  <c r="W50" i="728"/>
  <c r="X50" i="728"/>
  <c r="Y50" i="728"/>
  <c r="Z50" i="728"/>
  <c r="O51" i="728"/>
  <c r="P51" i="728"/>
  <c r="Q51" i="728"/>
  <c r="R51" i="728"/>
  <c r="S51" i="728"/>
  <c r="T51" i="728"/>
  <c r="U51" i="728"/>
  <c r="V51" i="728"/>
  <c r="W51" i="728"/>
  <c r="X51" i="728"/>
  <c r="Y51" i="728"/>
  <c r="Z51" i="728"/>
  <c r="AA51" i="728"/>
  <c r="P52" i="728"/>
  <c r="Q52" i="728"/>
  <c r="R52" i="728"/>
  <c r="S52" i="728"/>
  <c r="T52" i="728"/>
  <c r="U52" i="728"/>
  <c r="V52" i="728"/>
  <c r="W52" i="728"/>
  <c r="X52" i="728"/>
  <c r="Y52" i="728"/>
  <c r="Z52" i="728"/>
  <c r="AA52" i="728"/>
  <c r="O53" i="728"/>
  <c r="P53" i="728"/>
  <c r="Q53" i="728"/>
  <c r="R53" i="728"/>
  <c r="S53" i="728"/>
  <c r="T53" i="728"/>
  <c r="U53" i="728"/>
  <c r="V53" i="728"/>
  <c r="W53" i="728"/>
  <c r="X53" i="728"/>
  <c r="Y53" i="728"/>
  <c r="Z53" i="728"/>
  <c r="AA53" i="728"/>
  <c r="P54" i="728"/>
  <c r="Q54" i="728"/>
  <c r="R54" i="728"/>
  <c r="S54" i="728"/>
  <c r="T54" i="728"/>
  <c r="U54" i="728"/>
  <c r="V54" i="728"/>
  <c r="W54" i="728"/>
  <c r="X54" i="728"/>
  <c r="Y54" i="728"/>
  <c r="Z54" i="728"/>
  <c r="AA54" i="728"/>
  <c r="P55" i="728"/>
  <c r="Q55" i="728"/>
  <c r="R55" i="728"/>
  <c r="S55" i="728"/>
  <c r="T55" i="728"/>
  <c r="U55" i="728"/>
  <c r="V55" i="728"/>
  <c r="W55" i="728"/>
  <c r="X55" i="728"/>
  <c r="Y55" i="728"/>
  <c r="Z55" i="728"/>
  <c r="AA55" i="728"/>
  <c r="P56" i="728"/>
  <c r="Q56" i="728"/>
  <c r="R56" i="728"/>
  <c r="S56" i="728"/>
  <c r="T56" i="728"/>
  <c r="U56" i="728"/>
  <c r="V56" i="728"/>
  <c r="W56" i="728"/>
  <c r="X56" i="728"/>
  <c r="Y56" i="728"/>
  <c r="Z56" i="728"/>
  <c r="AA56" i="728"/>
  <c r="P57" i="728"/>
  <c r="Q57" i="728"/>
  <c r="R57" i="728"/>
  <c r="S57" i="728"/>
  <c r="T57" i="728"/>
  <c r="U57" i="728"/>
  <c r="V57" i="728"/>
  <c r="W57" i="728"/>
  <c r="X57" i="728"/>
  <c r="Y57" i="728"/>
  <c r="Z57" i="728"/>
  <c r="AA57" i="728"/>
  <c r="P58" i="728"/>
  <c r="Q58" i="728"/>
  <c r="R58" i="728"/>
  <c r="S58" i="728"/>
  <c r="T58" i="728"/>
  <c r="U58" i="728"/>
  <c r="V58" i="728"/>
  <c r="W58" i="728"/>
  <c r="X58" i="728"/>
  <c r="Y58" i="728"/>
  <c r="Z58" i="728"/>
  <c r="AA58" i="728"/>
  <c r="P59" i="728"/>
  <c r="Q59" i="728"/>
  <c r="R59" i="728"/>
  <c r="S59" i="728"/>
  <c r="T59" i="728"/>
  <c r="U59" i="728"/>
  <c r="V59" i="728"/>
  <c r="W59" i="728"/>
  <c r="X59" i="728"/>
  <c r="Y59" i="728"/>
  <c r="Z59" i="728"/>
  <c r="AA59" i="728"/>
  <c r="P60" i="728"/>
  <c r="Q60" i="728"/>
  <c r="R60" i="728"/>
  <c r="S60" i="728"/>
  <c r="T60" i="728"/>
  <c r="U60" i="728"/>
  <c r="V60" i="728"/>
  <c r="W60" i="728"/>
  <c r="X60" i="728"/>
  <c r="Y60" i="728"/>
  <c r="Z60" i="728"/>
  <c r="AA60" i="728"/>
  <c r="P61" i="728"/>
  <c r="Q61" i="728"/>
  <c r="R61" i="728"/>
  <c r="S61" i="728"/>
  <c r="T61" i="728"/>
  <c r="U61" i="728"/>
  <c r="V61" i="728"/>
  <c r="W61" i="728"/>
  <c r="X61" i="728"/>
  <c r="Y61" i="728"/>
  <c r="Z61" i="728"/>
  <c r="AA61" i="728"/>
  <c r="P62" i="728"/>
  <c r="Q62" i="728"/>
  <c r="R62" i="728"/>
  <c r="S62" i="728"/>
  <c r="T62" i="728"/>
  <c r="U62" i="728"/>
  <c r="V62" i="728"/>
  <c r="W62" i="728"/>
  <c r="X62" i="728"/>
  <c r="Y62" i="728"/>
  <c r="Z62" i="728"/>
  <c r="AA62" i="728"/>
  <c r="P63" i="728"/>
  <c r="Q63" i="728"/>
  <c r="R63" i="728"/>
  <c r="S63" i="728"/>
  <c r="T63" i="728"/>
  <c r="U63" i="728"/>
  <c r="V63" i="728"/>
  <c r="W63" i="728"/>
  <c r="X63" i="728"/>
  <c r="Y63" i="728"/>
  <c r="Z63" i="728"/>
  <c r="AA63" i="728"/>
  <c r="AE55" i="728" s="1"/>
  <c r="P66" i="728"/>
  <c r="Q66" i="728"/>
  <c r="R66" i="728"/>
  <c r="S66" i="728"/>
  <c r="T66" i="728"/>
  <c r="U66" i="728"/>
  <c r="V66" i="728"/>
  <c r="W66" i="728"/>
  <c r="X66" i="728"/>
  <c r="Y66" i="728"/>
  <c r="Z66" i="728"/>
  <c r="O67" i="728"/>
  <c r="P67" i="728"/>
  <c r="Q67" i="728"/>
  <c r="R67" i="728"/>
  <c r="S67" i="728"/>
  <c r="T67" i="728"/>
  <c r="U67" i="728"/>
  <c r="V67" i="728"/>
  <c r="W67" i="728"/>
  <c r="X67" i="728"/>
  <c r="Y67" i="728"/>
  <c r="Z67" i="728"/>
  <c r="AA67" i="728"/>
  <c r="AD51" i="728" s="1"/>
  <c r="O68" i="728"/>
  <c r="P68" i="728"/>
  <c r="Q68" i="728"/>
  <c r="R68" i="728"/>
  <c r="S68" i="728"/>
  <c r="T68" i="728"/>
  <c r="U68" i="728"/>
  <c r="V68" i="728"/>
  <c r="W68" i="728"/>
  <c r="X68" i="728"/>
  <c r="Y68" i="728"/>
  <c r="Z68" i="728"/>
  <c r="AA68" i="728"/>
  <c r="AE51" i="728" s="1"/>
  <c r="O69" i="728"/>
  <c r="P69" i="728"/>
  <c r="Q69" i="728"/>
  <c r="R69" i="728"/>
  <c r="S69" i="728"/>
  <c r="T69" i="728"/>
  <c r="U69" i="728"/>
  <c r="V69" i="728"/>
  <c r="W69" i="728"/>
  <c r="X69" i="728"/>
  <c r="Y69" i="728"/>
  <c r="Z69" i="728"/>
  <c r="AA69" i="728"/>
  <c r="P70" i="728"/>
  <c r="Q70" i="728"/>
  <c r="R70" i="728"/>
  <c r="S70" i="728"/>
  <c r="T70" i="728"/>
  <c r="U70" i="728"/>
  <c r="V70" i="728"/>
  <c r="W70" i="728"/>
  <c r="X70" i="728"/>
  <c r="Y70" i="728"/>
  <c r="Z70" i="728"/>
  <c r="AA70" i="728"/>
  <c r="P71" i="728"/>
  <c r="Q71" i="728"/>
  <c r="R71" i="728"/>
  <c r="S71" i="728"/>
  <c r="T71" i="728"/>
  <c r="U71" i="728"/>
  <c r="V71" i="728"/>
  <c r="W71" i="728"/>
  <c r="X71" i="728"/>
  <c r="Y71" i="728"/>
  <c r="Z71" i="728"/>
  <c r="AA71" i="728"/>
  <c r="P72" i="728"/>
  <c r="Q72" i="728"/>
  <c r="R72" i="728"/>
  <c r="S72" i="728"/>
  <c r="T72" i="728"/>
  <c r="U72" i="728"/>
  <c r="V72" i="728"/>
  <c r="W72" i="728"/>
  <c r="X72" i="728"/>
  <c r="Y72" i="728"/>
  <c r="Z72" i="728"/>
  <c r="AA72" i="728"/>
  <c r="P73" i="728"/>
  <c r="Q73" i="728"/>
  <c r="R73" i="728"/>
  <c r="S73" i="728"/>
  <c r="T73" i="728"/>
  <c r="U73" i="728"/>
  <c r="V73" i="728"/>
  <c r="W73" i="728"/>
  <c r="X73" i="728"/>
  <c r="Y73" i="728"/>
  <c r="Z73" i="728"/>
  <c r="AA73" i="728"/>
  <c r="P74" i="728"/>
  <c r="Q74" i="728"/>
  <c r="R74" i="728"/>
  <c r="S74" i="728"/>
  <c r="T74" i="728"/>
  <c r="U74" i="728"/>
  <c r="V74" i="728"/>
  <c r="W74" i="728"/>
  <c r="X74" i="728"/>
  <c r="Y74" i="728"/>
  <c r="Z74" i="728"/>
  <c r="AA74" i="728"/>
  <c r="P75" i="728"/>
  <c r="Q75" i="728"/>
  <c r="R75" i="728"/>
  <c r="S75" i="728"/>
  <c r="T75" i="728"/>
  <c r="U75" i="728"/>
  <c r="V75" i="728"/>
  <c r="W75" i="728"/>
  <c r="X75" i="728"/>
  <c r="Y75" i="728"/>
  <c r="Z75" i="728"/>
  <c r="AA75" i="728"/>
  <c r="P76" i="728"/>
  <c r="Q76" i="728"/>
  <c r="R76" i="728"/>
  <c r="S76" i="728"/>
  <c r="T76" i="728"/>
  <c r="U76" i="728"/>
  <c r="V76" i="728"/>
  <c r="W76" i="728"/>
  <c r="X76" i="728"/>
  <c r="Y76" i="728"/>
  <c r="Z76" i="728"/>
  <c r="AA76" i="728"/>
  <c r="P77" i="728"/>
  <c r="Q77" i="728"/>
  <c r="R77" i="728"/>
  <c r="S77" i="728"/>
  <c r="T77" i="728"/>
  <c r="U77" i="728"/>
  <c r="V77" i="728"/>
  <c r="W77" i="728"/>
  <c r="X77" i="728"/>
  <c r="Y77" i="728"/>
  <c r="Z77" i="728"/>
  <c r="AA77" i="728"/>
  <c r="P78" i="728"/>
  <c r="Q78" i="728"/>
  <c r="R78" i="728"/>
  <c r="S78" i="728"/>
  <c r="T78" i="728"/>
  <c r="U78" i="728"/>
  <c r="V78" i="728"/>
  <c r="W78" i="728"/>
  <c r="X78" i="728"/>
  <c r="Y78" i="728"/>
  <c r="Z78" i="728"/>
  <c r="AA78" i="728"/>
  <c r="P79" i="728"/>
  <c r="AE52" i="728" s="1"/>
  <c r="AE53" i="728" s="1"/>
  <c r="Q79" i="728"/>
  <c r="R79" i="728"/>
  <c r="S79" i="728"/>
  <c r="T79" i="728"/>
  <c r="U79" i="728"/>
  <c r="V79" i="728"/>
  <c r="W79" i="728"/>
  <c r="X79" i="728"/>
  <c r="Y79" i="728"/>
  <c r="Z79" i="728"/>
  <c r="AA79" i="728"/>
  <c r="P82" i="728"/>
  <c r="Q82" i="728"/>
  <c r="R82" i="728"/>
  <c r="S82" i="728"/>
  <c r="T82" i="728"/>
  <c r="U82" i="728"/>
  <c r="V82" i="728"/>
  <c r="W82" i="728"/>
  <c r="X82" i="728"/>
  <c r="Y82" i="728"/>
  <c r="Z82" i="728"/>
  <c r="O83" i="728"/>
  <c r="P83" i="728"/>
  <c r="Q83" i="728"/>
  <c r="R83" i="728"/>
  <c r="S83" i="728"/>
  <c r="T83" i="728"/>
  <c r="U83" i="728"/>
  <c r="V83" i="728"/>
  <c r="W83" i="728"/>
  <c r="X83" i="728"/>
  <c r="Y83" i="728"/>
  <c r="Z83" i="728"/>
  <c r="AA83" i="728"/>
  <c r="O84" i="728"/>
  <c r="P84" i="728"/>
  <c r="Q84" i="728"/>
  <c r="R84" i="728"/>
  <c r="S84" i="728"/>
  <c r="T84" i="728"/>
  <c r="U84" i="728"/>
  <c r="V84" i="728"/>
  <c r="W84" i="728"/>
  <c r="X84" i="728"/>
  <c r="Y84" i="728"/>
  <c r="Z84" i="728"/>
  <c r="AA84" i="728"/>
  <c r="O85" i="728"/>
  <c r="P85" i="728"/>
  <c r="Q85" i="728"/>
  <c r="R85" i="728"/>
  <c r="S85" i="728"/>
  <c r="T85" i="728"/>
  <c r="U85" i="728"/>
  <c r="V85" i="728"/>
  <c r="W85" i="728"/>
  <c r="X85" i="728"/>
  <c r="Y85" i="728"/>
  <c r="Z85" i="728"/>
  <c r="AA85" i="728"/>
  <c r="P86" i="728"/>
  <c r="Q86" i="728"/>
  <c r="R86" i="728"/>
  <c r="S86" i="728"/>
  <c r="T86" i="728"/>
  <c r="U86" i="728"/>
  <c r="V86" i="728"/>
  <c r="W86" i="728"/>
  <c r="X86" i="728"/>
  <c r="Y86" i="728"/>
  <c r="Z86" i="728"/>
  <c r="AA86" i="728"/>
  <c r="P87" i="728"/>
  <c r="Q87" i="728"/>
  <c r="R87" i="728"/>
  <c r="S87" i="728"/>
  <c r="T87" i="728"/>
  <c r="U87" i="728"/>
  <c r="V87" i="728"/>
  <c r="W87" i="728"/>
  <c r="X87" i="728"/>
  <c r="Y87" i="728"/>
  <c r="Z87" i="728"/>
  <c r="AA87" i="728"/>
  <c r="P88" i="728"/>
  <c r="Q88" i="728"/>
  <c r="R88" i="728"/>
  <c r="S88" i="728"/>
  <c r="T88" i="728"/>
  <c r="U88" i="728"/>
  <c r="V88" i="728"/>
  <c r="W88" i="728"/>
  <c r="X88" i="728"/>
  <c r="Y88" i="728"/>
  <c r="Z88" i="728"/>
  <c r="AA88" i="728"/>
  <c r="P89" i="728"/>
  <c r="Q89" i="728"/>
  <c r="R89" i="728"/>
  <c r="S89" i="728"/>
  <c r="T89" i="728"/>
  <c r="U89" i="728"/>
  <c r="V89" i="728"/>
  <c r="W89" i="728"/>
  <c r="X89" i="728"/>
  <c r="Y89" i="728"/>
  <c r="Z89" i="728"/>
  <c r="AA89" i="728"/>
  <c r="P90" i="728"/>
  <c r="Q90" i="728"/>
  <c r="R90" i="728"/>
  <c r="S90" i="728"/>
  <c r="T90" i="728"/>
  <c r="U90" i="728"/>
  <c r="V90" i="728"/>
  <c r="W90" i="728"/>
  <c r="X90" i="728"/>
  <c r="Y90" i="728"/>
  <c r="Z90" i="728"/>
  <c r="AA90" i="728"/>
  <c r="P91" i="728"/>
  <c r="Q91" i="728"/>
  <c r="R91" i="728"/>
  <c r="S91" i="728"/>
  <c r="T91" i="728"/>
  <c r="U91" i="728"/>
  <c r="V91" i="728"/>
  <c r="W91" i="728"/>
  <c r="X91" i="728"/>
  <c r="Y91" i="728"/>
  <c r="Z91" i="728"/>
  <c r="AA91" i="728"/>
  <c r="P92" i="728"/>
  <c r="Q92" i="728"/>
  <c r="R92" i="728"/>
  <c r="S92" i="728"/>
  <c r="T92" i="728"/>
  <c r="U92" i="728"/>
  <c r="V92" i="728"/>
  <c r="W92" i="728"/>
  <c r="X92" i="728"/>
  <c r="Y92" i="728"/>
  <c r="Z92" i="728"/>
  <c r="AA92" i="728"/>
  <c r="P93" i="728"/>
  <c r="Q93" i="728"/>
  <c r="R93" i="728"/>
  <c r="S93" i="728"/>
  <c r="T93" i="728"/>
  <c r="U93" i="728"/>
  <c r="V93" i="728"/>
  <c r="W93" i="728"/>
  <c r="X93" i="728"/>
  <c r="Y93" i="728"/>
  <c r="Z93" i="728"/>
  <c r="AA93" i="728"/>
  <c r="P94" i="728"/>
  <c r="Q94" i="728"/>
  <c r="R94" i="728"/>
  <c r="S94" i="728"/>
  <c r="T94" i="728"/>
  <c r="U94" i="728"/>
  <c r="V94" i="728"/>
  <c r="W94" i="728"/>
  <c r="X94" i="728"/>
  <c r="Y94" i="728"/>
  <c r="Z94" i="728"/>
  <c r="AA94" i="728"/>
  <c r="P95" i="728"/>
  <c r="Q95" i="728"/>
  <c r="R95" i="728"/>
  <c r="S95" i="728"/>
  <c r="T95" i="728"/>
  <c r="U95" i="728"/>
  <c r="V95" i="728"/>
  <c r="W95" i="728"/>
  <c r="X95" i="728"/>
  <c r="Y95" i="728"/>
  <c r="Z95" i="728"/>
  <c r="AA95" i="728"/>
  <c r="AF55" i="728"/>
  <c r="AD55" i="728" s="1"/>
  <c r="M4" i="727"/>
  <c r="B24" i="727" s="1"/>
  <c r="S7" i="727" s="1"/>
  <c r="A5" i="727"/>
  <c r="A6" i="727"/>
  <c r="A7" i="727" s="1"/>
  <c r="A8" i="727" s="1"/>
  <c r="A9" i="727" s="1"/>
  <c r="A10" i="727" s="1"/>
  <c r="A11" i="727" s="1"/>
  <c r="A12" i="727" s="1"/>
  <c r="A13" i="727" s="1"/>
  <c r="A14" i="727" s="1"/>
  <c r="A15" i="727" s="1"/>
  <c r="M5" i="727"/>
  <c r="S5" i="727"/>
  <c r="M6" i="727"/>
  <c r="M7" i="727"/>
  <c r="M8" i="727"/>
  <c r="M9" i="727"/>
  <c r="M10" i="727"/>
  <c r="M11" i="727"/>
  <c r="M12" i="727"/>
  <c r="M13" i="727"/>
  <c r="M14" i="727"/>
  <c r="M15" i="727"/>
  <c r="B16" i="727"/>
  <c r="B18" i="727" s="1"/>
  <c r="C16" i="727"/>
  <c r="C18" i="727" s="1"/>
  <c r="D16" i="727"/>
  <c r="E16" i="727"/>
  <c r="E18" i="727" s="1"/>
  <c r="F16" i="727"/>
  <c r="G16" i="727"/>
  <c r="H16" i="727"/>
  <c r="H18" i="727" s="1"/>
  <c r="I16" i="727"/>
  <c r="I18" i="727" s="1"/>
  <c r="J16" i="727"/>
  <c r="J18" i="727" s="1"/>
  <c r="K16" i="727"/>
  <c r="K18" i="727" s="1"/>
  <c r="L16" i="727"/>
  <c r="D18" i="727"/>
  <c r="F18" i="727"/>
  <c r="F20" i="727" s="1"/>
  <c r="G18" i="727"/>
  <c r="G19" i="727" s="1"/>
  <c r="L18" i="727"/>
  <c r="D19" i="727"/>
  <c r="D20" i="727" s="1"/>
  <c r="L19" i="727"/>
  <c r="L20" i="727" s="1"/>
  <c r="B22" i="727"/>
  <c r="L4" i="726"/>
  <c r="A5" i="726"/>
  <c r="A6" i="726" s="1"/>
  <c r="A7" i="726" s="1"/>
  <c r="A8" i="726" s="1"/>
  <c r="A9" i="726" s="1"/>
  <c r="A10" i="726" s="1"/>
  <c r="A11" i="726" s="1"/>
  <c r="A12" i="726" s="1"/>
  <c r="A13" i="726" s="1"/>
  <c r="A14" i="726" s="1"/>
  <c r="A15" i="726" s="1"/>
  <c r="A16" i="726" s="1"/>
  <c r="A17" i="726" s="1"/>
  <c r="A18" i="726" s="1"/>
  <c r="L5" i="726"/>
  <c r="L6" i="726"/>
  <c r="F19" i="727"/>
  <c r="L7" i="726"/>
  <c r="L8" i="726"/>
  <c r="L9" i="726"/>
  <c r="L10" i="726"/>
  <c r="L11" i="726"/>
  <c r="L12" i="726"/>
  <c r="L13" i="726"/>
  <c r="L14" i="726"/>
  <c r="L15" i="726"/>
  <c r="L16" i="726"/>
  <c r="L17" i="726"/>
  <c r="L18" i="726"/>
  <c r="L4" i="725"/>
  <c r="L20" i="725" s="1"/>
  <c r="A5" i="725"/>
  <c r="A6" i="725" s="1"/>
  <c r="A7" i="725" s="1"/>
  <c r="A8" i="725" s="1"/>
  <c r="A9" i="725" s="1"/>
  <c r="A10" i="725" s="1"/>
  <c r="A11" i="725" s="1"/>
  <c r="A12" i="725" s="1"/>
  <c r="A13" i="725" s="1"/>
  <c r="A14" i="725" s="1"/>
  <c r="A15" i="725" s="1"/>
  <c r="A16" i="725" s="1"/>
  <c r="A17" i="725" s="1"/>
  <c r="A18" i="725" s="1"/>
  <c r="L5" i="725"/>
  <c r="L6" i="725"/>
  <c r="L7" i="725"/>
  <c r="L8" i="725"/>
  <c r="L9" i="725"/>
  <c r="L10" i="725"/>
  <c r="L11" i="725"/>
  <c r="L12" i="725"/>
  <c r="L13" i="725"/>
  <c r="L14" i="725"/>
  <c r="L15" i="725"/>
  <c r="L16" i="725"/>
  <c r="L17" i="725"/>
  <c r="L18" i="725"/>
  <c r="D4" i="724"/>
  <c r="A5" i="724"/>
  <c r="A6" i="724"/>
  <c r="D5" i="724"/>
  <c r="D6" i="724"/>
  <c r="A7" i="724"/>
  <c r="A8" i="724" s="1"/>
  <c r="A9" i="724" s="1"/>
  <c r="A10" i="724" s="1"/>
  <c r="A11" i="724" s="1"/>
  <c r="A12" i="724" s="1"/>
  <c r="A13" i="724" s="1"/>
  <c r="A14" i="724" s="1"/>
  <c r="A15" i="724" s="1"/>
  <c r="A16" i="724" s="1"/>
  <c r="A17" i="724" s="1"/>
  <c r="A18" i="724" s="1"/>
  <c r="G4" i="724" s="1"/>
  <c r="G6" i="724" s="1"/>
  <c r="D7" i="724"/>
  <c r="D8" i="724"/>
  <c r="D9" i="724"/>
  <c r="G5" i="724" s="1"/>
  <c r="D10" i="724"/>
  <c r="D11" i="724"/>
  <c r="D12" i="724"/>
  <c r="D13" i="724"/>
  <c r="D14" i="724"/>
  <c r="D15" i="724"/>
  <c r="D16" i="724"/>
  <c r="D17" i="724"/>
  <c r="D18" i="724"/>
  <c r="A5" i="723"/>
  <c r="A6" i="723"/>
  <c r="A7" i="723" s="1"/>
  <c r="A8" i="723" s="1"/>
  <c r="A9" i="723" s="1"/>
  <c r="A10" i="723" s="1"/>
  <c r="A11" i="723" s="1"/>
  <c r="A12" i="723" s="1"/>
  <c r="A13" i="723" s="1"/>
  <c r="A14" i="723" s="1"/>
  <c r="A15" i="723" s="1"/>
  <c r="A16" i="723" s="1"/>
  <c r="A17" i="723" s="1"/>
  <c r="A18" i="723" s="1"/>
  <c r="B23" i="723"/>
  <c r="C23" i="723"/>
  <c r="L23" i="723"/>
  <c r="A24" i="723"/>
  <c r="B24" i="723"/>
  <c r="C24" i="723"/>
  <c r="K24" i="723"/>
  <c r="K25" i="723"/>
  <c r="K26" i="723" s="1"/>
  <c r="K27" i="723" s="1"/>
  <c r="K28" i="723" s="1"/>
  <c r="K29" i="723" s="1"/>
  <c r="K30" i="723" s="1"/>
  <c r="K31" i="723" s="1"/>
  <c r="K32" i="723" s="1"/>
  <c r="K33" i="723" s="1"/>
  <c r="K34" i="723" s="1"/>
  <c r="K35" i="723" s="1"/>
  <c r="K36" i="723" s="1"/>
  <c r="K37" i="723" s="1"/>
  <c r="L24" i="723"/>
  <c r="M24" i="723"/>
  <c r="A25" i="723"/>
  <c r="A26" i="723" s="1"/>
  <c r="A27" i="723" s="1"/>
  <c r="A28" i="723" s="1"/>
  <c r="A29" i="723" s="1"/>
  <c r="A30" i="723" s="1"/>
  <c r="A31" i="723" s="1"/>
  <c r="A32" i="723" s="1"/>
  <c r="A33" i="723" s="1"/>
  <c r="A34" i="723" s="1"/>
  <c r="A35" i="723" s="1"/>
  <c r="A36" i="723" s="1"/>
  <c r="A37" i="723" s="1"/>
  <c r="B25" i="723"/>
  <c r="C25" i="723"/>
  <c r="L25" i="723"/>
  <c r="M25" i="723"/>
  <c r="B26" i="723"/>
  <c r="C26" i="723"/>
  <c r="L26" i="723"/>
  <c r="M26" i="723"/>
  <c r="B27" i="723"/>
  <c r="C27" i="723"/>
  <c r="L27" i="723"/>
  <c r="M27" i="723"/>
  <c r="B28" i="723"/>
  <c r="C28" i="723"/>
  <c r="L28" i="723"/>
  <c r="M28" i="723"/>
  <c r="B29" i="723"/>
  <c r="C29" i="723"/>
  <c r="L29" i="723"/>
  <c r="M29" i="723"/>
  <c r="B30" i="723"/>
  <c r="C30" i="723"/>
  <c r="L30" i="723"/>
  <c r="M30" i="723"/>
  <c r="B31" i="723"/>
  <c r="C31" i="723"/>
  <c r="L31" i="723"/>
  <c r="M31" i="723"/>
  <c r="B32" i="723"/>
  <c r="C32" i="723"/>
  <c r="L32" i="723"/>
  <c r="M32" i="723"/>
  <c r="B33" i="723"/>
  <c r="C33" i="723"/>
  <c r="L33" i="723"/>
  <c r="M33" i="723"/>
  <c r="B34" i="723"/>
  <c r="C34" i="723"/>
  <c r="L34" i="723"/>
  <c r="M34" i="723"/>
  <c r="B35" i="723"/>
  <c r="C35" i="723"/>
  <c r="L35" i="723"/>
  <c r="M35" i="723"/>
  <c r="B36" i="723"/>
  <c r="C36" i="723"/>
  <c r="L36" i="723"/>
  <c r="M36" i="723"/>
  <c r="B37" i="723"/>
  <c r="C37" i="723"/>
  <c r="L37" i="723"/>
  <c r="M37" i="723"/>
  <c r="G3" i="722"/>
  <c r="G4" i="722" s="1"/>
  <c r="B4" i="722"/>
  <c r="A5" i="722"/>
  <c r="A6" i="722" s="1"/>
  <c r="A7" i="722" s="1"/>
  <c r="A8" i="722" s="1"/>
  <c r="A9" i="722" s="1"/>
  <c r="A10" i="722" s="1"/>
  <c r="A11" i="722" s="1"/>
  <c r="A12" i="722" s="1"/>
  <c r="A13" i="722" s="1"/>
  <c r="A14" i="722" s="1"/>
  <c r="A15" i="722" s="1"/>
  <c r="B5" i="722"/>
  <c r="B6" i="722"/>
  <c r="H23" i="723"/>
  <c r="H24" i="723" s="1"/>
  <c r="R23" i="723"/>
  <c r="R24" i="723" s="1"/>
  <c r="B7" i="722"/>
  <c r="B8" i="722"/>
  <c r="B9" i="722"/>
  <c r="B10" i="722"/>
  <c r="B11" i="722"/>
  <c r="B12" i="722"/>
  <c r="B13" i="722"/>
  <c r="B14" i="722"/>
  <c r="B15" i="722"/>
  <c r="G5" i="720"/>
  <c r="H5" i="720"/>
  <c r="I5" i="720"/>
  <c r="J5" i="720"/>
  <c r="H6" i="720"/>
  <c r="K6" i="720" s="1"/>
  <c r="I6" i="720"/>
  <c r="I9" i="720" s="1"/>
  <c r="J6" i="720"/>
  <c r="J9" i="720" s="1"/>
  <c r="H7" i="720"/>
  <c r="K7" i="720" s="1"/>
  <c r="I7" i="720"/>
  <c r="J7" i="720"/>
  <c r="H8" i="720"/>
  <c r="K8" i="720" s="1"/>
  <c r="I8" i="720"/>
  <c r="J8" i="720"/>
  <c r="G6" i="720"/>
  <c r="G7" i="720"/>
  <c r="G8" i="720"/>
  <c r="D7" i="720"/>
  <c r="C7" i="720"/>
  <c r="E7" i="720" s="1"/>
  <c r="B7" i="720"/>
  <c r="E6" i="720"/>
  <c r="E5" i="720"/>
  <c r="E4" i="720"/>
  <c r="R25" i="719"/>
  <c r="R27" i="719" s="1"/>
  <c r="R29" i="719" s="1"/>
  <c r="R17" i="719" s="1"/>
  <c r="R24" i="719"/>
  <c r="R26" i="719"/>
  <c r="R28" i="719" s="1"/>
  <c r="R15" i="719"/>
  <c r="R16" i="719" s="1"/>
  <c r="C6" i="719"/>
  <c r="B6" i="719"/>
  <c r="R5" i="719"/>
  <c r="R7" i="719" s="1"/>
  <c r="D5" i="719"/>
  <c r="D4" i="719"/>
  <c r="L7" i="718"/>
  <c r="K7" i="718"/>
  <c r="D7" i="718"/>
  <c r="C7" i="718"/>
  <c r="B7" i="718"/>
  <c r="E7" i="718" s="1"/>
  <c r="M6" i="718"/>
  <c r="E6" i="718"/>
  <c r="M5" i="718"/>
  <c r="E5" i="718"/>
  <c r="E4" i="718"/>
  <c r="C42" i="717"/>
  <c r="B41" i="717"/>
  <c r="I41" i="717" s="1"/>
  <c r="I42" i="717" s="1"/>
  <c r="C38" i="717"/>
  <c r="C37" i="717" s="1"/>
  <c r="G37" i="717" s="1"/>
  <c r="G38" i="717" s="1"/>
  <c r="B37" i="717"/>
  <c r="I37" i="717" s="1"/>
  <c r="I38" i="717" s="1"/>
  <c r="C34" i="717"/>
  <c r="C33" i="717" s="1"/>
  <c r="B33" i="717"/>
  <c r="C30" i="717"/>
  <c r="I29" i="717" s="1"/>
  <c r="I30" i="717" s="1"/>
  <c r="B29" i="717"/>
  <c r="C26" i="717"/>
  <c r="B25" i="717"/>
  <c r="I25" i="717" s="1"/>
  <c r="I26" i="717" s="1"/>
  <c r="C21" i="717"/>
  <c r="B20" i="717"/>
  <c r="I20" i="717" s="1"/>
  <c r="I21" i="717" s="1"/>
  <c r="C17" i="717"/>
  <c r="B16" i="717"/>
  <c r="G16" i="717" s="1"/>
  <c r="G17" i="717" s="1"/>
  <c r="U7" i="717" s="1"/>
  <c r="U9" i="717" s="1"/>
  <c r="U13" i="717"/>
  <c r="T13" i="717"/>
  <c r="T12" i="717"/>
  <c r="C13" i="717"/>
  <c r="C12" i="717" s="1"/>
  <c r="T11" i="717"/>
  <c r="B12" i="717"/>
  <c r="T10" i="717"/>
  <c r="T9" i="717"/>
  <c r="C9" i="717"/>
  <c r="G8" i="717" s="1"/>
  <c r="G9" i="717" s="1"/>
  <c r="U5" i="717" s="1"/>
  <c r="U11" i="717" s="1"/>
  <c r="B8" i="717"/>
  <c r="S4" i="717"/>
  <c r="S5" i="717" s="1"/>
  <c r="S6" i="717" s="1"/>
  <c r="S7" i="717" s="1"/>
  <c r="S8" i="717" s="1"/>
  <c r="S9" i="717" s="1"/>
  <c r="S10" i="717" s="1"/>
  <c r="S11" i="717" s="1"/>
  <c r="S12" i="717" s="1"/>
  <c r="S13" i="717" s="1"/>
  <c r="C5" i="717"/>
  <c r="C4" i="717" s="1"/>
  <c r="B4" i="717"/>
  <c r="D7" i="716"/>
  <c r="E7" i="716" s="1"/>
  <c r="C7" i="716"/>
  <c r="B7" i="716"/>
  <c r="B9" i="716" s="1"/>
  <c r="K7" i="716" s="1"/>
  <c r="E6" i="716"/>
  <c r="E5" i="716"/>
  <c r="G5" i="716" s="1"/>
  <c r="M6" i="716" s="1"/>
  <c r="E4" i="716"/>
  <c r="C16" i="717"/>
  <c r="C8" i="717"/>
  <c r="C20" i="717"/>
  <c r="C29" i="717"/>
  <c r="C41" i="717"/>
  <c r="C25" i="717"/>
  <c r="D6" i="719"/>
  <c r="F4" i="719" s="1"/>
  <c r="K5" i="719" s="1"/>
  <c r="I16" i="717"/>
  <c r="I17" i="717"/>
  <c r="G20" i="717"/>
  <c r="G21" i="717"/>
  <c r="G25" i="717"/>
  <c r="G26" i="717"/>
  <c r="G41" i="717"/>
  <c r="G42" i="717"/>
  <c r="B9" i="719"/>
  <c r="J6" i="719"/>
  <c r="C5" i="660"/>
  <c r="C6" i="660"/>
  <c r="C4" i="660"/>
  <c r="F4" i="660"/>
  <c r="F6" i="660"/>
  <c r="A5" i="660"/>
  <c r="A6" i="660" s="1"/>
  <c r="E7" i="709"/>
  <c r="E8" i="709" s="1"/>
  <c r="E11" i="709" s="1"/>
  <c r="E5" i="709"/>
  <c r="E9" i="709" s="1"/>
  <c r="E12" i="709" s="1"/>
  <c r="E13" i="709" s="1"/>
  <c r="B17" i="698"/>
  <c r="B16" i="698"/>
  <c r="P3" i="698"/>
  <c r="E3" i="698"/>
  <c r="F3" i="698"/>
  <c r="G3" i="698" s="1"/>
  <c r="H3" i="698" s="1"/>
  <c r="I3" i="698" s="1"/>
  <c r="J3" i="698" s="1"/>
  <c r="K3" i="698" s="1"/>
  <c r="L3" i="698" s="1"/>
  <c r="K28" i="697"/>
  <c r="K27" i="697"/>
  <c r="K26" i="697"/>
  <c r="K24" i="697"/>
  <c r="K25" i="697"/>
  <c r="K23" i="697"/>
  <c r="D31" i="697"/>
  <c r="E27" i="697"/>
  <c r="E26" i="697"/>
  <c r="E25" i="697"/>
  <c r="F25" i="697" s="1"/>
  <c r="X13" i="697"/>
  <c r="X14" i="697" s="1"/>
  <c r="X15" i="697" s="1"/>
  <c r="X16" i="697" s="1"/>
  <c r="X17" i="697" s="1"/>
  <c r="X18" i="697" s="1"/>
  <c r="X19" i="697" s="1"/>
  <c r="X20" i="697" s="1"/>
  <c r="X21" i="697" s="1"/>
  <c r="AY12" i="697"/>
  <c r="AY13" i="697"/>
  <c r="AY14" i="697"/>
  <c r="AY15" i="697"/>
  <c r="AY16" i="697" s="1"/>
  <c r="AY17" i="697" s="1"/>
  <c r="AY18" i="697" s="1"/>
  <c r="AY19" i="697" s="1"/>
  <c r="AY20" i="697" s="1"/>
  <c r="AS5" i="697"/>
  <c r="AS6" i="697"/>
  <c r="AS7" i="697"/>
  <c r="R5" i="697"/>
  <c r="R6" i="697" s="1"/>
  <c r="X14" i="696"/>
  <c r="P14" i="696"/>
  <c r="X13" i="696"/>
  <c r="P13" i="696"/>
  <c r="X12" i="696"/>
  <c r="P12" i="696"/>
  <c r="X11" i="696"/>
  <c r="P11" i="696"/>
  <c r="X10" i="696"/>
  <c r="P10" i="696"/>
  <c r="X9" i="696"/>
  <c r="P9" i="696"/>
  <c r="X8" i="696"/>
  <c r="AA6" i="696" s="1"/>
  <c r="P8" i="696"/>
  <c r="X7" i="696"/>
  <c r="P7" i="696"/>
  <c r="X6" i="696"/>
  <c r="P6" i="696"/>
  <c r="X5" i="696"/>
  <c r="P5" i="696"/>
  <c r="S6" i="696" s="1"/>
  <c r="D32" i="697"/>
  <c r="D33" i="697" s="1"/>
  <c r="E4" i="690"/>
  <c r="E3" i="690"/>
  <c r="Y9" i="688"/>
  <c r="Y7" i="688"/>
  <c r="Q9" i="688"/>
  <c r="Q8" i="688"/>
  <c r="Q7" i="688"/>
  <c r="L9" i="688"/>
  <c r="L16" i="688" s="1"/>
  <c r="L17" i="688" s="1"/>
  <c r="L10" i="688"/>
  <c r="L13" i="688"/>
  <c r="B23" i="688"/>
  <c r="B27" i="688" s="1"/>
  <c r="B10" i="688"/>
  <c r="B14" i="688" s="1"/>
  <c r="G20" i="80"/>
  <c r="G18" i="80"/>
  <c r="G17" i="80"/>
  <c r="G16" i="80"/>
  <c r="G15" i="80"/>
  <c r="G19" i="80"/>
  <c r="Q10" i="638"/>
  <c r="Q8" i="638"/>
  <c r="Q9" i="638" s="1"/>
  <c r="Q7" i="638"/>
  <c r="Q6" i="638"/>
  <c r="Q5" i="638"/>
  <c r="H6" i="665"/>
  <c r="H7" i="665" s="1"/>
  <c r="H11" i="665" s="1"/>
  <c r="D15" i="59"/>
  <c r="B15" i="661"/>
  <c r="G62" i="649"/>
  <c r="F62" i="649"/>
  <c r="E62" i="649"/>
  <c r="D62" i="649"/>
  <c r="C62" i="649"/>
  <c r="B62" i="649"/>
  <c r="G61" i="649"/>
  <c r="F61" i="649"/>
  <c r="E61" i="649"/>
  <c r="D61" i="649"/>
  <c r="C61" i="649"/>
  <c r="B61" i="649"/>
  <c r="G60" i="649"/>
  <c r="F60" i="649"/>
  <c r="E60" i="649"/>
  <c r="D60" i="649"/>
  <c r="C60" i="649"/>
  <c r="B60" i="649"/>
  <c r="G59" i="649"/>
  <c r="F59" i="649"/>
  <c r="E59" i="649"/>
  <c r="D59" i="649"/>
  <c r="C59" i="649"/>
  <c r="B59" i="649"/>
  <c r="G58" i="649"/>
  <c r="F58" i="649"/>
  <c r="E58" i="649"/>
  <c r="D58" i="649"/>
  <c r="C58" i="649"/>
  <c r="B58" i="649"/>
  <c r="A38" i="649"/>
  <c r="E38" i="649" s="1"/>
  <c r="G37" i="649"/>
  <c r="F37" i="649"/>
  <c r="E37" i="649"/>
  <c r="D37" i="649"/>
  <c r="C37" i="649"/>
  <c r="B37" i="649"/>
  <c r="G36" i="649"/>
  <c r="F36" i="649"/>
  <c r="E36" i="649"/>
  <c r="D36" i="649"/>
  <c r="C36" i="649"/>
  <c r="B36" i="649"/>
  <c r="G35" i="649"/>
  <c r="F35" i="649"/>
  <c r="E35" i="649"/>
  <c r="D35" i="649"/>
  <c r="C35" i="649"/>
  <c r="B35" i="649"/>
  <c r="G34" i="649"/>
  <c r="F34" i="649"/>
  <c r="E34" i="649"/>
  <c r="D34" i="649"/>
  <c r="C34" i="649"/>
  <c r="B34" i="649"/>
  <c r="Y32" i="649"/>
  <c r="X32" i="649"/>
  <c r="W32" i="649"/>
  <c r="V32" i="649"/>
  <c r="U32" i="649"/>
  <c r="T32" i="649"/>
  <c r="Y31" i="649"/>
  <c r="X31" i="649"/>
  <c r="W31" i="649"/>
  <c r="V31" i="649"/>
  <c r="U31" i="649"/>
  <c r="T31" i="649"/>
  <c r="Y30" i="649"/>
  <c r="X30" i="649"/>
  <c r="W30" i="649"/>
  <c r="V30" i="649"/>
  <c r="U30" i="649"/>
  <c r="T30" i="649"/>
  <c r="Y29" i="649"/>
  <c r="X29" i="649"/>
  <c r="W29" i="649"/>
  <c r="V29" i="649"/>
  <c r="U29" i="649"/>
  <c r="T29" i="649"/>
  <c r="Y28" i="649"/>
  <c r="X28" i="649"/>
  <c r="W28" i="649"/>
  <c r="V28" i="649"/>
  <c r="U28" i="649"/>
  <c r="T28" i="649"/>
  <c r="S8" i="649"/>
  <c r="W8" i="649" s="1"/>
  <c r="Y7" i="649"/>
  <c r="X7" i="649"/>
  <c r="W7" i="649"/>
  <c r="V7" i="649"/>
  <c r="U7" i="649"/>
  <c r="T7" i="649"/>
  <c r="Y6" i="649"/>
  <c r="X6" i="649"/>
  <c r="W6" i="649"/>
  <c r="V6" i="649"/>
  <c r="U6" i="649"/>
  <c r="T6" i="649"/>
  <c r="Y5" i="649"/>
  <c r="X5" i="649"/>
  <c r="W5" i="649"/>
  <c r="V5" i="649"/>
  <c r="U5" i="649"/>
  <c r="T5" i="649"/>
  <c r="K5" i="649"/>
  <c r="K6" i="649" s="1"/>
  <c r="K7" i="649" s="1"/>
  <c r="K8" i="649" s="1"/>
  <c r="K9" i="649" s="1"/>
  <c r="K10" i="649" s="1"/>
  <c r="K11" i="649" s="1"/>
  <c r="K12" i="649" s="1"/>
  <c r="K13" i="649" s="1"/>
  <c r="K14" i="649" s="1"/>
  <c r="K15" i="649" s="1"/>
  <c r="K16" i="649" s="1"/>
  <c r="K17" i="649" s="1"/>
  <c r="K18" i="649" s="1"/>
  <c r="K19" i="649" s="1"/>
  <c r="K20" i="649" s="1"/>
  <c r="K21" i="649" s="1"/>
  <c r="K22" i="649" s="1"/>
  <c r="K23" i="649" s="1"/>
  <c r="K24" i="649" s="1"/>
  <c r="K25" i="649" s="1"/>
  <c r="K26" i="649" s="1"/>
  <c r="K27" i="649" s="1"/>
  <c r="K28" i="649" s="1"/>
  <c r="K29" i="649" s="1"/>
  <c r="K30" i="649" s="1"/>
  <c r="K31" i="649" s="1"/>
  <c r="K32" i="649" s="1"/>
  <c r="K33" i="649" s="1"/>
  <c r="A5" i="649"/>
  <c r="E5" i="649"/>
  <c r="Y4" i="649"/>
  <c r="X4" i="649"/>
  <c r="W4" i="649"/>
  <c r="V4" i="649"/>
  <c r="U4" i="649"/>
  <c r="T4" i="649"/>
  <c r="Q4" i="649"/>
  <c r="P4" i="649"/>
  <c r="O4" i="649"/>
  <c r="N4" i="649"/>
  <c r="M4" i="649"/>
  <c r="L4" i="649"/>
  <c r="G4" i="649"/>
  <c r="F4" i="649"/>
  <c r="E4" i="649"/>
  <c r="D4" i="649"/>
  <c r="C4" i="649"/>
  <c r="B4" i="649"/>
  <c r="L5" i="649"/>
  <c r="B38" i="649"/>
  <c r="D5" i="649"/>
  <c r="N5" i="649"/>
  <c r="C38" i="649"/>
  <c r="G38" i="649"/>
  <c r="F38" i="649"/>
  <c r="V8" i="649"/>
  <c r="Q5" i="649"/>
  <c r="M5" i="649"/>
  <c r="F5" i="649"/>
  <c r="B5" i="649"/>
  <c r="G5" i="649"/>
  <c r="O5" i="649"/>
  <c r="S9" i="649"/>
  <c r="W9" i="649" s="1"/>
  <c r="X8" i="649"/>
  <c r="T8" i="649"/>
  <c r="U8" i="649"/>
  <c r="A6" i="649"/>
  <c r="A7" i="649" s="1"/>
  <c r="C5" i="649"/>
  <c r="P5" i="649"/>
  <c r="Y8" i="649"/>
  <c r="D38" i="649"/>
  <c r="A39" i="649"/>
  <c r="G39" i="649" s="1"/>
  <c r="G6" i="649"/>
  <c r="L6" i="649"/>
  <c r="S10" i="649"/>
  <c r="Y9" i="649"/>
  <c r="T9" i="649"/>
  <c r="C39" i="649"/>
  <c r="E39" i="649"/>
  <c r="A40" i="649"/>
  <c r="D39" i="649"/>
  <c r="Y10" i="649"/>
  <c r="W10" i="649"/>
  <c r="A41" i="649"/>
  <c r="E41" i="649" s="1"/>
  <c r="L18" i="638"/>
  <c r="L17" i="638"/>
  <c r="L8" i="638"/>
  <c r="L19" i="638"/>
  <c r="L5" i="638"/>
  <c r="G8" i="638"/>
  <c r="F8" i="638"/>
  <c r="E8" i="638"/>
  <c r="G9" i="638" s="1"/>
  <c r="G7" i="638"/>
  <c r="F7" i="638"/>
  <c r="E7" i="638"/>
  <c r="L6" i="638"/>
  <c r="L7" i="638"/>
  <c r="L10" i="638" s="1"/>
  <c r="L11" i="638" s="1"/>
  <c r="BF5" i="627"/>
  <c r="BF6" i="627"/>
  <c r="BF7" i="627" s="1"/>
  <c r="BE47" i="627"/>
  <c r="BD6" i="627"/>
  <c r="BD7" i="627"/>
  <c r="BD8" i="627" s="1"/>
  <c r="BD9" i="627" s="1"/>
  <c r="BD10" i="627"/>
  <c r="BD11" i="627" s="1"/>
  <c r="BD12" i="627" s="1"/>
  <c r="BD13" i="627" s="1"/>
  <c r="BD14" i="627" s="1"/>
  <c r="BD15" i="627" s="1"/>
  <c r="BD16" i="627" s="1"/>
  <c r="BD17" i="627" s="1"/>
  <c r="BD18" i="627" s="1"/>
  <c r="BD19" i="627" s="1"/>
  <c r="BD20" i="627" s="1"/>
  <c r="BD21" i="627" s="1"/>
  <c r="BD22" i="627" s="1"/>
  <c r="BD23" i="627" s="1"/>
  <c r="BD24" i="627" s="1"/>
  <c r="BD25" i="627" s="1"/>
  <c r="BD26" i="627" s="1"/>
  <c r="BD27" i="627" s="1"/>
  <c r="BD28" i="627" s="1"/>
  <c r="BD29" i="627" s="1"/>
  <c r="BD30" i="627" s="1"/>
  <c r="BD31" i="627" s="1"/>
  <c r="BD32" i="627" s="1"/>
  <c r="BD33" i="627" s="1"/>
  <c r="BD34" i="627" s="1"/>
  <c r="BD35" i="627" s="1"/>
  <c r="BD36" i="627" s="1"/>
  <c r="BD37" i="627" s="1"/>
  <c r="BD38" i="627" s="1"/>
  <c r="BD39" i="627" s="1"/>
  <c r="BD40" i="627" s="1"/>
  <c r="BD41" i="627" s="1"/>
  <c r="BD42" i="627" s="1"/>
  <c r="BD43" i="627" s="1"/>
  <c r="BD44" i="627" s="1"/>
  <c r="BD45" i="627" s="1"/>
  <c r="T6" i="631"/>
  <c r="S88" i="631"/>
  <c r="U40" i="631" s="1"/>
  <c r="R7" i="631"/>
  <c r="R8" i="631"/>
  <c r="R9" i="631" s="1"/>
  <c r="R10" i="631" s="1"/>
  <c r="R11" i="631" s="1"/>
  <c r="R12" i="631" s="1"/>
  <c r="R13" i="631" s="1"/>
  <c r="R14" i="631" s="1"/>
  <c r="R15" i="631" s="1"/>
  <c r="R16" i="631" s="1"/>
  <c r="R17" i="631" s="1"/>
  <c r="R18" i="631" s="1"/>
  <c r="R19" i="631" s="1"/>
  <c r="R20" i="631" s="1"/>
  <c r="R21" i="631" s="1"/>
  <c r="R22" i="631" s="1"/>
  <c r="R23" i="631" s="1"/>
  <c r="R24" i="631" s="1"/>
  <c r="R25" i="631" s="1"/>
  <c r="R26" i="631" s="1"/>
  <c r="R27" i="631" s="1"/>
  <c r="R28" i="631" s="1"/>
  <c r="R29" i="631" s="1"/>
  <c r="R30" i="631" s="1"/>
  <c r="R31" i="631" s="1"/>
  <c r="R32" i="631" s="1"/>
  <c r="R33" i="631" s="1"/>
  <c r="R34" i="631" s="1"/>
  <c r="R35" i="631" s="1"/>
  <c r="R36" i="631" s="1"/>
  <c r="R37" i="631" s="1"/>
  <c r="R38" i="631" s="1"/>
  <c r="R39" i="631" s="1"/>
  <c r="R40" i="631" s="1"/>
  <c r="R41" i="631" s="1"/>
  <c r="R42" i="631" s="1"/>
  <c r="R43" i="631" s="1"/>
  <c r="R44" i="631" s="1"/>
  <c r="R45" i="631" s="1"/>
  <c r="R46" i="631" s="1"/>
  <c r="R47" i="631" s="1"/>
  <c r="R48" i="631" s="1"/>
  <c r="R49" i="631" s="1"/>
  <c r="R50" i="631" s="1"/>
  <c r="R51" i="631" s="1"/>
  <c r="R52" i="631" s="1"/>
  <c r="R53" i="631" s="1"/>
  <c r="R54" i="631" s="1"/>
  <c r="R55" i="631" s="1"/>
  <c r="R56" i="631" s="1"/>
  <c r="R57" i="631" s="1"/>
  <c r="R58" i="631" s="1"/>
  <c r="R59" i="631" s="1"/>
  <c r="R60" i="631" s="1"/>
  <c r="R61" i="631" s="1"/>
  <c r="R62" i="631" s="1"/>
  <c r="R63" i="631" s="1"/>
  <c r="R64" i="631" s="1"/>
  <c r="R65" i="631" s="1"/>
  <c r="R66" i="631" s="1"/>
  <c r="R67" i="631" s="1"/>
  <c r="R68" i="631" s="1"/>
  <c r="R69" i="631" s="1"/>
  <c r="R70" i="631" s="1"/>
  <c r="R71" i="631" s="1"/>
  <c r="R72" i="631" s="1"/>
  <c r="R73" i="631" s="1"/>
  <c r="R74" i="631" s="1"/>
  <c r="R75" i="631" s="1"/>
  <c r="R76" i="631" s="1"/>
  <c r="R77" i="631" s="1"/>
  <c r="R78" i="631" s="1"/>
  <c r="R79" i="631" s="1"/>
  <c r="R80" i="631" s="1"/>
  <c r="R81" i="631" s="1"/>
  <c r="R82" i="631" s="1"/>
  <c r="R83" i="631" s="1"/>
  <c r="R84" i="631" s="1"/>
  <c r="R85" i="631" s="1"/>
  <c r="R86" i="631" s="1"/>
  <c r="Z6" i="631"/>
  <c r="Y48" i="631"/>
  <c r="AA8" i="631" s="1"/>
  <c r="X7" i="631"/>
  <c r="X8" i="631" s="1"/>
  <c r="X9" i="631" s="1"/>
  <c r="X10" i="631" s="1"/>
  <c r="X11" i="631" s="1"/>
  <c r="X12" i="631" s="1"/>
  <c r="X13" i="631" s="1"/>
  <c r="X14" i="631" s="1"/>
  <c r="X15" i="631" s="1"/>
  <c r="X16" i="631" s="1"/>
  <c r="X17" i="631" s="1"/>
  <c r="X18" i="631" s="1"/>
  <c r="X19" i="631" s="1"/>
  <c r="X20" i="631" s="1"/>
  <c r="X21" i="631" s="1"/>
  <c r="X22" i="631" s="1"/>
  <c r="X23" i="631" s="1"/>
  <c r="X24" i="631" s="1"/>
  <c r="X25" i="631" s="1"/>
  <c r="X26" i="631" s="1"/>
  <c r="X27" i="631" s="1"/>
  <c r="X28" i="631" s="1"/>
  <c r="X29" i="631" s="1"/>
  <c r="X30" i="631" s="1"/>
  <c r="X31" i="631" s="1"/>
  <c r="X32" i="631" s="1"/>
  <c r="X33" i="631" s="1"/>
  <c r="X34" i="631" s="1"/>
  <c r="X35" i="631" s="1"/>
  <c r="X36" i="631" s="1"/>
  <c r="X37" i="631" s="1"/>
  <c r="X38" i="631" s="1"/>
  <c r="X39" i="631" s="1"/>
  <c r="X40" i="631" s="1"/>
  <c r="X41" i="631" s="1"/>
  <c r="X42" i="631" s="1"/>
  <c r="X43" i="631" s="1"/>
  <c r="X44" i="631" s="1"/>
  <c r="X45" i="631" s="1"/>
  <c r="X46" i="631" s="1"/>
  <c r="F6" i="631"/>
  <c r="F7" i="631"/>
  <c r="H7" i="631" s="1"/>
  <c r="E52" i="631"/>
  <c r="G6" i="631"/>
  <c r="D7" i="631"/>
  <c r="D8" i="631"/>
  <c r="D9" i="631"/>
  <c r="D10" i="631"/>
  <c r="D11" i="631" s="1"/>
  <c r="D12" i="631" s="1"/>
  <c r="D13" i="631" s="1"/>
  <c r="D14" i="631" s="1"/>
  <c r="D15" i="631" s="1"/>
  <c r="D16" i="631" s="1"/>
  <c r="D17" i="631" s="1"/>
  <c r="D18" i="631" s="1"/>
  <c r="D19" i="631" s="1"/>
  <c r="D20" i="631" s="1"/>
  <c r="D21" i="631" s="1"/>
  <c r="D22" i="631" s="1"/>
  <c r="D23" i="631" s="1"/>
  <c r="D24" i="631" s="1"/>
  <c r="D25" i="631" s="1"/>
  <c r="D26" i="631" s="1"/>
  <c r="D27" i="631" s="1"/>
  <c r="D28" i="631" s="1"/>
  <c r="D29" i="631" s="1"/>
  <c r="D30" i="631" s="1"/>
  <c r="D31" i="631" s="1"/>
  <c r="D32" i="631" s="1"/>
  <c r="D33" i="631" s="1"/>
  <c r="D34" i="631" s="1"/>
  <c r="D35" i="631" s="1"/>
  <c r="D36" i="631" s="1"/>
  <c r="D37" i="631" s="1"/>
  <c r="D38" i="631" s="1"/>
  <c r="D39" i="631" s="1"/>
  <c r="D40" i="631" s="1"/>
  <c r="D41" i="631" s="1"/>
  <c r="D42" i="631" s="1"/>
  <c r="D43" i="631" s="1"/>
  <c r="D44" i="631" s="1"/>
  <c r="D45" i="631" s="1"/>
  <c r="D46" i="631" s="1"/>
  <c r="D47" i="631" s="1"/>
  <c r="D48" i="631" s="1"/>
  <c r="D49" i="631" s="1"/>
  <c r="D50" i="631" s="1"/>
  <c r="AA31" i="631"/>
  <c r="AA18" i="631"/>
  <c r="AA42" i="631"/>
  <c r="U72" i="631"/>
  <c r="AA23" i="631"/>
  <c r="U64" i="631"/>
  <c r="U60" i="631"/>
  <c r="G45" i="631"/>
  <c r="G37" i="631"/>
  <c r="G33" i="631"/>
  <c r="G29" i="631"/>
  <c r="G25" i="631"/>
  <c r="G21" i="631"/>
  <c r="G17" i="631"/>
  <c r="G13" i="631"/>
  <c r="G9" i="631"/>
  <c r="U52" i="631"/>
  <c r="U36" i="631"/>
  <c r="U28" i="631"/>
  <c r="U8" i="631"/>
  <c r="G48" i="631"/>
  <c r="G44" i="631"/>
  <c r="G40" i="631"/>
  <c r="G36" i="631"/>
  <c r="G32" i="631"/>
  <c r="G28" i="631"/>
  <c r="G24" i="631"/>
  <c r="G20" i="631"/>
  <c r="G16" i="631"/>
  <c r="G12" i="631"/>
  <c r="G8" i="631"/>
  <c r="AA38" i="631"/>
  <c r="U87" i="631"/>
  <c r="U79" i="631"/>
  <c r="U59" i="631"/>
  <c r="U51" i="631"/>
  <c r="U39" i="631"/>
  <c r="U23" i="631"/>
  <c r="U15" i="631"/>
  <c r="G51" i="631"/>
  <c r="G47" i="631"/>
  <c r="G43" i="631"/>
  <c r="G39" i="631"/>
  <c r="G35" i="631"/>
  <c r="G31" i="631"/>
  <c r="G27" i="631"/>
  <c r="G23" i="631"/>
  <c r="G19" i="631"/>
  <c r="G15" i="631"/>
  <c r="G11" i="631"/>
  <c r="G7" i="631"/>
  <c r="AA43" i="631"/>
  <c r="U86" i="631"/>
  <c r="U78" i="631"/>
  <c r="U66" i="631"/>
  <c r="U50" i="631"/>
  <c r="U42" i="631"/>
  <c r="U22" i="631"/>
  <c r="U14" i="631"/>
  <c r="G49" i="631"/>
  <c r="G41" i="631"/>
  <c r="G50" i="631"/>
  <c r="G46" i="631"/>
  <c r="G42" i="631"/>
  <c r="G38" i="631"/>
  <c r="G34" i="631"/>
  <c r="G30" i="631"/>
  <c r="G26" i="631"/>
  <c r="G22" i="631"/>
  <c r="G18" i="631"/>
  <c r="G14" i="631"/>
  <c r="G10" i="631"/>
  <c r="U81" i="631"/>
  <c r="U69" i="631"/>
  <c r="U53" i="631"/>
  <c r="U45" i="631"/>
  <c r="U25" i="631"/>
  <c r="U17" i="631"/>
  <c r="H6" i="631"/>
  <c r="Z7" i="631"/>
  <c r="F8" i="631"/>
  <c r="H8" i="631" s="1"/>
  <c r="BG6" i="627"/>
  <c r="BG8" i="627"/>
  <c r="BG10" i="627"/>
  <c r="BG14" i="627"/>
  <c r="BG20" i="627"/>
  <c r="BG22" i="627"/>
  <c r="BG24" i="627"/>
  <c r="BG26" i="627"/>
  <c r="BG30" i="627"/>
  <c r="BG36" i="627"/>
  <c r="BG38" i="627"/>
  <c r="BG40" i="627"/>
  <c r="BG42" i="627"/>
  <c r="BG46" i="627"/>
  <c r="AA33" i="631"/>
  <c r="AA25" i="631"/>
  <c r="T7" i="631"/>
  <c r="V7" i="631" s="1"/>
  <c r="BH6" i="627"/>
  <c r="BG45" i="627"/>
  <c r="BG37" i="627"/>
  <c r="BG25" i="627"/>
  <c r="BG21" i="627"/>
  <c r="BG17" i="627"/>
  <c r="BG13" i="627"/>
  <c r="AA24" i="631"/>
  <c r="AA13" i="631"/>
  <c r="BG39" i="627"/>
  <c r="BG35" i="627"/>
  <c r="BG31" i="627"/>
  <c r="BG27" i="627"/>
  <c r="BG19" i="627"/>
  <c r="BG7" i="627"/>
  <c r="AR5" i="627"/>
  <c r="AR6" i="627"/>
  <c r="AR7" i="627" s="1"/>
  <c r="AQ32" i="627"/>
  <c r="AS19" i="627" s="1"/>
  <c r="AP6" i="627"/>
  <c r="AP7" i="627" s="1"/>
  <c r="AP8" i="627" s="1"/>
  <c r="AP9" i="627" s="1"/>
  <c r="AP10" i="627" s="1"/>
  <c r="AP11" i="627" s="1"/>
  <c r="AP12" i="627" s="1"/>
  <c r="AP13" i="627" s="1"/>
  <c r="AP14" i="627" s="1"/>
  <c r="AP15" i="627" s="1"/>
  <c r="AP16" i="627" s="1"/>
  <c r="AP17" i="627" s="1"/>
  <c r="AP18" i="627" s="1"/>
  <c r="AP19" i="627" s="1"/>
  <c r="AP20" i="627" s="1"/>
  <c r="AP21" i="627" s="1"/>
  <c r="AP22" i="627" s="1"/>
  <c r="AP23" i="627" s="1"/>
  <c r="AP24" i="627" s="1"/>
  <c r="AP25" i="627" s="1"/>
  <c r="AP26" i="627" s="1"/>
  <c r="AP27" i="627" s="1"/>
  <c r="AP28" i="627" s="1"/>
  <c r="AP29" i="627" s="1"/>
  <c r="AP30" i="627" s="1"/>
  <c r="AS12" i="627"/>
  <c r="AS24" i="627"/>
  <c r="AS16" i="627"/>
  <c r="AS8" i="627"/>
  <c r="AS31" i="627"/>
  <c r="AS7" i="627"/>
  <c r="AS30" i="627"/>
  <c r="AS22" i="627"/>
  <c r="AS10" i="627"/>
  <c r="T8" i="631"/>
  <c r="AT5" i="627"/>
  <c r="AS17" i="627"/>
  <c r="AS13" i="627"/>
  <c r="AS9" i="627"/>
  <c r="Z8" i="631"/>
  <c r="Q12" i="627"/>
  <c r="R12" i="627"/>
  <c r="Q13" i="627"/>
  <c r="R13" i="627"/>
  <c r="Q14" i="627"/>
  <c r="R14" i="627"/>
  <c r="Q15" i="627"/>
  <c r="R15" i="627"/>
  <c r="Q16" i="627"/>
  <c r="R16" i="627"/>
  <c r="Q17" i="627"/>
  <c r="R17" i="627"/>
  <c r="Q18" i="627"/>
  <c r="R18" i="627"/>
  <c r="Q19" i="627"/>
  <c r="R19" i="627"/>
  <c r="Q20" i="627"/>
  <c r="R20" i="627"/>
  <c r="Q21" i="627"/>
  <c r="R21" i="627"/>
  <c r="Q22" i="627"/>
  <c r="R22" i="627"/>
  <c r="Q23" i="627"/>
  <c r="R23" i="627"/>
  <c r="Q24" i="627"/>
  <c r="R24" i="627"/>
  <c r="Q25" i="627"/>
  <c r="R25" i="627"/>
  <c r="Q26" i="627"/>
  <c r="R26" i="627"/>
  <c r="Q27" i="627"/>
  <c r="R27" i="627"/>
  <c r="Q28" i="627"/>
  <c r="R28" i="627"/>
  <c r="Q29" i="627"/>
  <c r="R29" i="627"/>
  <c r="Q30" i="627"/>
  <c r="R30" i="627"/>
  <c r="AE7" i="627"/>
  <c r="AE8" i="627" s="1"/>
  <c r="AE9" i="627" s="1"/>
  <c r="AE10" i="627" s="1"/>
  <c r="AE11" i="627" s="1"/>
  <c r="AE12" i="627" s="1"/>
  <c r="AE13" i="627" s="1"/>
  <c r="AE14" i="627" s="1"/>
  <c r="AE15" i="627" s="1"/>
  <c r="AE16" i="627" s="1"/>
  <c r="AE17" i="627" s="1"/>
  <c r="AE18" i="627" s="1"/>
  <c r="AE19" i="627" s="1"/>
  <c r="AE20" i="627" s="1"/>
  <c r="AE21" i="627" s="1"/>
  <c r="AE22" i="627" s="1"/>
  <c r="AE23" i="627" s="1"/>
  <c r="AE24" i="627" s="1"/>
  <c r="AE25" i="627" s="1"/>
  <c r="AE26" i="627" s="1"/>
  <c r="AE27" i="627" s="1"/>
  <c r="AE28" i="627" s="1"/>
  <c r="AE29" i="627" s="1"/>
  <c r="AE30" i="627" s="1"/>
  <c r="AE31" i="627" s="1"/>
  <c r="M5" i="627"/>
  <c r="U6" i="627"/>
  <c r="V6" i="627"/>
  <c r="W6" i="627"/>
  <c r="X6" i="627"/>
  <c r="Y6" i="627"/>
  <c r="Z6" i="627"/>
  <c r="AA6" i="627"/>
  <c r="U7" i="627"/>
  <c r="V7" i="627"/>
  <c r="W7" i="627"/>
  <c r="X7" i="627"/>
  <c r="Y7" i="627"/>
  <c r="Z7" i="627"/>
  <c r="AA7" i="627"/>
  <c r="U8" i="627"/>
  <c r="V8" i="627"/>
  <c r="W8" i="627"/>
  <c r="X8" i="627"/>
  <c r="Y8" i="627"/>
  <c r="Z8" i="627"/>
  <c r="AA8" i="627"/>
  <c r="U9" i="627"/>
  <c r="V9" i="627"/>
  <c r="W9" i="627"/>
  <c r="X9" i="627"/>
  <c r="Y9" i="627"/>
  <c r="Z9" i="627"/>
  <c r="AA9" i="627"/>
  <c r="U10" i="627"/>
  <c r="V10" i="627"/>
  <c r="W10" i="627"/>
  <c r="X10" i="627"/>
  <c r="Y10" i="627"/>
  <c r="Z10" i="627"/>
  <c r="AA10" i="627"/>
  <c r="U11" i="627"/>
  <c r="V11" i="627"/>
  <c r="W11" i="627"/>
  <c r="X11" i="627"/>
  <c r="Y11" i="627"/>
  <c r="Z11" i="627"/>
  <c r="AA11" i="627"/>
  <c r="U12" i="627"/>
  <c r="V12" i="627"/>
  <c r="W12" i="627"/>
  <c r="X12" i="627"/>
  <c r="Y12" i="627"/>
  <c r="Z12" i="627"/>
  <c r="AA12" i="627"/>
  <c r="U13" i="627"/>
  <c r="V13" i="627"/>
  <c r="W13" i="627"/>
  <c r="X13" i="627"/>
  <c r="Y13" i="627"/>
  <c r="Z13" i="627"/>
  <c r="AA13" i="627"/>
  <c r="U14" i="627"/>
  <c r="V14" i="627"/>
  <c r="W14" i="627"/>
  <c r="X14" i="627"/>
  <c r="Y14" i="627"/>
  <c r="Z14" i="627"/>
  <c r="AA14" i="627"/>
  <c r="U15" i="627"/>
  <c r="V15" i="627"/>
  <c r="W15" i="627"/>
  <c r="X15" i="627"/>
  <c r="Y15" i="627"/>
  <c r="Z15" i="627"/>
  <c r="AA15" i="627"/>
  <c r="U16" i="627"/>
  <c r="V16" i="627"/>
  <c r="W16" i="627"/>
  <c r="X16" i="627"/>
  <c r="Y16" i="627"/>
  <c r="Z16" i="627"/>
  <c r="AA16" i="627"/>
  <c r="U17" i="627"/>
  <c r="V17" i="627"/>
  <c r="W17" i="627"/>
  <c r="X17" i="627"/>
  <c r="Y17" i="627"/>
  <c r="Z17" i="627"/>
  <c r="AA17" i="627"/>
  <c r="U18" i="627"/>
  <c r="V18" i="627"/>
  <c r="W18" i="627"/>
  <c r="X18" i="627"/>
  <c r="Y18" i="627"/>
  <c r="Z18" i="627"/>
  <c r="AA18" i="627"/>
  <c r="U19" i="627"/>
  <c r="V19" i="627"/>
  <c r="W19" i="627"/>
  <c r="X19" i="627"/>
  <c r="Y19" i="627"/>
  <c r="Z19" i="627"/>
  <c r="AA19" i="627"/>
  <c r="U20" i="627"/>
  <c r="V20" i="627"/>
  <c r="W20" i="627"/>
  <c r="X20" i="627"/>
  <c r="Y20" i="627"/>
  <c r="Z20" i="627"/>
  <c r="AA20" i="627"/>
  <c r="U21" i="627"/>
  <c r="V21" i="627"/>
  <c r="W21" i="627"/>
  <c r="X21" i="627"/>
  <c r="Y21" i="627"/>
  <c r="Z21" i="627"/>
  <c r="AA21" i="627"/>
  <c r="U22" i="627"/>
  <c r="V22" i="627"/>
  <c r="W22" i="627"/>
  <c r="X22" i="627"/>
  <c r="Y22" i="627"/>
  <c r="Z22" i="627"/>
  <c r="AA22" i="627"/>
  <c r="U23" i="627"/>
  <c r="V23" i="627"/>
  <c r="W23" i="627"/>
  <c r="X23" i="627"/>
  <c r="Y23" i="627"/>
  <c r="Z23" i="627"/>
  <c r="AA23" i="627"/>
  <c r="U24" i="627"/>
  <c r="V24" i="627"/>
  <c r="W24" i="627"/>
  <c r="X24" i="627"/>
  <c r="Y24" i="627"/>
  <c r="Z24" i="627"/>
  <c r="AA24" i="627"/>
  <c r="U25" i="627"/>
  <c r="V25" i="627"/>
  <c r="W25" i="627"/>
  <c r="X25" i="627"/>
  <c r="Y25" i="627"/>
  <c r="Z25" i="627"/>
  <c r="AA25" i="627"/>
  <c r="U26" i="627"/>
  <c r="V26" i="627"/>
  <c r="W26" i="627"/>
  <c r="X26" i="627"/>
  <c r="Y26" i="627"/>
  <c r="Z26" i="627"/>
  <c r="AA26" i="627"/>
  <c r="U27" i="627"/>
  <c r="V27" i="627"/>
  <c r="W27" i="627"/>
  <c r="X27" i="627"/>
  <c r="Y27" i="627"/>
  <c r="Z27" i="627"/>
  <c r="AA27" i="627"/>
  <c r="U28" i="627"/>
  <c r="V28" i="627"/>
  <c r="W28" i="627"/>
  <c r="X28" i="627"/>
  <c r="Y28" i="627"/>
  <c r="Z28" i="627"/>
  <c r="AA28" i="627"/>
  <c r="U29" i="627"/>
  <c r="V29" i="627"/>
  <c r="W29" i="627"/>
  <c r="X29" i="627"/>
  <c r="Y29" i="627"/>
  <c r="Z29" i="627"/>
  <c r="AA29" i="627"/>
  <c r="U30" i="627"/>
  <c r="V30" i="627"/>
  <c r="W30" i="627"/>
  <c r="X30" i="627"/>
  <c r="Y30" i="627"/>
  <c r="Z30" i="627"/>
  <c r="AA30" i="627"/>
  <c r="U31" i="627"/>
  <c r="V31" i="627"/>
  <c r="W31" i="627"/>
  <c r="X31" i="627"/>
  <c r="Y31" i="627"/>
  <c r="Z31" i="627"/>
  <c r="AA31" i="627"/>
  <c r="U32" i="627"/>
  <c r="V32" i="627"/>
  <c r="W32" i="627"/>
  <c r="X32" i="627"/>
  <c r="Y32" i="627"/>
  <c r="Z32" i="627"/>
  <c r="AA32" i="627"/>
  <c r="U33" i="627"/>
  <c r="V33" i="627"/>
  <c r="W33" i="627"/>
  <c r="X33" i="627"/>
  <c r="Y33" i="627"/>
  <c r="Z33" i="627"/>
  <c r="AA33" i="627"/>
  <c r="U34" i="627"/>
  <c r="V34" i="627"/>
  <c r="W34" i="627"/>
  <c r="X34" i="627"/>
  <c r="Y34" i="627"/>
  <c r="Z34" i="627"/>
  <c r="AA34" i="627"/>
  <c r="U35" i="627"/>
  <c r="V35" i="627"/>
  <c r="W35" i="627"/>
  <c r="X35" i="627"/>
  <c r="Y35" i="627"/>
  <c r="Z35" i="627"/>
  <c r="AA35" i="627"/>
  <c r="U36" i="627"/>
  <c r="V36" i="627"/>
  <c r="W36" i="627"/>
  <c r="X36" i="627"/>
  <c r="Y36" i="627"/>
  <c r="Z36" i="627"/>
  <c r="AA36" i="627"/>
  <c r="U37" i="627"/>
  <c r="V37" i="627"/>
  <c r="W37" i="627"/>
  <c r="X37" i="627"/>
  <c r="Y37" i="627"/>
  <c r="Z37" i="627"/>
  <c r="AA37" i="627"/>
  <c r="U38" i="627"/>
  <c r="V38" i="627"/>
  <c r="W38" i="627"/>
  <c r="X38" i="627"/>
  <c r="Y38" i="627"/>
  <c r="Z38" i="627"/>
  <c r="AA38" i="627"/>
  <c r="U39" i="627"/>
  <c r="V39" i="627"/>
  <c r="W39" i="627"/>
  <c r="X39" i="627"/>
  <c r="Y39" i="627"/>
  <c r="Z39" i="627"/>
  <c r="AA39" i="627"/>
  <c r="U40" i="627"/>
  <c r="V40" i="627"/>
  <c r="W40" i="627"/>
  <c r="X40" i="627"/>
  <c r="Y40" i="627"/>
  <c r="Z40" i="627"/>
  <c r="AA40" i="627"/>
  <c r="U41" i="627"/>
  <c r="V41" i="627"/>
  <c r="W41" i="627"/>
  <c r="X41" i="627"/>
  <c r="Y41" i="627"/>
  <c r="Z41" i="627"/>
  <c r="AA41" i="627"/>
  <c r="U42" i="627"/>
  <c r="V42" i="627"/>
  <c r="W42" i="627"/>
  <c r="X42" i="627"/>
  <c r="Y42" i="627"/>
  <c r="Z42" i="627"/>
  <c r="AA42" i="627"/>
  <c r="U43" i="627"/>
  <c r="V43" i="627"/>
  <c r="W43" i="627"/>
  <c r="X43" i="627"/>
  <c r="Y43" i="627"/>
  <c r="Z43" i="627"/>
  <c r="AA43" i="627"/>
  <c r="U44" i="627"/>
  <c r="V44" i="627"/>
  <c r="W44" i="627"/>
  <c r="X44" i="627"/>
  <c r="Y44" i="627"/>
  <c r="Z44" i="627"/>
  <c r="AA44" i="627"/>
  <c r="U45" i="627"/>
  <c r="V45" i="627"/>
  <c r="W45" i="627"/>
  <c r="X45" i="627"/>
  <c r="Y45" i="627"/>
  <c r="Z45" i="627"/>
  <c r="AA45" i="627"/>
  <c r="U46" i="627"/>
  <c r="V46" i="627"/>
  <c r="W46" i="627"/>
  <c r="X46" i="627"/>
  <c r="Y46" i="627"/>
  <c r="Z46" i="627"/>
  <c r="AA46" i="627"/>
  <c r="U47" i="627"/>
  <c r="V47" i="627"/>
  <c r="W47" i="627"/>
  <c r="X47" i="627"/>
  <c r="Y47" i="627"/>
  <c r="Z47" i="627"/>
  <c r="AA47" i="627"/>
  <c r="U48" i="627"/>
  <c r="V48" i="627"/>
  <c r="W48" i="627"/>
  <c r="X48" i="627"/>
  <c r="Y48" i="627"/>
  <c r="Z48" i="627"/>
  <c r="AA48" i="627"/>
  <c r="U49" i="627"/>
  <c r="V49" i="627"/>
  <c r="W49" i="627"/>
  <c r="X49" i="627"/>
  <c r="Y49" i="627"/>
  <c r="Z49" i="627"/>
  <c r="AA49" i="627"/>
  <c r="U50" i="627"/>
  <c r="V50" i="627"/>
  <c r="W50" i="627"/>
  <c r="X50" i="627"/>
  <c r="Y50" i="627"/>
  <c r="Z50" i="627"/>
  <c r="AA50" i="627"/>
  <c r="U51" i="627"/>
  <c r="V51" i="627"/>
  <c r="W51" i="627"/>
  <c r="X51" i="627"/>
  <c r="Y51" i="627"/>
  <c r="Z51" i="627"/>
  <c r="AA51" i="627"/>
  <c r="U52" i="627"/>
  <c r="V52" i="627"/>
  <c r="W52" i="627"/>
  <c r="X52" i="627"/>
  <c r="Y52" i="627"/>
  <c r="Z52" i="627"/>
  <c r="AA52" i="627"/>
  <c r="U53" i="627"/>
  <c r="V53" i="627"/>
  <c r="W53" i="627"/>
  <c r="X53" i="627"/>
  <c r="Y53" i="627"/>
  <c r="Z53" i="627"/>
  <c r="AA53" i="627"/>
  <c r="U54" i="627"/>
  <c r="V54" i="627"/>
  <c r="W54" i="627"/>
  <c r="X54" i="627"/>
  <c r="Y54" i="627"/>
  <c r="Z54" i="627"/>
  <c r="AA54" i="627"/>
  <c r="U55" i="627"/>
  <c r="V55" i="627"/>
  <c r="W55" i="627"/>
  <c r="X55" i="627"/>
  <c r="Y55" i="627"/>
  <c r="Z55" i="627"/>
  <c r="AA55" i="627"/>
  <c r="U56" i="627"/>
  <c r="V56" i="627"/>
  <c r="W56" i="627"/>
  <c r="X56" i="627"/>
  <c r="Y56" i="627"/>
  <c r="Z56" i="627"/>
  <c r="AA56" i="627"/>
  <c r="U57" i="627"/>
  <c r="V57" i="627"/>
  <c r="W57" i="627"/>
  <c r="X57" i="627"/>
  <c r="Y57" i="627"/>
  <c r="Z57" i="627"/>
  <c r="AA57" i="627"/>
  <c r="U58" i="627"/>
  <c r="V58" i="627"/>
  <c r="W58" i="627"/>
  <c r="X58" i="627"/>
  <c r="Y58" i="627"/>
  <c r="Z58" i="627"/>
  <c r="AA58" i="627"/>
  <c r="U59" i="627"/>
  <c r="V59" i="627"/>
  <c r="W59" i="627"/>
  <c r="X59" i="627"/>
  <c r="Y59" i="627"/>
  <c r="Z59" i="627"/>
  <c r="AA59" i="627"/>
  <c r="U60" i="627"/>
  <c r="V60" i="627"/>
  <c r="W60" i="627"/>
  <c r="X60" i="627"/>
  <c r="Y60" i="627"/>
  <c r="Z60" i="627"/>
  <c r="AA60" i="627"/>
  <c r="U61" i="627"/>
  <c r="V61" i="627"/>
  <c r="W61" i="627"/>
  <c r="X61" i="627"/>
  <c r="Y61" i="627"/>
  <c r="Z61" i="627"/>
  <c r="AA61" i="627"/>
  <c r="U62" i="627"/>
  <c r="V62" i="627"/>
  <c r="W62" i="627"/>
  <c r="X62" i="627"/>
  <c r="Y62" i="627"/>
  <c r="Z62" i="627"/>
  <c r="AA62" i="627"/>
  <c r="U63" i="627"/>
  <c r="V63" i="627"/>
  <c r="W63" i="627"/>
  <c r="X63" i="627"/>
  <c r="Y63" i="627"/>
  <c r="Z63" i="627"/>
  <c r="AA63" i="627"/>
  <c r="U64" i="627"/>
  <c r="V64" i="627"/>
  <c r="W64" i="627"/>
  <c r="X64" i="627"/>
  <c r="Y64" i="627"/>
  <c r="Z64" i="627"/>
  <c r="AA64" i="627"/>
  <c r="U65" i="627"/>
  <c r="V65" i="627"/>
  <c r="W65" i="627"/>
  <c r="X65" i="627"/>
  <c r="Y65" i="627"/>
  <c r="Z65" i="627"/>
  <c r="AA65" i="627"/>
  <c r="U66" i="627"/>
  <c r="V66" i="627"/>
  <c r="W66" i="627"/>
  <c r="X66" i="627"/>
  <c r="Y66" i="627"/>
  <c r="Z66" i="627"/>
  <c r="AA66" i="627"/>
  <c r="U67" i="627"/>
  <c r="V67" i="627"/>
  <c r="W67" i="627"/>
  <c r="X67" i="627"/>
  <c r="Y67" i="627"/>
  <c r="Z67" i="627"/>
  <c r="AA67" i="627"/>
  <c r="U68" i="627"/>
  <c r="V68" i="627"/>
  <c r="W68" i="627"/>
  <c r="X68" i="627"/>
  <c r="Y68" i="627"/>
  <c r="Z68" i="627"/>
  <c r="AA68" i="627"/>
  <c r="U69" i="627"/>
  <c r="V69" i="627"/>
  <c r="W69" i="627"/>
  <c r="X69" i="627"/>
  <c r="Y69" i="627"/>
  <c r="Z69" i="627"/>
  <c r="AA69" i="627"/>
  <c r="U70" i="627"/>
  <c r="V70" i="627"/>
  <c r="W70" i="627"/>
  <c r="X70" i="627"/>
  <c r="Y70" i="627"/>
  <c r="Z70" i="627"/>
  <c r="AA70" i="627"/>
  <c r="U71" i="627"/>
  <c r="V71" i="627"/>
  <c r="W71" i="627"/>
  <c r="X71" i="627"/>
  <c r="Y71" i="627"/>
  <c r="Z71" i="627"/>
  <c r="AA71" i="627"/>
  <c r="U72" i="627"/>
  <c r="V72" i="627"/>
  <c r="W72" i="627"/>
  <c r="X72" i="627"/>
  <c r="Y72" i="627"/>
  <c r="Z72" i="627"/>
  <c r="AA72" i="627"/>
  <c r="U73" i="627"/>
  <c r="V73" i="627"/>
  <c r="W73" i="627"/>
  <c r="X73" i="627"/>
  <c r="Y73" i="627"/>
  <c r="Z73" i="627"/>
  <c r="AA73" i="627"/>
  <c r="U74" i="627"/>
  <c r="V74" i="627"/>
  <c r="W74" i="627"/>
  <c r="X74" i="627"/>
  <c r="Y74" i="627"/>
  <c r="Z74" i="627"/>
  <c r="AA74" i="627"/>
  <c r="U75" i="627"/>
  <c r="V75" i="627"/>
  <c r="W75" i="627"/>
  <c r="X75" i="627"/>
  <c r="Y75" i="627"/>
  <c r="Z75" i="627"/>
  <c r="AA75" i="627"/>
  <c r="U76" i="627"/>
  <c r="V76" i="627"/>
  <c r="W76" i="627"/>
  <c r="X76" i="627"/>
  <c r="Y76" i="627"/>
  <c r="Z76" i="627"/>
  <c r="AA76" i="627"/>
  <c r="U77" i="627"/>
  <c r="V77" i="627"/>
  <c r="W77" i="627"/>
  <c r="X77" i="627"/>
  <c r="Y77" i="627"/>
  <c r="Z77" i="627"/>
  <c r="AA77" i="627"/>
  <c r="U78" i="627"/>
  <c r="V78" i="627"/>
  <c r="W78" i="627"/>
  <c r="X78" i="627"/>
  <c r="Y78" i="627"/>
  <c r="Z78" i="627"/>
  <c r="AA78" i="627"/>
  <c r="U79" i="627"/>
  <c r="V79" i="627"/>
  <c r="W79" i="627"/>
  <c r="X79" i="627"/>
  <c r="Y79" i="627"/>
  <c r="Z79" i="627"/>
  <c r="AA79" i="627"/>
  <c r="U80" i="627"/>
  <c r="V80" i="627"/>
  <c r="W80" i="627"/>
  <c r="X80" i="627"/>
  <c r="Y80" i="627"/>
  <c r="Z80" i="627"/>
  <c r="AA80" i="627"/>
  <c r="U81" i="627"/>
  <c r="V81" i="627"/>
  <c r="W81" i="627"/>
  <c r="X81" i="627"/>
  <c r="Y81" i="627"/>
  <c r="Z81" i="627"/>
  <c r="AA81" i="627"/>
  <c r="U82" i="627"/>
  <c r="V82" i="627"/>
  <c r="W82" i="627"/>
  <c r="X82" i="627"/>
  <c r="Y82" i="627"/>
  <c r="Z82" i="627"/>
  <c r="AA82" i="627"/>
  <c r="U83" i="627"/>
  <c r="V83" i="627"/>
  <c r="W83" i="627"/>
  <c r="X83" i="627"/>
  <c r="Y83" i="627"/>
  <c r="Z83" i="627"/>
  <c r="AA83" i="627"/>
  <c r="U84" i="627"/>
  <c r="V84" i="627"/>
  <c r="W84" i="627"/>
  <c r="X84" i="627"/>
  <c r="Y84" i="627"/>
  <c r="Z84" i="627"/>
  <c r="AA84" i="627"/>
  <c r="U85" i="627"/>
  <c r="V85" i="627"/>
  <c r="W85" i="627"/>
  <c r="X85" i="627"/>
  <c r="Y85" i="627"/>
  <c r="Z85" i="627"/>
  <c r="AA85" i="627"/>
  <c r="U86" i="627"/>
  <c r="V86" i="627"/>
  <c r="W86" i="627"/>
  <c r="X86" i="627"/>
  <c r="Y86" i="627"/>
  <c r="Z86" i="627"/>
  <c r="AA86" i="627"/>
  <c r="U87" i="627"/>
  <c r="V87" i="627"/>
  <c r="W87" i="627"/>
  <c r="X87" i="627"/>
  <c r="Y87" i="627"/>
  <c r="Z87" i="627"/>
  <c r="AA87" i="627"/>
  <c r="U88" i="627"/>
  <c r="V88" i="627"/>
  <c r="W88" i="627"/>
  <c r="X88" i="627"/>
  <c r="Y88" i="627"/>
  <c r="Z88" i="627"/>
  <c r="AA88" i="627"/>
  <c r="U89" i="627"/>
  <c r="V89" i="627"/>
  <c r="W89" i="627"/>
  <c r="X89" i="627"/>
  <c r="Y89" i="627"/>
  <c r="Z89" i="627"/>
  <c r="AA89" i="627"/>
  <c r="U90" i="627"/>
  <c r="V90" i="627"/>
  <c r="W90" i="627"/>
  <c r="X90" i="627"/>
  <c r="Y90" i="627"/>
  <c r="Z90" i="627"/>
  <c r="AA90" i="627"/>
  <c r="U91" i="627"/>
  <c r="V91" i="627"/>
  <c r="W91" i="627"/>
  <c r="X91" i="627"/>
  <c r="Y91" i="627"/>
  <c r="Z91" i="627"/>
  <c r="AA91" i="627"/>
  <c r="U92" i="627"/>
  <c r="V92" i="627"/>
  <c r="W92" i="627"/>
  <c r="X92" i="627"/>
  <c r="Y92" i="627"/>
  <c r="Z92" i="627"/>
  <c r="AA92" i="627"/>
  <c r="U93" i="627"/>
  <c r="V93" i="627"/>
  <c r="W93" i="627"/>
  <c r="X93" i="627"/>
  <c r="Y93" i="627"/>
  <c r="Z93" i="627"/>
  <c r="AA93" i="627"/>
  <c r="U94" i="627"/>
  <c r="V94" i="627"/>
  <c r="W94" i="627"/>
  <c r="X94" i="627"/>
  <c r="Y94" i="627"/>
  <c r="Z94" i="627"/>
  <c r="AA94" i="627"/>
  <c r="U95" i="627"/>
  <c r="V95" i="627"/>
  <c r="W95" i="627"/>
  <c r="X95" i="627"/>
  <c r="Y95" i="627"/>
  <c r="Z95" i="627"/>
  <c r="AA95" i="627"/>
  <c r="U96" i="627"/>
  <c r="V96" i="627"/>
  <c r="W96" i="627"/>
  <c r="X96" i="627"/>
  <c r="Y96" i="627"/>
  <c r="Z96" i="627"/>
  <c r="AA96" i="627"/>
  <c r="U97" i="627"/>
  <c r="V97" i="627"/>
  <c r="W97" i="627"/>
  <c r="X97" i="627"/>
  <c r="Y97" i="627"/>
  <c r="Z97" i="627"/>
  <c r="AA97" i="627"/>
  <c r="U98" i="627"/>
  <c r="V98" i="627"/>
  <c r="W98" i="627"/>
  <c r="X98" i="627"/>
  <c r="Y98" i="627"/>
  <c r="Z98" i="627"/>
  <c r="AA98" i="627"/>
  <c r="U99" i="627"/>
  <c r="V99" i="627"/>
  <c r="W99" i="627"/>
  <c r="X99" i="627"/>
  <c r="Y99" i="627"/>
  <c r="Z99" i="627"/>
  <c r="AA99" i="627"/>
  <c r="U100" i="627"/>
  <c r="V100" i="627"/>
  <c r="W100" i="627"/>
  <c r="X100" i="627"/>
  <c r="Y100" i="627"/>
  <c r="Z100" i="627"/>
  <c r="AA100" i="627"/>
  <c r="U101" i="627"/>
  <c r="V101" i="627"/>
  <c r="W101" i="627"/>
  <c r="X101" i="627"/>
  <c r="Y101" i="627"/>
  <c r="Z101" i="627"/>
  <c r="AA101" i="627"/>
  <c r="U102" i="627"/>
  <c r="V102" i="627"/>
  <c r="W102" i="627"/>
  <c r="X102" i="627"/>
  <c r="Y102" i="627"/>
  <c r="Z102" i="627"/>
  <c r="AA102" i="627"/>
  <c r="U103" i="627"/>
  <c r="V103" i="627"/>
  <c r="W103" i="627"/>
  <c r="X103" i="627"/>
  <c r="Y103" i="627"/>
  <c r="Z103" i="627"/>
  <c r="AA103" i="627"/>
  <c r="U104" i="627"/>
  <c r="V104" i="627"/>
  <c r="W104" i="627"/>
  <c r="X104" i="627"/>
  <c r="Y104" i="627"/>
  <c r="Z104" i="627"/>
  <c r="AA104" i="627"/>
  <c r="U105" i="627"/>
  <c r="V105" i="627"/>
  <c r="W105" i="627"/>
  <c r="X105" i="627"/>
  <c r="Y105" i="627"/>
  <c r="Z105" i="627"/>
  <c r="AA105" i="627"/>
  <c r="U106" i="627"/>
  <c r="V106" i="627"/>
  <c r="W106" i="627"/>
  <c r="X106" i="627"/>
  <c r="Y106" i="627"/>
  <c r="Z106" i="627"/>
  <c r="AA106" i="627"/>
  <c r="U107" i="627"/>
  <c r="V107" i="627"/>
  <c r="W107" i="627"/>
  <c r="X107" i="627"/>
  <c r="Y107" i="627"/>
  <c r="Z107" i="627"/>
  <c r="AA107" i="627"/>
  <c r="U108" i="627"/>
  <c r="V108" i="627"/>
  <c r="W108" i="627"/>
  <c r="X108" i="627"/>
  <c r="Y108" i="627"/>
  <c r="Z108" i="627"/>
  <c r="AA108" i="627"/>
  <c r="U109" i="627"/>
  <c r="V109" i="627"/>
  <c r="W109" i="627"/>
  <c r="X109" i="627"/>
  <c r="Y109" i="627"/>
  <c r="Z109" i="627"/>
  <c r="AA109" i="627"/>
  <c r="U110" i="627"/>
  <c r="V110" i="627"/>
  <c r="W110" i="627"/>
  <c r="X110" i="627"/>
  <c r="Y110" i="627"/>
  <c r="Z110" i="627"/>
  <c r="AA110" i="627"/>
  <c r="U111" i="627"/>
  <c r="V111" i="627"/>
  <c r="W111" i="627"/>
  <c r="X111" i="627"/>
  <c r="Y111" i="627"/>
  <c r="Z111" i="627"/>
  <c r="AA111" i="627"/>
  <c r="U112" i="627"/>
  <c r="V112" i="627"/>
  <c r="W112" i="627"/>
  <c r="X112" i="627"/>
  <c r="Y112" i="627"/>
  <c r="Z112" i="627"/>
  <c r="AA112" i="627"/>
  <c r="U113" i="627"/>
  <c r="V113" i="627"/>
  <c r="W113" i="627"/>
  <c r="X113" i="627"/>
  <c r="Y113" i="627"/>
  <c r="Z113" i="627"/>
  <c r="AA113" i="627"/>
  <c r="U114" i="627"/>
  <c r="V114" i="627"/>
  <c r="W114" i="627"/>
  <c r="X114" i="627"/>
  <c r="Y114" i="627"/>
  <c r="Z114" i="627"/>
  <c r="AA114" i="627"/>
  <c r="U115" i="627"/>
  <c r="V115" i="627"/>
  <c r="W115" i="627"/>
  <c r="X115" i="627"/>
  <c r="Y115" i="627"/>
  <c r="Z115" i="627"/>
  <c r="AA115" i="627"/>
  <c r="U116" i="627"/>
  <c r="V116" i="627"/>
  <c r="W116" i="627"/>
  <c r="X116" i="627"/>
  <c r="Y116" i="627"/>
  <c r="Z116" i="627"/>
  <c r="AA116" i="627"/>
  <c r="U117" i="627"/>
  <c r="V117" i="627"/>
  <c r="W117" i="627"/>
  <c r="X117" i="627"/>
  <c r="Y117" i="627"/>
  <c r="Z117" i="627"/>
  <c r="AA117" i="627"/>
  <c r="U118" i="627"/>
  <c r="V118" i="627"/>
  <c r="W118" i="627"/>
  <c r="X118" i="627"/>
  <c r="Y118" i="627"/>
  <c r="Z118" i="627"/>
  <c r="AA118" i="627"/>
  <c r="U119" i="627"/>
  <c r="V119" i="627"/>
  <c r="W119" i="627"/>
  <c r="X119" i="627"/>
  <c r="Y119" i="627"/>
  <c r="Z119" i="627"/>
  <c r="AA119" i="627"/>
  <c r="U120" i="627"/>
  <c r="V120" i="627"/>
  <c r="W120" i="627"/>
  <c r="X120" i="627"/>
  <c r="Y120" i="627"/>
  <c r="Z120" i="627"/>
  <c r="AA120" i="627"/>
  <c r="U121" i="627"/>
  <c r="V121" i="627"/>
  <c r="W121" i="627"/>
  <c r="X121" i="627"/>
  <c r="Y121" i="627"/>
  <c r="Z121" i="627"/>
  <c r="AA121" i="627"/>
  <c r="U122" i="627"/>
  <c r="V122" i="627"/>
  <c r="W122" i="627"/>
  <c r="X122" i="627"/>
  <c r="Y122" i="627"/>
  <c r="Z122" i="627"/>
  <c r="AA122" i="627"/>
  <c r="U123" i="627"/>
  <c r="V123" i="627"/>
  <c r="W123" i="627"/>
  <c r="X123" i="627"/>
  <c r="Y123" i="627"/>
  <c r="Z123" i="627"/>
  <c r="AA123" i="627"/>
  <c r="U124" i="627"/>
  <c r="V124" i="627"/>
  <c r="W124" i="627"/>
  <c r="X124" i="627"/>
  <c r="Y124" i="627"/>
  <c r="Z124" i="627"/>
  <c r="AA124" i="627"/>
  <c r="U125" i="627"/>
  <c r="V125" i="627"/>
  <c r="W125" i="627"/>
  <c r="X125" i="627"/>
  <c r="Y125" i="627"/>
  <c r="Z125" i="627"/>
  <c r="AA125" i="627"/>
  <c r="U126" i="627"/>
  <c r="V126" i="627"/>
  <c r="W126" i="627"/>
  <c r="X126" i="627"/>
  <c r="Y126" i="627"/>
  <c r="Z126" i="627"/>
  <c r="AA126" i="627"/>
  <c r="U127" i="627"/>
  <c r="V127" i="627"/>
  <c r="W127" i="627"/>
  <c r="X127" i="627"/>
  <c r="Y127" i="627"/>
  <c r="Z127" i="627"/>
  <c r="AA127" i="627"/>
  <c r="U128" i="627"/>
  <c r="V128" i="627"/>
  <c r="W128" i="627"/>
  <c r="X128" i="627"/>
  <c r="Y128" i="627"/>
  <c r="Z128" i="627"/>
  <c r="AA128" i="627"/>
  <c r="U129" i="627"/>
  <c r="V129" i="627"/>
  <c r="W129" i="627"/>
  <c r="X129" i="627"/>
  <c r="Y129" i="627"/>
  <c r="Z129" i="627"/>
  <c r="AA129" i="627"/>
  <c r="U130" i="627"/>
  <c r="V130" i="627"/>
  <c r="W130" i="627"/>
  <c r="X130" i="627"/>
  <c r="Y130" i="627"/>
  <c r="Z130" i="627"/>
  <c r="AA130" i="627"/>
  <c r="U131" i="627"/>
  <c r="V131" i="627"/>
  <c r="W131" i="627"/>
  <c r="X131" i="627"/>
  <c r="Y131" i="627"/>
  <c r="Z131" i="627"/>
  <c r="AA131" i="627"/>
  <c r="U132" i="627"/>
  <c r="V132" i="627"/>
  <c r="W132" i="627"/>
  <c r="X132" i="627"/>
  <c r="Y132" i="627"/>
  <c r="Z132" i="627"/>
  <c r="AA132" i="627"/>
  <c r="U133" i="627"/>
  <c r="V133" i="627"/>
  <c r="W133" i="627"/>
  <c r="X133" i="627"/>
  <c r="Y133" i="627"/>
  <c r="Z133" i="627"/>
  <c r="AA133" i="627"/>
  <c r="U134" i="627"/>
  <c r="V134" i="627"/>
  <c r="W134" i="627"/>
  <c r="X134" i="627"/>
  <c r="Y134" i="627"/>
  <c r="Z134" i="627"/>
  <c r="AA134" i="627"/>
  <c r="U135" i="627"/>
  <c r="V135" i="627"/>
  <c r="W135" i="627"/>
  <c r="X135" i="627"/>
  <c r="Y135" i="627"/>
  <c r="Z135" i="627"/>
  <c r="AA135" i="627"/>
  <c r="U136" i="627"/>
  <c r="V136" i="627"/>
  <c r="W136" i="627"/>
  <c r="X136" i="627"/>
  <c r="Y136" i="627"/>
  <c r="Z136" i="627"/>
  <c r="AA136" i="627"/>
  <c r="U137" i="627"/>
  <c r="V137" i="627"/>
  <c r="W137" i="627"/>
  <c r="X137" i="627"/>
  <c r="Y137" i="627"/>
  <c r="Z137" i="627"/>
  <c r="AA137" i="627"/>
  <c r="U138" i="627"/>
  <c r="V138" i="627"/>
  <c r="W138" i="627"/>
  <c r="X138" i="627"/>
  <c r="Y138" i="627"/>
  <c r="Z138" i="627"/>
  <c r="AA138" i="627"/>
  <c r="U139" i="627"/>
  <c r="V139" i="627"/>
  <c r="W139" i="627"/>
  <c r="X139" i="627"/>
  <c r="Y139" i="627"/>
  <c r="Z139" i="627"/>
  <c r="AA139" i="627"/>
  <c r="U140" i="627"/>
  <c r="V140" i="627"/>
  <c r="W140" i="627"/>
  <c r="X140" i="627"/>
  <c r="Y140" i="627"/>
  <c r="Z140" i="627"/>
  <c r="AA140" i="627"/>
  <c r="U141" i="627"/>
  <c r="V141" i="627"/>
  <c r="W141" i="627"/>
  <c r="X141" i="627"/>
  <c r="Y141" i="627"/>
  <c r="Z141" i="627"/>
  <c r="AA141" i="627"/>
  <c r="U142" i="627"/>
  <c r="V142" i="627"/>
  <c r="W142" i="627"/>
  <c r="X142" i="627"/>
  <c r="Y142" i="627"/>
  <c r="Z142" i="627"/>
  <c r="AA142" i="627"/>
  <c r="U143" i="627"/>
  <c r="V143" i="627"/>
  <c r="W143" i="627"/>
  <c r="X143" i="627"/>
  <c r="Y143" i="627"/>
  <c r="Z143" i="627"/>
  <c r="AA143" i="627"/>
  <c r="U144" i="627"/>
  <c r="V144" i="627"/>
  <c r="W144" i="627"/>
  <c r="X144" i="627"/>
  <c r="Y144" i="627"/>
  <c r="Z144" i="627"/>
  <c r="AA144" i="627"/>
  <c r="U145" i="627"/>
  <c r="V145" i="627"/>
  <c r="W145" i="627"/>
  <c r="X145" i="627"/>
  <c r="Y145" i="627"/>
  <c r="Z145" i="627"/>
  <c r="AA145" i="627"/>
  <c r="U146" i="627"/>
  <c r="V146" i="627"/>
  <c r="W146" i="627"/>
  <c r="X146" i="627"/>
  <c r="Y146" i="627"/>
  <c r="Z146" i="627"/>
  <c r="AA146" i="627"/>
  <c r="U147" i="627"/>
  <c r="V147" i="627"/>
  <c r="W147" i="627"/>
  <c r="X147" i="627"/>
  <c r="Y147" i="627"/>
  <c r="Z147" i="627"/>
  <c r="AA147" i="627"/>
  <c r="U148" i="627"/>
  <c r="V148" i="627"/>
  <c r="W148" i="627"/>
  <c r="X148" i="627"/>
  <c r="Y148" i="627"/>
  <c r="Z148" i="627"/>
  <c r="AA148" i="627"/>
  <c r="U149" i="627"/>
  <c r="V149" i="627"/>
  <c r="W149" i="627"/>
  <c r="X149" i="627"/>
  <c r="Y149" i="627"/>
  <c r="Z149" i="627"/>
  <c r="AA149" i="627"/>
  <c r="U150" i="627"/>
  <c r="V150" i="627"/>
  <c r="W150" i="627"/>
  <c r="X150" i="627"/>
  <c r="Y150" i="627"/>
  <c r="Z150" i="627"/>
  <c r="AA150" i="627"/>
  <c r="U151" i="627"/>
  <c r="V151" i="627"/>
  <c r="W151" i="627"/>
  <c r="X151" i="627"/>
  <c r="Y151" i="627"/>
  <c r="Z151" i="627"/>
  <c r="AA151" i="627"/>
  <c r="U152" i="627"/>
  <c r="V152" i="627"/>
  <c r="W152" i="627"/>
  <c r="X152" i="627"/>
  <c r="Y152" i="627"/>
  <c r="Z152" i="627"/>
  <c r="AA152" i="627"/>
  <c r="U153" i="627"/>
  <c r="V153" i="627"/>
  <c r="W153" i="627"/>
  <c r="X153" i="627"/>
  <c r="Y153" i="627"/>
  <c r="Z153" i="627"/>
  <c r="AA153" i="627"/>
  <c r="U154" i="627"/>
  <c r="V154" i="627"/>
  <c r="W154" i="627"/>
  <c r="X154" i="627"/>
  <c r="Y154" i="627"/>
  <c r="Z154" i="627"/>
  <c r="AA154" i="627"/>
  <c r="U155" i="627"/>
  <c r="V155" i="627"/>
  <c r="W155" i="627"/>
  <c r="X155" i="627"/>
  <c r="Y155" i="627"/>
  <c r="Z155" i="627"/>
  <c r="AA155" i="627"/>
  <c r="U156" i="627"/>
  <c r="V156" i="627"/>
  <c r="W156" i="627"/>
  <c r="X156" i="627"/>
  <c r="Y156" i="627"/>
  <c r="Z156" i="627"/>
  <c r="AA156" i="627"/>
  <c r="U157" i="627"/>
  <c r="V157" i="627"/>
  <c r="W157" i="627"/>
  <c r="X157" i="627"/>
  <c r="Y157" i="627"/>
  <c r="Z157" i="627"/>
  <c r="AA157" i="627"/>
  <c r="U158" i="627"/>
  <c r="V158" i="627"/>
  <c r="W158" i="627"/>
  <c r="X158" i="627"/>
  <c r="Y158" i="627"/>
  <c r="Z158" i="627"/>
  <c r="AA158" i="627"/>
  <c r="U159" i="627"/>
  <c r="V159" i="627"/>
  <c r="W159" i="627"/>
  <c r="X159" i="627"/>
  <c r="Y159" i="627"/>
  <c r="Z159" i="627"/>
  <c r="AA159" i="627"/>
  <c r="U160" i="627"/>
  <c r="V160" i="627"/>
  <c r="W160" i="627"/>
  <c r="X160" i="627"/>
  <c r="Y160" i="627"/>
  <c r="Z160" i="627"/>
  <c r="AA160" i="627"/>
  <c r="U161" i="627"/>
  <c r="V161" i="627"/>
  <c r="W161" i="627"/>
  <c r="X161" i="627"/>
  <c r="Y161" i="627"/>
  <c r="Z161" i="627"/>
  <c r="AA161" i="627"/>
  <c r="U162" i="627"/>
  <c r="V162" i="627"/>
  <c r="W162" i="627"/>
  <c r="X162" i="627"/>
  <c r="Y162" i="627"/>
  <c r="Z162" i="627"/>
  <c r="AA162" i="627"/>
  <c r="U163" i="627"/>
  <c r="V163" i="627"/>
  <c r="W163" i="627"/>
  <c r="X163" i="627"/>
  <c r="Y163" i="627"/>
  <c r="Z163" i="627"/>
  <c r="AA163" i="627"/>
  <c r="U164" i="627"/>
  <c r="V164" i="627"/>
  <c r="W164" i="627"/>
  <c r="X164" i="627"/>
  <c r="Y164" i="627"/>
  <c r="Z164" i="627"/>
  <c r="AA164" i="627"/>
  <c r="U165" i="627"/>
  <c r="V165" i="627"/>
  <c r="W165" i="627"/>
  <c r="X165" i="627"/>
  <c r="Y165" i="627"/>
  <c r="Z165" i="627"/>
  <c r="AA165" i="627"/>
  <c r="U166" i="627"/>
  <c r="V166" i="627"/>
  <c r="W166" i="627"/>
  <c r="X166" i="627"/>
  <c r="Y166" i="627"/>
  <c r="Z166" i="627"/>
  <c r="AA166" i="627"/>
  <c r="U167" i="627"/>
  <c r="V167" i="627"/>
  <c r="W167" i="627"/>
  <c r="X167" i="627"/>
  <c r="Y167" i="627"/>
  <c r="Z167" i="627"/>
  <c r="AA167" i="627"/>
  <c r="U168" i="627"/>
  <c r="V168" i="627"/>
  <c r="W168" i="627"/>
  <c r="X168" i="627"/>
  <c r="Y168" i="627"/>
  <c r="Z168" i="627"/>
  <c r="AA168" i="627"/>
  <c r="U169" i="627"/>
  <c r="V169" i="627"/>
  <c r="W169" i="627"/>
  <c r="X169" i="627"/>
  <c r="Y169" i="627"/>
  <c r="Z169" i="627"/>
  <c r="AA169" i="627"/>
  <c r="U170" i="627"/>
  <c r="V170" i="627"/>
  <c r="W170" i="627"/>
  <c r="X170" i="627"/>
  <c r="Y170" i="627"/>
  <c r="Z170" i="627"/>
  <c r="AA170" i="627"/>
  <c r="U171" i="627"/>
  <c r="V171" i="627"/>
  <c r="W171" i="627"/>
  <c r="X171" i="627"/>
  <c r="Y171" i="627"/>
  <c r="Z171" i="627"/>
  <c r="AA171" i="627"/>
  <c r="U172" i="627"/>
  <c r="V172" i="627"/>
  <c r="W172" i="627"/>
  <c r="X172" i="627"/>
  <c r="Y172" i="627"/>
  <c r="Z172" i="627"/>
  <c r="AA172" i="627"/>
  <c r="U173" i="627"/>
  <c r="V173" i="627"/>
  <c r="W173" i="627"/>
  <c r="X173" i="627"/>
  <c r="Y173" i="627"/>
  <c r="Z173" i="627"/>
  <c r="AA173" i="627"/>
  <c r="U174" i="627"/>
  <c r="V174" i="627"/>
  <c r="W174" i="627"/>
  <c r="X174" i="627"/>
  <c r="Y174" i="627"/>
  <c r="Z174" i="627"/>
  <c r="AA174" i="627"/>
  <c r="U175" i="627"/>
  <c r="V175" i="627"/>
  <c r="W175" i="627"/>
  <c r="X175" i="627"/>
  <c r="Y175" i="627"/>
  <c r="Z175" i="627"/>
  <c r="AA175" i="627"/>
  <c r="U176" i="627"/>
  <c r="V176" i="627"/>
  <c r="W176" i="627"/>
  <c r="X176" i="627"/>
  <c r="Y176" i="627"/>
  <c r="Z176" i="627"/>
  <c r="AA176" i="627"/>
  <c r="U177" i="627"/>
  <c r="V177" i="627"/>
  <c r="W177" i="627"/>
  <c r="X177" i="627"/>
  <c r="Y177" i="627"/>
  <c r="Z177" i="627"/>
  <c r="AA177" i="627"/>
  <c r="U178" i="627"/>
  <c r="V178" i="627"/>
  <c r="W178" i="627"/>
  <c r="X178" i="627"/>
  <c r="Y178" i="627"/>
  <c r="Z178" i="627"/>
  <c r="AA178" i="627"/>
  <c r="U179" i="627"/>
  <c r="V179" i="627"/>
  <c r="W179" i="627"/>
  <c r="X179" i="627"/>
  <c r="Y179" i="627"/>
  <c r="Z179" i="627"/>
  <c r="AA179" i="627"/>
  <c r="U180" i="627"/>
  <c r="V180" i="627"/>
  <c r="W180" i="627"/>
  <c r="X180" i="627"/>
  <c r="Y180" i="627"/>
  <c r="Z180" i="627"/>
  <c r="AA180" i="627"/>
  <c r="U181" i="627"/>
  <c r="V181" i="627"/>
  <c r="W181" i="627"/>
  <c r="X181" i="627"/>
  <c r="Y181" i="627"/>
  <c r="Z181" i="627"/>
  <c r="AA181" i="627"/>
  <c r="U182" i="627"/>
  <c r="V182" i="627"/>
  <c r="W182" i="627"/>
  <c r="X182" i="627"/>
  <c r="Y182" i="627"/>
  <c r="Z182" i="627"/>
  <c r="AA182" i="627"/>
  <c r="U183" i="627"/>
  <c r="V183" i="627"/>
  <c r="W183" i="627"/>
  <c r="X183" i="627"/>
  <c r="Y183" i="627"/>
  <c r="Z183" i="627"/>
  <c r="AA183" i="627"/>
  <c r="U184" i="627"/>
  <c r="V184" i="627"/>
  <c r="W184" i="627"/>
  <c r="X184" i="627"/>
  <c r="Y184" i="627"/>
  <c r="Z184" i="627"/>
  <c r="AA184" i="627"/>
  <c r="U185" i="627"/>
  <c r="V185" i="627"/>
  <c r="W185" i="627"/>
  <c r="X185" i="627"/>
  <c r="Y185" i="627"/>
  <c r="Z185" i="627"/>
  <c r="AA185" i="627"/>
  <c r="U186" i="627"/>
  <c r="V186" i="627"/>
  <c r="W186" i="627"/>
  <c r="X186" i="627"/>
  <c r="Y186" i="627"/>
  <c r="Z186" i="627"/>
  <c r="AA186" i="627"/>
  <c r="U187" i="627"/>
  <c r="V187" i="627"/>
  <c r="W187" i="627"/>
  <c r="X187" i="627"/>
  <c r="Y187" i="627"/>
  <c r="Z187" i="627"/>
  <c r="AA187" i="627"/>
  <c r="U188" i="627"/>
  <c r="V188" i="627"/>
  <c r="W188" i="627"/>
  <c r="X188" i="627"/>
  <c r="Y188" i="627"/>
  <c r="Z188" i="627"/>
  <c r="AA188" i="627"/>
  <c r="U189" i="627"/>
  <c r="V189" i="627"/>
  <c r="W189" i="627"/>
  <c r="X189" i="627"/>
  <c r="Y189" i="627"/>
  <c r="Z189" i="627"/>
  <c r="AA189" i="627"/>
  <c r="U190" i="627"/>
  <c r="V190" i="627"/>
  <c r="W190" i="627"/>
  <c r="X190" i="627"/>
  <c r="Y190" i="627"/>
  <c r="Z190" i="627"/>
  <c r="AA190" i="627"/>
  <c r="U191" i="627"/>
  <c r="V191" i="627"/>
  <c r="W191" i="627"/>
  <c r="X191" i="627"/>
  <c r="Y191" i="627"/>
  <c r="Z191" i="627"/>
  <c r="AA191" i="627"/>
  <c r="U192" i="627"/>
  <c r="V192" i="627"/>
  <c r="W192" i="627"/>
  <c r="X192" i="627"/>
  <c r="Y192" i="627"/>
  <c r="Z192" i="627"/>
  <c r="AA192" i="627"/>
  <c r="U193" i="627"/>
  <c r="V193" i="627"/>
  <c r="W193" i="627"/>
  <c r="X193" i="627"/>
  <c r="Y193" i="627"/>
  <c r="Z193" i="627"/>
  <c r="AA193" i="627"/>
  <c r="U194" i="627"/>
  <c r="V194" i="627"/>
  <c r="W194" i="627"/>
  <c r="X194" i="627"/>
  <c r="Y194" i="627"/>
  <c r="Z194" i="627"/>
  <c r="AA194" i="627"/>
  <c r="U195" i="627"/>
  <c r="V195" i="627"/>
  <c r="W195" i="627"/>
  <c r="X195" i="627"/>
  <c r="Y195" i="627"/>
  <c r="Z195" i="627"/>
  <c r="AA195" i="627"/>
  <c r="U196" i="627"/>
  <c r="V196" i="627"/>
  <c r="W196" i="627"/>
  <c r="X196" i="627"/>
  <c r="Y196" i="627"/>
  <c r="Z196" i="627"/>
  <c r="AA196" i="627"/>
  <c r="U197" i="627"/>
  <c r="V197" i="627"/>
  <c r="W197" i="627"/>
  <c r="X197" i="627"/>
  <c r="Y197" i="627"/>
  <c r="Z197" i="627"/>
  <c r="AA197" i="627"/>
  <c r="U198" i="627"/>
  <c r="V198" i="627"/>
  <c r="W198" i="627"/>
  <c r="X198" i="627"/>
  <c r="Y198" i="627"/>
  <c r="Z198" i="627"/>
  <c r="AA198" i="627"/>
  <c r="U199" i="627"/>
  <c r="V199" i="627"/>
  <c r="W199" i="627"/>
  <c r="X199" i="627"/>
  <c r="Y199" i="627"/>
  <c r="Z199" i="627"/>
  <c r="AA199" i="627"/>
  <c r="U200" i="627"/>
  <c r="V200" i="627"/>
  <c r="W200" i="627"/>
  <c r="X200" i="627"/>
  <c r="Y200" i="627"/>
  <c r="Z200" i="627"/>
  <c r="AA200" i="627"/>
  <c r="U201" i="627"/>
  <c r="V201" i="627"/>
  <c r="W201" i="627"/>
  <c r="X201" i="627"/>
  <c r="Y201" i="627"/>
  <c r="Z201" i="627"/>
  <c r="AA201" i="627"/>
  <c r="U202" i="627"/>
  <c r="V202" i="627"/>
  <c r="W202" i="627"/>
  <c r="X202" i="627"/>
  <c r="Y202" i="627"/>
  <c r="Z202" i="627"/>
  <c r="AA202" i="627"/>
  <c r="U203" i="627"/>
  <c r="V203" i="627"/>
  <c r="W203" i="627"/>
  <c r="X203" i="627"/>
  <c r="Y203" i="627"/>
  <c r="Z203" i="627"/>
  <c r="AA203" i="627"/>
  <c r="U204" i="627"/>
  <c r="V204" i="627"/>
  <c r="W204" i="627"/>
  <c r="X204" i="627"/>
  <c r="Y204" i="627"/>
  <c r="Z204" i="627"/>
  <c r="AA204" i="627"/>
  <c r="U205" i="627"/>
  <c r="V205" i="627"/>
  <c r="W205" i="627"/>
  <c r="X205" i="627"/>
  <c r="Y205" i="627"/>
  <c r="Z205" i="627"/>
  <c r="AA205" i="627"/>
  <c r="U206" i="627"/>
  <c r="V206" i="627"/>
  <c r="W206" i="627"/>
  <c r="X206" i="627"/>
  <c r="Y206" i="627"/>
  <c r="Z206" i="627"/>
  <c r="AA206" i="627"/>
  <c r="U207" i="627"/>
  <c r="V207" i="627"/>
  <c r="W207" i="627"/>
  <c r="X207" i="627"/>
  <c r="Y207" i="627"/>
  <c r="Z207" i="627"/>
  <c r="AA207" i="627"/>
  <c r="U208" i="627"/>
  <c r="V208" i="627"/>
  <c r="W208" i="627"/>
  <c r="X208" i="627"/>
  <c r="Y208" i="627"/>
  <c r="Z208" i="627"/>
  <c r="AA208" i="627"/>
  <c r="U209" i="627"/>
  <c r="V209" i="627"/>
  <c r="W209" i="627"/>
  <c r="X209" i="627"/>
  <c r="Y209" i="627"/>
  <c r="Z209" i="627"/>
  <c r="AA209" i="627"/>
  <c r="U210" i="627"/>
  <c r="V210" i="627"/>
  <c r="W210" i="627"/>
  <c r="X210" i="627"/>
  <c r="Y210" i="627"/>
  <c r="Z210" i="627"/>
  <c r="AA210" i="627"/>
  <c r="U211" i="627"/>
  <c r="V211" i="627"/>
  <c r="W211" i="627"/>
  <c r="X211" i="627"/>
  <c r="Y211" i="627"/>
  <c r="Z211" i="627"/>
  <c r="AA211" i="627"/>
  <c r="U212" i="627"/>
  <c r="V212" i="627"/>
  <c r="W212" i="627"/>
  <c r="X212" i="627"/>
  <c r="Y212" i="627"/>
  <c r="Z212" i="627"/>
  <c r="AA212" i="627"/>
  <c r="U213" i="627"/>
  <c r="V213" i="627"/>
  <c r="W213" i="627"/>
  <c r="X213" i="627"/>
  <c r="Y213" i="627"/>
  <c r="Z213" i="627"/>
  <c r="AA213" i="627"/>
  <c r="U214" i="627"/>
  <c r="V214" i="627"/>
  <c r="W214" i="627"/>
  <c r="X214" i="627"/>
  <c r="Y214" i="627"/>
  <c r="Z214" i="627"/>
  <c r="AA214" i="627"/>
  <c r="U215" i="627"/>
  <c r="V215" i="627"/>
  <c r="W215" i="627"/>
  <c r="X215" i="627"/>
  <c r="Y215" i="627"/>
  <c r="Z215" i="627"/>
  <c r="AA215" i="627"/>
  <c r="U216" i="627"/>
  <c r="V216" i="627"/>
  <c r="W216" i="627"/>
  <c r="X216" i="627"/>
  <c r="Y216" i="627"/>
  <c r="Z216" i="627"/>
  <c r="AA216" i="627"/>
  <c r="U217" i="627"/>
  <c r="V217" i="627"/>
  <c r="W217" i="627"/>
  <c r="X217" i="627"/>
  <c r="Y217" i="627"/>
  <c r="Z217" i="627"/>
  <c r="AA217" i="627"/>
  <c r="U218" i="627"/>
  <c r="V218" i="627"/>
  <c r="W218" i="627"/>
  <c r="X218" i="627"/>
  <c r="Y218" i="627"/>
  <c r="Z218" i="627"/>
  <c r="AA218" i="627"/>
  <c r="U219" i="627"/>
  <c r="V219" i="627"/>
  <c r="W219" i="627"/>
  <c r="X219" i="627"/>
  <c r="Y219" i="627"/>
  <c r="Z219" i="627"/>
  <c r="AA219" i="627"/>
  <c r="U220" i="627"/>
  <c r="V220" i="627"/>
  <c r="W220" i="627"/>
  <c r="X220" i="627"/>
  <c r="Y220" i="627"/>
  <c r="Z220" i="627"/>
  <c r="AA220" i="627"/>
  <c r="U221" i="627"/>
  <c r="V221" i="627"/>
  <c r="W221" i="627"/>
  <c r="X221" i="627"/>
  <c r="Y221" i="627"/>
  <c r="Z221" i="627"/>
  <c r="AA221" i="627"/>
  <c r="U222" i="627"/>
  <c r="V222" i="627"/>
  <c r="W222" i="627"/>
  <c r="X222" i="627"/>
  <c r="Y222" i="627"/>
  <c r="Z222" i="627"/>
  <c r="AA222" i="627"/>
  <c r="U223" i="627"/>
  <c r="V223" i="627"/>
  <c r="W223" i="627"/>
  <c r="X223" i="627"/>
  <c r="Y223" i="627"/>
  <c r="Z223" i="627"/>
  <c r="AA223" i="627"/>
  <c r="U224" i="627"/>
  <c r="V224" i="627"/>
  <c r="W224" i="627"/>
  <c r="X224" i="627"/>
  <c r="Y224" i="627"/>
  <c r="Z224" i="627"/>
  <c r="AA224" i="627"/>
  <c r="U225" i="627"/>
  <c r="V225" i="627"/>
  <c r="W225" i="627"/>
  <c r="X225" i="627"/>
  <c r="Y225" i="627"/>
  <c r="Z225" i="627"/>
  <c r="AA225" i="627"/>
  <c r="U226" i="627"/>
  <c r="V226" i="627"/>
  <c r="W226" i="627"/>
  <c r="X226" i="627"/>
  <c r="Y226" i="627"/>
  <c r="Z226" i="627"/>
  <c r="AA226" i="627"/>
  <c r="U227" i="627"/>
  <c r="V227" i="627"/>
  <c r="W227" i="627"/>
  <c r="X227" i="627"/>
  <c r="Y227" i="627"/>
  <c r="Z227" i="627"/>
  <c r="AA227" i="627"/>
  <c r="U228" i="627"/>
  <c r="V228" i="627"/>
  <c r="W228" i="627"/>
  <c r="X228" i="627"/>
  <c r="Y228" i="627"/>
  <c r="Z228" i="627"/>
  <c r="AA228" i="627"/>
  <c r="U229" i="627"/>
  <c r="V229" i="627"/>
  <c r="W229" i="627"/>
  <c r="X229" i="627"/>
  <c r="Y229" i="627"/>
  <c r="Z229" i="627"/>
  <c r="AA229" i="627"/>
  <c r="U230" i="627"/>
  <c r="V230" i="627"/>
  <c r="W230" i="627"/>
  <c r="X230" i="627"/>
  <c r="Y230" i="627"/>
  <c r="Z230" i="627"/>
  <c r="AA230" i="627"/>
  <c r="U231" i="627"/>
  <c r="V231" i="627"/>
  <c r="W231" i="627"/>
  <c r="X231" i="627"/>
  <c r="Y231" i="627"/>
  <c r="Z231" i="627"/>
  <c r="AA231" i="627"/>
  <c r="U232" i="627"/>
  <c r="V232" i="627"/>
  <c r="W232" i="627"/>
  <c r="X232" i="627"/>
  <c r="Y232" i="627"/>
  <c r="Z232" i="627"/>
  <c r="AA232" i="627"/>
  <c r="U233" i="627"/>
  <c r="V233" i="627"/>
  <c r="W233" i="627"/>
  <c r="X233" i="627"/>
  <c r="Y233" i="627"/>
  <c r="Z233" i="627"/>
  <c r="AA233" i="627"/>
  <c r="U234" i="627"/>
  <c r="V234" i="627"/>
  <c r="W234" i="627"/>
  <c r="X234" i="627"/>
  <c r="Y234" i="627"/>
  <c r="Z234" i="627"/>
  <c r="AA234" i="627"/>
  <c r="U235" i="627"/>
  <c r="V235" i="627"/>
  <c r="W235" i="627"/>
  <c r="X235" i="627"/>
  <c r="Y235" i="627"/>
  <c r="Z235" i="627"/>
  <c r="AA235" i="627"/>
  <c r="U236" i="627"/>
  <c r="V236" i="627"/>
  <c r="W236" i="627"/>
  <c r="X236" i="627"/>
  <c r="Y236" i="627"/>
  <c r="Z236" i="627"/>
  <c r="AA236" i="627"/>
  <c r="U237" i="627"/>
  <c r="V237" i="627"/>
  <c r="W237" i="627"/>
  <c r="X237" i="627"/>
  <c r="Y237" i="627"/>
  <c r="Z237" i="627"/>
  <c r="AA237" i="627"/>
  <c r="U238" i="627"/>
  <c r="V238" i="627"/>
  <c r="W238" i="627"/>
  <c r="X238" i="627"/>
  <c r="Y238" i="627"/>
  <c r="Z238" i="627"/>
  <c r="AA238" i="627"/>
  <c r="U239" i="627"/>
  <c r="V239" i="627"/>
  <c r="W239" i="627"/>
  <c r="X239" i="627"/>
  <c r="Y239" i="627"/>
  <c r="Z239" i="627"/>
  <c r="AA239" i="627"/>
  <c r="U240" i="627"/>
  <c r="V240" i="627"/>
  <c r="W240" i="627"/>
  <c r="X240" i="627"/>
  <c r="Y240" i="627"/>
  <c r="Z240" i="627"/>
  <c r="AA240" i="627"/>
  <c r="U241" i="627"/>
  <c r="V241" i="627"/>
  <c r="W241" i="627"/>
  <c r="X241" i="627"/>
  <c r="Y241" i="627"/>
  <c r="Z241" i="627"/>
  <c r="AA241" i="627"/>
  <c r="U242" i="627"/>
  <c r="V242" i="627"/>
  <c r="W242" i="627"/>
  <c r="X242" i="627"/>
  <c r="Y242" i="627"/>
  <c r="Z242" i="627"/>
  <c r="AA242" i="627"/>
  <c r="U243" i="627"/>
  <c r="V243" i="627"/>
  <c r="W243" i="627"/>
  <c r="X243" i="627"/>
  <c r="Y243" i="627"/>
  <c r="Z243" i="627"/>
  <c r="AA243" i="627"/>
  <c r="U244" i="627"/>
  <c r="V244" i="627"/>
  <c r="W244" i="627"/>
  <c r="X244" i="627"/>
  <c r="Y244" i="627"/>
  <c r="Z244" i="627"/>
  <c r="AA244" i="627"/>
  <c r="U245" i="627"/>
  <c r="V245" i="627"/>
  <c r="W245" i="627"/>
  <c r="X245" i="627"/>
  <c r="Y245" i="627"/>
  <c r="Z245" i="627"/>
  <c r="AA245" i="627"/>
  <c r="U246" i="627"/>
  <c r="V246" i="627"/>
  <c r="W246" i="627"/>
  <c r="X246" i="627"/>
  <c r="Y246" i="627"/>
  <c r="Z246" i="627"/>
  <c r="AA246" i="627"/>
  <c r="U247" i="627"/>
  <c r="V247" i="627"/>
  <c r="W247" i="627"/>
  <c r="X247" i="627"/>
  <c r="Y247" i="627"/>
  <c r="Z247" i="627"/>
  <c r="AA247" i="627"/>
  <c r="U248" i="627"/>
  <c r="V248" i="627"/>
  <c r="W248" i="627"/>
  <c r="X248" i="627"/>
  <c r="Y248" i="627"/>
  <c r="Z248" i="627"/>
  <c r="AA248" i="627"/>
  <c r="U249" i="627"/>
  <c r="V249" i="627"/>
  <c r="W249" i="627"/>
  <c r="X249" i="627"/>
  <c r="Y249" i="627"/>
  <c r="Z249" i="627"/>
  <c r="AA249" i="627"/>
  <c r="U250" i="627"/>
  <c r="V250" i="627"/>
  <c r="W250" i="627"/>
  <c r="X250" i="627"/>
  <c r="Y250" i="627"/>
  <c r="Z250" i="627"/>
  <c r="AA250" i="627"/>
  <c r="U251" i="627"/>
  <c r="V251" i="627"/>
  <c r="W251" i="627"/>
  <c r="X251" i="627"/>
  <c r="Y251" i="627"/>
  <c r="Z251" i="627"/>
  <c r="AA251" i="627"/>
  <c r="U252" i="627"/>
  <c r="V252" i="627"/>
  <c r="W252" i="627"/>
  <c r="X252" i="627"/>
  <c r="Y252" i="627"/>
  <c r="Z252" i="627"/>
  <c r="AA252" i="627"/>
  <c r="U253" i="627"/>
  <c r="V253" i="627"/>
  <c r="W253" i="627"/>
  <c r="X253" i="627"/>
  <c r="Y253" i="627"/>
  <c r="Z253" i="627"/>
  <c r="AA253" i="627"/>
  <c r="U254" i="627"/>
  <c r="V254" i="627"/>
  <c r="W254" i="627"/>
  <c r="X254" i="627"/>
  <c r="Y254" i="627"/>
  <c r="Z254" i="627"/>
  <c r="AA254" i="627"/>
  <c r="U255" i="627"/>
  <c r="V255" i="627"/>
  <c r="W255" i="627"/>
  <c r="X255" i="627"/>
  <c r="Y255" i="627"/>
  <c r="Z255" i="627"/>
  <c r="AA255" i="627"/>
  <c r="U256" i="627"/>
  <c r="V256" i="627"/>
  <c r="W256" i="627"/>
  <c r="X256" i="627"/>
  <c r="Y256" i="627"/>
  <c r="Z256" i="627"/>
  <c r="AA256" i="627"/>
  <c r="U257" i="627"/>
  <c r="V257" i="627"/>
  <c r="W257" i="627"/>
  <c r="X257" i="627"/>
  <c r="Y257" i="627"/>
  <c r="Z257" i="627"/>
  <c r="AA257" i="627"/>
  <c r="U258" i="627"/>
  <c r="V258" i="627"/>
  <c r="W258" i="627"/>
  <c r="X258" i="627"/>
  <c r="Y258" i="627"/>
  <c r="Z258" i="627"/>
  <c r="AA258" i="627"/>
  <c r="U259" i="627"/>
  <c r="V259" i="627"/>
  <c r="W259" i="627"/>
  <c r="X259" i="627"/>
  <c r="Y259" i="627"/>
  <c r="Z259" i="627"/>
  <c r="AA259" i="627"/>
  <c r="U260" i="627"/>
  <c r="V260" i="627"/>
  <c r="W260" i="627"/>
  <c r="X260" i="627"/>
  <c r="Y260" i="627"/>
  <c r="Z260" i="627"/>
  <c r="AA260" i="627"/>
  <c r="U261" i="627"/>
  <c r="V261" i="627"/>
  <c r="W261" i="627"/>
  <c r="X261" i="627"/>
  <c r="Y261" i="627"/>
  <c r="Z261" i="627"/>
  <c r="AA261" i="627"/>
  <c r="U262" i="627"/>
  <c r="V262" i="627"/>
  <c r="W262" i="627"/>
  <c r="X262" i="627"/>
  <c r="Y262" i="627"/>
  <c r="Z262" i="627"/>
  <c r="AA262" i="627"/>
  <c r="U263" i="627"/>
  <c r="V263" i="627"/>
  <c r="W263" i="627"/>
  <c r="X263" i="627"/>
  <c r="Y263" i="627"/>
  <c r="Z263" i="627"/>
  <c r="AA263" i="627"/>
  <c r="U264" i="627"/>
  <c r="V264" i="627"/>
  <c r="W264" i="627"/>
  <c r="X264" i="627"/>
  <c r="Y264" i="627"/>
  <c r="Z264" i="627"/>
  <c r="AA264" i="627"/>
  <c r="U265" i="627"/>
  <c r="V265" i="627"/>
  <c r="W265" i="627"/>
  <c r="X265" i="627"/>
  <c r="Y265" i="627"/>
  <c r="Z265" i="627"/>
  <c r="AA265" i="627"/>
  <c r="U266" i="627"/>
  <c r="V266" i="627"/>
  <c r="W266" i="627"/>
  <c r="X266" i="627"/>
  <c r="Y266" i="627"/>
  <c r="Z266" i="627"/>
  <c r="AA266" i="627"/>
  <c r="U267" i="627"/>
  <c r="V267" i="627"/>
  <c r="W267" i="627"/>
  <c r="X267" i="627"/>
  <c r="Y267" i="627"/>
  <c r="Z267" i="627"/>
  <c r="AA267" i="627"/>
  <c r="U268" i="627"/>
  <c r="V268" i="627"/>
  <c r="W268" i="627"/>
  <c r="X268" i="627"/>
  <c r="Y268" i="627"/>
  <c r="Z268" i="627"/>
  <c r="AA268" i="627"/>
  <c r="U269" i="627"/>
  <c r="V269" i="627"/>
  <c r="W269" i="627"/>
  <c r="X269" i="627"/>
  <c r="Y269" i="627"/>
  <c r="Z269" i="627"/>
  <c r="AA269" i="627"/>
  <c r="U270" i="627"/>
  <c r="V270" i="627"/>
  <c r="W270" i="627"/>
  <c r="X270" i="627"/>
  <c r="Y270" i="627"/>
  <c r="Z270" i="627"/>
  <c r="AA270" i="627"/>
  <c r="U271" i="627"/>
  <c r="V271" i="627"/>
  <c r="W271" i="627"/>
  <c r="X271" i="627"/>
  <c r="Y271" i="627"/>
  <c r="Z271" i="627"/>
  <c r="AA271" i="627"/>
  <c r="U272" i="627"/>
  <c r="V272" i="627"/>
  <c r="W272" i="627"/>
  <c r="X272" i="627"/>
  <c r="Y272" i="627"/>
  <c r="Z272" i="627"/>
  <c r="AA272" i="627"/>
  <c r="U273" i="627"/>
  <c r="V273" i="627"/>
  <c r="W273" i="627"/>
  <c r="X273" i="627"/>
  <c r="Y273" i="627"/>
  <c r="Z273" i="627"/>
  <c r="AA273" i="627"/>
  <c r="U274" i="627"/>
  <c r="V274" i="627"/>
  <c r="W274" i="627"/>
  <c r="X274" i="627"/>
  <c r="Y274" i="627"/>
  <c r="Z274" i="627"/>
  <c r="AA274" i="627"/>
  <c r="U275" i="627"/>
  <c r="V275" i="627"/>
  <c r="W275" i="627"/>
  <c r="X275" i="627"/>
  <c r="Y275" i="627"/>
  <c r="Z275" i="627"/>
  <c r="AA275" i="627"/>
  <c r="U276" i="627"/>
  <c r="V276" i="627"/>
  <c r="W276" i="627"/>
  <c r="X276" i="627"/>
  <c r="Y276" i="627"/>
  <c r="Z276" i="627"/>
  <c r="AA276" i="627"/>
  <c r="U277" i="627"/>
  <c r="V277" i="627"/>
  <c r="W277" i="627"/>
  <c r="X277" i="627"/>
  <c r="Y277" i="627"/>
  <c r="Z277" i="627"/>
  <c r="AA277" i="627"/>
  <c r="U278" i="627"/>
  <c r="V278" i="627"/>
  <c r="W278" i="627"/>
  <c r="X278" i="627"/>
  <c r="Y278" i="627"/>
  <c r="Z278" i="627"/>
  <c r="AA278" i="627"/>
  <c r="U279" i="627"/>
  <c r="V279" i="627"/>
  <c r="W279" i="627"/>
  <c r="X279" i="627"/>
  <c r="Y279" i="627"/>
  <c r="Z279" i="627"/>
  <c r="AA279" i="627"/>
  <c r="U280" i="627"/>
  <c r="V280" i="627"/>
  <c r="W280" i="627"/>
  <c r="X280" i="627"/>
  <c r="Y280" i="627"/>
  <c r="Z280" i="627"/>
  <c r="AA280" i="627"/>
  <c r="U281" i="627"/>
  <c r="V281" i="627"/>
  <c r="W281" i="627"/>
  <c r="X281" i="627"/>
  <c r="Y281" i="627"/>
  <c r="Z281" i="627"/>
  <c r="AA281" i="627"/>
  <c r="U282" i="627"/>
  <c r="V282" i="627"/>
  <c r="W282" i="627"/>
  <c r="X282" i="627"/>
  <c r="Y282" i="627"/>
  <c r="Z282" i="627"/>
  <c r="AA282" i="627"/>
  <c r="U283" i="627"/>
  <c r="V283" i="627"/>
  <c r="W283" i="627"/>
  <c r="X283" i="627"/>
  <c r="Y283" i="627"/>
  <c r="Z283" i="627"/>
  <c r="AA283" i="627"/>
  <c r="U284" i="627"/>
  <c r="V284" i="627"/>
  <c r="W284" i="627"/>
  <c r="X284" i="627"/>
  <c r="Y284" i="627"/>
  <c r="Z284" i="627"/>
  <c r="AA284" i="627"/>
  <c r="U285" i="627"/>
  <c r="V285" i="627"/>
  <c r="W285" i="627"/>
  <c r="X285" i="627"/>
  <c r="Y285" i="627"/>
  <c r="Z285" i="627"/>
  <c r="AA285" i="627"/>
  <c r="U286" i="627"/>
  <c r="V286" i="627"/>
  <c r="W286" i="627"/>
  <c r="X286" i="627"/>
  <c r="Y286" i="627"/>
  <c r="Z286" i="627"/>
  <c r="AA286" i="627"/>
  <c r="U287" i="627"/>
  <c r="V287" i="627"/>
  <c r="W287" i="627"/>
  <c r="X287" i="627"/>
  <c r="Y287" i="627"/>
  <c r="Z287" i="627"/>
  <c r="AA287" i="627"/>
  <c r="U288" i="627"/>
  <c r="V288" i="627"/>
  <c r="W288" i="627"/>
  <c r="X288" i="627"/>
  <c r="Y288" i="627"/>
  <c r="Z288" i="627"/>
  <c r="AA288" i="627"/>
  <c r="U289" i="627"/>
  <c r="V289" i="627"/>
  <c r="W289" i="627"/>
  <c r="X289" i="627"/>
  <c r="Y289" i="627"/>
  <c r="Z289" i="627"/>
  <c r="AA289" i="627"/>
  <c r="U290" i="627"/>
  <c r="V290" i="627"/>
  <c r="W290" i="627"/>
  <c r="X290" i="627"/>
  <c r="Y290" i="627"/>
  <c r="Z290" i="627"/>
  <c r="AA290" i="627"/>
  <c r="U291" i="627"/>
  <c r="V291" i="627"/>
  <c r="W291" i="627"/>
  <c r="X291" i="627"/>
  <c r="Y291" i="627"/>
  <c r="Z291" i="627"/>
  <c r="AA291" i="627"/>
  <c r="U292" i="627"/>
  <c r="V292" i="627"/>
  <c r="W292" i="627"/>
  <c r="X292" i="627"/>
  <c r="Y292" i="627"/>
  <c r="Z292" i="627"/>
  <c r="AA292" i="627"/>
  <c r="U293" i="627"/>
  <c r="V293" i="627"/>
  <c r="W293" i="627"/>
  <c r="X293" i="627"/>
  <c r="Y293" i="627"/>
  <c r="Z293" i="627"/>
  <c r="AA293" i="627"/>
  <c r="U294" i="627"/>
  <c r="V294" i="627"/>
  <c r="W294" i="627"/>
  <c r="X294" i="627"/>
  <c r="Y294" i="627"/>
  <c r="Z294" i="627"/>
  <c r="AA294" i="627"/>
  <c r="U295" i="627"/>
  <c r="V295" i="627"/>
  <c r="W295" i="627"/>
  <c r="X295" i="627"/>
  <c r="Y295" i="627"/>
  <c r="Z295" i="627"/>
  <c r="AA295" i="627"/>
  <c r="U296" i="627"/>
  <c r="V296" i="627"/>
  <c r="W296" i="627"/>
  <c r="X296" i="627"/>
  <c r="Y296" i="627"/>
  <c r="Z296" i="627"/>
  <c r="AA296" i="627"/>
  <c r="U297" i="627"/>
  <c r="V297" i="627"/>
  <c r="W297" i="627"/>
  <c r="X297" i="627"/>
  <c r="Y297" i="627"/>
  <c r="Z297" i="627"/>
  <c r="AA297" i="627"/>
  <c r="U298" i="627"/>
  <c r="V298" i="627"/>
  <c r="W298" i="627"/>
  <c r="X298" i="627"/>
  <c r="Y298" i="627"/>
  <c r="Z298" i="627"/>
  <c r="AA298" i="627"/>
  <c r="U299" i="627"/>
  <c r="V299" i="627"/>
  <c r="W299" i="627"/>
  <c r="X299" i="627"/>
  <c r="Y299" i="627"/>
  <c r="Z299" i="627"/>
  <c r="AA299" i="627"/>
  <c r="U300" i="627"/>
  <c r="V300" i="627"/>
  <c r="W300" i="627"/>
  <c r="X300" i="627"/>
  <c r="Y300" i="627"/>
  <c r="Z300" i="627"/>
  <c r="AA300" i="627"/>
  <c r="U301" i="627"/>
  <c r="V301" i="627"/>
  <c r="W301" i="627"/>
  <c r="X301" i="627"/>
  <c r="Y301" i="627"/>
  <c r="Z301" i="627"/>
  <c r="AA301" i="627"/>
  <c r="U302" i="627"/>
  <c r="V302" i="627"/>
  <c r="W302" i="627"/>
  <c r="X302" i="627"/>
  <c r="Y302" i="627"/>
  <c r="Z302" i="627"/>
  <c r="AA302" i="627"/>
  <c r="U303" i="627"/>
  <c r="V303" i="627"/>
  <c r="W303" i="627"/>
  <c r="X303" i="627"/>
  <c r="Y303" i="627"/>
  <c r="Z303" i="627"/>
  <c r="AA303" i="627"/>
  <c r="U304" i="627"/>
  <c r="V304" i="627"/>
  <c r="W304" i="627"/>
  <c r="X304" i="627"/>
  <c r="Y304" i="627"/>
  <c r="Z304" i="627"/>
  <c r="AA304" i="627"/>
  <c r="U305" i="627"/>
  <c r="V305" i="627"/>
  <c r="W305" i="627"/>
  <c r="X305" i="627"/>
  <c r="Y305" i="627"/>
  <c r="Z305" i="627"/>
  <c r="AA305" i="627"/>
  <c r="U306" i="627"/>
  <c r="V306" i="627"/>
  <c r="W306" i="627"/>
  <c r="X306" i="627"/>
  <c r="Y306" i="627"/>
  <c r="Z306" i="627"/>
  <c r="AA306" i="627"/>
  <c r="U307" i="627"/>
  <c r="V307" i="627"/>
  <c r="W307" i="627"/>
  <c r="X307" i="627"/>
  <c r="Y307" i="627"/>
  <c r="Z307" i="627"/>
  <c r="AA307" i="627"/>
  <c r="U308" i="627"/>
  <c r="V308" i="627"/>
  <c r="W308" i="627"/>
  <c r="X308" i="627"/>
  <c r="Y308" i="627"/>
  <c r="Z308" i="627"/>
  <c r="AA308" i="627"/>
  <c r="U309" i="627"/>
  <c r="V309" i="627"/>
  <c r="W309" i="627"/>
  <c r="X309" i="627"/>
  <c r="Y309" i="627"/>
  <c r="Z309" i="627"/>
  <c r="AA309" i="627"/>
  <c r="U310" i="627"/>
  <c r="V310" i="627"/>
  <c r="W310" i="627"/>
  <c r="X310" i="627"/>
  <c r="Y310" i="627"/>
  <c r="Z310" i="627"/>
  <c r="AA310" i="627"/>
  <c r="U311" i="627"/>
  <c r="V311" i="627"/>
  <c r="W311" i="627"/>
  <c r="X311" i="627"/>
  <c r="Y311" i="627"/>
  <c r="Z311" i="627"/>
  <c r="AA311" i="627"/>
  <c r="U312" i="627"/>
  <c r="V312" i="627"/>
  <c r="W312" i="627"/>
  <c r="X312" i="627"/>
  <c r="Y312" i="627"/>
  <c r="Z312" i="627"/>
  <c r="AA312" i="627"/>
  <c r="U313" i="627"/>
  <c r="V313" i="627"/>
  <c r="W313" i="627"/>
  <c r="X313" i="627"/>
  <c r="Y313" i="627"/>
  <c r="Z313" i="627"/>
  <c r="AA313" i="627"/>
  <c r="U314" i="627"/>
  <c r="V314" i="627"/>
  <c r="W314" i="627"/>
  <c r="X314" i="627"/>
  <c r="Y314" i="627"/>
  <c r="Z314" i="627"/>
  <c r="AA314" i="627"/>
  <c r="U315" i="627"/>
  <c r="V315" i="627"/>
  <c r="W315" i="627"/>
  <c r="X315" i="627"/>
  <c r="Y315" i="627"/>
  <c r="Z315" i="627"/>
  <c r="AA315" i="627"/>
  <c r="U316" i="627"/>
  <c r="V316" i="627"/>
  <c r="W316" i="627"/>
  <c r="X316" i="627"/>
  <c r="Y316" i="627"/>
  <c r="Z316" i="627"/>
  <c r="AA316" i="627"/>
  <c r="U317" i="627"/>
  <c r="V317" i="627"/>
  <c r="W317" i="627"/>
  <c r="X317" i="627"/>
  <c r="Y317" i="627"/>
  <c r="Z317" i="627"/>
  <c r="AA317" i="627"/>
  <c r="U318" i="627"/>
  <c r="V318" i="627"/>
  <c r="W318" i="627"/>
  <c r="X318" i="627"/>
  <c r="Y318" i="627"/>
  <c r="Z318" i="627"/>
  <c r="AA318" i="627"/>
  <c r="U319" i="627"/>
  <c r="V319" i="627"/>
  <c r="W319" i="627"/>
  <c r="X319" i="627"/>
  <c r="Y319" i="627"/>
  <c r="Z319" i="627"/>
  <c r="AA319" i="627"/>
  <c r="U320" i="627"/>
  <c r="V320" i="627"/>
  <c r="W320" i="627"/>
  <c r="X320" i="627"/>
  <c r="Y320" i="627"/>
  <c r="Z320" i="627"/>
  <c r="AA320" i="627"/>
  <c r="U321" i="627"/>
  <c r="V321" i="627"/>
  <c r="W321" i="627"/>
  <c r="X321" i="627"/>
  <c r="Y321" i="627"/>
  <c r="Z321" i="627"/>
  <c r="AA321" i="627"/>
  <c r="U322" i="627"/>
  <c r="V322" i="627"/>
  <c r="W322" i="627"/>
  <c r="X322" i="627"/>
  <c r="Y322" i="627"/>
  <c r="Z322" i="627"/>
  <c r="AA322" i="627"/>
  <c r="U323" i="627"/>
  <c r="V323" i="627"/>
  <c r="W323" i="627"/>
  <c r="X323" i="627"/>
  <c r="Y323" i="627"/>
  <c r="Z323" i="627"/>
  <c r="AA323" i="627"/>
  <c r="U324" i="627"/>
  <c r="V324" i="627"/>
  <c r="W324" i="627"/>
  <c r="X324" i="627"/>
  <c r="Y324" i="627"/>
  <c r="Z324" i="627"/>
  <c r="AA324" i="627"/>
  <c r="U325" i="627"/>
  <c r="V325" i="627"/>
  <c r="W325" i="627"/>
  <c r="X325" i="627"/>
  <c r="Y325" i="627"/>
  <c r="Z325" i="627"/>
  <c r="AA325" i="627"/>
  <c r="U326" i="627"/>
  <c r="V326" i="627"/>
  <c r="W326" i="627"/>
  <c r="X326" i="627"/>
  <c r="Y326" i="627"/>
  <c r="Z326" i="627"/>
  <c r="AA326" i="627"/>
  <c r="U327" i="627"/>
  <c r="V327" i="627"/>
  <c r="W327" i="627"/>
  <c r="X327" i="627"/>
  <c r="Y327" i="627"/>
  <c r="Z327" i="627"/>
  <c r="AA327" i="627"/>
  <c r="U328" i="627"/>
  <c r="V328" i="627"/>
  <c r="W328" i="627"/>
  <c r="X328" i="627"/>
  <c r="Y328" i="627"/>
  <c r="Z328" i="627"/>
  <c r="AA328" i="627"/>
  <c r="U329" i="627"/>
  <c r="V329" i="627"/>
  <c r="W329" i="627"/>
  <c r="X329" i="627"/>
  <c r="Y329" i="627"/>
  <c r="Z329" i="627"/>
  <c r="AA329" i="627"/>
  <c r="U330" i="627"/>
  <c r="V330" i="627"/>
  <c r="W330" i="627"/>
  <c r="X330" i="627"/>
  <c r="Y330" i="627"/>
  <c r="Z330" i="627"/>
  <c r="AA330" i="627"/>
  <c r="U331" i="627"/>
  <c r="V331" i="627"/>
  <c r="W331" i="627"/>
  <c r="X331" i="627"/>
  <c r="Y331" i="627"/>
  <c r="Z331" i="627"/>
  <c r="AA331" i="627"/>
  <c r="U332" i="627"/>
  <c r="V332" i="627"/>
  <c r="W332" i="627"/>
  <c r="X332" i="627"/>
  <c r="Y332" i="627"/>
  <c r="Z332" i="627"/>
  <c r="AA332" i="627"/>
  <c r="U333" i="627"/>
  <c r="V333" i="627"/>
  <c r="W333" i="627"/>
  <c r="X333" i="627"/>
  <c r="Y333" i="627"/>
  <c r="Z333" i="627"/>
  <c r="AA333" i="627"/>
  <c r="U334" i="627"/>
  <c r="V334" i="627"/>
  <c r="W334" i="627"/>
  <c r="X334" i="627"/>
  <c r="Y334" i="627"/>
  <c r="Z334" i="627"/>
  <c r="AA334" i="627"/>
  <c r="U335" i="627"/>
  <c r="V335" i="627"/>
  <c r="W335" i="627"/>
  <c r="X335" i="627"/>
  <c r="Y335" i="627"/>
  <c r="Z335" i="627"/>
  <c r="AA335" i="627"/>
  <c r="U336" i="627"/>
  <c r="V336" i="627"/>
  <c r="W336" i="627"/>
  <c r="X336" i="627"/>
  <c r="Y336" i="627"/>
  <c r="Z336" i="627"/>
  <c r="AA336" i="627"/>
  <c r="U337" i="627"/>
  <c r="V337" i="627"/>
  <c r="W337" i="627"/>
  <c r="X337" i="627"/>
  <c r="Y337" i="627"/>
  <c r="Z337" i="627"/>
  <c r="AA337" i="627"/>
  <c r="U338" i="627"/>
  <c r="V338" i="627"/>
  <c r="W338" i="627"/>
  <c r="X338" i="627"/>
  <c r="Y338" i="627"/>
  <c r="Z338" i="627"/>
  <c r="AA338" i="627"/>
  <c r="U339" i="627"/>
  <c r="V339" i="627"/>
  <c r="W339" i="627"/>
  <c r="X339" i="627"/>
  <c r="Y339" i="627"/>
  <c r="Z339" i="627"/>
  <c r="AA339" i="627"/>
  <c r="U340" i="627"/>
  <c r="V340" i="627"/>
  <c r="W340" i="627"/>
  <c r="X340" i="627"/>
  <c r="Y340" i="627"/>
  <c r="Z340" i="627"/>
  <c r="AA340" i="627"/>
  <c r="U341" i="627"/>
  <c r="V341" i="627"/>
  <c r="W341" i="627"/>
  <c r="X341" i="627"/>
  <c r="Y341" i="627"/>
  <c r="Z341" i="627"/>
  <c r="AA341" i="627"/>
  <c r="U342" i="627"/>
  <c r="V342" i="627"/>
  <c r="W342" i="627"/>
  <c r="X342" i="627"/>
  <c r="Y342" i="627"/>
  <c r="Z342" i="627"/>
  <c r="AA342" i="627"/>
  <c r="U343" i="627"/>
  <c r="V343" i="627"/>
  <c r="W343" i="627"/>
  <c r="X343" i="627"/>
  <c r="Y343" i="627"/>
  <c r="Z343" i="627"/>
  <c r="AA343" i="627"/>
  <c r="U344" i="627"/>
  <c r="V344" i="627"/>
  <c r="W344" i="627"/>
  <c r="X344" i="627"/>
  <c r="Y344" i="627"/>
  <c r="Z344" i="627"/>
  <c r="AA344" i="627"/>
  <c r="U345" i="627"/>
  <c r="V345" i="627"/>
  <c r="W345" i="627"/>
  <c r="X345" i="627"/>
  <c r="Y345" i="627"/>
  <c r="Z345" i="627"/>
  <c r="AA345" i="627"/>
  <c r="U346" i="627"/>
  <c r="V346" i="627"/>
  <c r="W346" i="627"/>
  <c r="X346" i="627"/>
  <c r="Y346" i="627"/>
  <c r="Z346" i="627"/>
  <c r="AA346" i="627"/>
  <c r="U347" i="627"/>
  <c r="V347" i="627"/>
  <c r="W347" i="627"/>
  <c r="X347" i="627"/>
  <c r="Y347" i="627"/>
  <c r="Z347" i="627"/>
  <c r="AA347" i="627"/>
  <c r="U348" i="627"/>
  <c r="V348" i="627"/>
  <c r="W348" i="627"/>
  <c r="X348" i="627"/>
  <c r="Y348" i="627"/>
  <c r="Z348" i="627"/>
  <c r="AA348" i="627"/>
  <c r="U349" i="627"/>
  <c r="V349" i="627"/>
  <c r="W349" i="627"/>
  <c r="X349" i="627"/>
  <c r="Y349" i="627"/>
  <c r="Z349" i="627"/>
  <c r="AA349" i="627"/>
  <c r="U350" i="627"/>
  <c r="V350" i="627"/>
  <c r="W350" i="627"/>
  <c r="X350" i="627"/>
  <c r="Y350" i="627"/>
  <c r="Z350" i="627"/>
  <c r="AA350" i="627"/>
  <c r="U351" i="627"/>
  <c r="V351" i="627"/>
  <c r="W351" i="627"/>
  <c r="X351" i="627"/>
  <c r="Y351" i="627"/>
  <c r="Z351" i="627"/>
  <c r="AA351" i="627"/>
  <c r="U352" i="627"/>
  <c r="V352" i="627"/>
  <c r="W352" i="627"/>
  <c r="X352" i="627"/>
  <c r="Y352" i="627"/>
  <c r="Z352" i="627"/>
  <c r="AA352" i="627"/>
  <c r="U353" i="627"/>
  <c r="V353" i="627"/>
  <c r="W353" i="627"/>
  <c r="X353" i="627"/>
  <c r="Y353" i="627"/>
  <c r="Z353" i="627"/>
  <c r="AA353" i="627"/>
  <c r="U354" i="627"/>
  <c r="V354" i="627"/>
  <c r="W354" i="627"/>
  <c r="X354" i="627"/>
  <c r="Y354" i="627"/>
  <c r="Z354" i="627"/>
  <c r="AA354" i="627"/>
  <c r="U355" i="627"/>
  <c r="V355" i="627"/>
  <c r="W355" i="627"/>
  <c r="X355" i="627"/>
  <c r="Y355" i="627"/>
  <c r="Z355" i="627"/>
  <c r="AA355" i="627"/>
  <c r="U356" i="627"/>
  <c r="V356" i="627"/>
  <c r="W356" i="627"/>
  <c r="X356" i="627"/>
  <c r="Y356" i="627"/>
  <c r="Z356" i="627"/>
  <c r="AA356" i="627"/>
  <c r="U357" i="627"/>
  <c r="V357" i="627"/>
  <c r="W357" i="627"/>
  <c r="X357" i="627"/>
  <c r="Y357" i="627"/>
  <c r="Z357" i="627"/>
  <c r="AA357" i="627"/>
  <c r="U358" i="627"/>
  <c r="V358" i="627"/>
  <c r="W358" i="627"/>
  <c r="X358" i="627"/>
  <c r="Y358" i="627"/>
  <c r="Z358" i="627"/>
  <c r="AA358" i="627"/>
  <c r="U359" i="627"/>
  <c r="V359" i="627"/>
  <c r="W359" i="627"/>
  <c r="X359" i="627"/>
  <c r="Y359" i="627"/>
  <c r="Z359" i="627"/>
  <c r="AA359" i="627"/>
  <c r="U360" i="627"/>
  <c r="V360" i="627"/>
  <c r="W360" i="627"/>
  <c r="X360" i="627"/>
  <c r="Y360" i="627"/>
  <c r="Z360" i="627"/>
  <c r="AA360" i="627"/>
  <c r="U361" i="627"/>
  <c r="V361" i="627"/>
  <c r="W361" i="627"/>
  <c r="X361" i="627"/>
  <c r="Y361" i="627"/>
  <c r="Z361" i="627"/>
  <c r="AA361" i="627"/>
  <c r="U362" i="627"/>
  <c r="V362" i="627"/>
  <c r="W362" i="627"/>
  <c r="X362" i="627"/>
  <c r="Y362" i="627"/>
  <c r="Z362" i="627"/>
  <c r="AA362" i="627"/>
  <c r="U363" i="627"/>
  <c r="V363" i="627"/>
  <c r="W363" i="627"/>
  <c r="X363" i="627"/>
  <c r="Y363" i="627"/>
  <c r="Z363" i="627"/>
  <c r="AA363" i="627"/>
  <c r="U364" i="627"/>
  <c r="V364" i="627"/>
  <c r="W364" i="627"/>
  <c r="X364" i="627"/>
  <c r="Y364" i="627"/>
  <c r="Z364" i="627"/>
  <c r="AA364" i="627"/>
  <c r="U365" i="627"/>
  <c r="V365" i="627"/>
  <c r="W365" i="627"/>
  <c r="X365" i="627"/>
  <c r="Y365" i="627"/>
  <c r="Z365" i="627"/>
  <c r="AA365" i="627"/>
  <c r="U366" i="627"/>
  <c r="V366" i="627"/>
  <c r="W366" i="627"/>
  <c r="X366" i="627"/>
  <c r="Y366" i="627"/>
  <c r="Z366" i="627"/>
  <c r="AA366" i="627"/>
  <c r="U367" i="627"/>
  <c r="V367" i="627"/>
  <c r="W367" i="627"/>
  <c r="X367" i="627"/>
  <c r="Y367" i="627"/>
  <c r="Z367" i="627"/>
  <c r="AA367" i="627"/>
  <c r="U368" i="627"/>
  <c r="V368" i="627"/>
  <c r="W368" i="627"/>
  <c r="X368" i="627"/>
  <c r="Y368" i="627"/>
  <c r="Z368" i="627"/>
  <c r="AA368" i="627"/>
  <c r="U369" i="627"/>
  <c r="V369" i="627"/>
  <c r="W369" i="627"/>
  <c r="X369" i="627"/>
  <c r="Y369" i="627"/>
  <c r="Z369" i="627"/>
  <c r="AA369" i="627"/>
  <c r="U370" i="627"/>
  <c r="V370" i="627"/>
  <c r="W370" i="627"/>
  <c r="X370" i="627"/>
  <c r="Y370" i="627"/>
  <c r="Z370" i="627"/>
  <c r="AA370" i="627"/>
  <c r="U371" i="627"/>
  <c r="V371" i="627"/>
  <c r="W371" i="627"/>
  <c r="X371" i="627"/>
  <c r="Y371" i="627"/>
  <c r="Z371" i="627"/>
  <c r="AA371" i="627"/>
  <c r="U372" i="627"/>
  <c r="V372" i="627"/>
  <c r="W372" i="627"/>
  <c r="X372" i="627"/>
  <c r="Y372" i="627"/>
  <c r="Z372" i="627"/>
  <c r="AA372" i="627"/>
  <c r="U373" i="627"/>
  <c r="V373" i="627"/>
  <c r="W373" i="627"/>
  <c r="X373" i="627"/>
  <c r="Y373" i="627"/>
  <c r="Z373" i="627"/>
  <c r="AA373" i="627"/>
  <c r="U374" i="627"/>
  <c r="V374" i="627"/>
  <c r="W374" i="627"/>
  <c r="X374" i="627"/>
  <c r="Y374" i="627"/>
  <c r="Z374" i="627"/>
  <c r="AA374" i="627"/>
  <c r="U375" i="627"/>
  <c r="V375" i="627"/>
  <c r="W375" i="627"/>
  <c r="X375" i="627"/>
  <c r="Y375" i="627"/>
  <c r="Z375" i="627"/>
  <c r="AA375" i="627"/>
  <c r="U376" i="627"/>
  <c r="V376" i="627"/>
  <c r="W376" i="627"/>
  <c r="X376" i="627"/>
  <c r="Y376" i="627"/>
  <c r="Z376" i="627"/>
  <c r="AA376" i="627"/>
  <c r="U377" i="627"/>
  <c r="V377" i="627"/>
  <c r="W377" i="627"/>
  <c r="X377" i="627"/>
  <c r="Y377" i="627"/>
  <c r="Z377" i="627"/>
  <c r="AA377" i="627"/>
  <c r="U378" i="627"/>
  <c r="V378" i="627"/>
  <c r="W378" i="627"/>
  <c r="X378" i="627"/>
  <c r="Y378" i="627"/>
  <c r="Z378" i="627"/>
  <c r="AA378" i="627"/>
  <c r="U379" i="627"/>
  <c r="V379" i="627"/>
  <c r="W379" i="627"/>
  <c r="X379" i="627"/>
  <c r="Y379" i="627"/>
  <c r="Z379" i="627"/>
  <c r="AA379" i="627"/>
  <c r="U380" i="627"/>
  <c r="V380" i="627"/>
  <c r="W380" i="627"/>
  <c r="X380" i="627"/>
  <c r="Y380" i="627"/>
  <c r="Z380" i="627"/>
  <c r="AA380" i="627"/>
  <c r="U381" i="627"/>
  <c r="V381" i="627"/>
  <c r="W381" i="627"/>
  <c r="X381" i="627"/>
  <c r="Y381" i="627"/>
  <c r="Z381" i="627"/>
  <c r="AA381" i="627"/>
  <c r="U382" i="627"/>
  <c r="V382" i="627"/>
  <c r="W382" i="627"/>
  <c r="X382" i="627"/>
  <c r="Y382" i="627"/>
  <c r="Z382" i="627"/>
  <c r="AA382" i="627"/>
  <c r="U383" i="627"/>
  <c r="V383" i="627"/>
  <c r="W383" i="627"/>
  <c r="X383" i="627"/>
  <c r="Y383" i="627"/>
  <c r="Z383" i="627"/>
  <c r="AA383" i="627"/>
  <c r="U384" i="627"/>
  <c r="V384" i="627"/>
  <c r="W384" i="627"/>
  <c r="X384" i="627"/>
  <c r="Y384" i="627"/>
  <c r="Z384" i="627"/>
  <c r="AA384" i="627"/>
  <c r="U385" i="627"/>
  <c r="V385" i="627"/>
  <c r="W385" i="627"/>
  <c r="X385" i="627"/>
  <c r="Y385" i="627"/>
  <c r="Z385" i="627"/>
  <c r="AA385" i="627"/>
  <c r="U386" i="627"/>
  <c r="V386" i="627"/>
  <c r="W386" i="627"/>
  <c r="X386" i="627"/>
  <c r="Y386" i="627"/>
  <c r="Z386" i="627"/>
  <c r="AA386" i="627"/>
  <c r="U387" i="627"/>
  <c r="V387" i="627"/>
  <c r="W387" i="627"/>
  <c r="X387" i="627"/>
  <c r="Y387" i="627"/>
  <c r="Z387" i="627"/>
  <c r="AA387" i="627"/>
  <c r="U388" i="627"/>
  <c r="V388" i="627"/>
  <c r="W388" i="627"/>
  <c r="X388" i="627"/>
  <c r="Y388" i="627"/>
  <c r="Z388" i="627"/>
  <c r="AA388" i="627"/>
  <c r="U389" i="627"/>
  <c r="V389" i="627"/>
  <c r="W389" i="627"/>
  <c r="X389" i="627"/>
  <c r="Y389" i="627"/>
  <c r="Z389" i="627"/>
  <c r="AA389" i="627"/>
  <c r="U390" i="627"/>
  <c r="V390" i="627"/>
  <c r="W390" i="627"/>
  <c r="X390" i="627"/>
  <c r="Y390" i="627"/>
  <c r="Z390" i="627"/>
  <c r="AA390" i="627"/>
  <c r="U391" i="627"/>
  <c r="V391" i="627"/>
  <c r="W391" i="627"/>
  <c r="X391" i="627"/>
  <c r="Y391" i="627"/>
  <c r="Z391" i="627"/>
  <c r="AA391" i="627"/>
  <c r="U392" i="627"/>
  <c r="V392" i="627"/>
  <c r="W392" i="627"/>
  <c r="X392" i="627"/>
  <c r="Y392" i="627"/>
  <c r="Z392" i="627"/>
  <c r="AA392" i="627"/>
  <c r="U393" i="627"/>
  <c r="V393" i="627"/>
  <c r="W393" i="627"/>
  <c r="X393" i="627"/>
  <c r="Y393" i="627"/>
  <c r="Z393" i="627"/>
  <c r="AA393" i="627"/>
  <c r="U394" i="627"/>
  <c r="V394" i="627"/>
  <c r="W394" i="627"/>
  <c r="X394" i="627"/>
  <c r="Y394" i="627"/>
  <c r="Z394" i="627"/>
  <c r="AA394" i="627"/>
  <c r="U395" i="627"/>
  <c r="V395" i="627"/>
  <c r="W395" i="627"/>
  <c r="X395" i="627"/>
  <c r="Y395" i="627"/>
  <c r="Z395" i="627"/>
  <c r="AA395" i="627"/>
  <c r="U396" i="627"/>
  <c r="V396" i="627"/>
  <c r="W396" i="627"/>
  <c r="X396" i="627"/>
  <c r="Y396" i="627"/>
  <c r="Z396" i="627"/>
  <c r="AA396" i="627"/>
  <c r="U397" i="627"/>
  <c r="V397" i="627"/>
  <c r="W397" i="627"/>
  <c r="X397" i="627"/>
  <c r="Y397" i="627"/>
  <c r="Z397" i="627"/>
  <c r="AA397" i="627"/>
  <c r="U398" i="627"/>
  <c r="V398" i="627"/>
  <c r="W398" i="627"/>
  <c r="X398" i="627"/>
  <c r="Y398" i="627"/>
  <c r="Z398" i="627"/>
  <c r="AA398" i="627"/>
  <c r="U399" i="627"/>
  <c r="V399" i="627"/>
  <c r="W399" i="627"/>
  <c r="X399" i="627"/>
  <c r="Y399" i="627"/>
  <c r="Z399" i="627"/>
  <c r="AA399" i="627"/>
  <c r="U400" i="627"/>
  <c r="V400" i="627"/>
  <c r="W400" i="627"/>
  <c r="X400" i="627"/>
  <c r="Y400" i="627"/>
  <c r="Z400" i="627"/>
  <c r="AA400" i="627"/>
  <c r="U401" i="627"/>
  <c r="V401" i="627"/>
  <c r="W401" i="627"/>
  <c r="X401" i="627"/>
  <c r="Y401" i="627"/>
  <c r="Z401" i="627"/>
  <c r="AA401" i="627"/>
  <c r="U402" i="627"/>
  <c r="V402" i="627"/>
  <c r="W402" i="627"/>
  <c r="X402" i="627"/>
  <c r="Y402" i="627"/>
  <c r="Z402" i="627"/>
  <c r="AA402" i="627"/>
  <c r="U403" i="627"/>
  <c r="V403" i="627"/>
  <c r="W403" i="627"/>
  <c r="X403" i="627"/>
  <c r="Y403" i="627"/>
  <c r="Z403" i="627"/>
  <c r="AA403" i="627"/>
  <c r="U404" i="627"/>
  <c r="V404" i="627"/>
  <c r="W404" i="627"/>
  <c r="X404" i="627"/>
  <c r="Y404" i="627"/>
  <c r="Z404" i="627"/>
  <c r="AA404" i="627"/>
  <c r="U405" i="627"/>
  <c r="V405" i="627"/>
  <c r="W405" i="627"/>
  <c r="X405" i="627"/>
  <c r="Y405" i="627"/>
  <c r="Z405" i="627"/>
  <c r="AA405" i="627"/>
  <c r="U406" i="627"/>
  <c r="V406" i="627"/>
  <c r="W406" i="627"/>
  <c r="X406" i="627"/>
  <c r="Y406" i="627"/>
  <c r="Z406" i="627"/>
  <c r="AA406" i="627"/>
  <c r="U407" i="627"/>
  <c r="V407" i="627"/>
  <c r="W407" i="627"/>
  <c r="X407" i="627"/>
  <c r="Y407" i="627"/>
  <c r="Z407" i="627"/>
  <c r="AA407" i="627"/>
  <c r="U408" i="627"/>
  <c r="V408" i="627"/>
  <c r="W408" i="627"/>
  <c r="X408" i="627"/>
  <c r="Y408" i="627"/>
  <c r="Z408" i="627"/>
  <c r="AA408" i="627"/>
  <c r="U409" i="627"/>
  <c r="V409" i="627"/>
  <c r="W409" i="627"/>
  <c r="X409" i="627"/>
  <c r="Y409" i="627"/>
  <c r="Z409" i="627"/>
  <c r="AA409" i="627"/>
  <c r="U410" i="627"/>
  <c r="V410" i="627"/>
  <c r="W410" i="627"/>
  <c r="X410" i="627"/>
  <c r="Y410" i="627"/>
  <c r="Z410" i="627"/>
  <c r="AA410" i="627"/>
  <c r="U411" i="627"/>
  <c r="V411" i="627"/>
  <c r="W411" i="627"/>
  <c r="X411" i="627"/>
  <c r="Y411" i="627"/>
  <c r="Z411" i="627"/>
  <c r="AA411" i="627"/>
  <c r="U412" i="627"/>
  <c r="V412" i="627"/>
  <c r="W412" i="627"/>
  <c r="X412" i="627"/>
  <c r="Y412" i="627"/>
  <c r="Z412" i="627"/>
  <c r="AA412" i="627"/>
  <c r="U413" i="627"/>
  <c r="V413" i="627"/>
  <c r="W413" i="627"/>
  <c r="X413" i="627"/>
  <c r="Y413" i="627"/>
  <c r="Z413" i="627"/>
  <c r="AA413" i="627"/>
  <c r="U414" i="627"/>
  <c r="V414" i="627"/>
  <c r="W414" i="627"/>
  <c r="X414" i="627"/>
  <c r="Y414" i="627"/>
  <c r="Z414" i="627"/>
  <c r="AA414" i="627"/>
  <c r="U415" i="627"/>
  <c r="V415" i="627"/>
  <c r="W415" i="627"/>
  <c r="X415" i="627"/>
  <c r="Y415" i="627"/>
  <c r="Z415" i="627"/>
  <c r="AA415" i="627"/>
  <c r="U416" i="627"/>
  <c r="V416" i="627"/>
  <c r="W416" i="627"/>
  <c r="X416" i="627"/>
  <c r="Y416" i="627"/>
  <c r="Z416" i="627"/>
  <c r="AA416" i="627"/>
  <c r="U417" i="627"/>
  <c r="V417" i="627"/>
  <c r="W417" i="627"/>
  <c r="X417" i="627"/>
  <c r="Y417" i="627"/>
  <c r="Z417" i="627"/>
  <c r="AA417" i="627"/>
  <c r="U418" i="627"/>
  <c r="V418" i="627"/>
  <c r="W418" i="627"/>
  <c r="X418" i="627"/>
  <c r="Y418" i="627"/>
  <c r="Z418" i="627"/>
  <c r="AA418" i="627"/>
  <c r="U419" i="627"/>
  <c r="V419" i="627"/>
  <c r="W419" i="627"/>
  <c r="X419" i="627"/>
  <c r="Y419" i="627"/>
  <c r="Z419" i="627"/>
  <c r="AA419" i="627"/>
  <c r="U420" i="627"/>
  <c r="V420" i="627"/>
  <c r="W420" i="627"/>
  <c r="X420" i="627"/>
  <c r="Y420" i="627"/>
  <c r="Z420" i="627"/>
  <c r="AA420" i="627"/>
  <c r="U421" i="627"/>
  <c r="V421" i="627"/>
  <c r="W421" i="627"/>
  <c r="X421" i="627"/>
  <c r="Y421" i="627"/>
  <c r="Z421" i="627"/>
  <c r="AA421" i="627"/>
  <c r="U422" i="627"/>
  <c r="V422" i="627"/>
  <c r="W422" i="627"/>
  <c r="X422" i="627"/>
  <c r="Y422" i="627"/>
  <c r="Z422" i="627"/>
  <c r="AA422" i="627"/>
  <c r="U423" i="627"/>
  <c r="V423" i="627"/>
  <c r="W423" i="627"/>
  <c r="X423" i="627"/>
  <c r="Y423" i="627"/>
  <c r="Z423" i="627"/>
  <c r="AA423" i="627"/>
  <c r="U424" i="627"/>
  <c r="V424" i="627"/>
  <c r="W424" i="627"/>
  <c r="X424" i="627"/>
  <c r="Y424" i="627"/>
  <c r="Z424" i="627"/>
  <c r="AA424" i="627"/>
  <c r="U425" i="627"/>
  <c r="V425" i="627"/>
  <c r="W425" i="627"/>
  <c r="X425" i="627"/>
  <c r="Y425" i="627"/>
  <c r="Z425" i="627"/>
  <c r="AA425" i="627"/>
  <c r="U426" i="627"/>
  <c r="V426" i="627"/>
  <c r="W426" i="627"/>
  <c r="X426" i="627"/>
  <c r="Y426" i="627"/>
  <c r="Z426" i="627"/>
  <c r="AA426" i="627"/>
  <c r="U427" i="627"/>
  <c r="V427" i="627"/>
  <c r="W427" i="627"/>
  <c r="X427" i="627"/>
  <c r="Y427" i="627"/>
  <c r="Z427" i="627"/>
  <c r="AA427" i="627"/>
  <c r="U428" i="627"/>
  <c r="V428" i="627"/>
  <c r="W428" i="627"/>
  <c r="X428" i="627"/>
  <c r="Y428" i="627"/>
  <c r="Z428" i="627"/>
  <c r="AA428" i="627"/>
  <c r="U429" i="627"/>
  <c r="V429" i="627"/>
  <c r="W429" i="627"/>
  <c r="X429" i="627"/>
  <c r="Y429" i="627"/>
  <c r="Z429" i="627"/>
  <c r="AA429" i="627"/>
  <c r="U430" i="627"/>
  <c r="V430" i="627"/>
  <c r="W430" i="627"/>
  <c r="X430" i="627"/>
  <c r="Y430" i="627"/>
  <c r="Z430" i="627"/>
  <c r="AA430" i="627"/>
  <c r="U431" i="627"/>
  <c r="V431" i="627"/>
  <c r="W431" i="627"/>
  <c r="X431" i="627"/>
  <c r="Y431" i="627"/>
  <c r="Z431" i="627"/>
  <c r="AA431" i="627"/>
  <c r="U432" i="627"/>
  <c r="V432" i="627"/>
  <c r="W432" i="627"/>
  <c r="X432" i="627"/>
  <c r="Y432" i="627"/>
  <c r="Z432" i="627"/>
  <c r="AA432" i="627"/>
  <c r="U433" i="627"/>
  <c r="V433" i="627"/>
  <c r="W433" i="627"/>
  <c r="X433" i="627"/>
  <c r="Y433" i="627"/>
  <c r="Z433" i="627"/>
  <c r="AA433" i="627"/>
  <c r="U434" i="627"/>
  <c r="V434" i="627"/>
  <c r="W434" i="627"/>
  <c r="X434" i="627"/>
  <c r="Y434" i="627"/>
  <c r="Z434" i="627"/>
  <c r="AA434" i="627"/>
  <c r="U435" i="627"/>
  <c r="V435" i="627"/>
  <c r="W435" i="627"/>
  <c r="X435" i="627"/>
  <c r="Y435" i="627"/>
  <c r="Z435" i="627"/>
  <c r="AA435" i="627"/>
  <c r="U436" i="627"/>
  <c r="V436" i="627"/>
  <c r="W436" i="627"/>
  <c r="X436" i="627"/>
  <c r="Y436" i="627"/>
  <c r="Z436" i="627"/>
  <c r="AA436" i="627"/>
  <c r="U437" i="627"/>
  <c r="V437" i="627"/>
  <c r="W437" i="627"/>
  <c r="X437" i="627"/>
  <c r="Y437" i="627"/>
  <c r="Z437" i="627"/>
  <c r="AA437" i="627"/>
  <c r="U438" i="627"/>
  <c r="V438" i="627"/>
  <c r="W438" i="627"/>
  <c r="X438" i="627"/>
  <c r="Y438" i="627"/>
  <c r="Z438" i="627"/>
  <c r="AA438" i="627"/>
  <c r="U439" i="627"/>
  <c r="V439" i="627"/>
  <c r="W439" i="627"/>
  <c r="X439" i="627"/>
  <c r="Y439" i="627"/>
  <c r="Z439" i="627"/>
  <c r="AA439" i="627"/>
  <c r="U440" i="627"/>
  <c r="V440" i="627"/>
  <c r="W440" i="627"/>
  <c r="X440" i="627"/>
  <c r="Y440" i="627"/>
  <c r="Z440" i="627"/>
  <c r="AA440" i="627"/>
  <c r="U441" i="627"/>
  <c r="V441" i="627"/>
  <c r="W441" i="627"/>
  <c r="X441" i="627"/>
  <c r="Y441" i="627"/>
  <c r="Z441" i="627"/>
  <c r="AA441" i="627"/>
  <c r="U442" i="627"/>
  <c r="V442" i="627"/>
  <c r="W442" i="627"/>
  <c r="X442" i="627"/>
  <c r="Y442" i="627"/>
  <c r="Z442" i="627"/>
  <c r="AA442" i="627"/>
  <c r="U443" i="627"/>
  <c r="V443" i="627"/>
  <c r="W443" i="627"/>
  <c r="X443" i="627"/>
  <c r="Y443" i="627"/>
  <c r="Z443" i="627"/>
  <c r="AA443" i="627"/>
  <c r="U444" i="627"/>
  <c r="V444" i="627"/>
  <c r="W444" i="627"/>
  <c r="X444" i="627"/>
  <c r="Y444" i="627"/>
  <c r="Z444" i="627"/>
  <c r="AA444" i="627"/>
  <c r="U445" i="627"/>
  <c r="V445" i="627"/>
  <c r="W445" i="627"/>
  <c r="X445" i="627"/>
  <c r="Y445" i="627"/>
  <c r="Z445" i="627"/>
  <c r="AA445" i="627"/>
  <c r="U446" i="627"/>
  <c r="V446" i="627"/>
  <c r="W446" i="627"/>
  <c r="X446" i="627"/>
  <c r="Y446" i="627"/>
  <c r="Z446" i="627"/>
  <c r="AA446" i="627"/>
  <c r="U447" i="627"/>
  <c r="V447" i="627"/>
  <c r="W447" i="627"/>
  <c r="X447" i="627"/>
  <c r="Y447" i="627"/>
  <c r="Z447" i="627"/>
  <c r="AA447" i="627"/>
  <c r="U448" i="627"/>
  <c r="V448" i="627"/>
  <c r="W448" i="627"/>
  <c r="X448" i="627"/>
  <c r="Y448" i="627"/>
  <c r="Z448" i="627"/>
  <c r="AA448" i="627"/>
  <c r="U449" i="627"/>
  <c r="V449" i="627"/>
  <c r="W449" i="627"/>
  <c r="X449" i="627"/>
  <c r="Y449" i="627"/>
  <c r="Z449" i="627"/>
  <c r="AA449" i="627"/>
  <c r="U450" i="627"/>
  <c r="V450" i="627"/>
  <c r="W450" i="627"/>
  <c r="X450" i="627"/>
  <c r="Y450" i="627"/>
  <c r="Z450" i="627"/>
  <c r="AA450" i="627"/>
  <c r="U451" i="627"/>
  <c r="V451" i="627"/>
  <c r="W451" i="627"/>
  <c r="X451" i="627"/>
  <c r="Y451" i="627"/>
  <c r="Z451" i="627"/>
  <c r="AA451" i="627"/>
  <c r="U452" i="627"/>
  <c r="V452" i="627"/>
  <c r="W452" i="627"/>
  <c r="X452" i="627"/>
  <c r="Y452" i="627"/>
  <c r="Z452" i="627"/>
  <c r="AA452" i="627"/>
  <c r="U453" i="627"/>
  <c r="V453" i="627"/>
  <c r="W453" i="627"/>
  <c r="X453" i="627"/>
  <c r="Y453" i="627"/>
  <c r="Z453" i="627"/>
  <c r="AA453" i="627"/>
  <c r="U454" i="627"/>
  <c r="V454" i="627"/>
  <c r="W454" i="627"/>
  <c r="X454" i="627"/>
  <c r="Y454" i="627"/>
  <c r="Z454" i="627"/>
  <c r="AA454" i="627"/>
  <c r="U455" i="627"/>
  <c r="V455" i="627"/>
  <c r="W455" i="627"/>
  <c r="X455" i="627"/>
  <c r="Y455" i="627"/>
  <c r="Z455" i="627"/>
  <c r="AA455" i="627"/>
  <c r="U456" i="627"/>
  <c r="V456" i="627"/>
  <c r="W456" i="627"/>
  <c r="X456" i="627"/>
  <c r="Y456" i="627"/>
  <c r="Z456" i="627"/>
  <c r="AA456" i="627"/>
  <c r="U457" i="627"/>
  <c r="V457" i="627"/>
  <c r="W457" i="627"/>
  <c r="X457" i="627"/>
  <c r="Y457" i="627"/>
  <c r="Z457" i="627"/>
  <c r="AA457" i="627"/>
  <c r="U458" i="627"/>
  <c r="V458" i="627"/>
  <c r="W458" i="627"/>
  <c r="X458" i="627"/>
  <c r="Y458" i="627"/>
  <c r="Z458" i="627"/>
  <c r="AA458" i="627"/>
  <c r="U459" i="627"/>
  <c r="V459" i="627"/>
  <c r="W459" i="627"/>
  <c r="X459" i="627"/>
  <c r="Y459" i="627"/>
  <c r="Z459" i="627"/>
  <c r="AA459" i="627"/>
  <c r="U460" i="627"/>
  <c r="V460" i="627"/>
  <c r="W460" i="627"/>
  <c r="X460" i="627"/>
  <c r="Y460" i="627"/>
  <c r="Z460" i="627"/>
  <c r="AA460" i="627"/>
  <c r="U461" i="627"/>
  <c r="V461" i="627"/>
  <c r="W461" i="627"/>
  <c r="X461" i="627"/>
  <c r="Y461" i="627"/>
  <c r="Z461" i="627"/>
  <c r="AA461" i="627"/>
  <c r="U462" i="627"/>
  <c r="V462" i="627"/>
  <c r="W462" i="627"/>
  <c r="X462" i="627"/>
  <c r="Y462" i="627"/>
  <c r="Z462" i="627"/>
  <c r="AA462" i="627"/>
  <c r="U463" i="627"/>
  <c r="V463" i="627"/>
  <c r="W463" i="627"/>
  <c r="X463" i="627"/>
  <c r="Y463" i="627"/>
  <c r="Z463" i="627"/>
  <c r="AA463" i="627"/>
  <c r="U464" i="627"/>
  <c r="V464" i="627"/>
  <c r="W464" i="627"/>
  <c r="X464" i="627"/>
  <c r="Y464" i="627"/>
  <c r="Z464" i="627"/>
  <c r="AA464" i="627"/>
  <c r="U465" i="627"/>
  <c r="V465" i="627"/>
  <c r="W465" i="627"/>
  <c r="X465" i="627"/>
  <c r="Y465" i="627"/>
  <c r="Z465" i="627"/>
  <c r="AA465" i="627"/>
  <c r="U466" i="627"/>
  <c r="V466" i="627"/>
  <c r="W466" i="627"/>
  <c r="X466" i="627"/>
  <c r="Y466" i="627"/>
  <c r="Z466" i="627"/>
  <c r="AA466" i="627"/>
  <c r="U467" i="627"/>
  <c r="V467" i="627"/>
  <c r="W467" i="627"/>
  <c r="X467" i="627"/>
  <c r="Y467" i="627"/>
  <c r="Z467" i="627"/>
  <c r="AA467" i="627"/>
  <c r="U468" i="627"/>
  <c r="V468" i="627"/>
  <c r="W468" i="627"/>
  <c r="X468" i="627"/>
  <c r="Y468" i="627"/>
  <c r="Z468" i="627"/>
  <c r="AA468" i="627"/>
  <c r="U469" i="627"/>
  <c r="V469" i="627"/>
  <c r="W469" i="627"/>
  <c r="X469" i="627"/>
  <c r="Y469" i="627"/>
  <c r="Z469" i="627"/>
  <c r="AA469" i="627"/>
  <c r="U470" i="627"/>
  <c r="V470" i="627"/>
  <c r="W470" i="627"/>
  <c r="X470" i="627"/>
  <c r="Y470" i="627"/>
  <c r="Z470" i="627"/>
  <c r="AA470" i="627"/>
  <c r="U471" i="627"/>
  <c r="V471" i="627"/>
  <c r="W471" i="627"/>
  <c r="X471" i="627"/>
  <c r="Y471" i="627"/>
  <c r="Z471" i="627"/>
  <c r="AA471" i="627"/>
  <c r="U472" i="627"/>
  <c r="V472" i="627"/>
  <c r="W472" i="627"/>
  <c r="X472" i="627"/>
  <c r="Y472" i="627"/>
  <c r="Z472" i="627"/>
  <c r="AA472" i="627"/>
  <c r="U473" i="627"/>
  <c r="V473" i="627"/>
  <c r="W473" i="627"/>
  <c r="X473" i="627"/>
  <c r="Y473" i="627"/>
  <c r="Z473" i="627"/>
  <c r="AA473" i="627"/>
  <c r="U474" i="627"/>
  <c r="V474" i="627"/>
  <c r="W474" i="627"/>
  <c r="X474" i="627"/>
  <c r="Y474" i="627"/>
  <c r="Z474" i="627"/>
  <c r="AA474" i="627"/>
  <c r="U475" i="627"/>
  <c r="V475" i="627"/>
  <c r="W475" i="627"/>
  <c r="X475" i="627"/>
  <c r="Y475" i="627"/>
  <c r="Z475" i="627"/>
  <c r="AA475" i="627"/>
  <c r="U476" i="627"/>
  <c r="V476" i="627"/>
  <c r="W476" i="627"/>
  <c r="X476" i="627"/>
  <c r="Y476" i="627"/>
  <c r="Z476" i="627"/>
  <c r="AA476" i="627"/>
  <c r="U477" i="627"/>
  <c r="V477" i="627"/>
  <c r="W477" i="627"/>
  <c r="X477" i="627"/>
  <c r="Y477" i="627"/>
  <c r="Z477" i="627"/>
  <c r="AA477" i="627"/>
  <c r="U478" i="627"/>
  <c r="V478" i="627"/>
  <c r="W478" i="627"/>
  <c r="X478" i="627"/>
  <c r="Y478" i="627"/>
  <c r="Z478" i="627"/>
  <c r="AA478" i="627"/>
  <c r="U479" i="627"/>
  <c r="V479" i="627"/>
  <c r="W479" i="627"/>
  <c r="X479" i="627"/>
  <c r="Y479" i="627"/>
  <c r="Z479" i="627"/>
  <c r="AA479" i="627"/>
  <c r="U480" i="627"/>
  <c r="V480" i="627"/>
  <c r="W480" i="627"/>
  <c r="X480" i="627"/>
  <c r="Y480" i="627"/>
  <c r="Z480" i="627"/>
  <c r="AA480" i="627"/>
  <c r="U481" i="627"/>
  <c r="V481" i="627"/>
  <c r="W481" i="627"/>
  <c r="X481" i="627"/>
  <c r="Y481" i="627"/>
  <c r="Z481" i="627"/>
  <c r="AA481" i="627"/>
  <c r="U482" i="627"/>
  <c r="V482" i="627"/>
  <c r="W482" i="627"/>
  <c r="X482" i="627"/>
  <c r="Y482" i="627"/>
  <c r="Z482" i="627"/>
  <c r="AA482" i="627"/>
  <c r="U483" i="627"/>
  <c r="V483" i="627"/>
  <c r="W483" i="627"/>
  <c r="X483" i="627"/>
  <c r="Y483" i="627"/>
  <c r="Z483" i="627"/>
  <c r="AA483" i="627"/>
  <c r="U484" i="627"/>
  <c r="V484" i="627"/>
  <c r="W484" i="627"/>
  <c r="X484" i="627"/>
  <c r="Y484" i="627"/>
  <c r="Z484" i="627"/>
  <c r="AA484" i="627"/>
  <c r="U485" i="627"/>
  <c r="V485" i="627"/>
  <c r="W485" i="627"/>
  <c r="X485" i="627"/>
  <c r="Y485" i="627"/>
  <c r="Z485" i="627"/>
  <c r="AA485" i="627"/>
  <c r="U486" i="627"/>
  <c r="V486" i="627"/>
  <c r="W486" i="627"/>
  <c r="X486" i="627"/>
  <c r="Y486" i="627"/>
  <c r="Z486" i="627"/>
  <c r="AA486" i="627"/>
  <c r="U487" i="627"/>
  <c r="V487" i="627"/>
  <c r="W487" i="627"/>
  <c r="X487" i="627"/>
  <c r="Y487" i="627"/>
  <c r="Z487" i="627"/>
  <c r="AA487" i="627"/>
  <c r="U488" i="627"/>
  <c r="V488" i="627"/>
  <c r="W488" i="627"/>
  <c r="X488" i="627"/>
  <c r="Y488" i="627"/>
  <c r="Z488" i="627"/>
  <c r="AA488" i="627"/>
  <c r="U489" i="627"/>
  <c r="V489" i="627"/>
  <c r="W489" i="627"/>
  <c r="X489" i="627"/>
  <c r="Y489" i="627"/>
  <c r="Z489" i="627"/>
  <c r="AA489" i="627"/>
  <c r="U490" i="627"/>
  <c r="V490" i="627"/>
  <c r="W490" i="627"/>
  <c r="X490" i="627"/>
  <c r="Y490" i="627"/>
  <c r="Z490" i="627"/>
  <c r="AA490" i="627"/>
  <c r="U491" i="627"/>
  <c r="V491" i="627"/>
  <c r="W491" i="627"/>
  <c r="X491" i="627"/>
  <c r="Y491" i="627"/>
  <c r="Z491" i="627"/>
  <c r="AA491" i="627"/>
  <c r="U492" i="627"/>
  <c r="V492" i="627"/>
  <c r="W492" i="627"/>
  <c r="X492" i="627"/>
  <c r="Y492" i="627"/>
  <c r="Z492" i="627"/>
  <c r="AA492" i="627"/>
  <c r="U493" i="627"/>
  <c r="V493" i="627"/>
  <c r="W493" i="627"/>
  <c r="X493" i="627"/>
  <c r="Y493" i="627"/>
  <c r="Z493" i="627"/>
  <c r="AA493" i="627"/>
  <c r="U494" i="627"/>
  <c r="V494" i="627"/>
  <c r="W494" i="627"/>
  <c r="X494" i="627"/>
  <c r="Y494" i="627"/>
  <c r="Z494" i="627"/>
  <c r="AA494" i="627"/>
  <c r="U495" i="627"/>
  <c r="V495" i="627"/>
  <c r="W495" i="627"/>
  <c r="X495" i="627"/>
  <c r="Y495" i="627"/>
  <c r="Z495" i="627"/>
  <c r="AA495" i="627"/>
  <c r="U496" i="627"/>
  <c r="V496" i="627"/>
  <c r="W496" i="627"/>
  <c r="X496" i="627"/>
  <c r="Y496" i="627"/>
  <c r="Z496" i="627"/>
  <c r="AA496" i="627"/>
  <c r="U497" i="627"/>
  <c r="V497" i="627"/>
  <c r="W497" i="627"/>
  <c r="X497" i="627"/>
  <c r="Y497" i="627"/>
  <c r="Z497" i="627"/>
  <c r="AA497" i="627"/>
  <c r="U498" i="627"/>
  <c r="V498" i="627"/>
  <c r="W498" i="627"/>
  <c r="X498" i="627"/>
  <c r="Y498" i="627"/>
  <c r="Z498" i="627"/>
  <c r="AA498" i="627"/>
  <c r="U499" i="627"/>
  <c r="V499" i="627"/>
  <c r="W499" i="627"/>
  <c r="X499" i="627"/>
  <c r="Y499" i="627"/>
  <c r="Z499" i="627"/>
  <c r="AA499" i="627"/>
  <c r="U500" i="627"/>
  <c r="V500" i="627"/>
  <c r="W500" i="627"/>
  <c r="X500" i="627"/>
  <c r="Y500" i="627"/>
  <c r="Z500" i="627"/>
  <c r="AA500" i="627"/>
  <c r="U501" i="627"/>
  <c r="V501" i="627"/>
  <c r="W501" i="627"/>
  <c r="X501" i="627"/>
  <c r="Y501" i="627"/>
  <c r="Z501" i="627"/>
  <c r="AA501" i="627"/>
  <c r="U502" i="627"/>
  <c r="V502" i="627"/>
  <c r="W502" i="627"/>
  <c r="X502" i="627"/>
  <c r="Y502" i="627"/>
  <c r="Z502" i="627"/>
  <c r="AA502" i="627"/>
  <c r="U503" i="627"/>
  <c r="V503" i="627"/>
  <c r="W503" i="627"/>
  <c r="X503" i="627"/>
  <c r="Y503" i="627"/>
  <c r="Z503" i="627"/>
  <c r="AA503" i="627"/>
  <c r="U504" i="627"/>
  <c r="V504" i="627"/>
  <c r="W504" i="627"/>
  <c r="X504" i="627"/>
  <c r="Y504" i="627"/>
  <c r="Z504" i="627"/>
  <c r="AA504" i="627"/>
  <c r="U505" i="627"/>
  <c r="V505" i="627"/>
  <c r="W505" i="627"/>
  <c r="X505" i="627"/>
  <c r="Y505" i="627"/>
  <c r="Z505" i="627"/>
  <c r="AA505" i="627"/>
  <c r="U506" i="627"/>
  <c r="V506" i="627"/>
  <c r="W506" i="627"/>
  <c r="X506" i="627"/>
  <c r="Y506" i="627"/>
  <c r="Z506" i="627"/>
  <c r="AA506" i="627"/>
  <c r="U507" i="627"/>
  <c r="V507" i="627"/>
  <c r="W507" i="627"/>
  <c r="X507" i="627"/>
  <c r="Y507" i="627"/>
  <c r="Z507" i="627"/>
  <c r="AA507" i="627"/>
  <c r="U508" i="627"/>
  <c r="V508" i="627"/>
  <c r="W508" i="627"/>
  <c r="X508" i="627"/>
  <c r="Y508" i="627"/>
  <c r="Z508" i="627"/>
  <c r="AA508" i="627"/>
  <c r="U509" i="627"/>
  <c r="V509" i="627"/>
  <c r="W509" i="627"/>
  <c r="X509" i="627"/>
  <c r="Y509" i="627"/>
  <c r="Z509" i="627"/>
  <c r="AA509" i="627"/>
  <c r="U510" i="627"/>
  <c r="V510" i="627"/>
  <c r="W510" i="627"/>
  <c r="X510" i="627"/>
  <c r="Y510" i="627"/>
  <c r="Z510" i="627"/>
  <c r="AA510" i="627"/>
  <c r="U511" i="627"/>
  <c r="V511" i="627"/>
  <c r="W511" i="627"/>
  <c r="X511" i="627"/>
  <c r="Y511" i="627"/>
  <c r="Z511" i="627"/>
  <c r="AA511" i="627"/>
  <c r="U512" i="627"/>
  <c r="V512" i="627"/>
  <c r="W512" i="627"/>
  <c r="X512" i="627"/>
  <c r="Y512" i="627"/>
  <c r="Z512" i="627"/>
  <c r="AA512" i="627"/>
  <c r="U513" i="627"/>
  <c r="V513" i="627"/>
  <c r="W513" i="627"/>
  <c r="X513" i="627"/>
  <c r="Y513" i="627"/>
  <c r="Z513" i="627"/>
  <c r="AA513" i="627"/>
  <c r="U514" i="627"/>
  <c r="V514" i="627"/>
  <c r="W514" i="627"/>
  <c r="X514" i="627"/>
  <c r="Y514" i="627"/>
  <c r="Z514" i="627"/>
  <c r="AA514" i="627"/>
  <c r="U515" i="627"/>
  <c r="V515" i="627"/>
  <c r="W515" i="627"/>
  <c r="X515" i="627"/>
  <c r="Y515" i="627"/>
  <c r="Z515" i="627"/>
  <c r="AA515" i="627"/>
  <c r="U516" i="627"/>
  <c r="V516" i="627"/>
  <c r="W516" i="627"/>
  <c r="X516" i="627"/>
  <c r="Y516" i="627"/>
  <c r="Z516" i="627"/>
  <c r="AA516" i="627"/>
  <c r="U517" i="627"/>
  <c r="V517" i="627"/>
  <c r="W517" i="627"/>
  <c r="X517" i="627"/>
  <c r="Y517" i="627"/>
  <c r="Z517" i="627"/>
  <c r="AA517" i="627"/>
  <c r="U518" i="627"/>
  <c r="V518" i="627"/>
  <c r="W518" i="627"/>
  <c r="X518" i="627"/>
  <c r="Y518" i="627"/>
  <c r="Z518" i="627"/>
  <c r="AA518" i="627"/>
  <c r="U519" i="627"/>
  <c r="V519" i="627"/>
  <c r="W519" i="627"/>
  <c r="X519" i="627"/>
  <c r="Y519" i="627"/>
  <c r="Z519" i="627"/>
  <c r="AA519" i="627"/>
  <c r="U520" i="627"/>
  <c r="V520" i="627"/>
  <c r="W520" i="627"/>
  <c r="X520" i="627"/>
  <c r="Y520" i="627"/>
  <c r="Z520" i="627"/>
  <c r="AA520" i="627"/>
  <c r="U521" i="627"/>
  <c r="V521" i="627"/>
  <c r="W521" i="627"/>
  <c r="X521" i="627"/>
  <c r="Y521" i="627"/>
  <c r="Z521" i="627"/>
  <c r="AA521" i="627"/>
  <c r="U522" i="627"/>
  <c r="V522" i="627"/>
  <c r="W522" i="627"/>
  <c r="X522" i="627"/>
  <c r="Y522" i="627"/>
  <c r="Z522" i="627"/>
  <c r="AA522" i="627"/>
  <c r="U523" i="627"/>
  <c r="V523" i="627"/>
  <c r="W523" i="627"/>
  <c r="X523" i="627"/>
  <c r="Y523" i="627"/>
  <c r="Z523" i="627"/>
  <c r="AA523" i="627"/>
  <c r="U524" i="627"/>
  <c r="V524" i="627"/>
  <c r="W524" i="627"/>
  <c r="X524" i="627"/>
  <c r="Y524" i="627"/>
  <c r="Z524" i="627"/>
  <c r="AA524" i="627"/>
  <c r="U525" i="627"/>
  <c r="V525" i="627"/>
  <c r="W525" i="627"/>
  <c r="X525" i="627"/>
  <c r="Y525" i="627"/>
  <c r="Z525" i="627"/>
  <c r="AA525" i="627"/>
  <c r="U526" i="627"/>
  <c r="V526" i="627"/>
  <c r="W526" i="627"/>
  <c r="X526" i="627"/>
  <c r="Y526" i="627"/>
  <c r="Z526" i="627"/>
  <c r="AA526" i="627"/>
  <c r="U527" i="627"/>
  <c r="V527" i="627"/>
  <c r="W527" i="627"/>
  <c r="X527" i="627"/>
  <c r="Y527" i="627"/>
  <c r="Z527" i="627"/>
  <c r="AA527" i="627"/>
  <c r="U528" i="627"/>
  <c r="V528" i="627"/>
  <c r="W528" i="627"/>
  <c r="X528" i="627"/>
  <c r="Y528" i="627"/>
  <c r="Z528" i="627"/>
  <c r="AA528" i="627"/>
  <c r="U529" i="627"/>
  <c r="V529" i="627"/>
  <c r="W529" i="627"/>
  <c r="X529" i="627"/>
  <c r="Y529" i="627"/>
  <c r="Z529" i="627"/>
  <c r="AA529" i="627"/>
  <c r="U530" i="627"/>
  <c r="V530" i="627"/>
  <c r="W530" i="627"/>
  <c r="X530" i="627"/>
  <c r="Y530" i="627"/>
  <c r="Z530" i="627"/>
  <c r="AA530" i="627"/>
  <c r="U531" i="627"/>
  <c r="V531" i="627"/>
  <c r="W531" i="627"/>
  <c r="X531" i="627"/>
  <c r="Y531" i="627"/>
  <c r="Z531" i="627"/>
  <c r="AA531" i="627"/>
  <c r="U532" i="627"/>
  <c r="V532" i="627"/>
  <c r="W532" i="627"/>
  <c r="X532" i="627"/>
  <c r="Y532" i="627"/>
  <c r="Z532" i="627"/>
  <c r="AA532" i="627"/>
  <c r="U533" i="627"/>
  <c r="V533" i="627"/>
  <c r="W533" i="627"/>
  <c r="X533" i="627"/>
  <c r="Y533" i="627"/>
  <c r="Z533" i="627"/>
  <c r="AA533" i="627"/>
  <c r="U534" i="627"/>
  <c r="V534" i="627"/>
  <c r="W534" i="627"/>
  <c r="X534" i="627"/>
  <c r="Y534" i="627"/>
  <c r="Z534" i="627"/>
  <c r="AA534" i="627"/>
  <c r="U535" i="627"/>
  <c r="V535" i="627"/>
  <c r="W535" i="627"/>
  <c r="X535" i="627"/>
  <c r="Y535" i="627"/>
  <c r="Z535" i="627"/>
  <c r="AA535" i="627"/>
  <c r="U536" i="627"/>
  <c r="V536" i="627"/>
  <c r="W536" i="627"/>
  <c r="X536" i="627"/>
  <c r="Y536" i="627"/>
  <c r="Z536" i="627"/>
  <c r="AA536" i="627"/>
  <c r="U537" i="627"/>
  <c r="V537" i="627"/>
  <c r="W537" i="627"/>
  <c r="X537" i="627"/>
  <c r="Y537" i="627"/>
  <c r="Z537" i="627"/>
  <c r="AA537" i="627"/>
  <c r="U538" i="627"/>
  <c r="V538" i="627"/>
  <c r="W538" i="627"/>
  <c r="X538" i="627"/>
  <c r="Y538" i="627"/>
  <c r="Z538" i="627"/>
  <c r="AA538" i="627"/>
  <c r="U539" i="627"/>
  <c r="V539" i="627"/>
  <c r="W539" i="627"/>
  <c r="X539" i="627"/>
  <c r="Y539" i="627"/>
  <c r="Z539" i="627"/>
  <c r="AA539" i="627"/>
  <c r="U540" i="627"/>
  <c r="V540" i="627"/>
  <c r="W540" i="627"/>
  <c r="X540" i="627"/>
  <c r="Y540" i="627"/>
  <c r="Z540" i="627"/>
  <c r="AA540" i="627"/>
  <c r="U541" i="627"/>
  <c r="V541" i="627"/>
  <c r="W541" i="627"/>
  <c r="X541" i="627"/>
  <c r="Y541" i="627"/>
  <c r="Z541" i="627"/>
  <c r="AA541" i="627"/>
  <c r="U542" i="627"/>
  <c r="V542" i="627"/>
  <c r="W542" i="627"/>
  <c r="X542" i="627"/>
  <c r="Y542" i="627"/>
  <c r="Z542" i="627"/>
  <c r="AA542" i="627"/>
  <c r="U543" i="627"/>
  <c r="V543" i="627"/>
  <c r="W543" i="627"/>
  <c r="X543" i="627"/>
  <c r="Y543" i="627"/>
  <c r="Z543" i="627"/>
  <c r="AA543" i="627"/>
  <c r="U544" i="627"/>
  <c r="V544" i="627"/>
  <c r="W544" i="627"/>
  <c r="X544" i="627"/>
  <c r="Y544" i="627"/>
  <c r="Z544" i="627"/>
  <c r="AA544" i="627"/>
  <c r="U545" i="627"/>
  <c r="V545" i="627"/>
  <c r="W545" i="627"/>
  <c r="X545" i="627"/>
  <c r="Y545" i="627"/>
  <c r="Z545" i="627"/>
  <c r="AA545" i="627"/>
  <c r="U546" i="627"/>
  <c r="V546" i="627"/>
  <c r="W546" i="627"/>
  <c r="X546" i="627"/>
  <c r="Y546" i="627"/>
  <c r="Z546" i="627"/>
  <c r="AA546" i="627"/>
  <c r="U547" i="627"/>
  <c r="V547" i="627"/>
  <c r="W547" i="627"/>
  <c r="X547" i="627"/>
  <c r="Y547" i="627"/>
  <c r="Z547" i="627"/>
  <c r="AA547" i="627"/>
  <c r="U548" i="627"/>
  <c r="V548" i="627"/>
  <c r="W548" i="627"/>
  <c r="X548" i="627"/>
  <c r="Y548" i="627"/>
  <c r="Z548" i="627"/>
  <c r="AA548" i="627"/>
  <c r="U549" i="627"/>
  <c r="V549" i="627"/>
  <c r="W549" i="627"/>
  <c r="X549" i="627"/>
  <c r="Y549" i="627"/>
  <c r="Z549" i="627"/>
  <c r="AA549" i="627"/>
  <c r="U550" i="627"/>
  <c r="V550" i="627"/>
  <c r="W550" i="627"/>
  <c r="X550" i="627"/>
  <c r="Y550" i="627"/>
  <c r="Z550" i="627"/>
  <c r="AA550" i="627"/>
  <c r="U551" i="627"/>
  <c r="V551" i="627"/>
  <c r="W551" i="627"/>
  <c r="X551" i="627"/>
  <c r="Y551" i="627"/>
  <c r="Z551" i="627"/>
  <c r="AA551" i="627"/>
  <c r="U552" i="627"/>
  <c r="V552" i="627"/>
  <c r="W552" i="627"/>
  <c r="X552" i="627"/>
  <c r="Y552" i="627"/>
  <c r="Z552" i="627"/>
  <c r="AA552" i="627"/>
  <c r="U553" i="627"/>
  <c r="V553" i="627"/>
  <c r="W553" i="627"/>
  <c r="X553" i="627"/>
  <c r="Y553" i="627"/>
  <c r="Z553" i="627"/>
  <c r="AA553" i="627"/>
  <c r="U554" i="627"/>
  <c r="V554" i="627"/>
  <c r="W554" i="627"/>
  <c r="X554" i="627"/>
  <c r="Y554" i="627"/>
  <c r="Z554" i="627"/>
  <c r="AA554" i="627"/>
  <c r="U555" i="627"/>
  <c r="V555" i="627"/>
  <c r="W555" i="627"/>
  <c r="X555" i="627"/>
  <c r="Y555" i="627"/>
  <c r="Z555" i="627"/>
  <c r="AA555" i="627"/>
  <c r="U556" i="627"/>
  <c r="V556" i="627"/>
  <c r="W556" i="627"/>
  <c r="X556" i="627"/>
  <c r="Y556" i="627"/>
  <c r="Z556" i="627"/>
  <c r="AA556" i="627"/>
  <c r="U557" i="627"/>
  <c r="V557" i="627"/>
  <c r="W557" i="627"/>
  <c r="X557" i="627"/>
  <c r="Y557" i="627"/>
  <c r="Z557" i="627"/>
  <c r="AA557" i="627"/>
  <c r="U558" i="627"/>
  <c r="V558" i="627"/>
  <c r="W558" i="627"/>
  <c r="X558" i="627"/>
  <c r="Y558" i="627"/>
  <c r="Z558" i="627"/>
  <c r="AA558" i="627"/>
  <c r="U559" i="627"/>
  <c r="V559" i="627"/>
  <c r="W559" i="627"/>
  <c r="X559" i="627"/>
  <c r="Y559" i="627"/>
  <c r="Z559" i="627"/>
  <c r="AA559" i="627"/>
  <c r="U560" i="627"/>
  <c r="V560" i="627"/>
  <c r="W560" i="627"/>
  <c r="X560" i="627"/>
  <c r="Y560" i="627"/>
  <c r="Z560" i="627"/>
  <c r="AA560" i="627"/>
  <c r="U561" i="627"/>
  <c r="V561" i="627"/>
  <c r="W561" i="627"/>
  <c r="X561" i="627"/>
  <c r="Y561" i="627"/>
  <c r="Z561" i="627"/>
  <c r="AA561" i="627"/>
  <c r="U562" i="627"/>
  <c r="V562" i="627"/>
  <c r="W562" i="627"/>
  <c r="X562" i="627"/>
  <c r="Y562" i="627"/>
  <c r="Z562" i="627"/>
  <c r="AA562" i="627"/>
  <c r="U563" i="627"/>
  <c r="V563" i="627"/>
  <c r="W563" i="627"/>
  <c r="X563" i="627"/>
  <c r="Y563" i="627"/>
  <c r="Z563" i="627"/>
  <c r="AA563" i="627"/>
  <c r="U564" i="627"/>
  <c r="V564" i="627"/>
  <c r="W564" i="627"/>
  <c r="X564" i="627"/>
  <c r="Y564" i="627"/>
  <c r="Z564" i="627"/>
  <c r="AA564" i="627"/>
  <c r="U565" i="627"/>
  <c r="V565" i="627"/>
  <c r="W565" i="627"/>
  <c r="X565" i="627"/>
  <c r="Y565" i="627"/>
  <c r="Z565" i="627"/>
  <c r="AA565" i="627"/>
  <c r="U566" i="627"/>
  <c r="V566" i="627"/>
  <c r="W566" i="627"/>
  <c r="X566" i="627"/>
  <c r="Y566" i="627"/>
  <c r="Z566" i="627"/>
  <c r="AA566" i="627"/>
  <c r="U567" i="627"/>
  <c r="V567" i="627"/>
  <c r="W567" i="627"/>
  <c r="X567" i="627"/>
  <c r="Y567" i="627"/>
  <c r="Z567" i="627"/>
  <c r="AA567" i="627"/>
  <c r="U568" i="627"/>
  <c r="V568" i="627"/>
  <c r="W568" i="627"/>
  <c r="X568" i="627"/>
  <c r="Y568" i="627"/>
  <c r="Z568" i="627"/>
  <c r="AA568" i="627"/>
  <c r="U569" i="627"/>
  <c r="V569" i="627"/>
  <c r="W569" i="627"/>
  <c r="X569" i="627"/>
  <c r="Y569" i="627"/>
  <c r="Z569" i="627"/>
  <c r="AA569" i="627"/>
  <c r="U570" i="627"/>
  <c r="V570" i="627"/>
  <c r="W570" i="627"/>
  <c r="X570" i="627"/>
  <c r="Y570" i="627"/>
  <c r="Z570" i="627"/>
  <c r="AA570" i="627"/>
  <c r="U571" i="627"/>
  <c r="V571" i="627"/>
  <c r="W571" i="627"/>
  <c r="X571" i="627"/>
  <c r="Y571" i="627"/>
  <c r="Z571" i="627"/>
  <c r="AA571" i="627"/>
  <c r="U572" i="627"/>
  <c r="V572" i="627"/>
  <c r="W572" i="627"/>
  <c r="X572" i="627"/>
  <c r="Y572" i="627"/>
  <c r="Z572" i="627"/>
  <c r="AA572" i="627"/>
  <c r="U573" i="627"/>
  <c r="V573" i="627"/>
  <c r="W573" i="627"/>
  <c r="X573" i="627"/>
  <c r="Y573" i="627"/>
  <c r="Z573" i="627"/>
  <c r="AA573" i="627"/>
  <c r="U574" i="627"/>
  <c r="V574" i="627"/>
  <c r="W574" i="627"/>
  <c r="X574" i="627"/>
  <c r="Y574" i="627"/>
  <c r="Z574" i="627"/>
  <c r="AA574" i="627"/>
  <c r="U575" i="627"/>
  <c r="V575" i="627"/>
  <c r="W575" i="627"/>
  <c r="X575" i="627"/>
  <c r="Y575" i="627"/>
  <c r="Z575" i="627"/>
  <c r="AA575" i="627"/>
  <c r="U576" i="627"/>
  <c r="V576" i="627"/>
  <c r="W576" i="627"/>
  <c r="X576" i="627"/>
  <c r="Y576" i="627"/>
  <c r="Z576" i="627"/>
  <c r="AA576" i="627"/>
  <c r="U577" i="627"/>
  <c r="V577" i="627"/>
  <c r="W577" i="627"/>
  <c r="X577" i="627"/>
  <c r="Y577" i="627"/>
  <c r="Z577" i="627"/>
  <c r="AA577" i="627"/>
  <c r="U578" i="627"/>
  <c r="V578" i="627"/>
  <c r="W578" i="627"/>
  <c r="X578" i="627"/>
  <c r="Y578" i="627"/>
  <c r="Z578" i="627"/>
  <c r="AA578" i="627"/>
  <c r="U579" i="627"/>
  <c r="V579" i="627"/>
  <c r="W579" i="627"/>
  <c r="X579" i="627"/>
  <c r="Y579" i="627"/>
  <c r="Z579" i="627"/>
  <c r="AA579" i="627"/>
  <c r="U580" i="627"/>
  <c r="V580" i="627"/>
  <c r="W580" i="627"/>
  <c r="X580" i="627"/>
  <c r="Y580" i="627"/>
  <c r="Z580" i="627"/>
  <c r="AA580" i="627"/>
  <c r="U581" i="627"/>
  <c r="V581" i="627"/>
  <c r="W581" i="627"/>
  <c r="X581" i="627"/>
  <c r="Y581" i="627"/>
  <c r="Z581" i="627"/>
  <c r="AA581" i="627"/>
  <c r="U582" i="627"/>
  <c r="V582" i="627"/>
  <c r="W582" i="627"/>
  <c r="X582" i="627"/>
  <c r="Y582" i="627"/>
  <c r="Z582" i="627"/>
  <c r="AA582" i="627"/>
  <c r="U583" i="627"/>
  <c r="V583" i="627"/>
  <c r="W583" i="627"/>
  <c r="X583" i="627"/>
  <c r="Y583" i="627"/>
  <c r="Z583" i="627"/>
  <c r="AA583" i="627"/>
  <c r="U584" i="627"/>
  <c r="V584" i="627"/>
  <c r="W584" i="627"/>
  <c r="X584" i="627"/>
  <c r="Y584" i="627"/>
  <c r="Z584" i="627"/>
  <c r="AA584" i="627"/>
  <c r="U585" i="627"/>
  <c r="V585" i="627"/>
  <c r="W585" i="627"/>
  <c r="X585" i="627"/>
  <c r="Y585" i="627"/>
  <c r="Z585" i="627"/>
  <c r="AA585" i="627"/>
  <c r="U586" i="627"/>
  <c r="V586" i="627"/>
  <c r="W586" i="627"/>
  <c r="X586" i="627"/>
  <c r="Y586" i="627"/>
  <c r="Z586" i="627"/>
  <c r="AA586" i="627"/>
  <c r="U587" i="627"/>
  <c r="V587" i="627"/>
  <c r="W587" i="627"/>
  <c r="X587" i="627"/>
  <c r="Y587" i="627"/>
  <c r="Z587" i="627"/>
  <c r="AA587" i="627"/>
  <c r="U588" i="627"/>
  <c r="V588" i="627"/>
  <c r="W588" i="627"/>
  <c r="X588" i="627"/>
  <c r="Y588" i="627"/>
  <c r="Z588" i="627"/>
  <c r="AA588" i="627"/>
  <c r="U589" i="627"/>
  <c r="V589" i="627"/>
  <c r="W589" i="627"/>
  <c r="X589" i="627"/>
  <c r="Y589" i="627"/>
  <c r="Z589" i="627"/>
  <c r="AA589" i="627"/>
  <c r="U590" i="627"/>
  <c r="V590" i="627"/>
  <c r="W590" i="627"/>
  <c r="X590" i="627"/>
  <c r="Y590" i="627"/>
  <c r="Z590" i="627"/>
  <c r="AA590" i="627"/>
  <c r="U591" i="627"/>
  <c r="V591" i="627"/>
  <c r="W591" i="627"/>
  <c r="X591" i="627"/>
  <c r="Y591" i="627"/>
  <c r="Z591" i="627"/>
  <c r="AA591" i="627"/>
  <c r="U592" i="627"/>
  <c r="V592" i="627"/>
  <c r="W592" i="627"/>
  <c r="X592" i="627"/>
  <c r="Y592" i="627"/>
  <c r="Z592" i="627"/>
  <c r="AA592" i="627"/>
  <c r="U593" i="627"/>
  <c r="V593" i="627"/>
  <c r="W593" i="627"/>
  <c r="X593" i="627"/>
  <c r="Y593" i="627"/>
  <c r="Z593" i="627"/>
  <c r="AA593" i="627"/>
  <c r="U594" i="627"/>
  <c r="V594" i="627"/>
  <c r="W594" i="627"/>
  <c r="X594" i="627"/>
  <c r="Y594" i="627"/>
  <c r="Z594" i="627"/>
  <c r="AA594" i="627"/>
  <c r="U595" i="627"/>
  <c r="V595" i="627"/>
  <c r="W595" i="627"/>
  <c r="X595" i="627"/>
  <c r="Y595" i="627"/>
  <c r="Z595" i="627"/>
  <c r="AA595" i="627"/>
  <c r="U596" i="627"/>
  <c r="V596" i="627"/>
  <c r="W596" i="627"/>
  <c r="X596" i="627"/>
  <c r="Y596" i="627"/>
  <c r="Z596" i="627"/>
  <c r="AA596" i="627"/>
  <c r="U597" i="627"/>
  <c r="V597" i="627"/>
  <c r="W597" i="627"/>
  <c r="X597" i="627"/>
  <c r="Y597" i="627"/>
  <c r="Z597" i="627"/>
  <c r="AA597" i="627"/>
  <c r="U598" i="627"/>
  <c r="V598" i="627"/>
  <c r="W598" i="627"/>
  <c r="X598" i="627"/>
  <c r="Y598" i="627"/>
  <c r="Z598" i="627"/>
  <c r="AA598" i="627"/>
  <c r="U599" i="627"/>
  <c r="V599" i="627"/>
  <c r="W599" i="627"/>
  <c r="X599" i="627"/>
  <c r="Y599" i="627"/>
  <c r="Z599" i="627"/>
  <c r="AA599" i="627"/>
  <c r="U600" i="627"/>
  <c r="V600" i="627"/>
  <c r="W600" i="627"/>
  <c r="X600" i="627"/>
  <c r="Y600" i="627"/>
  <c r="Z600" i="627"/>
  <c r="AA600" i="627"/>
  <c r="U601" i="627"/>
  <c r="V601" i="627"/>
  <c r="W601" i="627"/>
  <c r="X601" i="627"/>
  <c r="Y601" i="627"/>
  <c r="Z601" i="627"/>
  <c r="AA601" i="627"/>
  <c r="U602" i="627"/>
  <c r="V602" i="627"/>
  <c r="W602" i="627"/>
  <c r="X602" i="627"/>
  <c r="Y602" i="627"/>
  <c r="Z602" i="627"/>
  <c r="AA602" i="627"/>
  <c r="U603" i="627"/>
  <c r="V603" i="627"/>
  <c r="W603" i="627"/>
  <c r="X603" i="627"/>
  <c r="Y603" i="627"/>
  <c r="Z603" i="627"/>
  <c r="AA603" i="627"/>
  <c r="U604" i="627"/>
  <c r="V604" i="627"/>
  <c r="W604" i="627"/>
  <c r="X604" i="627"/>
  <c r="Y604" i="627"/>
  <c r="Z604" i="627"/>
  <c r="AA604" i="627"/>
  <c r="U605" i="627"/>
  <c r="V605" i="627"/>
  <c r="W605" i="627"/>
  <c r="X605" i="627"/>
  <c r="Y605" i="627"/>
  <c r="Z605" i="627"/>
  <c r="AA605" i="627"/>
  <c r="U606" i="627"/>
  <c r="V606" i="627"/>
  <c r="W606" i="627"/>
  <c r="X606" i="627"/>
  <c r="Y606" i="627"/>
  <c r="Z606" i="627"/>
  <c r="AA606" i="627"/>
  <c r="U607" i="627"/>
  <c r="V607" i="627"/>
  <c r="W607" i="627"/>
  <c r="X607" i="627"/>
  <c r="Y607" i="627"/>
  <c r="Z607" i="627"/>
  <c r="AA607" i="627"/>
  <c r="U608" i="627"/>
  <c r="V608" i="627"/>
  <c r="W608" i="627"/>
  <c r="X608" i="627"/>
  <c r="Y608" i="627"/>
  <c r="Z608" i="627"/>
  <c r="AA608" i="627"/>
  <c r="U609" i="627"/>
  <c r="V609" i="627"/>
  <c r="W609" i="627"/>
  <c r="X609" i="627"/>
  <c r="Y609" i="627"/>
  <c r="Z609" i="627"/>
  <c r="AA609" i="627"/>
  <c r="U610" i="627"/>
  <c r="V610" i="627"/>
  <c r="W610" i="627"/>
  <c r="X610" i="627"/>
  <c r="Y610" i="627"/>
  <c r="Z610" i="627"/>
  <c r="AA610" i="627"/>
  <c r="U611" i="627"/>
  <c r="V611" i="627"/>
  <c r="W611" i="627"/>
  <c r="X611" i="627"/>
  <c r="Y611" i="627"/>
  <c r="Z611" i="627"/>
  <c r="AA611" i="627"/>
  <c r="U612" i="627"/>
  <c r="V612" i="627"/>
  <c r="W612" i="627"/>
  <c r="X612" i="627"/>
  <c r="Y612" i="627"/>
  <c r="Z612" i="627"/>
  <c r="AA612" i="627"/>
  <c r="U613" i="627"/>
  <c r="V613" i="627"/>
  <c r="W613" i="627"/>
  <c r="X613" i="627"/>
  <c r="Y613" i="627"/>
  <c r="Z613" i="627"/>
  <c r="AA613" i="627"/>
  <c r="U614" i="627"/>
  <c r="V614" i="627"/>
  <c r="W614" i="627"/>
  <c r="X614" i="627"/>
  <c r="Y614" i="627"/>
  <c r="Z614" i="627"/>
  <c r="AA614" i="627"/>
  <c r="U615" i="627"/>
  <c r="V615" i="627"/>
  <c r="W615" i="627"/>
  <c r="X615" i="627"/>
  <c r="Y615" i="627"/>
  <c r="Z615" i="627"/>
  <c r="AA615" i="627"/>
  <c r="U616" i="627"/>
  <c r="V616" i="627"/>
  <c r="W616" i="627"/>
  <c r="X616" i="627"/>
  <c r="Y616" i="627"/>
  <c r="Z616" i="627"/>
  <c r="AA616" i="627"/>
  <c r="U617" i="627"/>
  <c r="V617" i="627"/>
  <c r="W617" i="627"/>
  <c r="X617" i="627"/>
  <c r="Y617" i="627"/>
  <c r="Z617" i="627"/>
  <c r="AA617" i="627"/>
  <c r="U618" i="627"/>
  <c r="V618" i="627"/>
  <c r="W618" i="627"/>
  <c r="X618" i="627"/>
  <c r="Y618" i="627"/>
  <c r="Z618" i="627"/>
  <c r="AA618" i="627"/>
  <c r="U619" i="627"/>
  <c r="V619" i="627"/>
  <c r="W619" i="627"/>
  <c r="X619" i="627"/>
  <c r="Y619" i="627"/>
  <c r="Z619" i="627"/>
  <c r="AA619" i="627"/>
  <c r="U620" i="627"/>
  <c r="V620" i="627"/>
  <c r="W620" i="627"/>
  <c r="X620" i="627"/>
  <c r="Y620" i="627"/>
  <c r="Z620" i="627"/>
  <c r="AA620" i="627"/>
  <c r="U621" i="627"/>
  <c r="V621" i="627"/>
  <c r="W621" i="627"/>
  <c r="X621" i="627"/>
  <c r="Y621" i="627"/>
  <c r="Z621" i="627"/>
  <c r="AA621" i="627"/>
  <c r="U622" i="627"/>
  <c r="V622" i="627"/>
  <c r="W622" i="627"/>
  <c r="X622" i="627"/>
  <c r="Y622" i="627"/>
  <c r="Z622" i="627"/>
  <c r="AA622" i="627"/>
  <c r="U623" i="627"/>
  <c r="V623" i="627"/>
  <c r="W623" i="627"/>
  <c r="X623" i="627"/>
  <c r="Y623" i="627"/>
  <c r="Z623" i="627"/>
  <c r="AA623" i="627"/>
  <c r="U624" i="627"/>
  <c r="V624" i="627"/>
  <c r="W624" i="627"/>
  <c r="X624" i="627"/>
  <c r="Y624" i="627"/>
  <c r="Z624" i="627"/>
  <c r="AA624" i="627"/>
  <c r="U625" i="627"/>
  <c r="V625" i="627"/>
  <c r="W625" i="627"/>
  <c r="X625" i="627"/>
  <c r="Y625" i="627"/>
  <c r="Z625" i="627"/>
  <c r="AA625" i="627"/>
  <c r="U626" i="627"/>
  <c r="V626" i="627"/>
  <c r="W626" i="627"/>
  <c r="X626" i="627"/>
  <c r="Y626" i="627"/>
  <c r="Z626" i="627"/>
  <c r="AA626" i="627"/>
  <c r="U627" i="627"/>
  <c r="V627" i="627"/>
  <c r="W627" i="627"/>
  <c r="X627" i="627"/>
  <c r="Y627" i="627"/>
  <c r="Z627" i="627"/>
  <c r="AA627" i="627"/>
  <c r="U628" i="627"/>
  <c r="V628" i="627"/>
  <c r="W628" i="627"/>
  <c r="X628" i="627"/>
  <c r="Y628" i="627"/>
  <c r="Z628" i="627"/>
  <c r="AA628" i="627"/>
  <c r="U629" i="627"/>
  <c r="V629" i="627"/>
  <c r="W629" i="627"/>
  <c r="X629" i="627"/>
  <c r="Y629" i="627"/>
  <c r="Z629" i="627"/>
  <c r="AA629" i="627"/>
  <c r="U630" i="627"/>
  <c r="V630" i="627"/>
  <c r="W630" i="627"/>
  <c r="X630" i="627"/>
  <c r="Y630" i="627"/>
  <c r="Z630" i="627"/>
  <c r="AA630" i="627"/>
  <c r="U631" i="627"/>
  <c r="V631" i="627"/>
  <c r="W631" i="627"/>
  <c r="X631" i="627"/>
  <c r="Y631" i="627"/>
  <c r="Z631" i="627"/>
  <c r="AA631" i="627"/>
  <c r="U632" i="627"/>
  <c r="V632" i="627"/>
  <c r="W632" i="627"/>
  <c r="X632" i="627"/>
  <c r="Y632" i="627"/>
  <c r="Z632" i="627"/>
  <c r="AA632" i="627"/>
  <c r="U633" i="627"/>
  <c r="V633" i="627"/>
  <c r="W633" i="627"/>
  <c r="X633" i="627"/>
  <c r="Y633" i="627"/>
  <c r="Z633" i="627"/>
  <c r="AA633" i="627"/>
  <c r="U634" i="627"/>
  <c r="V634" i="627"/>
  <c r="W634" i="627"/>
  <c r="X634" i="627"/>
  <c r="Y634" i="627"/>
  <c r="Z634" i="627"/>
  <c r="AA634" i="627"/>
  <c r="U635" i="627"/>
  <c r="V635" i="627"/>
  <c r="W635" i="627"/>
  <c r="X635" i="627"/>
  <c r="Y635" i="627"/>
  <c r="Z635" i="627"/>
  <c r="AA635" i="627"/>
  <c r="U636" i="627"/>
  <c r="V636" i="627"/>
  <c r="W636" i="627"/>
  <c r="X636" i="627"/>
  <c r="Y636" i="627"/>
  <c r="Z636" i="627"/>
  <c r="AA636" i="627"/>
  <c r="U637" i="627"/>
  <c r="V637" i="627"/>
  <c r="W637" i="627"/>
  <c r="X637" i="627"/>
  <c r="Y637" i="627"/>
  <c r="Z637" i="627"/>
  <c r="AA637" i="627"/>
  <c r="U638" i="627"/>
  <c r="V638" i="627"/>
  <c r="W638" i="627"/>
  <c r="X638" i="627"/>
  <c r="Y638" i="627"/>
  <c r="Z638" i="627"/>
  <c r="AA638" i="627"/>
  <c r="U639" i="627"/>
  <c r="V639" i="627"/>
  <c r="W639" i="627"/>
  <c r="X639" i="627"/>
  <c r="Y639" i="627"/>
  <c r="Z639" i="627"/>
  <c r="AA639" i="627"/>
  <c r="U640" i="627"/>
  <c r="V640" i="627"/>
  <c r="W640" i="627"/>
  <c r="X640" i="627"/>
  <c r="Y640" i="627"/>
  <c r="Z640" i="627"/>
  <c r="AA640" i="627"/>
  <c r="U641" i="627"/>
  <c r="V641" i="627"/>
  <c r="W641" i="627"/>
  <c r="X641" i="627"/>
  <c r="Y641" i="627"/>
  <c r="Z641" i="627"/>
  <c r="AA641" i="627"/>
  <c r="U642" i="627"/>
  <c r="V642" i="627"/>
  <c r="W642" i="627"/>
  <c r="X642" i="627"/>
  <c r="Y642" i="627"/>
  <c r="Z642" i="627"/>
  <c r="AA642" i="627"/>
  <c r="U643" i="627"/>
  <c r="V643" i="627"/>
  <c r="W643" i="627"/>
  <c r="X643" i="627"/>
  <c r="Y643" i="627"/>
  <c r="Z643" i="627"/>
  <c r="AA643" i="627"/>
  <c r="U644" i="627"/>
  <c r="V644" i="627"/>
  <c r="W644" i="627"/>
  <c r="X644" i="627"/>
  <c r="Y644" i="627"/>
  <c r="Z644" i="627"/>
  <c r="AA644" i="627"/>
  <c r="U645" i="627"/>
  <c r="V645" i="627"/>
  <c r="W645" i="627"/>
  <c r="X645" i="627"/>
  <c r="Y645" i="627"/>
  <c r="Z645" i="627"/>
  <c r="AA645" i="627"/>
  <c r="U646" i="627"/>
  <c r="V646" i="627"/>
  <c r="W646" i="627"/>
  <c r="X646" i="627"/>
  <c r="Y646" i="627"/>
  <c r="Z646" i="627"/>
  <c r="AA646" i="627"/>
  <c r="U647" i="627"/>
  <c r="V647" i="627"/>
  <c r="W647" i="627"/>
  <c r="X647" i="627"/>
  <c r="Y647" i="627"/>
  <c r="Z647" i="627"/>
  <c r="AA647" i="627"/>
  <c r="U648" i="627"/>
  <c r="V648" i="627"/>
  <c r="W648" i="627"/>
  <c r="X648" i="627"/>
  <c r="Y648" i="627"/>
  <c r="Z648" i="627"/>
  <c r="AA648" i="627"/>
  <c r="U649" i="627"/>
  <c r="V649" i="627"/>
  <c r="W649" i="627"/>
  <c r="X649" i="627"/>
  <c r="Y649" i="627"/>
  <c r="Z649" i="627"/>
  <c r="AA649" i="627"/>
  <c r="U650" i="627"/>
  <c r="V650" i="627"/>
  <c r="W650" i="627"/>
  <c r="X650" i="627"/>
  <c r="Y650" i="627"/>
  <c r="Z650" i="627"/>
  <c r="AA650" i="627"/>
  <c r="U651" i="627"/>
  <c r="V651" i="627"/>
  <c r="W651" i="627"/>
  <c r="X651" i="627"/>
  <c r="Y651" i="627"/>
  <c r="Z651" i="627"/>
  <c r="AA651" i="627"/>
  <c r="U652" i="627"/>
  <c r="V652" i="627"/>
  <c r="W652" i="627"/>
  <c r="X652" i="627"/>
  <c r="Y652" i="627"/>
  <c r="Z652" i="627"/>
  <c r="AA652" i="627"/>
  <c r="U653" i="627"/>
  <c r="V653" i="627"/>
  <c r="W653" i="627"/>
  <c r="X653" i="627"/>
  <c r="Y653" i="627"/>
  <c r="Z653" i="627"/>
  <c r="AA653" i="627"/>
  <c r="U654" i="627"/>
  <c r="V654" i="627"/>
  <c r="W654" i="627"/>
  <c r="X654" i="627"/>
  <c r="Y654" i="627"/>
  <c r="Z654" i="627"/>
  <c r="AA654" i="627"/>
  <c r="U655" i="627"/>
  <c r="V655" i="627"/>
  <c r="W655" i="627"/>
  <c r="X655" i="627"/>
  <c r="Y655" i="627"/>
  <c r="Z655" i="627"/>
  <c r="AA655" i="627"/>
  <c r="U656" i="627"/>
  <c r="V656" i="627"/>
  <c r="W656" i="627"/>
  <c r="X656" i="627"/>
  <c r="Y656" i="627"/>
  <c r="Z656" i="627"/>
  <c r="AA656" i="627"/>
  <c r="U657" i="627"/>
  <c r="V657" i="627"/>
  <c r="W657" i="627"/>
  <c r="X657" i="627"/>
  <c r="Y657" i="627"/>
  <c r="Z657" i="627"/>
  <c r="AA657" i="627"/>
  <c r="U658" i="627"/>
  <c r="V658" i="627"/>
  <c r="W658" i="627"/>
  <c r="X658" i="627"/>
  <c r="Y658" i="627"/>
  <c r="Z658" i="627"/>
  <c r="AA658" i="627"/>
  <c r="U659" i="627"/>
  <c r="V659" i="627"/>
  <c r="W659" i="627"/>
  <c r="X659" i="627"/>
  <c r="Y659" i="627"/>
  <c r="Z659" i="627"/>
  <c r="AA659" i="627"/>
  <c r="U660" i="627"/>
  <c r="V660" i="627"/>
  <c r="W660" i="627"/>
  <c r="X660" i="627"/>
  <c r="Y660" i="627"/>
  <c r="Z660" i="627"/>
  <c r="AA660" i="627"/>
  <c r="U661" i="627"/>
  <c r="V661" i="627"/>
  <c r="W661" i="627"/>
  <c r="X661" i="627"/>
  <c r="Y661" i="627"/>
  <c r="Z661" i="627"/>
  <c r="AA661" i="627"/>
  <c r="U662" i="627"/>
  <c r="V662" i="627"/>
  <c r="W662" i="627"/>
  <c r="X662" i="627"/>
  <c r="Y662" i="627"/>
  <c r="Z662" i="627"/>
  <c r="AA662" i="627"/>
  <c r="U663" i="627"/>
  <c r="V663" i="627"/>
  <c r="W663" i="627"/>
  <c r="X663" i="627"/>
  <c r="Y663" i="627"/>
  <c r="Z663" i="627"/>
  <c r="AA663" i="627"/>
  <c r="U664" i="627"/>
  <c r="V664" i="627"/>
  <c r="W664" i="627"/>
  <c r="X664" i="627"/>
  <c r="Y664" i="627"/>
  <c r="Z664" i="627"/>
  <c r="AA664" i="627"/>
  <c r="U665" i="627"/>
  <c r="V665" i="627"/>
  <c r="W665" i="627"/>
  <c r="X665" i="627"/>
  <c r="Y665" i="627"/>
  <c r="Z665" i="627"/>
  <c r="AA665" i="627"/>
  <c r="U666" i="627"/>
  <c r="V666" i="627"/>
  <c r="W666" i="627"/>
  <c r="X666" i="627"/>
  <c r="Y666" i="627"/>
  <c r="Z666" i="627"/>
  <c r="AA666" i="627"/>
  <c r="U667" i="627"/>
  <c r="V667" i="627"/>
  <c r="W667" i="627"/>
  <c r="X667" i="627"/>
  <c r="Y667" i="627"/>
  <c r="Z667" i="627"/>
  <c r="AA667" i="627"/>
  <c r="U668" i="627"/>
  <c r="V668" i="627"/>
  <c r="W668" i="627"/>
  <c r="X668" i="627"/>
  <c r="Y668" i="627"/>
  <c r="Z668" i="627"/>
  <c r="AA668" i="627"/>
  <c r="U669" i="627"/>
  <c r="V669" i="627"/>
  <c r="W669" i="627"/>
  <c r="X669" i="627"/>
  <c r="Y669" i="627"/>
  <c r="Z669" i="627"/>
  <c r="AA669" i="627"/>
  <c r="U670" i="627"/>
  <c r="V670" i="627"/>
  <c r="W670" i="627"/>
  <c r="X670" i="627"/>
  <c r="Y670" i="627"/>
  <c r="Z670" i="627"/>
  <c r="AA670" i="627"/>
  <c r="U671" i="627"/>
  <c r="V671" i="627"/>
  <c r="W671" i="627"/>
  <c r="X671" i="627"/>
  <c r="Y671" i="627"/>
  <c r="Z671" i="627"/>
  <c r="AA671" i="627"/>
  <c r="U672" i="627"/>
  <c r="V672" i="627"/>
  <c r="W672" i="627"/>
  <c r="X672" i="627"/>
  <c r="Y672" i="627"/>
  <c r="Z672" i="627"/>
  <c r="AA672" i="627"/>
  <c r="U673" i="627"/>
  <c r="V673" i="627"/>
  <c r="W673" i="627"/>
  <c r="X673" i="627"/>
  <c r="Y673" i="627"/>
  <c r="Z673" i="627"/>
  <c r="AA673" i="627"/>
  <c r="U674" i="627"/>
  <c r="V674" i="627"/>
  <c r="W674" i="627"/>
  <c r="X674" i="627"/>
  <c r="Y674" i="627"/>
  <c r="Z674" i="627"/>
  <c r="AA674" i="627"/>
  <c r="U675" i="627"/>
  <c r="V675" i="627"/>
  <c r="W675" i="627"/>
  <c r="X675" i="627"/>
  <c r="Y675" i="627"/>
  <c r="Z675" i="627"/>
  <c r="AA675" i="627"/>
  <c r="U676" i="627"/>
  <c r="V676" i="627"/>
  <c r="W676" i="627"/>
  <c r="X676" i="627"/>
  <c r="Y676" i="627"/>
  <c r="Z676" i="627"/>
  <c r="AA676" i="627"/>
  <c r="U677" i="627"/>
  <c r="V677" i="627"/>
  <c r="W677" i="627"/>
  <c r="X677" i="627"/>
  <c r="Y677" i="627"/>
  <c r="Z677" i="627"/>
  <c r="AA677" i="627"/>
  <c r="U678" i="627"/>
  <c r="V678" i="627"/>
  <c r="W678" i="627"/>
  <c r="X678" i="627"/>
  <c r="Y678" i="627"/>
  <c r="Z678" i="627"/>
  <c r="AA678" i="627"/>
  <c r="U679" i="627"/>
  <c r="V679" i="627"/>
  <c r="W679" i="627"/>
  <c r="X679" i="627"/>
  <c r="Y679" i="627"/>
  <c r="Z679" i="627"/>
  <c r="AA679" i="627"/>
  <c r="U680" i="627"/>
  <c r="V680" i="627"/>
  <c r="W680" i="627"/>
  <c r="X680" i="627"/>
  <c r="Y680" i="627"/>
  <c r="Z680" i="627"/>
  <c r="AA680" i="627"/>
  <c r="U681" i="627"/>
  <c r="V681" i="627"/>
  <c r="W681" i="627"/>
  <c r="X681" i="627"/>
  <c r="Y681" i="627"/>
  <c r="Z681" i="627"/>
  <c r="AA681" i="627"/>
  <c r="U682" i="627"/>
  <c r="V682" i="627"/>
  <c r="W682" i="627"/>
  <c r="X682" i="627"/>
  <c r="Y682" i="627"/>
  <c r="Z682" i="627"/>
  <c r="AA682" i="627"/>
  <c r="U683" i="627"/>
  <c r="V683" i="627"/>
  <c r="W683" i="627"/>
  <c r="X683" i="627"/>
  <c r="Y683" i="627"/>
  <c r="Z683" i="627"/>
  <c r="AA683" i="627"/>
  <c r="U684" i="627"/>
  <c r="V684" i="627"/>
  <c r="W684" i="627"/>
  <c r="X684" i="627"/>
  <c r="Y684" i="627"/>
  <c r="Z684" i="627"/>
  <c r="AA684" i="627"/>
  <c r="U685" i="627"/>
  <c r="V685" i="627"/>
  <c r="W685" i="627"/>
  <c r="X685" i="627"/>
  <c r="Y685" i="627"/>
  <c r="Z685" i="627"/>
  <c r="AA685" i="627"/>
  <c r="U686" i="627"/>
  <c r="V686" i="627"/>
  <c r="W686" i="627"/>
  <c r="X686" i="627"/>
  <c r="Y686" i="627"/>
  <c r="Z686" i="627"/>
  <c r="AA686" i="627"/>
  <c r="U687" i="627"/>
  <c r="V687" i="627"/>
  <c r="W687" i="627"/>
  <c r="X687" i="627"/>
  <c r="Y687" i="627"/>
  <c r="Z687" i="627"/>
  <c r="AA687" i="627"/>
  <c r="U688" i="627"/>
  <c r="V688" i="627"/>
  <c r="W688" i="627"/>
  <c r="X688" i="627"/>
  <c r="Y688" i="627"/>
  <c r="Z688" i="627"/>
  <c r="AA688" i="627"/>
  <c r="U689" i="627"/>
  <c r="V689" i="627"/>
  <c r="W689" i="627"/>
  <c r="X689" i="627"/>
  <c r="Y689" i="627"/>
  <c r="Z689" i="627"/>
  <c r="AA689" i="627"/>
  <c r="U690" i="627"/>
  <c r="V690" i="627"/>
  <c r="W690" i="627"/>
  <c r="X690" i="627"/>
  <c r="Y690" i="627"/>
  <c r="Z690" i="627"/>
  <c r="AA690" i="627"/>
  <c r="U691" i="627"/>
  <c r="V691" i="627"/>
  <c r="W691" i="627"/>
  <c r="X691" i="627"/>
  <c r="Y691" i="627"/>
  <c r="Z691" i="627"/>
  <c r="AA691" i="627"/>
  <c r="U692" i="627"/>
  <c r="V692" i="627"/>
  <c r="W692" i="627"/>
  <c r="X692" i="627"/>
  <c r="Y692" i="627"/>
  <c r="Z692" i="627"/>
  <c r="AA692" i="627"/>
  <c r="U693" i="627"/>
  <c r="V693" i="627"/>
  <c r="W693" i="627"/>
  <c r="X693" i="627"/>
  <c r="Y693" i="627"/>
  <c r="Z693" i="627"/>
  <c r="AA693" i="627"/>
  <c r="U694" i="627"/>
  <c r="V694" i="627"/>
  <c r="W694" i="627"/>
  <c r="X694" i="627"/>
  <c r="Y694" i="627"/>
  <c r="Z694" i="627"/>
  <c r="AA694" i="627"/>
  <c r="U695" i="627"/>
  <c r="V695" i="627"/>
  <c r="W695" i="627"/>
  <c r="X695" i="627"/>
  <c r="Y695" i="627"/>
  <c r="Z695" i="627"/>
  <c r="AA695" i="627"/>
  <c r="U696" i="627"/>
  <c r="V696" i="627"/>
  <c r="W696" i="627"/>
  <c r="X696" i="627"/>
  <c r="Y696" i="627"/>
  <c r="Z696" i="627"/>
  <c r="AA696" i="627"/>
  <c r="U697" i="627"/>
  <c r="V697" i="627"/>
  <c r="W697" i="627"/>
  <c r="X697" i="627"/>
  <c r="Y697" i="627"/>
  <c r="Z697" i="627"/>
  <c r="AA697" i="627"/>
  <c r="U698" i="627"/>
  <c r="V698" i="627"/>
  <c r="W698" i="627"/>
  <c r="X698" i="627"/>
  <c r="Y698" i="627"/>
  <c r="Z698" i="627"/>
  <c r="AA698" i="627"/>
  <c r="U699" i="627"/>
  <c r="V699" i="627"/>
  <c r="W699" i="627"/>
  <c r="X699" i="627"/>
  <c r="Y699" i="627"/>
  <c r="Z699" i="627"/>
  <c r="AA699" i="627"/>
  <c r="U700" i="627"/>
  <c r="V700" i="627"/>
  <c r="W700" i="627"/>
  <c r="X700" i="627"/>
  <c r="Y700" i="627"/>
  <c r="Z700" i="627"/>
  <c r="AA700" i="627"/>
  <c r="U701" i="627"/>
  <c r="V701" i="627"/>
  <c r="W701" i="627"/>
  <c r="X701" i="627"/>
  <c r="Y701" i="627"/>
  <c r="Z701" i="627"/>
  <c r="AA701" i="627"/>
  <c r="U702" i="627"/>
  <c r="V702" i="627"/>
  <c r="W702" i="627"/>
  <c r="X702" i="627"/>
  <c r="Y702" i="627"/>
  <c r="Z702" i="627"/>
  <c r="AA702" i="627"/>
  <c r="U703" i="627"/>
  <c r="V703" i="627"/>
  <c r="W703" i="627"/>
  <c r="X703" i="627"/>
  <c r="Y703" i="627"/>
  <c r="Z703" i="627"/>
  <c r="AA703" i="627"/>
  <c r="U704" i="627"/>
  <c r="V704" i="627"/>
  <c r="W704" i="627"/>
  <c r="X704" i="627"/>
  <c r="Y704" i="627"/>
  <c r="Z704" i="627"/>
  <c r="AA704" i="627"/>
  <c r="U705" i="627"/>
  <c r="V705" i="627"/>
  <c r="W705" i="627"/>
  <c r="X705" i="627"/>
  <c r="Y705" i="627"/>
  <c r="Z705" i="627"/>
  <c r="AA705" i="627"/>
  <c r="U706" i="627"/>
  <c r="V706" i="627"/>
  <c r="W706" i="627"/>
  <c r="X706" i="627"/>
  <c r="Y706" i="627"/>
  <c r="Z706" i="627"/>
  <c r="AA706" i="627"/>
  <c r="U707" i="627"/>
  <c r="V707" i="627"/>
  <c r="W707" i="627"/>
  <c r="X707" i="627"/>
  <c r="Y707" i="627"/>
  <c r="Z707" i="627"/>
  <c r="AA707" i="627"/>
  <c r="U708" i="627"/>
  <c r="V708" i="627"/>
  <c r="W708" i="627"/>
  <c r="X708" i="627"/>
  <c r="Y708" i="627"/>
  <c r="Z708" i="627"/>
  <c r="AA708" i="627"/>
  <c r="U709" i="627"/>
  <c r="V709" i="627"/>
  <c r="W709" i="627"/>
  <c r="X709" i="627"/>
  <c r="Y709" i="627"/>
  <c r="Z709" i="627"/>
  <c r="AA709" i="627"/>
  <c r="U710" i="627"/>
  <c r="V710" i="627"/>
  <c r="W710" i="627"/>
  <c r="X710" i="627"/>
  <c r="Y710" i="627"/>
  <c r="Z710" i="627"/>
  <c r="AA710" i="627"/>
  <c r="U711" i="627"/>
  <c r="V711" i="627"/>
  <c r="W711" i="627"/>
  <c r="X711" i="627"/>
  <c r="Y711" i="627"/>
  <c r="Z711" i="627"/>
  <c r="AA711" i="627"/>
  <c r="U712" i="627"/>
  <c r="V712" i="627"/>
  <c r="W712" i="627"/>
  <c r="X712" i="627"/>
  <c r="Y712" i="627"/>
  <c r="Z712" i="627"/>
  <c r="AA712" i="627"/>
  <c r="U713" i="627"/>
  <c r="V713" i="627"/>
  <c r="W713" i="627"/>
  <c r="X713" i="627"/>
  <c r="Y713" i="627"/>
  <c r="Z713" i="627"/>
  <c r="AA713" i="627"/>
  <c r="U714" i="627"/>
  <c r="V714" i="627"/>
  <c r="W714" i="627"/>
  <c r="X714" i="627"/>
  <c r="Y714" i="627"/>
  <c r="Z714" i="627"/>
  <c r="AA714" i="627"/>
  <c r="U715" i="627"/>
  <c r="V715" i="627"/>
  <c r="W715" i="627"/>
  <c r="X715" i="627"/>
  <c r="Y715" i="627"/>
  <c r="Z715" i="627"/>
  <c r="AA715" i="627"/>
  <c r="U716" i="627"/>
  <c r="V716" i="627"/>
  <c r="W716" i="627"/>
  <c r="X716" i="627"/>
  <c r="Y716" i="627"/>
  <c r="Z716" i="627"/>
  <c r="AA716" i="627"/>
  <c r="U717" i="627"/>
  <c r="V717" i="627"/>
  <c r="W717" i="627"/>
  <c r="X717" i="627"/>
  <c r="Y717" i="627"/>
  <c r="Z717" i="627"/>
  <c r="AA717" i="627"/>
  <c r="U718" i="627"/>
  <c r="V718" i="627"/>
  <c r="W718" i="627"/>
  <c r="X718" i="627"/>
  <c r="Y718" i="627"/>
  <c r="Z718" i="627"/>
  <c r="AA718" i="627"/>
  <c r="U719" i="627"/>
  <c r="V719" i="627"/>
  <c r="W719" i="627"/>
  <c r="X719" i="627"/>
  <c r="Y719" i="627"/>
  <c r="Z719" i="627"/>
  <c r="AA719" i="627"/>
  <c r="U720" i="627"/>
  <c r="V720" i="627"/>
  <c r="W720" i="627"/>
  <c r="X720" i="627"/>
  <c r="Y720" i="627"/>
  <c r="Z720" i="627"/>
  <c r="AA720" i="627"/>
  <c r="U721" i="627"/>
  <c r="V721" i="627"/>
  <c r="W721" i="627"/>
  <c r="X721" i="627"/>
  <c r="Y721" i="627"/>
  <c r="Z721" i="627"/>
  <c r="AA721" i="627"/>
  <c r="U722" i="627"/>
  <c r="V722" i="627"/>
  <c r="W722" i="627"/>
  <c r="X722" i="627"/>
  <c r="Y722" i="627"/>
  <c r="Z722" i="627"/>
  <c r="AA722" i="627"/>
  <c r="U723" i="627"/>
  <c r="V723" i="627"/>
  <c r="W723" i="627"/>
  <c r="X723" i="627"/>
  <c r="Y723" i="627"/>
  <c r="Z723" i="627"/>
  <c r="AA723" i="627"/>
  <c r="U724" i="627"/>
  <c r="V724" i="627"/>
  <c r="W724" i="627"/>
  <c r="X724" i="627"/>
  <c r="Y724" i="627"/>
  <c r="Z724" i="627"/>
  <c r="AA724" i="627"/>
  <c r="U725" i="627"/>
  <c r="V725" i="627"/>
  <c r="W725" i="627"/>
  <c r="X725" i="627"/>
  <c r="Y725" i="627"/>
  <c r="Z725" i="627"/>
  <c r="AA725" i="627"/>
  <c r="U726" i="627"/>
  <c r="V726" i="627"/>
  <c r="W726" i="627"/>
  <c r="X726" i="627"/>
  <c r="Y726" i="627"/>
  <c r="Z726" i="627"/>
  <c r="AA726" i="627"/>
  <c r="U727" i="627"/>
  <c r="V727" i="627"/>
  <c r="W727" i="627"/>
  <c r="X727" i="627"/>
  <c r="Y727" i="627"/>
  <c r="Z727" i="627"/>
  <c r="AA727" i="627"/>
  <c r="U728" i="627"/>
  <c r="V728" i="627"/>
  <c r="W728" i="627"/>
  <c r="X728" i="627"/>
  <c r="Y728" i="627"/>
  <c r="Z728" i="627"/>
  <c r="AA728" i="627"/>
  <c r="U729" i="627"/>
  <c r="V729" i="627"/>
  <c r="W729" i="627"/>
  <c r="X729" i="627"/>
  <c r="Y729" i="627"/>
  <c r="Z729" i="627"/>
  <c r="AA729" i="627"/>
  <c r="U730" i="627"/>
  <c r="V730" i="627"/>
  <c r="W730" i="627"/>
  <c r="X730" i="627"/>
  <c r="Y730" i="627"/>
  <c r="Z730" i="627"/>
  <c r="AA730" i="627"/>
  <c r="U731" i="627"/>
  <c r="V731" i="627"/>
  <c r="W731" i="627"/>
  <c r="X731" i="627"/>
  <c r="Y731" i="627"/>
  <c r="Z731" i="627"/>
  <c r="AA731" i="627"/>
  <c r="U732" i="627"/>
  <c r="V732" i="627"/>
  <c r="W732" i="627"/>
  <c r="X732" i="627"/>
  <c r="Y732" i="627"/>
  <c r="Z732" i="627"/>
  <c r="AA732" i="627"/>
  <c r="U733" i="627"/>
  <c r="V733" i="627"/>
  <c r="W733" i="627"/>
  <c r="X733" i="627"/>
  <c r="Y733" i="627"/>
  <c r="Z733" i="627"/>
  <c r="AA733" i="627"/>
  <c r="U734" i="627"/>
  <c r="V734" i="627"/>
  <c r="W734" i="627"/>
  <c r="X734" i="627"/>
  <c r="Y734" i="627"/>
  <c r="Z734" i="627"/>
  <c r="AA734" i="627"/>
  <c r="U735" i="627"/>
  <c r="V735" i="627"/>
  <c r="W735" i="627"/>
  <c r="X735" i="627"/>
  <c r="Y735" i="627"/>
  <c r="Z735" i="627"/>
  <c r="AA735" i="627"/>
  <c r="U736" i="627"/>
  <c r="V736" i="627"/>
  <c r="W736" i="627"/>
  <c r="X736" i="627"/>
  <c r="Y736" i="627"/>
  <c r="Z736" i="627"/>
  <c r="AA736" i="627"/>
  <c r="U737" i="627"/>
  <c r="V737" i="627"/>
  <c r="W737" i="627"/>
  <c r="X737" i="627"/>
  <c r="Y737" i="627"/>
  <c r="Z737" i="627"/>
  <c r="AA737" i="627"/>
  <c r="U738" i="627"/>
  <c r="V738" i="627"/>
  <c r="W738" i="627"/>
  <c r="X738" i="627"/>
  <c r="Y738" i="627"/>
  <c r="Z738" i="627"/>
  <c r="AA738" i="627"/>
  <c r="U739" i="627"/>
  <c r="V739" i="627"/>
  <c r="W739" i="627"/>
  <c r="X739" i="627"/>
  <c r="Y739" i="627"/>
  <c r="Z739" i="627"/>
  <c r="AA739" i="627"/>
  <c r="U740" i="627"/>
  <c r="V740" i="627"/>
  <c r="W740" i="627"/>
  <c r="X740" i="627"/>
  <c r="Y740" i="627"/>
  <c r="Z740" i="627"/>
  <c r="AA740" i="627"/>
  <c r="U741" i="627"/>
  <c r="V741" i="627"/>
  <c r="W741" i="627"/>
  <c r="X741" i="627"/>
  <c r="Y741" i="627"/>
  <c r="Z741" i="627"/>
  <c r="AA741" i="627"/>
  <c r="U742" i="627"/>
  <c r="V742" i="627"/>
  <c r="W742" i="627"/>
  <c r="X742" i="627"/>
  <c r="Y742" i="627"/>
  <c r="Z742" i="627"/>
  <c r="AA742" i="627"/>
  <c r="U743" i="627"/>
  <c r="V743" i="627"/>
  <c r="W743" i="627"/>
  <c r="X743" i="627"/>
  <c r="Y743" i="627"/>
  <c r="Z743" i="627"/>
  <c r="AA743" i="627"/>
  <c r="U744" i="627"/>
  <c r="V744" i="627"/>
  <c r="W744" i="627"/>
  <c r="X744" i="627"/>
  <c r="Y744" i="627"/>
  <c r="Z744" i="627"/>
  <c r="AA744" i="627"/>
  <c r="U745" i="627"/>
  <c r="V745" i="627"/>
  <c r="W745" i="627"/>
  <c r="X745" i="627"/>
  <c r="Y745" i="627"/>
  <c r="Z745" i="627"/>
  <c r="AA745" i="627"/>
  <c r="U746" i="627"/>
  <c r="V746" i="627"/>
  <c r="W746" i="627"/>
  <c r="X746" i="627"/>
  <c r="Y746" i="627"/>
  <c r="Z746" i="627"/>
  <c r="AA746" i="627"/>
  <c r="U747" i="627"/>
  <c r="V747" i="627"/>
  <c r="W747" i="627"/>
  <c r="X747" i="627"/>
  <c r="Y747" i="627"/>
  <c r="Z747" i="627"/>
  <c r="AA747" i="627"/>
  <c r="U748" i="627"/>
  <c r="V748" i="627"/>
  <c r="W748" i="627"/>
  <c r="X748" i="627"/>
  <c r="Y748" i="627"/>
  <c r="Z748" i="627"/>
  <c r="AA748" i="627"/>
  <c r="U749" i="627"/>
  <c r="V749" i="627"/>
  <c r="W749" i="627"/>
  <c r="X749" i="627"/>
  <c r="Y749" i="627"/>
  <c r="Z749" i="627"/>
  <c r="AA749" i="627"/>
  <c r="U750" i="627"/>
  <c r="V750" i="627"/>
  <c r="W750" i="627"/>
  <c r="X750" i="627"/>
  <c r="Y750" i="627"/>
  <c r="Z750" i="627"/>
  <c r="AA750" i="627"/>
  <c r="U751" i="627"/>
  <c r="V751" i="627"/>
  <c r="W751" i="627"/>
  <c r="X751" i="627"/>
  <c r="Y751" i="627"/>
  <c r="Z751" i="627"/>
  <c r="AA751" i="627"/>
  <c r="U752" i="627"/>
  <c r="V752" i="627"/>
  <c r="W752" i="627"/>
  <c r="X752" i="627"/>
  <c r="Y752" i="627"/>
  <c r="Z752" i="627"/>
  <c r="AA752" i="627"/>
  <c r="U753" i="627"/>
  <c r="V753" i="627"/>
  <c r="W753" i="627"/>
  <c r="X753" i="627"/>
  <c r="Y753" i="627"/>
  <c r="Z753" i="627"/>
  <c r="AA753" i="627"/>
  <c r="U754" i="627"/>
  <c r="V754" i="627"/>
  <c r="W754" i="627"/>
  <c r="X754" i="627"/>
  <c r="Y754" i="627"/>
  <c r="Z754" i="627"/>
  <c r="AA754" i="627"/>
  <c r="U755" i="627"/>
  <c r="V755" i="627"/>
  <c r="W755" i="627"/>
  <c r="X755" i="627"/>
  <c r="Y755" i="627"/>
  <c r="Z755" i="627"/>
  <c r="AA755" i="627"/>
  <c r="U756" i="627"/>
  <c r="V756" i="627"/>
  <c r="W756" i="627"/>
  <c r="X756" i="627"/>
  <c r="Y756" i="627"/>
  <c r="Z756" i="627"/>
  <c r="AA756" i="627"/>
  <c r="U757" i="627"/>
  <c r="V757" i="627"/>
  <c r="W757" i="627"/>
  <c r="X757" i="627"/>
  <c r="Y757" i="627"/>
  <c r="Z757" i="627"/>
  <c r="AA757" i="627"/>
  <c r="U758" i="627"/>
  <c r="V758" i="627"/>
  <c r="W758" i="627"/>
  <c r="X758" i="627"/>
  <c r="Y758" i="627"/>
  <c r="Z758" i="627"/>
  <c r="AA758" i="627"/>
  <c r="U759" i="627"/>
  <c r="V759" i="627"/>
  <c r="W759" i="627"/>
  <c r="X759" i="627"/>
  <c r="Y759" i="627"/>
  <c r="Z759" i="627"/>
  <c r="AA759" i="627"/>
  <c r="U760" i="627"/>
  <c r="V760" i="627"/>
  <c r="W760" i="627"/>
  <c r="X760" i="627"/>
  <c r="Y760" i="627"/>
  <c r="Z760" i="627"/>
  <c r="AA760" i="627"/>
  <c r="U761" i="627"/>
  <c r="V761" i="627"/>
  <c r="W761" i="627"/>
  <c r="X761" i="627"/>
  <c r="Y761" i="627"/>
  <c r="Z761" i="627"/>
  <c r="AA761" i="627"/>
  <c r="U762" i="627"/>
  <c r="V762" i="627"/>
  <c r="W762" i="627"/>
  <c r="X762" i="627"/>
  <c r="Y762" i="627"/>
  <c r="Z762" i="627"/>
  <c r="AA762" i="627"/>
  <c r="U763" i="627"/>
  <c r="V763" i="627"/>
  <c r="W763" i="627"/>
  <c r="X763" i="627"/>
  <c r="Y763" i="627"/>
  <c r="Z763" i="627"/>
  <c r="AA763" i="627"/>
  <c r="U764" i="627"/>
  <c r="V764" i="627"/>
  <c r="W764" i="627"/>
  <c r="X764" i="627"/>
  <c r="Y764" i="627"/>
  <c r="Z764" i="627"/>
  <c r="AA764" i="627"/>
  <c r="U765" i="627"/>
  <c r="V765" i="627"/>
  <c r="W765" i="627"/>
  <c r="X765" i="627"/>
  <c r="Y765" i="627"/>
  <c r="Z765" i="627"/>
  <c r="AA765" i="627"/>
  <c r="U766" i="627"/>
  <c r="V766" i="627"/>
  <c r="W766" i="627"/>
  <c r="X766" i="627"/>
  <c r="Y766" i="627"/>
  <c r="Z766" i="627"/>
  <c r="AA766" i="627"/>
  <c r="U767" i="627"/>
  <c r="V767" i="627"/>
  <c r="W767" i="627"/>
  <c r="X767" i="627"/>
  <c r="Y767" i="627"/>
  <c r="Z767" i="627"/>
  <c r="AA767" i="627"/>
  <c r="U768" i="627"/>
  <c r="V768" i="627"/>
  <c r="W768" i="627"/>
  <c r="X768" i="627"/>
  <c r="Y768" i="627"/>
  <c r="Z768" i="627"/>
  <c r="AA768" i="627"/>
  <c r="U769" i="627"/>
  <c r="V769" i="627"/>
  <c r="W769" i="627"/>
  <c r="X769" i="627"/>
  <c r="Y769" i="627"/>
  <c r="Z769" i="627"/>
  <c r="AA769" i="627"/>
  <c r="U770" i="627"/>
  <c r="V770" i="627"/>
  <c r="W770" i="627"/>
  <c r="X770" i="627"/>
  <c r="Y770" i="627"/>
  <c r="Z770" i="627"/>
  <c r="AA770" i="627"/>
  <c r="U771" i="627"/>
  <c r="V771" i="627"/>
  <c r="W771" i="627"/>
  <c r="X771" i="627"/>
  <c r="Y771" i="627"/>
  <c r="Z771" i="627"/>
  <c r="AA771" i="627"/>
  <c r="U772" i="627"/>
  <c r="V772" i="627"/>
  <c r="W772" i="627"/>
  <c r="X772" i="627"/>
  <c r="Y772" i="627"/>
  <c r="Z772" i="627"/>
  <c r="AA772" i="627"/>
  <c r="U773" i="627"/>
  <c r="V773" i="627"/>
  <c r="W773" i="627"/>
  <c r="X773" i="627"/>
  <c r="Y773" i="627"/>
  <c r="Z773" i="627"/>
  <c r="AA773" i="627"/>
  <c r="U774" i="627"/>
  <c r="V774" i="627"/>
  <c r="W774" i="627"/>
  <c r="X774" i="627"/>
  <c r="Y774" i="627"/>
  <c r="Z774" i="627"/>
  <c r="AA774" i="627"/>
  <c r="U775" i="627"/>
  <c r="V775" i="627"/>
  <c r="W775" i="627"/>
  <c r="X775" i="627"/>
  <c r="Y775" i="627"/>
  <c r="Z775" i="627"/>
  <c r="AA775" i="627"/>
  <c r="U776" i="627"/>
  <c r="V776" i="627"/>
  <c r="W776" i="627"/>
  <c r="X776" i="627"/>
  <c r="Y776" i="627"/>
  <c r="Z776" i="627"/>
  <c r="AA776" i="627"/>
  <c r="U777" i="627"/>
  <c r="V777" i="627"/>
  <c r="W777" i="627"/>
  <c r="X777" i="627"/>
  <c r="Y777" i="627"/>
  <c r="Z777" i="627"/>
  <c r="AA777" i="627"/>
  <c r="U778" i="627"/>
  <c r="V778" i="627"/>
  <c r="W778" i="627"/>
  <c r="X778" i="627"/>
  <c r="Y778" i="627"/>
  <c r="Z778" i="627"/>
  <c r="AA778" i="627"/>
  <c r="U779" i="627"/>
  <c r="V779" i="627"/>
  <c r="W779" i="627"/>
  <c r="X779" i="627"/>
  <c r="Y779" i="627"/>
  <c r="Z779" i="627"/>
  <c r="AA779" i="627"/>
  <c r="U780" i="627"/>
  <c r="V780" i="627"/>
  <c r="W780" i="627"/>
  <c r="X780" i="627"/>
  <c r="Y780" i="627"/>
  <c r="Z780" i="627"/>
  <c r="AA780" i="627"/>
  <c r="U781" i="627"/>
  <c r="V781" i="627"/>
  <c r="W781" i="627"/>
  <c r="X781" i="627"/>
  <c r="Y781" i="627"/>
  <c r="Z781" i="627"/>
  <c r="AA781" i="627"/>
  <c r="U782" i="627"/>
  <c r="V782" i="627"/>
  <c r="W782" i="627"/>
  <c r="X782" i="627"/>
  <c r="Y782" i="627"/>
  <c r="Z782" i="627"/>
  <c r="AA782" i="627"/>
  <c r="U783" i="627"/>
  <c r="V783" i="627"/>
  <c r="W783" i="627"/>
  <c r="X783" i="627"/>
  <c r="Y783" i="627"/>
  <c r="Z783" i="627"/>
  <c r="AA783" i="627"/>
  <c r="U784" i="627"/>
  <c r="V784" i="627"/>
  <c r="W784" i="627"/>
  <c r="X784" i="627"/>
  <c r="Y784" i="627"/>
  <c r="Z784" i="627"/>
  <c r="AA784" i="627"/>
  <c r="U785" i="627"/>
  <c r="V785" i="627"/>
  <c r="W785" i="627"/>
  <c r="X785" i="627"/>
  <c r="Y785" i="627"/>
  <c r="Z785" i="627"/>
  <c r="AA785" i="627"/>
  <c r="U786" i="627"/>
  <c r="V786" i="627"/>
  <c r="W786" i="627"/>
  <c r="X786" i="627"/>
  <c r="Y786" i="627"/>
  <c r="Z786" i="627"/>
  <c r="AA786" i="627"/>
  <c r="U787" i="627"/>
  <c r="V787" i="627"/>
  <c r="W787" i="627"/>
  <c r="X787" i="627"/>
  <c r="Y787" i="627"/>
  <c r="Z787" i="627"/>
  <c r="AA787" i="627"/>
  <c r="U788" i="627"/>
  <c r="V788" i="627"/>
  <c r="W788" i="627"/>
  <c r="X788" i="627"/>
  <c r="Y788" i="627"/>
  <c r="Z788" i="627"/>
  <c r="AA788" i="627"/>
  <c r="U789" i="627"/>
  <c r="V789" i="627"/>
  <c r="W789" i="627"/>
  <c r="X789" i="627"/>
  <c r="Y789" i="627"/>
  <c r="Z789" i="627"/>
  <c r="AA789" i="627"/>
  <c r="U790" i="627"/>
  <c r="V790" i="627"/>
  <c r="W790" i="627"/>
  <c r="X790" i="627"/>
  <c r="Y790" i="627"/>
  <c r="Z790" i="627"/>
  <c r="AA790" i="627"/>
  <c r="U791" i="627"/>
  <c r="V791" i="627"/>
  <c r="W791" i="627"/>
  <c r="X791" i="627"/>
  <c r="Y791" i="627"/>
  <c r="Z791" i="627"/>
  <c r="AA791" i="627"/>
  <c r="U792" i="627"/>
  <c r="V792" i="627"/>
  <c r="W792" i="627"/>
  <c r="X792" i="627"/>
  <c r="Y792" i="627"/>
  <c r="Z792" i="627"/>
  <c r="AA792" i="627"/>
  <c r="U793" i="627"/>
  <c r="V793" i="627"/>
  <c r="W793" i="627"/>
  <c r="X793" i="627"/>
  <c r="Y793" i="627"/>
  <c r="Z793" i="627"/>
  <c r="AA793" i="627"/>
  <c r="U794" i="627"/>
  <c r="V794" i="627"/>
  <c r="W794" i="627"/>
  <c r="X794" i="627"/>
  <c r="Y794" i="627"/>
  <c r="Z794" i="627"/>
  <c r="AA794" i="627"/>
  <c r="U795" i="627"/>
  <c r="V795" i="627"/>
  <c r="W795" i="627"/>
  <c r="X795" i="627"/>
  <c r="Y795" i="627"/>
  <c r="Z795" i="627"/>
  <c r="AA795" i="627"/>
  <c r="U796" i="627"/>
  <c r="V796" i="627"/>
  <c r="W796" i="627"/>
  <c r="X796" i="627"/>
  <c r="Y796" i="627"/>
  <c r="Z796" i="627"/>
  <c r="AA796" i="627"/>
  <c r="U797" i="627"/>
  <c r="V797" i="627"/>
  <c r="W797" i="627"/>
  <c r="X797" i="627"/>
  <c r="Y797" i="627"/>
  <c r="Z797" i="627"/>
  <c r="AA797" i="627"/>
  <c r="U798" i="627"/>
  <c r="V798" i="627"/>
  <c r="W798" i="627"/>
  <c r="X798" i="627"/>
  <c r="Y798" i="627"/>
  <c r="Z798" i="627"/>
  <c r="AA798" i="627"/>
  <c r="U799" i="627"/>
  <c r="V799" i="627"/>
  <c r="W799" i="627"/>
  <c r="X799" i="627"/>
  <c r="Y799" i="627"/>
  <c r="Z799" i="627"/>
  <c r="AA799" i="627"/>
  <c r="U800" i="627"/>
  <c r="V800" i="627"/>
  <c r="W800" i="627"/>
  <c r="X800" i="627"/>
  <c r="Y800" i="627"/>
  <c r="Z800" i="627"/>
  <c r="AA800" i="627"/>
  <c r="U801" i="627"/>
  <c r="V801" i="627"/>
  <c r="W801" i="627"/>
  <c r="X801" i="627"/>
  <c r="Y801" i="627"/>
  <c r="Z801" i="627"/>
  <c r="AA801" i="627"/>
  <c r="U802" i="627"/>
  <c r="V802" i="627"/>
  <c r="W802" i="627"/>
  <c r="X802" i="627"/>
  <c r="Y802" i="627"/>
  <c r="Z802" i="627"/>
  <c r="AA802" i="627"/>
  <c r="U803" i="627"/>
  <c r="V803" i="627"/>
  <c r="W803" i="627"/>
  <c r="X803" i="627"/>
  <c r="Y803" i="627"/>
  <c r="Z803" i="627"/>
  <c r="AA803" i="627"/>
  <c r="U804" i="627"/>
  <c r="V804" i="627"/>
  <c r="W804" i="627"/>
  <c r="X804" i="627"/>
  <c r="Y804" i="627"/>
  <c r="Z804" i="627"/>
  <c r="AA804" i="627"/>
  <c r="U805" i="627"/>
  <c r="V805" i="627"/>
  <c r="W805" i="627"/>
  <c r="X805" i="627"/>
  <c r="Y805" i="627"/>
  <c r="Z805" i="627"/>
  <c r="AA805" i="627"/>
  <c r="U806" i="627"/>
  <c r="V806" i="627"/>
  <c r="W806" i="627"/>
  <c r="X806" i="627"/>
  <c r="Y806" i="627"/>
  <c r="Z806" i="627"/>
  <c r="AA806" i="627"/>
  <c r="U807" i="627"/>
  <c r="V807" i="627"/>
  <c r="W807" i="627"/>
  <c r="X807" i="627"/>
  <c r="Y807" i="627"/>
  <c r="Z807" i="627"/>
  <c r="AA807" i="627"/>
  <c r="U808" i="627"/>
  <c r="V808" i="627"/>
  <c r="W808" i="627"/>
  <c r="X808" i="627"/>
  <c r="Y808" i="627"/>
  <c r="Z808" i="627"/>
  <c r="AA808" i="627"/>
  <c r="U809" i="627"/>
  <c r="V809" i="627"/>
  <c r="W809" i="627"/>
  <c r="X809" i="627"/>
  <c r="Y809" i="627"/>
  <c r="Z809" i="627"/>
  <c r="AA809" i="627"/>
  <c r="U810" i="627"/>
  <c r="V810" i="627"/>
  <c r="W810" i="627"/>
  <c r="X810" i="627"/>
  <c r="Y810" i="627"/>
  <c r="Z810" i="627"/>
  <c r="AA810" i="627"/>
  <c r="U811" i="627"/>
  <c r="V811" i="627"/>
  <c r="W811" i="627"/>
  <c r="X811" i="627"/>
  <c r="Y811" i="627"/>
  <c r="Z811" i="627"/>
  <c r="AA811" i="627"/>
  <c r="U812" i="627"/>
  <c r="V812" i="627"/>
  <c r="W812" i="627"/>
  <c r="X812" i="627"/>
  <c r="Y812" i="627"/>
  <c r="Z812" i="627"/>
  <c r="AA812" i="627"/>
  <c r="U813" i="627"/>
  <c r="V813" i="627"/>
  <c r="W813" i="627"/>
  <c r="X813" i="627"/>
  <c r="Y813" i="627"/>
  <c r="Z813" i="627"/>
  <c r="AA813" i="627"/>
  <c r="U814" i="627"/>
  <c r="V814" i="627"/>
  <c r="W814" i="627"/>
  <c r="X814" i="627"/>
  <c r="Y814" i="627"/>
  <c r="Z814" i="627"/>
  <c r="AA814" i="627"/>
  <c r="U815" i="627"/>
  <c r="V815" i="627"/>
  <c r="W815" i="627"/>
  <c r="X815" i="627"/>
  <c r="Y815" i="627"/>
  <c r="Z815" i="627"/>
  <c r="AA815" i="627"/>
  <c r="U816" i="627"/>
  <c r="V816" i="627"/>
  <c r="W816" i="627"/>
  <c r="X816" i="627"/>
  <c r="Y816" i="627"/>
  <c r="Z816" i="627"/>
  <c r="AA816" i="627"/>
  <c r="U817" i="627"/>
  <c r="V817" i="627"/>
  <c r="W817" i="627"/>
  <c r="X817" i="627"/>
  <c r="Y817" i="627"/>
  <c r="Z817" i="627"/>
  <c r="AA817" i="627"/>
  <c r="U818" i="627"/>
  <c r="V818" i="627"/>
  <c r="W818" i="627"/>
  <c r="X818" i="627"/>
  <c r="Y818" i="627"/>
  <c r="Z818" i="627"/>
  <c r="AA818" i="627"/>
  <c r="U819" i="627"/>
  <c r="V819" i="627"/>
  <c r="W819" i="627"/>
  <c r="X819" i="627"/>
  <c r="Y819" i="627"/>
  <c r="Z819" i="627"/>
  <c r="AA819" i="627"/>
  <c r="U820" i="627"/>
  <c r="V820" i="627"/>
  <c r="W820" i="627"/>
  <c r="X820" i="627"/>
  <c r="Y820" i="627"/>
  <c r="Z820" i="627"/>
  <c r="AA820" i="627"/>
  <c r="U821" i="627"/>
  <c r="V821" i="627"/>
  <c r="W821" i="627"/>
  <c r="X821" i="627"/>
  <c r="Y821" i="627"/>
  <c r="Z821" i="627"/>
  <c r="AA821" i="627"/>
  <c r="U822" i="627"/>
  <c r="V822" i="627"/>
  <c r="W822" i="627"/>
  <c r="X822" i="627"/>
  <c r="Y822" i="627"/>
  <c r="Z822" i="627"/>
  <c r="AA822" i="627"/>
  <c r="U823" i="627"/>
  <c r="V823" i="627"/>
  <c r="W823" i="627"/>
  <c r="X823" i="627"/>
  <c r="Y823" i="627"/>
  <c r="Z823" i="627"/>
  <c r="AA823" i="627"/>
  <c r="U824" i="627"/>
  <c r="V824" i="627"/>
  <c r="W824" i="627"/>
  <c r="X824" i="627"/>
  <c r="Y824" i="627"/>
  <c r="Z824" i="627"/>
  <c r="AA824" i="627"/>
  <c r="U825" i="627"/>
  <c r="V825" i="627"/>
  <c r="W825" i="627"/>
  <c r="X825" i="627"/>
  <c r="Y825" i="627"/>
  <c r="Z825" i="627"/>
  <c r="AA825" i="627"/>
  <c r="U826" i="627"/>
  <c r="V826" i="627"/>
  <c r="W826" i="627"/>
  <c r="X826" i="627"/>
  <c r="Y826" i="627"/>
  <c r="Z826" i="627"/>
  <c r="AA826" i="627"/>
  <c r="U827" i="627"/>
  <c r="V827" i="627"/>
  <c r="W827" i="627"/>
  <c r="X827" i="627"/>
  <c r="Y827" i="627"/>
  <c r="Z827" i="627"/>
  <c r="AA827" i="627"/>
  <c r="U828" i="627"/>
  <c r="V828" i="627"/>
  <c r="W828" i="627"/>
  <c r="X828" i="627"/>
  <c r="Y828" i="627"/>
  <c r="Z828" i="627"/>
  <c r="AA828" i="627"/>
  <c r="U829" i="627"/>
  <c r="V829" i="627"/>
  <c r="W829" i="627"/>
  <c r="X829" i="627"/>
  <c r="Y829" i="627"/>
  <c r="Z829" i="627"/>
  <c r="AA829" i="627"/>
  <c r="U830" i="627"/>
  <c r="V830" i="627"/>
  <c r="W830" i="627"/>
  <c r="X830" i="627"/>
  <c r="Y830" i="627"/>
  <c r="Z830" i="627"/>
  <c r="AA830" i="627"/>
  <c r="U831" i="627"/>
  <c r="V831" i="627"/>
  <c r="W831" i="627"/>
  <c r="X831" i="627"/>
  <c r="Y831" i="627"/>
  <c r="Z831" i="627"/>
  <c r="AA831" i="627"/>
  <c r="U832" i="627"/>
  <c r="V832" i="627"/>
  <c r="W832" i="627"/>
  <c r="X832" i="627"/>
  <c r="Y832" i="627"/>
  <c r="Z832" i="627"/>
  <c r="AA832" i="627"/>
  <c r="U833" i="627"/>
  <c r="V833" i="627"/>
  <c r="W833" i="627"/>
  <c r="X833" i="627"/>
  <c r="Y833" i="627"/>
  <c r="Z833" i="627"/>
  <c r="AA833" i="627"/>
  <c r="U834" i="627"/>
  <c r="V834" i="627"/>
  <c r="W834" i="627"/>
  <c r="X834" i="627"/>
  <c r="Y834" i="627"/>
  <c r="Z834" i="627"/>
  <c r="AA834" i="627"/>
  <c r="U835" i="627"/>
  <c r="V835" i="627"/>
  <c r="W835" i="627"/>
  <c r="X835" i="627"/>
  <c r="Y835" i="627"/>
  <c r="Z835" i="627"/>
  <c r="AA835" i="627"/>
  <c r="U836" i="627"/>
  <c r="V836" i="627"/>
  <c r="W836" i="627"/>
  <c r="X836" i="627"/>
  <c r="Y836" i="627"/>
  <c r="Z836" i="627"/>
  <c r="AA836" i="627"/>
  <c r="U837" i="627"/>
  <c r="V837" i="627"/>
  <c r="W837" i="627"/>
  <c r="X837" i="627"/>
  <c r="Y837" i="627"/>
  <c r="Z837" i="627"/>
  <c r="AA837" i="627"/>
  <c r="U838" i="627"/>
  <c r="V838" i="627"/>
  <c r="W838" i="627"/>
  <c r="X838" i="627"/>
  <c r="Y838" i="627"/>
  <c r="Z838" i="627"/>
  <c r="AA838" i="627"/>
  <c r="U839" i="627"/>
  <c r="V839" i="627"/>
  <c r="W839" i="627"/>
  <c r="X839" i="627"/>
  <c r="Y839" i="627"/>
  <c r="Z839" i="627"/>
  <c r="AA839" i="627"/>
  <c r="U840" i="627"/>
  <c r="V840" i="627"/>
  <c r="W840" i="627"/>
  <c r="X840" i="627"/>
  <c r="Y840" i="627"/>
  <c r="Z840" i="627"/>
  <c r="AA840" i="627"/>
  <c r="U841" i="627"/>
  <c r="V841" i="627"/>
  <c r="W841" i="627"/>
  <c r="X841" i="627"/>
  <c r="Y841" i="627"/>
  <c r="Z841" i="627"/>
  <c r="AA841" i="627"/>
  <c r="U842" i="627"/>
  <c r="V842" i="627"/>
  <c r="W842" i="627"/>
  <c r="X842" i="627"/>
  <c r="Y842" i="627"/>
  <c r="Z842" i="627"/>
  <c r="AA842" i="627"/>
  <c r="U843" i="627"/>
  <c r="V843" i="627"/>
  <c r="W843" i="627"/>
  <c r="X843" i="627"/>
  <c r="Y843" i="627"/>
  <c r="Z843" i="627"/>
  <c r="AA843" i="627"/>
  <c r="U844" i="627"/>
  <c r="V844" i="627"/>
  <c r="W844" i="627"/>
  <c r="X844" i="627"/>
  <c r="Y844" i="627"/>
  <c r="Z844" i="627"/>
  <c r="AA844" i="627"/>
  <c r="U845" i="627"/>
  <c r="V845" i="627"/>
  <c r="W845" i="627"/>
  <c r="X845" i="627"/>
  <c r="Y845" i="627"/>
  <c r="Z845" i="627"/>
  <c r="AA845" i="627"/>
  <c r="U846" i="627"/>
  <c r="V846" i="627"/>
  <c r="W846" i="627"/>
  <c r="X846" i="627"/>
  <c r="Y846" i="627"/>
  <c r="Z846" i="627"/>
  <c r="AA846" i="627"/>
  <c r="U847" i="627"/>
  <c r="V847" i="627"/>
  <c r="W847" i="627"/>
  <c r="X847" i="627"/>
  <c r="Y847" i="627"/>
  <c r="Z847" i="627"/>
  <c r="AA847" i="627"/>
  <c r="U848" i="627"/>
  <c r="V848" i="627"/>
  <c r="W848" i="627"/>
  <c r="X848" i="627"/>
  <c r="Y848" i="627"/>
  <c r="Z848" i="627"/>
  <c r="AA848" i="627"/>
  <c r="U849" i="627"/>
  <c r="V849" i="627"/>
  <c r="W849" i="627"/>
  <c r="X849" i="627"/>
  <c r="Y849" i="627"/>
  <c r="Z849" i="627"/>
  <c r="AA849" i="627"/>
  <c r="U850" i="627"/>
  <c r="V850" i="627"/>
  <c r="W850" i="627"/>
  <c r="X850" i="627"/>
  <c r="Y850" i="627"/>
  <c r="Z850" i="627"/>
  <c r="AA850" i="627"/>
  <c r="U851" i="627"/>
  <c r="V851" i="627"/>
  <c r="W851" i="627"/>
  <c r="X851" i="627"/>
  <c r="Y851" i="627"/>
  <c r="Z851" i="627"/>
  <c r="AA851" i="627"/>
  <c r="U852" i="627"/>
  <c r="V852" i="627"/>
  <c r="W852" i="627"/>
  <c r="X852" i="627"/>
  <c r="Y852" i="627"/>
  <c r="Z852" i="627"/>
  <c r="AA852" i="627"/>
  <c r="U853" i="627"/>
  <c r="V853" i="627"/>
  <c r="W853" i="627"/>
  <c r="X853" i="627"/>
  <c r="Y853" i="627"/>
  <c r="Z853" i="627"/>
  <c r="AA853" i="627"/>
  <c r="U854" i="627"/>
  <c r="V854" i="627"/>
  <c r="W854" i="627"/>
  <c r="X854" i="627"/>
  <c r="Y854" i="627"/>
  <c r="Z854" i="627"/>
  <c r="AA854" i="627"/>
  <c r="U855" i="627"/>
  <c r="V855" i="627"/>
  <c r="W855" i="627"/>
  <c r="X855" i="627"/>
  <c r="Y855" i="627"/>
  <c r="Z855" i="627"/>
  <c r="AA855" i="627"/>
  <c r="U856" i="627"/>
  <c r="V856" i="627"/>
  <c r="W856" i="627"/>
  <c r="X856" i="627"/>
  <c r="Y856" i="627"/>
  <c r="Z856" i="627"/>
  <c r="AA856" i="627"/>
  <c r="U857" i="627"/>
  <c r="V857" i="627"/>
  <c r="W857" i="627"/>
  <c r="X857" i="627"/>
  <c r="Y857" i="627"/>
  <c r="Z857" i="627"/>
  <c r="AA857" i="627"/>
  <c r="U858" i="627"/>
  <c r="V858" i="627"/>
  <c r="W858" i="627"/>
  <c r="X858" i="627"/>
  <c r="Y858" i="627"/>
  <c r="Z858" i="627"/>
  <c r="AA858" i="627"/>
  <c r="U859" i="627"/>
  <c r="V859" i="627"/>
  <c r="W859" i="627"/>
  <c r="X859" i="627"/>
  <c r="Y859" i="627"/>
  <c r="Z859" i="627"/>
  <c r="AA859" i="627"/>
  <c r="U860" i="627"/>
  <c r="V860" i="627"/>
  <c r="W860" i="627"/>
  <c r="X860" i="627"/>
  <c r="Y860" i="627"/>
  <c r="Z860" i="627"/>
  <c r="AA860" i="627"/>
  <c r="U861" i="627"/>
  <c r="V861" i="627"/>
  <c r="W861" i="627"/>
  <c r="X861" i="627"/>
  <c r="Y861" i="627"/>
  <c r="Z861" i="627"/>
  <c r="AA861" i="627"/>
  <c r="U862" i="627"/>
  <c r="V862" i="627"/>
  <c r="W862" i="627"/>
  <c r="X862" i="627"/>
  <c r="Y862" i="627"/>
  <c r="Z862" i="627"/>
  <c r="AA862" i="627"/>
  <c r="U863" i="627"/>
  <c r="V863" i="627"/>
  <c r="W863" i="627"/>
  <c r="X863" i="627"/>
  <c r="Y863" i="627"/>
  <c r="Z863" i="627"/>
  <c r="AA863" i="627"/>
  <c r="U864" i="627"/>
  <c r="V864" i="627"/>
  <c r="W864" i="627"/>
  <c r="X864" i="627"/>
  <c r="Y864" i="627"/>
  <c r="Z864" i="627"/>
  <c r="AA864" i="627"/>
  <c r="U865" i="627"/>
  <c r="V865" i="627"/>
  <c r="W865" i="627"/>
  <c r="X865" i="627"/>
  <c r="Y865" i="627"/>
  <c r="Z865" i="627"/>
  <c r="AA865" i="627"/>
  <c r="U866" i="627"/>
  <c r="V866" i="627"/>
  <c r="W866" i="627"/>
  <c r="X866" i="627"/>
  <c r="Y866" i="627"/>
  <c r="Z866" i="627"/>
  <c r="AA866" i="627"/>
  <c r="U867" i="627"/>
  <c r="V867" i="627"/>
  <c r="W867" i="627"/>
  <c r="X867" i="627"/>
  <c r="Y867" i="627"/>
  <c r="Z867" i="627"/>
  <c r="AA867" i="627"/>
  <c r="U868" i="627"/>
  <c r="V868" i="627"/>
  <c r="W868" i="627"/>
  <c r="X868" i="627"/>
  <c r="Y868" i="627"/>
  <c r="Z868" i="627"/>
  <c r="AA868" i="627"/>
  <c r="U869" i="627"/>
  <c r="V869" i="627"/>
  <c r="W869" i="627"/>
  <c r="X869" i="627"/>
  <c r="Y869" i="627"/>
  <c r="Z869" i="627"/>
  <c r="AA869" i="627"/>
  <c r="U870" i="627"/>
  <c r="V870" i="627"/>
  <c r="W870" i="627"/>
  <c r="X870" i="627"/>
  <c r="Y870" i="627"/>
  <c r="Z870" i="627"/>
  <c r="AA870" i="627"/>
  <c r="U871" i="627"/>
  <c r="V871" i="627"/>
  <c r="W871" i="627"/>
  <c r="X871" i="627"/>
  <c r="Y871" i="627"/>
  <c r="Z871" i="627"/>
  <c r="AA871" i="627"/>
  <c r="U872" i="627"/>
  <c r="V872" i="627"/>
  <c r="W872" i="627"/>
  <c r="X872" i="627"/>
  <c r="Y872" i="627"/>
  <c r="Z872" i="627"/>
  <c r="AA872" i="627"/>
  <c r="U873" i="627"/>
  <c r="V873" i="627"/>
  <c r="W873" i="627"/>
  <c r="X873" i="627"/>
  <c r="Y873" i="627"/>
  <c r="Z873" i="627"/>
  <c r="AA873" i="627"/>
  <c r="U874" i="627"/>
  <c r="V874" i="627"/>
  <c r="W874" i="627"/>
  <c r="X874" i="627"/>
  <c r="Y874" i="627"/>
  <c r="Z874" i="627"/>
  <c r="AA874" i="627"/>
  <c r="U875" i="627"/>
  <c r="V875" i="627"/>
  <c r="W875" i="627"/>
  <c r="X875" i="627"/>
  <c r="Y875" i="627"/>
  <c r="Z875" i="627"/>
  <c r="AA875" i="627"/>
  <c r="U876" i="627"/>
  <c r="V876" i="627"/>
  <c r="W876" i="627"/>
  <c r="X876" i="627"/>
  <c r="Y876" i="627"/>
  <c r="Z876" i="627"/>
  <c r="AA876" i="627"/>
  <c r="U877" i="627"/>
  <c r="V877" i="627"/>
  <c r="W877" i="627"/>
  <c r="X877" i="627"/>
  <c r="Y877" i="627"/>
  <c r="Z877" i="627"/>
  <c r="AA877" i="627"/>
  <c r="U878" i="627"/>
  <c r="V878" i="627"/>
  <c r="W878" i="627"/>
  <c r="X878" i="627"/>
  <c r="Y878" i="627"/>
  <c r="Z878" i="627"/>
  <c r="AA878" i="627"/>
  <c r="U879" i="627"/>
  <c r="V879" i="627"/>
  <c r="W879" i="627"/>
  <c r="X879" i="627"/>
  <c r="Y879" i="627"/>
  <c r="Z879" i="627"/>
  <c r="AA879" i="627"/>
  <c r="U880" i="627"/>
  <c r="V880" i="627"/>
  <c r="W880" i="627"/>
  <c r="X880" i="627"/>
  <c r="Y880" i="627"/>
  <c r="Z880" i="627"/>
  <c r="AA880" i="627"/>
  <c r="U881" i="627"/>
  <c r="V881" i="627"/>
  <c r="W881" i="627"/>
  <c r="X881" i="627"/>
  <c r="Y881" i="627"/>
  <c r="Z881" i="627"/>
  <c r="AA881" i="627"/>
  <c r="U882" i="627"/>
  <c r="V882" i="627"/>
  <c r="W882" i="627"/>
  <c r="X882" i="627"/>
  <c r="Y882" i="627"/>
  <c r="Z882" i="627"/>
  <c r="AA882" i="627"/>
  <c r="U883" i="627"/>
  <c r="V883" i="627"/>
  <c r="W883" i="627"/>
  <c r="X883" i="627"/>
  <c r="Y883" i="627"/>
  <c r="Z883" i="627"/>
  <c r="AA883" i="627"/>
  <c r="U884" i="627"/>
  <c r="V884" i="627"/>
  <c r="W884" i="627"/>
  <c r="X884" i="627"/>
  <c r="Y884" i="627"/>
  <c r="Z884" i="627"/>
  <c r="AA884" i="627"/>
  <c r="U885" i="627"/>
  <c r="V885" i="627"/>
  <c r="W885" i="627"/>
  <c r="X885" i="627"/>
  <c r="Y885" i="627"/>
  <c r="Z885" i="627"/>
  <c r="AA885" i="627"/>
  <c r="U886" i="627"/>
  <c r="V886" i="627"/>
  <c r="W886" i="627"/>
  <c r="X886" i="627"/>
  <c r="Y886" i="627"/>
  <c r="Z886" i="627"/>
  <c r="AA886" i="627"/>
  <c r="U887" i="627"/>
  <c r="V887" i="627"/>
  <c r="W887" i="627"/>
  <c r="X887" i="627"/>
  <c r="Y887" i="627"/>
  <c r="Z887" i="627"/>
  <c r="AA887" i="627"/>
  <c r="U888" i="627"/>
  <c r="V888" i="627"/>
  <c r="W888" i="627"/>
  <c r="X888" i="627"/>
  <c r="Y888" i="627"/>
  <c r="Z888" i="627"/>
  <c r="AA888" i="627"/>
  <c r="U889" i="627"/>
  <c r="V889" i="627"/>
  <c r="W889" i="627"/>
  <c r="X889" i="627"/>
  <c r="Y889" i="627"/>
  <c r="Z889" i="627"/>
  <c r="AA889" i="627"/>
  <c r="U890" i="627"/>
  <c r="V890" i="627"/>
  <c r="W890" i="627"/>
  <c r="X890" i="627"/>
  <c r="Y890" i="627"/>
  <c r="Z890" i="627"/>
  <c r="AA890" i="627"/>
  <c r="U891" i="627"/>
  <c r="V891" i="627"/>
  <c r="W891" i="627"/>
  <c r="X891" i="627"/>
  <c r="Y891" i="627"/>
  <c r="Z891" i="627"/>
  <c r="AA891" i="627"/>
  <c r="U892" i="627"/>
  <c r="V892" i="627"/>
  <c r="W892" i="627"/>
  <c r="X892" i="627"/>
  <c r="Y892" i="627"/>
  <c r="Z892" i="627"/>
  <c r="AA892" i="627"/>
  <c r="U893" i="627"/>
  <c r="V893" i="627"/>
  <c r="W893" i="627"/>
  <c r="X893" i="627"/>
  <c r="Y893" i="627"/>
  <c r="Z893" i="627"/>
  <c r="AA893" i="627"/>
  <c r="U894" i="627"/>
  <c r="V894" i="627"/>
  <c r="W894" i="627"/>
  <c r="X894" i="627"/>
  <c r="Y894" i="627"/>
  <c r="Z894" i="627"/>
  <c r="AA894" i="627"/>
  <c r="U895" i="627"/>
  <c r="V895" i="627"/>
  <c r="W895" i="627"/>
  <c r="X895" i="627"/>
  <c r="Y895" i="627"/>
  <c r="Z895" i="627"/>
  <c r="AA895" i="627"/>
  <c r="U896" i="627"/>
  <c r="V896" i="627"/>
  <c r="W896" i="627"/>
  <c r="X896" i="627"/>
  <c r="Y896" i="627"/>
  <c r="Z896" i="627"/>
  <c r="AA896" i="627"/>
  <c r="U897" i="627"/>
  <c r="V897" i="627"/>
  <c r="W897" i="627"/>
  <c r="X897" i="627"/>
  <c r="Y897" i="627"/>
  <c r="Z897" i="627"/>
  <c r="AA897" i="627"/>
  <c r="U898" i="627"/>
  <c r="V898" i="627"/>
  <c r="W898" i="627"/>
  <c r="X898" i="627"/>
  <c r="Y898" i="627"/>
  <c r="Z898" i="627"/>
  <c r="AA898" i="627"/>
  <c r="U899" i="627"/>
  <c r="V899" i="627"/>
  <c r="W899" i="627"/>
  <c r="X899" i="627"/>
  <c r="Y899" i="627"/>
  <c r="Z899" i="627"/>
  <c r="AA899" i="627"/>
  <c r="U900" i="627"/>
  <c r="V900" i="627"/>
  <c r="W900" i="627"/>
  <c r="X900" i="627"/>
  <c r="Y900" i="627"/>
  <c r="Z900" i="627"/>
  <c r="AA900" i="627"/>
  <c r="U901" i="627"/>
  <c r="V901" i="627"/>
  <c r="W901" i="627"/>
  <c r="X901" i="627"/>
  <c r="Y901" i="627"/>
  <c r="Z901" i="627"/>
  <c r="AA901" i="627"/>
  <c r="U902" i="627"/>
  <c r="V902" i="627"/>
  <c r="W902" i="627"/>
  <c r="X902" i="627"/>
  <c r="Y902" i="627"/>
  <c r="Z902" i="627"/>
  <c r="AA902" i="627"/>
  <c r="U903" i="627"/>
  <c r="V903" i="627"/>
  <c r="W903" i="627"/>
  <c r="X903" i="627"/>
  <c r="Y903" i="627"/>
  <c r="Z903" i="627"/>
  <c r="AA903" i="627"/>
  <c r="U904" i="627"/>
  <c r="V904" i="627"/>
  <c r="W904" i="627"/>
  <c r="X904" i="627"/>
  <c r="Y904" i="627"/>
  <c r="Z904" i="627"/>
  <c r="AA904" i="627"/>
  <c r="U905" i="627"/>
  <c r="V905" i="627"/>
  <c r="W905" i="627"/>
  <c r="X905" i="627"/>
  <c r="Y905" i="627"/>
  <c r="Z905" i="627"/>
  <c r="AA905" i="627"/>
  <c r="U906" i="627"/>
  <c r="V906" i="627"/>
  <c r="W906" i="627"/>
  <c r="X906" i="627"/>
  <c r="Y906" i="627"/>
  <c r="Z906" i="627"/>
  <c r="AA906" i="627"/>
  <c r="U907" i="627"/>
  <c r="V907" i="627"/>
  <c r="W907" i="627"/>
  <c r="X907" i="627"/>
  <c r="Y907" i="627"/>
  <c r="Z907" i="627"/>
  <c r="AA907" i="627"/>
  <c r="U908" i="627"/>
  <c r="V908" i="627"/>
  <c r="W908" i="627"/>
  <c r="X908" i="627"/>
  <c r="Y908" i="627"/>
  <c r="Z908" i="627"/>
  <c r="AA908" i="627"/>
  <c r="U909" i="627"/>
  <c r="V909" i="627"/>
  <c r="W909" i="627"/>
  <c r="X909" i="627"/>
  <c r="Y909" i="627"/>
  <c r="Z909" i="627"/>
  <c r="AA909" i="627"/>
  <c r="U910" i="627"/>
  <c r="V910" i="627"/>
  <c r="W910" i="627"/>
  <c r="X910" i="627"/>
  <c r="Y910" i="627"/>
  <c r="Z910" i="627"/>
  <c r="AA910" i="627"/>
  <c r="U911" i="627"/>
  <c r="V911" i="627"/>
  <c r="W911" i="627"/>
  <c r="X911" i="627"/>
  <c r="Y911" i="627"/>
  <c r="Z911" i="627"/>
  <c r="AA911" i="627"/>
  <c r="U912" i="627"/>
  <c r="V912" i="627"/>
  <c r="W912" i="627"/>
  <c r="X912" i="627"/>
  <c r="Y912" i="627"/>
  <c r="Z912" i="627"/>
  <c r="AA912" i="627"/>
  <c r="U913" i="627"/>
  <c r="V913" i="627"/>
  <c r="W913" i="627"/>
  <c r="X913" i="627"/>
  <c r="Y913" i="627"/>
  <c r="Z913" i="627"/>
  <c r="AA913" i="627"/>
  <c r="U914" i="627"/>
  <c r="V914" i="627"/>
  <c r="W914" i="627"/>
  <c r="X914" i="627"/>
  <c r="Y914" i="627"/>
  <c r="Z914" i="627"/>
  <c r="AA914" i="627"/>
  <c r="U915" i="627"/>
  <c r="V915" i="627"/>
  <c r="W915" i="627"/>
  <c r="X915" i="627"/>
  <c r="Y915" i="627"/>
  <c r="Z915" i="627"/>
  <c r="AA915" i="627"/>
  <c r="U916" i="627"/>
  <c r="V916" i="627"/>
  <c r="W916" i="627"/>
  <c r="X916" i="627"/>
  <c r="Y916" i="627"/>
  <c r="Z916" i="627"/>
  <c r="AA916" i="627"/>
  <c r="U917" i="627"/>
  <c r="V917" i="627"/>
  <c r="W917" i="627"/>
  <c r="X917" i="627"/>
  <c r="Y917" i="627"/>
  <c r="Z917" i="627"/>
  <c r="AA917" i="627"/>
  <c r="U918" i="627"/>
  <c r="V918" i="627"/>
  <c r="W918" i="627"/>
  <c r="X918" i="627"/>
  <c r="Y918" i="627"/>
  <c r="Z918" i="627"/>
  <c r="AA918" i="627"/>
  <c r="U919" i="627"/>
  <c r="V919" i="627"/>
  <c r="W919" i="627"/>
  <c r="X919" i="627"/>
  <c r="Y919" i="627"/>
  <c r="Z919" i="627"/>
  <c r="AA919" i="627"/>
  <c r="U920" i="627"/>
  <c r="V920" i="627"/>
  <c r="W920" i="627"/>
  <c r="X920" i="627"/>
  <c r="Y920" i="627"/>
  <c r="Z920" i="627"/>
  <c r="AA920" i="627"/>
  <c r="U921" i="627"/>
  <c r="V921" i="627"/>
  <c r="W921" i="627"/>
  <c r="X921" i="627"/>
  <c r="Y921" i="627"/>
  <c r="Z921" i="627"/>
  <c r="AA921" i="627"/>
  <c r="U922" i="627"/>
  <c r="V922" i="627"/>
  <c r="W922" i="627"/>
  <c r="X922" i="627"/>
  <c r="Y922" i="627"/>
  <c r="Z922" i="627"/>
  <c r="AA922" i="627"/>
  <c r="U923" i="627"/>
  <c r="V923" i="627"/>
  <c r="W923" i="627"/>
  <c r="X923" i="627"/>
  <c r="Y923" i="627"/>
  <c r="Z923" i="627"/>
  <c r="AA923" i="627"/>
  <c r="U924" i="627"/>
  <c r="V924" i="627"/>
  <c r="W924" i="627"/>
  <c r="X924" i="627"/>
  <c r="Y924" i="627"/>
  <c r="Z924" i="627"/>
  <c r="AA924" i="627"/>
  <c r="U925" i="627"/>
  <c r="V925" i="627"/>
  <c r="W925" i="627"/>
  <c r="X925" i="627"/>
  <c r="Y925" i="627"/>
  <c r="Z925" i="627"/>
  <c r="AA925" i="627"/>
  <c r="U926" i="627"/>
  <c r="V926" i="627"/>
  <c r="W926" i="627"/>
  <c r="X926" i="627"/>
  <c r="Y926" i="627"/>
  <c r="Z926" i="627"/>
  <c r="AA926" i="627"/>
  <c r="U927" i="627"/>
  <c r="V927" i="627"/>
  <c r="W927" i="627"/>
  <c r="X927" i="627"/>
  <c r="Y927" i="627"/>
  <c r="Z927" i="627"/>
  <c r="AA927" i="627"/>
  <c r="U928" i="627"/>
  <c r="V928" i="627"/>
  <c r="W928" i="627"/>
  <c r="X928" i="627"/>
  <c r="Y928" i="627"/>
  <c r="Z928" i="627"/>
  <c r="AA928" i="627"/>
  <c r="U929" i="627"/>
  <c r="V929" i="627"/>
  <c r="W929" i="627"/>
  <c r="X929" i="627"/>
  <c r="Y929" i="627"/>
  <c r="Z929" i="627"/>
  <c r="AA929" i="627"/>
  <c r="U930" i="627"/>
  <c r="V930" i="627"/>
  <c r="W930" i="627"/>
  <c r="X930" i="627"/>
  <c r="Y930" i="627"/>
  <c r="Z930" i="627"/>
  <c r="AA930" i="627"/>
  <c r="U931" i="627"/>
  <c r="V931" i="627"/>
  <c r="W931" i="627"/>
  <c r="X931" i="627"/>
  <c r="Y931" i="627"/>
  <c r="Z931" i="627"/>
  <c r="AA931" i="627"/>
  <c r="U932" i="627"/>
  <c r="V932" i="627"/>
  <c r="W932" i="627"/>
  <c r="X932" i="627"/>
  <c r="Y932" i="627"/>
  <c r="Z932" i="627"/>
  <c r="AA932" i="627"/>
  <c r="U933" i="627"/>
  <c r="V933" i="627"/>
  <c r="W933" i="627"/>
  <c r="X933" i="627"/>
  <c r="Y933" i="627"/>
  <c r="Z933" i="627"/>
  <c r="AA933" i="627"/>
  <c r="U934" i="627"/>
  <c r="V934" i="627"/>
  <c r="W934" i="627"/>
  <c r="X934" i="627"/>
  <c r="Y934" i="627"/>
  <c r="Z934" i="627"/>
  <c r="AA934" i="627"/>
  <c r="U935" i="627"/>
  <c r="V935" i="627"/>
  <c r="W935" i="627"/>
  <c r="X935" i="627"/>
  <c r="Y935" i="627"/>
  <c r="Z935" i="627"/>
  <c r="AA935" i="627"/>
  <c r="U936" i="627"/>
  <c r="V936" i="627"/>
  <c r="W936" i="627"/>
  <c r="X936" i="627"/>
  <c r="Y936" i="627"/>
  <c r="Z936" i="627"/>
  <c r="AA936" i="627"/>
  <c r="U937" i="627"/>
  <c r="V937" i="627"/>
  <c r="W937" i="627"/>
  <c r="X937" i="627"/>
  <c r="Y937" i="627"/>
  <c r="Z937" i="627"/>
  <c r="AA937" i="627"/>
  <c r="U938" i="627"/>
  <c r="V938" i="627"/>
  <c r="W938" i="627"/>
  <c r="X938" i="627"/>
  <c r="Y938" i="627"/>
  <c r="Z938" i="627"/>
  <c r="AA938" i="627"/>
  <c r="U939" i="627"/>
  <c r="V939" i="627"/>
  <c r="W939" i="627"/>
  <c r="X939" i="627"/>
  <c r="Y939" i="627"/>
  <c r="Z939" i="627"/>
  <c r="AA939" i="627"/>
  <c r="U940" i="627"/>
  <c r="V940" i="627"/>
  <c r="W940" i="627"/>
  <c r="X940" i="627"/>
  <c r="Y940" i="627"/>
  <c r="Z940" i="627"/>
  <c r="AA940" i="627"/>
  <c r="U941" i="627"/>
  <c r="V941" i="627"/>
  <c r="W941" i="627"/>
  <c r="X941" i="627"/>
  <c r="Y941" i="627"/>
  <c r="Z941" i="627"/>
  <c r="AA941" i="627"/>
  <c r="U942" i="627"/>
  <c r="V942" i="627"/>
  <c r="W942" i="627"/>
  <c r="X942" i="627"/>
  <c r="Y942" i="627"/>
  <c r="Z942" i="627"/>
  <c r="AA942" i="627"/>
  <c r="U943" i="627"/>
  <c r="V943" i="627"/>
  <c r="W943" i="627"/>
  <c r="X943" i="627"/>
  <c r="Y943" i="627"/>
  <c r="Z943" i="627"/>
  <c r="AA943" i="627"/>
  <c r="U944" i="627"/>
  <c r="V944" i="627"/>
  <c r="W944" i="627"/>
  <c r="X944" i="627"/>
  <c r="Y944" i="627"/>
  <c r="Z944" i="627"/>
  <c r="AA944" i="627"/>
  <c r="U945" i="627"/>
  <c r="V945" i="627"/>
  <c r="W945" i="627"/>
  <c r="X945" i="627"/>
  <c r="Y945" i="627"/>
  <c r="Z945" i="627"/>
  <c r="AA945" i="627"/>
  <c r="U946" i="627"/>
  <c r="V946" i="627"/>
  <c r="W946" i="627"/>
  <c r="X946" i="627"/>
  <c r="Y946" i="627"/>
  <c r="Z946" i="627"/>
  <c r="AA946" i="627"/>
  <c r="U947" i="627"/>
  <c r="V947" i="627"/>
  <c r="W947" i="627"/>
  <c r="X947" i="627"/>
  <c r="Y947" i="627"/>
  <c r="Z947" i="627"/>
  <c r="AA947" i="627"/>
  <c r="U948" i="627"/>
  <c r="V948" i="627"/>
  <c r="W948" i="627"/>
  <c r="X948" i="627"/>
  <c r="Y948" i="627"/>
  <c r="Z948" i="627"/>
  <c r="AA948" i="627"/>
  <c r="U949" i="627"/>
  <c r="V949" i="627"/>
  <c r="W949" i="627"/>
  <c r="X949" i="627"/>
  <c r="Y949" i="627"/>
  <c r="Z949" i="627"/>
  <c r="AA949" i="627"/>
  <c r="U950" i="627"/>
  <c r="V950" i="627"/>
  <c r="W950" i="627"/>
  <c r="X950" i="627"/>
  <c r="Y950" i="627"/>
  <c r="Z950" i="627"/>
  <c r="AA950" i="627"/>
  <c r="U951" i="627"/>
  <c r="V951" i="627"/>
  <c r="W951" i="627"/>
  <c r="X951" i="627"/>
  <c r="Y951" i="627"/>
  <c r="Z951" i="627"/>
  <c r="AA951" i="627"/>
  <c r="U952" i="627"/>
  <c r="V952" i="627"/>
  <c r="W952" i="627"/>
  <c r="X952" i="627"/>
  <c r="Y952" i="627"/>
  <c r="Z952" i="627"/>
  <c r="AA952" i="627"/>
  <c r="U953" i="627"/>
  <c r="V953" i="627"/>
  <c r="W953" i="627"/>
  <c r="X953" i="627"/>
  <c r="Y953" i="627"/>
  <c r="Z953" i="627"/>
  <c r="AA953" i="627"/>
  <c r="U954" i="627"/>
  <c r="V954" i="627"/>
  <c r="W954" i="627"/>
  <c r="X954" i="627"/>
  <c r="Y954" i="627"/>
  <c r="Z954" i="627"/>
  <c r="AA954" i="627"/>
  <c r="U955" i="627"/>
  <c r="V955" i="627"/>
  <c r="W955" i="627"/>
  <c r="X955" i="627"/>
  <c r="Y955" i="627"/>
  <c r="Z955" i="627"/>
  <c r="AA955" i="627"/>
  <c r="U956" i="627"/>
  <c r="V956" i="627"/>
  <c r="W956" i="627"/>
  <c r="X956" i="627"/>
  <c r="Y956" i="627"/>
  <c r="Z956" i="627"/>
  <c r="AA956" i="627"/>
  <c r="U957" i="627"/>
  <c r="V957" i="627"/>
  <c r="W957" i="627"/>
  <c r="X957" i="627"/>
  <c r="Y957" i="627"/>
  <c r="Z957" i="627"/>
  <c r="AA957" i="627"/>
  <c r="U958" i="627"/>
  <c r="V958" i="627"/>
  <c r="W958" i="627"/>
  <c r="X958" i="627"/>
  <c r="Y958" i="627"/>
  <c r="Z958" i="627"/>
  <c r="AA958" i="627"/>
  <c r="U959" i="627"/>
  <c r="V959" i="627"/>
  <c r="W959" i="627"/>
  <c r="X959" i="627"/>
  <c r="Y959" i="627"/>
  <c r="Z959" i="627"/>
  <c r="AA959" i="627"/>
  <c r="U960" i="627"/>
  <c r="V960" i="627"/>
  <c r="W960" i="627"/>
  <c r="X960" i="627"/>
  <c r="Y960" i="627"/>
  <c r="Z960" i="627"/>
  <c r="AA960" i="627"/>
  <c r="U961" i="627"/>
  <c r="V961" i="627"/>
  <c r="W961" i="627"/>
  <c r="X961" i="627"/>
  <c r="Y961" i="627"/>
  <c r="Z961" i="627"/>
  <c r="AA961" i="627"/>
  <c r="U962" i="627"/>
  <c r="V962" i="627"/>
  <c r="W962" i="627"/>
  <c r="X962" i="627"/>
  <c r="Y962" i="627"/>
  <c r="Z962" i="627"/>
  <c r="AA962" i="627"/>
  <c r="U963" i="627"/>
  <c r="V963" i="627"/>
  <c r="W963" i="627"/>
  <c r="X963" i="627"/>
  <c r="Y963" i="627"/>
  <c r="Z963" i="627"/>
  <c r="AA963" i="627"/>
  <c r="U964" i="627"/>
  <c r="V964" i="627"/>
  <c r="W964" i="627"/>
  <c r="X964" i="627"/>
  <c r="Y964" i="627"/>
  <c r="Z964" i="627"/>
  <c r="AA964" i="627"/>
  <c r="U965" i="627"/>
  <c r="V965" i="627"/>
  <c r="W965" i="627"/>
  <c r="X965" i="627"/>
  <c r="Y965" i="627"/>
  <c r="Z965" i="627"/>
  <c r="AA965" i="627"/>
  <c r="U966" i="627"/>
  <c r="V966" i="627"/>
  <c r="W966" i="627"/>
  <c r="X966" i="627"/>
  <c r="Y966" i="627"/>
  <c r="Z966" i="627"/>
  <c r="AA966" i="627"/>
  <c r="U967" i="627"/>
  <c r="V967" i="627"/>
  <c r="W967" i="627"/>
  <c r="X967" i="627"/>
  <c r="Y967" i="627"/>
  <c r="Z967" i="627"/>
  <c r="AA967" i="627"/>
  <c r="U968" i="627"/>
  <c r="V968" i="627"/>
  <c r="W968" i="627"/>
  <c r="X968" i="627"/>
  <c r="Y968" i="627"/>
  <c r="Z968" i="627"/>
  <c r="AA968" i="627"/>
  <c r="U969" i="627"/>
  <c r="V969" i="627"/>
  <c r="W969" i="627"/>
  <c r="X969" i="627"/>
  <c r="Y969" i="627"/>
  <c r="Z969" i="627"/>
  <c r="AA969" i="627"/>
  <c r="U970" i="627"/>
  <c r="V970" i="627"/>
  <c r="W970" i="627"/>
  <c r="X970" i="627"/>
  <c r="Y970" i="627"/>
  <c r="Z970" i="627"/>
  <c r="AA970" i="627"/>
  <c r="U971" i="627"/>
  <c r="V971" i="627"/>
  <c r="W971" i="627"/>
  <c r="X971" i="627"/>
  <c r="Y971" i="627"/>
  <c r="Z971" i="627"/>
  <c r="AA971" i="627"/>
  <c r="U972" i="627"/>
  <c r="V972" i="627"/>
  <c r="W972" i="627"/>
  <c r="X972" i="627"/>
  <c r="Y972" i="627"/>
  <c r="Z972" i="627"/>
  <c r="AA972" i="627"/>
  <c r="U973" i="627"/>
  <c r="V973" i="627"/>
  <c r="W973" i="627"/>
  <c r="X973" i="627"/>
  <c r="Y973" i="627"/>
  <c r="Z973" i="627"/>
  <c r="AA973" i="627"/>
  <c r="U974" i="627"/>
  <c r="V974" i="627"/>
  <c r="W974" i="627"/>
  <c r="X974" i="627"/>
  <c r="Y974" i="627"/>
  <c r="Z974" i="627"/>
  <c r="AA974" i="627"/>
  <c r="U975" i="627"/>
  <c r="V975" i="627"/>
  <c r="W975" i="627"/>
  <c r="X975" i="627"/>
  <c r="Y975" i="627"/>
  <c r="Z975" i="627"/>
  <c r="AA975" i="627"/>
  <c r="U976" i="627"/>
  <c r="V976" i="627"/>
  <c r="W976" i="627"/>
  <c r="X976" i="627"/>
  <c r="Y976" i="627"/>
  <c r="Z976" i="627"/>
  <c r="AA976" i="627"/>
  <c r="U977" i="627"/>
  <c r="V977" i="627"/>
  <c r="W977" i="627"/>
  <c r="X977" i="627"/>
  <c r="Y977" i="627"/>
  <c r="Z977" i="627"/>
  <c r="AA977" i="627"/>
  <c r="U978" i="627"/>
  <c r="V978" i="627"/>
  <c r="W978" i="627"/>
  <c r="X978" i="627"/>
  <c r="Y978" i="627"/>
  <c r="Z978" i="627"/>
  <c r="AA978" i="627"/>
  <c r="U979" i="627"/>
  <c r="V979" i="627"/>
  <c r="W979" i="627"/>
  <c r="X979" i="627"/>
  <c r="Y979" i="627"/>
  <c r="Z979" i="627"/>
  <c r="AA979" i="627"/>
  <c r="U980" i="627"/>
  <c r="V980" i="627"/>
  <c r="W980" i="627"/>
  <c r="X980" i="627"/>
  <c r="Y980" i="627"/>
  <c r="Z980" i="627"/>
  <c r="AA980" i="627"/>
  <c r="U981" i="627"/>
  <c r="V981" i="627"/>
  <c r="W981" i="627"/>
  <c r="X981" i="627"/>
  <c r="Y981" i="627"/>
  <c r="Z981" i="627"/>
  <c r="AA981" i="627"/>
  <c r="U982" i="627"/>
  <c r="V982" i="627"/>
  <c r="W982" i="627"/>
  <c r="X982" i="627"/>
  <c r="Y982" i="627"/>
  <c r="Z982" i="627"/>
  <c r="AA982" i="627"/>
  <c r="U983" i="627"/>
  <c r="V983" i="627"/>
  <c r="W983" i="627"/>
  <c r="X983" i="627"/>
  <c r="Y983" i="627"/>
  <c r="Z983" i="627"/>
  <c r="AA983" i="627"/>
  <c r="U984" i="627"/>
  <c r="V984" i="627"/>
  <c r="W984" i="627"/>
  <c r="X984" i="627"/>
  <c r="Y984" i="627"/>
  <c r="Z984" i="627"/>
  <c r="AA984" i="627"/>
  <c r="U985" i="627"/>
  <c r="V985" i="627"/>
  <c r="W985" i="627"/>
  <c r="X985" i="627"/>
  <c r="Y985" i="627"/>
  <c r="Z985" i="627"/>
  <c r="AA985" i="627"/>
  <c r="U986" i="627"/>
  <c r="V986" i="627"/>
  <c r="W986" i="627"/>
  <c r="X986" i="627"/>
  <c r="Y986" i="627"/>
  <c r="Z986" i="627"/>
  <c r="AA986" i="627"/>
  <c r="U987" i="627"/>
  <c r="V987" i="627"/>
  <c r="W987" i="627"/>
  <c r="X987" i="627"/>
  <c r="Y987" i="627"/>
  <c r="Z987" i="627"/>
  <c r="AA987" i="627"/>
  <c r="U988" i="627"/>
  <c r="V988" i="627"/>
  <c r="W988" i="627"/>
  <c r="X988" i="627"/>
  <c r="Y988" i="627"/>
  <c r="Z988" i="627"/>
  <c r="AA988" i="627"/>
  <c r="U989" i="627"/>
  <c r="V989" i="627"/>
  <c r="W989" i="627"/>
  <c r="X989" i="627"/>
  <c r="Y989" i="627"/>
  <c r="Z989" i="627"/>
  <c r="AA989" i="627"/>
  <c r="U990" i="627"/>
  <c r="V990" i="627"/>
  <c r="W990" i="627"/>
  <c r="X990" i="627"/>
  <c r="Y990" i="627"/>
  <c r="Z990" i="627"/>
  <c r="AA990" i="627"/>
  <c r="U991" i="627"/>
  <c r="V991" i="627"/>
  <c r="W991" i="627"/>
  <c r="X991" i="627"/>
  <c r="Y991" i="627"/>
  <c r="Z991" i="627"/>
  <c r="AA991" i="627"/>
  <c r="U992" i="627"/>
  <c r="V992" i="627"/>
  <c r="W992" i="627"/>
  <c r="X992" i="627"/>
  <c r="Y992" i="627"/>
  <c r="Z992" i="627"/>
  <c r="AA992" i="627"/>
  <c r="U993" i="627"/>
  <c r="V993" i="627"/>
  <c r="W993" i="627"/>
  <c r="X993" i="627"/>
  <c r="Y993" i="627"/>
  <c r="Z993" i="627"/>
  <c r="AA993" i="627"/>
  <c r="U994" i="627"/>
  <c r="V994" i="627"/>
  <c r="W994" i="627"/>
  <c r="X994" i="627"/>
  <c r="Y994" i="627"/>
  <c r="Z994" i="627"/>
  <c r="AA994" i="627"/>
  <c r="U995" i="627"/>
  <c r="V995" i="627"/>
  <c r="W995" i="627"/>
  <c r="X995" i="627"/>
  <c r="Y995" i="627"/>
  <c r="Z995" i="627"/>
  <c r="AA995" i="627"/>
  <c r="U996" i="627"/>
  <c r="V996" i="627"/>
  <c r="W996" i="627"/>
  <c r="X996" i="627"/>
  <c r="Y996" i="627"/>
  <c r="Z996" i="627"/>
  <c r="AA996" i="627"/>
  <c r="U997" i="627"/>
  <c r="V997" i="627"/>
  <c r="W997" i="627"/>
  <c r="X997" i="627"/>
  <c r="Y997" i="627"/>
  <c r="Z997" i="627"/>
  <c r="AA997" i="627"/>
  <c r="U998" i="627"/>
  <c r="V998" i="627"/>
  <c r="W998" i="627"/>
  <c r="X998" i="627"/>
  <c r="Y998" i="627"/>
  <c r="Z998" i="627"/>
  <c r="AA998" i="627"/>
  <c r="U999" i="627"/>
  <c r="V999" i="627"/>
  <c r="W999" i="627"/>
  <c r="X999" i="627"/>
  <c r="Y999" i="627"/>
  <c r="Z999" i="627"/>
  <c r="AA999" i="627"/>
  <c r="U1000" i="627"/>
  <c r="V1000" i="627"/>
  <c r="W1000" i="627"/>
  <c r="X1000" i="627"/>
  <c r="Y1000" i="627"/>
  <c r="Z1000" i="627"/>
  <c r="AA1000" i="627"/>
  <c r="U1001" i="627"/>
  <c r="V1001" i="627"/>
  <c r="W1001" i="627"/>
  <c r="X1001" i="627"/>
  <c r="Y1001" i="627"/>
  <c r="Z1001" i="627"/>
  <c r="AA1001" i="627"/>
  <c r="U1002" i="627"/>
  <c r="V1002" i="627"/>
  <c r="W1002" i="627"/>
  <c r="X1002" i="627"/>
  <c r="Y1002" i="627"/>
  <c r="Z1002" i="627"/>
  <c r="AA1002" i="627"/>
  <c r="U1003" i="627"/>
  <c r="V1003" i="627"/>
  <c r="W1003" i="627"/>
  <c r="X1003" i="627"/>
  <c r="Y1003" i="627"/>
  <c r="Z1003" i="627"/>
  <c r="AA1003" i="627"/>
  <c r="U1004" i="627"/>
  <c r="V1004" i="627"/>
  <c r="W1004" i="627"/>
  <c r="X1004" i="627"/>
  <c r="Y1004" i="627"/>
  <c r="Z1004" i="627"/>
  <c r="AA1004" i="627"/>
  <c r="U1005" i="627"/>
  <c r="V1005" i="627"/>
  <c r="W1005" i="627"/>
  <c r="X1005" i="627"/>
  <c r="Y1005" i="627"/>
  <c r="Z1005" i="627"/>
  <c r="AA1005" i="627"/>
  <c r="U1006" i="627"/>
  <c r="V1006" i="627"/>
  <c r="W1006" i="627"/>
  <c r="X1006" i="627"/>
  <c r="Y1006" i="627"/>
  <c r="Z1006" i="627"/>
  <c r="AA1006" i="627"/>
  <c r="U1007" i="627"/>
  <c r="V1007" i="627"/>
  <c r="W1007" i="627"/>
  <c r="X1007" i="627"/>
  <c r="Y1007" i="627"/>
  <c r="Z1007" i="627"/>
  <c r="AA1007" i="627"/>
  <c r="U1008" i="627"/>
  <c r="V1008" i="627"/>
  <c r="W1008" i="627"/>
  <c r="X1008" i="627"/>
  <c r="Y1008" i="627"/>
  <c r="Z1008" i="627"/>
  <c r="AA1008" i="627"/>
  <c r="U1009" i="627"/>
  <c r="V1009" i="627"/>
  <c r="W1009" i="627"/>
  <c r="X1009" i="627"/>
  <c r="Y1009" i="627"/>
  <c r="Z1009" i="627"/>
  <c r="AA1009" i="627"/>
  <c r="U1010" i="627"/>
  <c r="V1010" i="627"/>
  <c r="W1010" i="627"/>
  <c r="X1010" i="627"/>
  <c r="Y1010" i="627"/>
  <c r="Z1010" i="627"/>
  <c r="AA1010" i="627"/>
  <c r="U1011" i="627"/>
  <c r="V1011" i="627"/>
  <c r="W1011" i="627"/>
  <c r="X1011" i="627"/>
  <c r="Y1011" i="627"/>
  <c r="Z1011" i="627"/>
  <c r="AA1011" i="627"/>
  <c r="U1012" i="627"/>
  <c r="V1012" i="627"/>
  <c r="W1012" i="627"/>
  <c r="X1012" i="627"/>
  <c r="Y1012" i="627"/>
  <c r="Z1012" i="627"/>
  <c r="AA1012" i="627"/>
  <c r="U1013" i="627"/>
  <c r="V1013" i="627"/>
  <c r="W1013" i="627"/>
  <c r="X1013" i="627"/>
  <c r="Y1013" i="627"/>
  <c r="Z1013" i="627"/>
  <c r="AA1013" i="627"/>
  <c r="U1014" i="627"/>
  <c r="V1014" i="627"/>
  <c r="W1014" i="627"/>
  <c r="X1014" i="627"/>
  <c r="Y1014" i="627"/>
  <c r="Z1014" i="627"/>
  <c r="AA1014" i="627"/>
  <c r="U1015" i="627"/>
  <c r="V1015" i="627"/>
  <c r="W1015" i="627"/>
  <c r="X1015" i="627"/>
  <c r="Y1015" i="627"/>
  <c r="Z1015" i="627"/>
  <c r="AA1015" i="627"/>
  <c r="U1016" i="627"/>
  <c r="V1016" i="627"/>
  <c r="W1016" i="627"/>
  <c r="X1016" i="627"/>
  <c r="Y1016" i="627"/>
  <c r="Z1016" i="627"/>
  <c r="AA1016" i="627"/>
  <c r="U1017" i="627"/>
  <c r="V1017" i="627"/>
  <c r="W1017" i="627"/>
  <c r="X1017" i="627"/>
  <c r="Y1017" i="627"/>
  <c r="Z1017" i="627"/>
  <c r="AA1017" i="627"/>
  <c r="U1018" i="627"/>
  <c r="V1018" i="627"/>
  <c r="W1018" i="627"/>
  <c r="X1018" i="627"/>
  <c r="Y1018" i="627"/>
  <c r="Z1018" i="627"/>
  <c r="AA1018" i="627"/>
  <c r="U1019" i="627"/>
  <c r="V1019" i="627"/>
  <c r="W1019" i="627"/>
  <c r="X1019" i="627"/>
  <c r="Y1019" i="627"/>
  <c r="Z1019" i="627"/>
  <c r="AA1019" i="627"/>
  <c r="U1020" i="627"/>
  <c r="V1020" i="627"/>
  <c r="W1020" i="627"/>
  <c r="X1020" i="627"/>
  <c r="Y1020" i="627"/>
  <c r="Z1020" i="627"/>
  <c r="AA1020" i="627"/>
  <c r="U1021" i="627"/>
  <c r="V1021" i="627"/>
  <c r="W1021" i="627"/>
  <c r="X1021" i="627"/>
  <c r="Y1021" i="627"/>
  <c r="Z1021" i="627"/>
  <c r="AA1021" i="627"/>
  <c r="U1022" i="627"/>
  <c r="V1022" i="627"/>
  <c r="W1022" i="627"/>
  <c r="X1022" i="627"/>
  <c r="Y1022" i="627"/>
  <c r="Z1022" i="627"/>
  <c r="AA1022" i="627"/>
  <c r="U1023" i="627"/>
  <c r="V1023" i="627"/>
  <c r="W1023" i="627"/>
  <c r="X1023" i="627"/>
  <c r="Y1023" i="627"/>
  <c r="Z1023" i="627"/>
  <c r="AA1023" i="627"/>
  <c r="U1024" i="627"/>
  <c r="V1024" i="627"/>
  <c r="W1024" i="627"/>
  <c r="X1024" i="627"/>
  <c r="Y1024" i="627"/>
  <c r="Z1024" i="627"/>
  <c r="AA1024" i="627"/>
  <c r="U1025" i="627"/>
  <c r="V1025" i="627"/>
  <c r="W1025" i="627"/>
  <c r="X1025" i="627"/>
  <c r="Y1025" i="627"/>
  <c r="Z1025" i="627"/>
  <c r="AA1025" i="627"/>
  <c r="U1026" i="627"/>
  <c r="V1026" i="627"/>
  <c r="W1026" i="627"/>
  <c r="X1026" i="627"/>
  <c r="Y1026" i="627"/>
  <c r="Z1026" i="627"/>
  <c r="AA1026" i="627"/>
  <c r="U1027" i="627"/>
  <c r="V1027" i="627"/>
  <c r="W1027" i="627"/>
  <c r="X1027" i="627"/>
  <c r="Y1027" i="627"/>
  <c r="Z1027" i="627"/>
  <c r="AA1027" i="627"/>
  <c r="U1028" i="627"/>
  <c r="V1028" i="627"/>
  <c r="W1028" i="627"/>
  <c r="X1028" i="627"/>
  <c r="Y1028" i="627"/>
  <c r="Z1028" i="627"/>
  <c r="AA1028" i="627"/>
  <c r="U1029" i="627"/>
  <c r="V1029" i="627"/>
  <c r="W1029" i="627"/>
  <c r="X1029" i="627"/>
  <c r="Y1029" i="627"/>
  <c r="Z1029" i="627"/>
  <c r="AA1029" i="627"/>
  <c r="U1030" i="627"/>
  <c r="V1030" i="627"/>
  <c r="W1030" i="627"/>
  <c r="X1030" i="627"/>
  <c r="Y1030" i="627"/>
  <c r="Z1030" i="627"/>
  <c r="AA1030" i="627"/>
  <c r="U1031" i="627"/>
  <c r="V1031" i="627"/>
  <c r="W1031" i="627"/>
  <c r="X1031" i="627"/>
  <c r="Y1031" i="627"/>
  <c r="Z1031" i="627"/>
  <c r="AA1031" i="627"/>
  <c r="U1032" i="627"/>
  <c r="V1032" i="627"/>
  <c r="W1032" i="627"/>
  <c r="X1032" i="627"/>
  <c r="Y1032" i="627"/>
  <c r="Z1032" i="627"/>
  <c r="AA1032" i="627"/>
  <c r="U1033" i="627"/>
  <c r="V1033" i="627"/>
  <c r="W1033" i="627"/>
  <c r="X1033" i="627"/>
  <c r="Y1033" i="627"/>
  <c r="Z1033" i="627"/>
  <c r="AA1033" i="627"/>
  <c r="U1034" i="627"/>
  <c r="V1034" i="627"/>
  <c r="W1034" i="627"/>
  <c r="X1034" i="627"/>
  <c r="Y1034" i="627"/>
  <c r="Z1034" i="627"/>
  <c r="AA1034" i="627"/>
  <c r="U1035" i="627"/>
  <c r="V1035" i="627"/>
  <c r="W1035" i="627"/>
  <c r="X1035" i="627"/>
  <c r="Y1035" i="627"/>
  <c r="Z1035" i="627"/>
  <c r="AA1035" i="627"/>
  <c r="U1036" i="627"/>
  <c r="V1036" i="627"/>
  <c r="W1036" i="627"/>
  <c r="X1036" i="627"/>
  <c r="Y1036" i="627"/>
  <c r="Z1036" i="627"/>
  <c r="AA1036" i="627"/>
  <c r="U1037" i="627"/>
  <c r="V1037" i="627"/>
  <c r="W1037" i="627"/>
  <c r="X1037" i="627"/>
  <c r="Y1037" i="627"/>
  <c r="Z1037" i="627"/>
  <c r="AA1037" i="627"/>
  <c r="U1038" i="627"/>
  <c r="V1038" i="627"/>
  <c r="W1038" i="627"/>
  <c r="X1038" i="627"/>
  <c r="Y1038" i="627"/>
  <c r="Z1038" i="627"/>
  <c r="AA1038" i="627"/>
  <c r="U1039" i="627"/>
  <c r="V1039" i="627"/>
  <c r="W1039" i="627"/>
  <c r="X1039" i="627"/>
  <c r="Y1039" i="627"/>
  <c r="Z1039" i="627"/>
  <c r="AA1039" i="627"/>
  <c r="U1040" i="627"/>
  <c r="V1040" i="627"/>
  <c r="W1040" i="627"/>
  <c r="X1040" i="627"/>
  <c r="Y1040" i="627"/>
  <c r="Z1040" i="627"/>
  <c r="AA1040" i="627"/>
  <c r="U1041" i="627"/>
  <c r="V1041" i="627"/>
  <c r="W1041" i="627"/>
  <c r="X1041" i="627"/>
  <c r="Y1041" i="627"/>
  <c r="Z1041" i="627"/>
  <c r="AA1041" i="627"/>
  <c r="U1042" i="627"/>
  <c r="V1042" i="627"/>
  <c r="W1042" i="627"/>
  <c r="X1042" i="627"/>
  <c r="Y1042" i="627"/>
  <c r="Z1042" i="627"/>
  <c r="AA1042" i="627"/>
  <c r="U1043" i="627"/>
  <c r="V1043" i="627"/>
  <c r="W1043" i="627"/>
  <c r="X1043" i="627"/>
  <c r="Y1043" i="627"/>
  <c r="Z1043" i="627"/>
  <c r="AA1043" i="627"/>
  <c r="U1044" i="627"/>
  <c r="V1044" i="627"/>
  <c r="W1044" i="627"/>
  <c r="X1044" i="627"/>
  <c r="Y1044" i="627"/>
  <c r="Z1044" i="627"/>
  <c r="AA1044" i="627"/>
  <c r="U1045" i="627"/>
  <c r="V1045" i="627"/>
  <c r="W1045" i="627"/>
  <c r="X1045" i="627"/>
  <c r="Y1045" i="627"/>
  <c r="Z1045" i="627"/>
  <c r="AA1045" i="627"/>
  <c r="U1046" i="627"/>
  <c r="V1046" i="627"/>
  <c r="W1046" i="627"/>
  <c r="X1046" i="627"/>
  <c r="Y1046" i="627"/>
  <c r="Z1046" i="627"/>
  <c r="AA1046" i="627"/>
  <c r="U1047" i="627"/>
  <c r="V1047" i="627"/>
  <c r="W1047" i="627"/>
  <c r="X1047" i="627"/>
  <c r="Y1047" i="627"/>
  <c r="Z1047" i="627"/>
  <c r="AA1047" i="627"/>
  <c r="U1048" i="627"/>
  <c r="V1048" i="627"/>
  <c r="W1048" i="627"/>
  <c r="X1048" i="627"/>
  <c r="Y1048" i="627"/>
  <c r="Z1048" i="627"/>
  <c r="AA1048" i="627"/>
  <c r="U1049" i="627"/>
  <c r="V1049" i="627"/>
  <c r="W1049" i="627"/>
  <c r="X1049" i="627"/>
  <c r="Y1049" i="627"/>
  <c r="Z1049" i="627"/>
  <c r="AA1049" i="627"/>
  <c r="U1050" i="627"/>
  <c r="V1050" i="627"/>
  <c r="W1050" i="627"/>
  <c r="X1050" i="627"/>
  <c r="Y1050" i="627"/>
  <c r="Z1050" i="627"/>
  <c r="AA1050" i="627"/>
  <c r="U1051" i="627"/>
  <c r="V1051" i="627"/>
  <c r="W1051" i="627"/>
  <c r="X1051" i="627"/>
  <c r="Y1051" i="627"/>
  <c r="Z1051" i="627"/>
  <c r="AA1051" i="627"/>
  <c r="U1052" i="627"/>
  <c r="V1052" i="627"/>
  <c r="W1052" i="627"/>
  <c r="X1052" i="627"/>
  <c r="Y1052" i="627"/>
  <c r="Z1052" i="627"/>
  <c r="AA1052" i="627"/>
  <c r="U1053" i="627"/>
  <c r="V1053" i="627"/>
  <c r="W1053" i="627"/>
  <c r="X1053" i="627"/>
  <c r="Y1053" i="627"/>
  <c r="Z1053" i="627"/>
  <c r="AA1053" i="627"/>
  <c r="U1054" i="627"/>
  <c r="V1054" i="627"/>
  <c r="W1054" i="627"/>
  <c r="X1054" i="627"/>
  <c r="Y1054" i="627"/>
  <c r="Z1054" i="627"/>
  <c r="AA1054" i="627"/>
  <c r="U1055" i="627"/>
  <c r="V1055" i="627"/>
  <c r="W1055" i="627"/>
  <c r="X1055" i="627"/>
  <c r="Y1055" i="627"/>
  <c r="Z1055" i="627"/>
  <c r="AA1055" i="627"/>
  <c r="U1056" i="627"/>
  <c r="V1056" i="627"/>
  <c r="W1056" i="627"/>
  <c r="X1056" i="627"/>
  <c r="Y1056" i="627"/>
  <c r="Z1056" i="627"/>
  <c r="AA1056" i="627"/>
  <c r="U1057" i="627"/>
  <c r="V1057" i="627"/>
  <c r="W1057" i="627"/>
  <c r="X1057" i="627"/>
  <c r="Y1057" i="627"/>
  <c r="Z1057" i="627"/>
  <c r="AA1057" i="627"/>
  <c r="U1058" i="627"/>
  <c r="V1058" i="627"/>
  <c r="W1058" i="627"/>
  <c r="X1058" i="627"/>
  <c r="Y1058" i="627"/>
  <c r="Z1058" i="627"/>
  <c r="AA1058" i="627"/>
  <c r="U1059" i="627"/>
  <c r="V1059" i="627"/>
  <c r="W1059" i="627"/>
  <c r="X1059" i="627"/>
  <c r="Y1059" i="627"/>
  <c r="Z1059" i="627"/>
  <c r="AA1059" i="627"/>
  <c r="U1060" i="627"/>
  <c r="V1060" i="627"/>
  <c r="W1060" i="627"/>
  <c r="X1060" i="627"/>
  <c r="Y1060" i="627"/>
  <c r="Z1060" i="627"/>
  <c r="AA1060" i="627"/>
  <c r="U1061" i="627"/>
  <c r="V1061" i="627"/>
  <c r="W1061" i="627"/>
  <c r="X1061" i="627"/>
  <c r="Y1061" i="627"/>
  <c r="Z1061" i="627"/>
  <c r="AA1061" i="627"/>
  <c r="U1062" i="627"/>
  <c r="V1062" i="627"/>
  <c r="W1062" i="627"/>
  <c r="X1062" i="627"/>
  <c r="Y1062" i="627"/>
  <c r="Z1062" i="627"/>
  <c r="AA1062" i="627"/>
  <c r="U1063" i="627"/>
  <c r="V1063" i="627"/>
  <c r="W1063" i="627"/>
  <c r="X1063" i="627"/>
  <c r="Y1063" i="627"/>
  <c r="Z1063" i="627"/>
  <c r="AA1063" i="627"/>
  <c r="U1064" i="627"/>
  <c r="V1064" i="627"/>
  <c r="W1064" i="627"/>
  <c r="X1064" i="627"/>
  <c r="Y1064" i="627"/>
  <c r="Z1064" i="627"/>
  <c r="AA1064" i="627"/>
  <c r="U1065" i="627"/>
  <c r="V1065" i="627"/>
  <c r="W1065" i="627"/>
  <c r="X1065" i="627"/>
  <c r="Y1065" i="627"/>
  <c r="Z1065" i="627"/>
  <c r="AA1065" i="627"/>
  <c r="U1066" i="627"/>
  <c r="V1066" i="627"/>
  <c r="W1066" i="627"/>
  <c r="X1066" i="627"/>
  <c r="Y1066" i="627"/>
  <c r="Z1066" i="627"/>
  <c r="AA1066" i="627"/>
  <c r="U1067" i="627"/>
  <c r="V1067" i="627"/>
  <c r="W1067" i="627"/>
  <c r="X1067" i="627"/>
  <c r="Y1067" i="627"/>
  <c r="Z1067" i="627"/>
  <c r="AA1067" i="627"/>
  <c r="U1068" i="627"/>
  <c r="V1068" i="627"/>
  <c r="W1068" i="627"/>
  <c r="X1068" i="627"/>
  <c r="Y1068" i="627"/>
  <c r="Z1068" i="627"/>
  <c r="AA1068" i="627"/>
  <c r="U1069" i="627"/>
  <c r="V1069" i="627"/>
  <c r="W1069" i="627"/>
  <c r="X1069" i="627"/>
  <c r="Y1069" i="627"/>
  <c r="Z1069" i="627"/>
  <c r="AA1069" i="627"/>
  <c r="U1070" i="627"/>
  <c r="V1070" i="627"/>
  <c r="W1070" i="627"/>
  <c r="X1070" i="627"/>
  <c r="Y1070" i="627"/>
  <c r="Z1070" i="627"/>
  <c r="AA1070" i="627"/>
  <c r="U1071" i="627"/>
  <c r="V1071" i="627"/>
  <c r="W1071" i="627"/>
  <c r="X1071" i="627"/>
  <c r="Y1071" i="627"/>
  <c r="Z1071" i="627"/>
  <c r="AA1071" i="627"/>
  <c r="U1072" i="627"/>
  <c r="V1072" i="627"/>
  <c r="W1072" i="627"/>
  <c r="X1072" i="627"/>
  <c r="Y1072" i="627"/>
  <c r="Z1072" i="627"/>
  <c r="AA1072" i="627"/>
  <c r="U1073" i="627"/>
  <c r="V1073" i="627"/>
  <c r="W1073" i="627"/>
  <c r="X1073" i="627"/>
  <c r="Y1073" i="627"/>
  <c r="Z1073" i="627"/>
  <c r="AA1073" i="627"/>
  <c r="U1074" i="627"/>
  <c r="V1074" i="627"/>
  <c r="W1074" i="627"/>
  <c r="X1074" i="627"/>
  <c r="Y1074" i="627"/>
  <c r="Z1074" i="627"/>
  <c r="AA1074" i="627"/>
  <c r="U1075" i="627"/>
  <c r="V1075" i="627"/>
  <c r="W1075" i="627"/>
  <c r="X1075" i="627"/>
  <c r="Y1075" i="627"/>
  <c r="Z1075" i="627"/>
  <c r="AA1075" i="627"/>
  <c r="U1076" i="627"/>
  <c r="V1076" i="627"/>
  <c r="W1076" i="627"/>
  <c r="X1076" i="627"/>
  <c r="Y1076" i="627"/>
  <c r="Z1076" i="627"/>
  <c r="AA1076" i="627"/>
  <c r="U1077" i="627"/>
  <c r="V1077" i="627"/>
  <c r="W1077" i="627"/>
  <c r="X1077" i="627"/>
  <c r="Y1077" i="627"/>
  <c r="Z1077" i="627"/>
  <c r="AA1077" i="627"/>
  <c r="U1078" i="627"/>
  <c r="V1078" i="627"/>
  <c r="W1078" i="627"/>
  <c r="X1078" i="627"/>
  <c r="Y1078" i="627"/>
  <c r="Z1078" i="627"/>
  <c r="AA1078" i="627"/>
  <c r="U1079" i="627"/>
  <c r="V1079" i="627"/>
  <c r="W1079" i="627"/>
  <c r="X1079" i="627"/>
  <c r="Y1079" i="627"/>
  <c r="Z1079" i="627"/>
  <c r="AA1079" i="627"/>
  <c r="U1080" i="627"/>
  <c r="V1080" i="627"/>
  <c r="W1080" i="627"/>
  <c r="X1080" i="627"/>
  <c r="Y1080" i="627"/>
  <c r="Z1080" i="627"/>
  <c r="AA1080" i="627"/>
  <c r="U1081" i="627"/>
  <c r="V1081" i="627"/>
  <c r="W1081" i="627"/>
  <c r="X1081" i="627"/>
  <c r="Y1081" i="627"/>
  <c r="Z1081" i="627"/>
  <c r="AA1081" i="627"/>
  <c r="U1082" i="627"/>
  <c r="V1082" i="627"/>
  <c r="W1082" i="627"/>
  <c r="X1082" i="627"/>
  <c r="Y1082" i="627"/>
  <c r="Z1082" i="627"/>
  <c r="AA1082" i="627"/>
  <c r="U1083" i="627"/>
  <c r="V1083" i="627"/>
  <c r="W1083" i="627"/>
  <c r="X1083" i="627"/>
  <c r="Y1083" i="627"/>
  <c r="Z1083" i="627"/>
  <c r="AA1083" i="627"/>
  <c r="U1084" i="627"/>
  <c r="V1084" i="627"/>
  <c r="W1084" i="627"/>
  <c r="X1084" i="627"/>
  <c r="Y1084" i="627"/>
  <c r="Z1084" i="627"/>
  <c r="AA1084" i="627"/>
  <c r="U1085" i="627"/>
  <c r="V1085" i="627"/>
  <c r="W1085" i="627"/>
  <c r="X1085" i="627"/>
  <c r="Y1085" i="627"/>
  <c r="Z1085" i="627"/>
  <c r="AA1085" i="627"/>
  <c r="U1086" i="627"/>
  <c r="V1086" i="627"/>
  <c r="W1086" i="627"/>
  <c r="X1086" i="627"/>
  <c r="Y1086" i="627"/>
  <c r="Z1086" i="627"/>
  <c r="AA1086" i="627"/>
  <c r="U1087" i="627"/>
  <c r="V1087" i="627"/>
  <c r="W1087" i="627"/>
  <c r="X1087" i="627"/>
  <c r="Y1087" i="627"/>
  <c r="Z1087" i="627"/>
  <c r="AA1087" i="627"/>
  <c r="U1088" i="627"/>
  <c r="V1088" i="627"/>
  <c r="W1088" i="627"/>
  <c r="X1088" i="627"/>
  <c r="Y1088" i="627"/>
  <c r="Z1088" i="627"/>
  <c r="AA1088" i="627"/>
  <c r="U1089" i="627"/>
  <c r="V1089" i="627"/>
  <c r="W1089" i="627"/>
  <c r="X1089" i="627"/>
  <c r="Y1089" i="627"/>
  <c r="Z1089" i="627"/>
  <c r="AA1089" i="627"/>
  <c r="U1090" i="627"/>
  <c r="V1090" i="627"/>
  <c r="W1090" i="627"/>
  <c r="X1090" i="627"/>
  <c r="Y1090" i="627"/>
  <c r="Z1090" i="627"/>
  <c r="AA1090" i="627"/>
  <c r="U1091" i="627"/>
  <c r="V1091" i="627"/>
  <c r="W1091" i="627"/>
  <c r="X1091" i="627"/>
  <c r="Y1091" i="627"/>
  <c r="Z1091" i="627"/>
  <c r="AA1091" i="627"/>
  <c r="U1092" i="627"/>
  <c r="V1092" i="627"/>
  <c r="W1092" i="627"/>
  <c r="X1092" i="627"/>
  <c r="Y1092" i="627"/>
  <c r="Z1092" i="627"/>
  <c r="AA1092" i="627"/>
  <c r="U1093" i="627"/>
  <c r="V1093" i="627"/>
  <c r="W1093" i="627"/>
  <c r="X1093" i="627"/>
  <c r="Y1093" i="627"/>
  <c r="Z1093" i="627"/>
  <c r="AA1093" i="627"/>
  <c r="U1094" i="627"/>
  <c r="V1094" i="627"/>
  <c r="W1094" i="627"/>
  <c r="X1094" i="627"/>
  <c r="Y1094" i="627"/>
  <c r="Z1094" i="627"/>
  <c r="AA1094" i="627"/>
  <c r="U1095" i="627"/>
  <c r="V1095" i="627"/>
  <c r="W1095" i="627"/>
  <c r="X1095" i="627"/>
  <c r="Y1095" i="627"/>
  <c r="Z1095" i="627"/>
  <c r="AA1095" i="627"/>
  <c r="U1096" i="627"/>
  <c r="V1096" i="627"/>
  <c r="W1096" i="627"/>
  <c r="X1096" i="627"/>
  <c r="Y1096" i="627"/>
  <c r="Z1096" i="627"/>
  <c r="AA1096" i="627"/>
  <c r="U1097" i="627"/>
  <c r="V1097" i="627"/>
  <c r="W1097" i="627"/>
  <c r="X1097" i="627"/>
  <c r="Y1097" i="627"/>
  <c r="Z1097" i="627"/>
  <c r="AA1097" i="627"/>
  <c r="U1098" i="627"/>
  <c r="V1098" i="627"/>
  <c r="W1098" i="627"/>
  <c r="X1098" i="627"/>
  <c r="Y1098" i="627"/>
  <c r="Z1098" i="627"/>
  <c r="AA1098" i="627"/>
  <c r="U1099" i="627"/>
  <c r="V1099" i="627"/>
  <c r="W1099" i="627"/>
  <c r="X1099" i="627"/>
  <c r="Y1099" i="627"/>
  <c r="Z1099" i="627"/>
  <c r="AA1099" i="627"/>
  <c r="U1100" i="627"/>
  <c r="V1100" i="627"/>
  <c r="W1100" i="627"/>
  <c r="X1100" i="627"/>
  <c r="Y1100" i="627"/>
  <c r="Z1100" i="627"/>
  <c r="AA1100" i="627"/>
  <c r="U1101" i="627"/>
  <c r="V1101" i="627"/>
  <c r="W1101" i="627"/>
  <c r="X1101" i="627"/>
  <c r="Y1101" i="627"/>
  <c r="Z1101" i="627"/>
  <c r="AA1101" i="627"/>
  <c r="U1102" i="627"/>
  <c r="V1102" i="627"/>
  <c r="W1102" i="627"/>
  <c r="X1102" i="627"/>
  <c r="Y1102" i="627"/>
  <c r="Z1102" i="627"/>
  <c r="AA1102" i="627"/>
  <c r="U1103" i="627"/>
  <c r="V1103" i="627"/>
  <c r="W1103" i="627"/>
  <c r="X1103" i="627"/>
  <c r="Y1103" i="627"/>
  <c r="Z1103" i="627"/>
  <c r="AA1103" i="627"/>
  <c r="U1104" i="627"/>
  <c r="V1104" i="627"/>
  <c r="W1104" i="627"/>
  <c r="X1104" i="627"/>
  <c r="Y1104" i="627"/>
  <c r="Z1104" i="627"/>
  <c r="AA1104" i="627"/>
  <c r="U1105" i="627"/>
  <c r="V1105" i="627"/>
  <c r="W1105" i="627"/>
  <c r="X1105" i="627"/>
  <c r="Y1105" i="627"/>
  <c r="Z1105" i="627"/>
  <c r="AA1105" i="627"/>
  <c r="U1106" i="627"/>
  <c r="V1106" i="627"/>
  <c r="W1106" i="627"/>
  <c r="X1106" i="627"/>
  <c r="Y1106" i="627"/>
  <c r="Z1106" i="627"/>
  <c r="AA1106" i="627"/>
  <c r="U1107" i="627"/>
  <c r="V1107" i="627"/>
  <c r="W1107" i="627"/>
  <c r="X1107" i="627"/>
  <c r="Y1107" i="627"/>
  <c r="Z1107" i="627"/>
  <c r="AA1107" i="627"/>
  <c r="U1108" i="627"/>
  <c r="V1108" i="627"/>
  <c r="W1108" i="627"/>
  <c r="X1108" i="627"/>
  <c r="Y1108" i="627"/>
  <c r="Z1108" i="627"/>
  <c r="AA1108" i="627"/>
  <c r="U1109" i="627"/>
  <c r="V1109" i="627"/>
  <c r="W1109" i="627"/>
  <c r="X1109" i="627"/>
  <c r="Y1109" i="627"/>
  <c r="Z1109" i="627"/>
  <c r="AA1109" i="627"/>
  <c r="U1110" i="627"/>
  <c r="V1110" i="627"/>
  <c r="W1110" i="627"/>
  <c r="X1110" i="627"/>
  <c r="Y1110" i="627"/>
  <c r="Z1110" i="627"/>
  <c r="AA1110" i="627"/>
  <c r="U1111" i="627"/>
  <c r="V1111" i="627"/>
  <c r="W1111" i="627"/>
  <c r="X1111" i="627"/>
  <c r="Y1111" i="627"/>
  <c r="Z1111" i="627"/>
  <c r="AA1111" i="627"/>
  <c r="U1112" i="627"/>
  <c r="V1112" i="627"/>
  <c r="W1112" i="627"/>
  <c r="X1112" i="627"/>
  <c r="Y1112" i="627"/>
  <c r="Z1112" i="627"/>
  <c r="AA1112" i="627"/>
  <c r="U1113" i="627"/>
  <c r="V1113" i="627"/>
  <c r="W1113" i="627"/>
  <c r="X1113" i="627"/>
  <c r="Y1113" i="627"/>
  <c r="Z1113" i="627"/>
  <c r="AA1113" i="627"/>
  <c r="U1114" i="627"/>
  <c r="V1114" i="627"/>
  <c r="W1114" i="627"/>
  <c r="X1114" i="627"/>
  <c r="Y1114" i="627"/>
  <c r="Z1114" i="627"/>
  <c r="AA1114" i="627"/>
  <c r="U1115" i="627"/>
  <c r="V1115" i="627"/>
  <c r="W1115" i="627"/>
  <c r="X1115" i="627"/>
  <c r="Y1115" i="627"/>
  <c r="Z1115" i="627"/>
  <c r="AA1115" i="627"/>
  <c r="U1116" i="627"/>
  <c r="V1116" i="627"/>
  <c r="W1116" i="627"/>
  <c r="X1116" i="627"/>
  <c r="Y1116" i="627"/>
  <c r="Z1116" i="627"/>
  <c r="AA1116" i="627"/>
  <c r="U1117" i="627"/>
  <c r="V1117" i="627"/>
  <c r="W1117" i="627"/>
  <c r="X1117" i="627"/>
  <c r="Y1117" i="627"/>
  <c r="Z1117" i="627"/>
  <c r="AA1117" i="627"/>
  <c r="U1118" i="627"/>
  <c r="V1118" i="627"/>
  <c r="W1118" i="627"/>
  <c r="X1118" i="627"/>
  <c r="Y1118" i="627"/>
  <c r="Z1118" i="627"/>
  <c r="AA1118" i="627"/>
  <c r="U1119" i="627"/>
  <c r="V1119" i="627"/>
  <c r="W1119" i="627"/>
  <c r="X1119" i="627"/>
  <c r="Y1119" i="627"/>
  <c r="Z1119" i="627"/>
  <c r="AA1119" i="627"/>
  <c r="U1120" i="627"/>
  <c r="V1120" i="627"/>
  <c r="W1120" i="627"/>
  <c r="X1120" i="627"/>
  <c r="Y1120" i="627"/>
  <c r="Z1120" i="627"/>
  <c r="AA1120" i="627"/>
  <c r="U1121" i="627"/>
  <c r="V1121" i="627"/>
  <c r="W1121" i="627"/>
  <c r="X1121" i="627"/>
  <c r="Y1121" i="627"/>
  <c r="Z1121" i="627"/>
  <c r="AA1121" i="627"/>
  <c r="U1122" i="627"/>
  <c r="V1122" i="627"/>
  <c r="W1122" i="627"/>
  <c r="X1122" i="627"/>
  <c r="Y1122" i="627"/>
  <c r="Z1122" i="627"/>
  <c r="AA1122" i="627"/>
  <c r="U1123" i="627"/>
  <c r="V1123" i="627"/>
  <c r="W1123" i="627"/>
  <c r="X1123" i="627"/>
  <c r="Y1123" i="627"/>
  <c r="Z1123" i="627"/>
  <c r="AA1123" i="627"/>
  <c r="U1124" i="627"/>
  <c r="V1124" i="627"/>
  <c r="W1124" i="627"/>
  <c r="X1124" i="627"/>
  <c r="Y1124" i="627"/>
  <c r="Z1124" i="627"/>
  <c r="AA1124" i="627"/>
  <c r="U1125" i="627"/>
  <c r="V1125" i="627"/>
  <c r="W1125" i="627"/>
  <c r="X1125" i="627"/>
  <c r="Y1125" i="627"/>
  <c r="Z1125" i="627"/>
  <c r="AA1125" i="627"/>
  <c r="U1126" i="627"/>
  <c r="V1126" i="627"/>
  <c r="W1126" i="627"/>
  <c r="X1126" i="627"/>
  <c r="Y1126" i="627"/>
  <c r="Z1126" i="627"/>
  <c r="AA1126" i="627"/>
  <c r="U1127" i="627"/>
  <c r="V1127" i="627"/>
  <c r="W1127" i="627"/>
  <c r="X1127" i="627"/>
  <c r="Y1127" i="627"/>
  <c r="Z1127" i="627"/>
  <c r="AA1127" i="627"/>
  <c r="U1128" i="627"/>
  <c r="V1128" i="627"/>
  <c r="W1128" i="627"/>
  <c r="X1128" i="627"/>
  <c r="Y1128" i="627"/>
  <c r="Z1128" i="627"/>
  <c r="AA1128" i="627"/>
  <c r="U1129" i="627"/>
  <c r="V1129" i="627"/>
  <c r="W1129" i="627"/>
  <c r="X1129" i="627"/>
  <c r="Y1129" i="627"/>
  <c r="Z1129" i="627"/>
  <c r="AA1129" i="627"/>
  <c r="U1130" i="627"/>
  <c r="V1130" i="627"/>
  <c r="W1130" i="627"/>
  <c r="X1130" i="627"/>
  <c r="Y1130" i="627"/>
  <c r="Z1130" i="627"/>
  <c r="AA1130" i="627"/>
  <c r="U1131" i="627"/>
  <c r="V1131" i="627"/>
  <c r="W1131" i="627"/>
  <c r="X1131" i="627"/>
  <c r="Y1131" i="627"/>
  <c r="Z1131" i="627"/>
  <c r="AA1131" i="627"/>
  <c r="U1132" i="627"/>
  <c r="V1132" i="627"/>
  <c r="W1132" i="627"/>
  <c r="X1132" i="627"/>
  <c r="Y1132" i="627"/>
  <c r="Z1132" i="627"/>
  <c r="AA1132" i="627"/>
  <c r="U1133" i="627"/>
  <c r="V1133" i="627"/>
  <c r="W1133" i="627"/>
  <c r="X1133" i="627"/>
  <c r="Y1133" i="627"/>
  <c r="Z1133" i="627"/>
  <c r="AA1133" i="627"/>
  <c r="U1134" i="627"/>
  <c r="V1134" i="627"/>
  <c r="W1134" i="627"/>
  <c r="X1134" i="627"/>
  <c r="Y1134" i="627"/>
  <c r="Z1134" i="627"/>
  <c r="AA1134" i="627"/>
  <c r="U1135" i="627"/>
  <c r="V1135" i="627"/>
  <c r="W1135" i="627"/>
  <c r="X1135" i="627"/>
  <c r="Y1135" i="627"/>
  <c r="Z1135" i="627"/>
  <c r="AA1135" i="627"/>
  <c r="U1136" i="627"/>
  <c r="V1136" i="627"/>
  <c r="W1136" i="627"/>
  <c r="X1136" i="627"/>
  <c r="Y1136" i="627"/>
  <c r="Z1136" i="627"/>
  <c r="AA1136" i="627"/>
  <c r="U1137" i="627"/>
  <c r="V1137" i="627"/>
  <c r="W1137" i="627"/>
  <c r="X1137" i="627"/>
  <c r="Y1137" i="627"/>
  <c r="Z1137" i="627"/>
  <c r="AA1137" i="627"/>
  <c r="U1138" i="627"/>
  <c r="V1138" i="627"/>
  <c r="W1138" i="627"/>
  <c r="X1138" i="627"/>
  <c r="Y1138" i="627"/>
  <c r="Z1138" i="627"/>
  <c r="AA1138" i="627"/>
  <c r="U1139" i="627"/>
  <c r="V1139" i="627"/>
  <c r="W1139" i="627"/>
  <c r="X1139" i="627"/>
  <c r="Y1139" i="627"/>
  <c r="Z1139" i="627"/>
  <c r="AA1139" i="627"/>
  <c r="U1140" i="627"/>
  <c r="V1140" i="627"/>
  <c r="W1140" i="627"/>
  <c r="X1140" i="627"/>
  <c r="Y1140" i="627"/>
  <c r="Z1140" i="627"/>
  <c r="AA1140" i="627"/>
  <c r="U1141" i="627"/>
  <c r="V1141" i="627"/>
  <c r="W1141" i="627"/>
  <c r="X1141" i="627"/>
  <c r="Y1141" i="627"/>
  <c r="Z1141" i="627"/>
  <c r="AA1141" i="627"/>
  <c r="U1142" i="627"/>
  <c r="V1142" i="627"/>
  <c r="W1142" i="627"/>
  <c r="X1142" i="627"/>
  <c r="Y1142" i="627"/>
  <c r="Z1142" i="627"/>
  <c r="AA1142" i="627"/>
  <c r="U1143" i="627"/>
  <c r="V1143" i="627"/>
  <c r="W1143" i="627"/>
  <c r="X1143" i="627"/>
  <c r="Y1143" i="627"/>
  <c r="Z1143" i="627"/>
  <c r="AA1143" i="627"/>
  <c r="U1144" i="627"/>
  <c r="V1144" i="627"/>
  <c r="W1144" i="627"/>
  <c r="X1144" i="627"/>
  <c r="Y1144" i="627"/>
  <c r="Z1144" i="627"/>
  <c r="AA1144" i="627"/>
  <c r="U1145" i="627"/>
  <c r="V1145" i="627"/>
  <c r="W1145" i="627"/>
  <c r="X1145" i="627"/>
  <c r="Y1145" i="627"/>
  <c r="Z1145" i="627"/>
  <c r="AA1145" i="627"/>
  <c r="U1146" i="627"/>
  <c r="V1146" i="627"/>
  <c r="W1146" i="627"/>
  <c r="X1146" i="627"/>
  <c r="Y1146" i="627"/>
  <c r="Z1146" i="627"/>
  <c r="AA1146" i="627"/>
  <c r="U1147" i="627"/>
  <c r="V1147" i="627"/>
  <c r="W1147" i="627"/>
  <c r="X1147" i="627"/>
  <c r="Y1147" i="627"/>
  <c r="Z1147" i="627"/>
  <c r="AA1147" i="627"/>
  <c r="U1148" i="627"/>
  <c r="V1148" i="627"/>
  <c r="W1148" i="627"/>
  <c r="X1148" i="627"/>
  <c r="Y1148" i="627"/>
  <c r="Z1148" i="627"/>
  <c r="AA1148" i="627"/>
  <c r="U1149" i="627"/>
  <c r="V1149" i="627"/>
  <c r="W1149" i="627"/>
  <c r="X1149" i="627"/>
  <c r="Y1149" i="627"/>
  <c r="Z1149" i="627"/>
  <c r="AA1149" i="627"/>
  <c r="U1150" i="627"/>
  <c r="V1150" i="627"/>
  <c r="W1150" i="627"/>
  <c r="X1150" i="627"/>
  <c r="Y1150" i="627"/>
  <c r="Z1150" i="627"/>
  <c r="AA1150" i="627"/>
  <c r="U1151" i="627"/>
  <c r="V1151" i="627"/>
  <c r="W1151" i="627"/>
  <c r="X1151" i="627"/>
  <c r="Y1151" i="627"/>
  <c r="Z1151" i="627"/>
  <c r="AA1151" i="627"/>
  <c r="U1152" i="627"/>
  <c r="V1152" i="627"/>
  <c r="W1152" i="627"/>
  <c r="X1152" i="627"/>
  <c r="Y1152" i="627"/>
  <c r="Z1152" i="627"/>
  <c r="AA1152" i="627"/>
  <c r="U1153" i="627"/>
  <c r="V1153" i="627"/>
  <c r="W1153" i="627"/>
  <c r="X1153" i="627"/>
  <c r="Y1153" i="627"/>
  <c r="Z1153" i="627"/>
  <c r="AA1153" i="627"/>
  <c r="U1154" i="627"/>
  <c r="V1154" i="627"/>
  <c r="W1154" i="627"/>
  <c r="X1154" i="627"/>
  <c r="Y1154" i="627"/>
  <c r="Z1154" i="627"/>
  <c r="AA1154" i="627"/>
  <c r="U1155" i="627"/>
  <c r="V1155" i="627"/>
  <c r="W1155" i="627"/>
  <c r="X1155" i="627"/>
  <c r="Y1155" i="627"/>
  <c r="Z1155" i="627"/>
  <c r="AA1155" i="627"/>
  <c r="U1156" i="627"/>
  <c r="V1156" i="627"/>
  <c r="W1156" i="627"/>
  <c r="X1156" i="627"/>
  <c r="Y1156" i="627"/>
  <c r="Z1156" i="627"/>
  <c r="AA1156" i="627"/>
  <c r="U1157" i="627"/>
  <c r="V1157" i="627"/>
  <c r="W1157" i="627"/>
  <c r="X1157" i="627"/>
  <c r="Y1157" i="627"/>
  <c r="Z1157" i="627"/>
  <c r="AA1157" i="627"/>
  <c r="U1158" i="627"/>
  <c r="V1158" i="627"/>
  <c r="W1158" i="627"/>
  <c r="X1158" i="627"/>
  <c r="Y1158" i="627"/>
  <c r="Z1158" i="627"/>
  <c r="AA1158" i="627"/>
  <c r="U1159" i="627"/>
  <c r="V1159" i="627"/>
  <c r="W1159" i="627"/>
  <c r="X1159" i="627"/>
  <c r="Y1159" i="627"/>
  <c r="Z1159" i="627"/>
  <c r="AA1159" i="627"/>
  <c r="U1160" i="627"/>
  <c r="V1160" i="627"/>
  <c r="W1160" i="627"/>
  <c r="X1160" i="627"/>
  <c r="Y1160" i="627"/>
  <c r="Z1160" i="627"/>
  <c r="AA1160" i="627"/>
  <c r="U1161" i="627"/>
  <c r="V1161" i="627"/>
  <c r="W1161" i="627"/>
  <c r="X1161" i="627"/>
  <c r="Y1161" i="627"/>
  <c r="Z1161" i="627"/>
  <c r="AA1161" i="627"/>
  <c r="U1162" i="627"/>
  <c r="V1162" i="627"/>
  <c r="W1162" i="627"/>
  <c r="X1162" i="627"/>
  <c r="Y1162" i="627"/>
  <c r="Z1162" i="627"/>
  <c r="AA1162" i="627"/>
  <c r="U1163" i="627"/>
  <c r="V1163" i="627"/>
  <c r="W1163" i="627"/>
  <c r="X1163" i="627"/>
  <c r="Y1163" i="627"/>
  <c r="Z1163" i="627"/>
  <c r="AA1163" i="627"/>
  <c r="U1164" i="627"/>
  <c r="V1164" i="627"/>
  <c r="W1164" i="627"/>
  <c r="X1164" i="627"/>
  <c r="Y1164" i="627"/>
  <c r="Z1164" i="627"/>
  <c r="AA1164" i="627"/>
  <c r="U1165" i="627"/>
  <c r="V1165" i="627"/>
  <c r="W1165" i="627"/>
  <c r="X1165" i="627"/>
  <c r="Y1165" i="627"/>
  <c r="Z1165" i="627"/>
  <c r="AA1165" i="627"/>
  <c r="U1166" i="627"/>
  <c r="V1166" i="627"/>
  <c r="W1166" i="627"/>
  <c r="X1166" i="627"/>
  <c r="Y1166" i="627"/>
  <c r="Z1166" i="627"/>
  <c r="AA1166" i="627"/>
  <c r="U1167" i="627"/>
  <c r="V1167" i="627"/>
  <c r="W1167" i="627"/>
  <c r="X1167" i="627"/>
  <c r="Y1167" i="627"/>
  <c r="Z1167" i="627"/>
  <c r="AA1167" i="627"/>
  <c r="U1168" i="627"/>
  <c r="V1168" i="627"/>
  <c r="W1168" i="627"/>
  <c r="X1168" i="627"/>
  <c r="Y1168" i="627"/>
  <c r="Z1168" i="627"/>
  <c r="AA1168" i="627"/>
  <c r="U1169" i="627"/>
  <c r="V1169" i="627"/>
  <c r="W1169" i="627"/>
  <c r="X1169" i="627"/>
  <c r="Y1169" i="627"/>
  <c r="Z1169" i="627"/>
  <c r="AA1169" i="627"/>
  <c r="U1170" i="627"/>
  <c r="V1170" i="627"/>
  <c r="W1170" i="627"/>
  <c r="X1170" i="627"/>
  <c r="Y1170" i="627"/>
  <c r="Z1170" i="627"/>
  <c r="AA1170" i="627"/>
  <c r="U1171" i="627"/>
  <c r="V1171" i="627"/>
  <c r="W1171" i="627"/>
  <c r="X1171" i="627"/>
  <c r="Y1171" i="627"/>
  <c r="Z1171" i="627"/>
  <c r="AA1171" i="627"/>
  <c r="U1172" i="627"/>
  <c r="V1172" i="627"/>
  <c r="W1172" i="627"/>
  <c r="X1172" i="627"/>
  <c r="Y1172" i="627"/>
  <c r="Z1172" i="627"/>
  <c r="AA1172" i="627"/>
  <c r="U1173" i="627"/>
  <c r="V1173" i="627"/>
  <c r="W1173" i="627"/>
  <c r="X1173" i="627"/>
  <c r="Y1173" i="627"/>
  <c r="Z1173" i="627"/>
  <c r="AA1173" i="627"/>
  <c r="U1174" i="627"/>
  <c r="V1174" i="627"/>
  <c r="W1174" i="627"/>
  <c r="X1174" i="627"/>
  <c r="Y1174" i="627"/>
  <c r="Z1174" i="627"/>
  <c r="AA1174" i="627"/>
  <c r="U1175" i="627"/>
  <c r="V1175" i="627"/>
  <c r="W1175" i="627"/>
  <c r="X1175" i="627"/>
  <c r="Y1175" i="627"/>
  <c r="Z1175" i="627"/>
  <c r="AA1175" i="627"/>
  <c r="U1176" i="627"/>
  <c r="V1176" i="627"/>
  <c r="W1176" i="627"/>
  <c r="X1176" i="627"/>
  <c r="Y1176" i="627"/>
  <c r="Z1176" i="627"/>
  <c r="AA1176" i="627"/>
  <c r="U1177" i="627"/>
  <c r="V1177" i="627"/>
  <c r="W1177" i="627"/>
  <c r="X1177" i="627"/>
  <c r="Y1177" i="627"/>
  <c r="Z1177" i="627"/>
  <c r="AA1177" i="627"/>
  <c r="U1178" i="627"/>
  <c r="V1178" i="627"/>
  <c r="W1178" i="627"/>
  <c r="X1178" i="627"/>
  <c r="Y1178" i="627"/>
  <c r="Z1178" i="627"/>
  <c r="AA1178" i="627"/>
  <c r="U1179" i="627"/>
  <c r="V1179" i="627"/>
  <c r="W1179" i="627"/>
  <c r="X1179" i="627"/>
  <c r="Y1179" i="627"/>
  <c r="Z1179" i="627"/>
  <c r="AA1179" i="627"/>
  <c r="U1180" i="627"/>
  <c r="V1180" i="627"/>
  <c r="W1180" i="627"/>
  <c r="X1180" i="627"/>
  <c r="Y1180" i="627"/>
  <c r="Z1180" i="627"/>
  <c r="AA1180" i="627"/>
  <c r="U1181" i="627"/>
  <c r="V1181" i="627"/>
  <c r="W1181" i="627"/>
  <c r="X1181" i="627"/>
  <c r="Y1181" i="627"/>
  <c r="Z1181" i="627"/>
  <c r="AA1181" i="627"/>
  <c r="U1182" i="627"/>
  <c r="V1182" i="627"/>
  <c r="W1182" i="627"/>
  <c r="X1182" i="627"/>
  <c r="Y1182" i="627"/>
  <c r="Z1182" i="627"/>
  <c r="AA1182" i="627"/>
  <c r="U1183" i="627"/>
  <c r="V1183" i="627"/>
  <c r="W1183" i="627"/>
  <c r="X1183" i="627"/>
  <c r="Y1183" i="627"/>
  <c r="Z1183" i="627"/>
  <c r="AA1183" i="627"/>
  <c r="U1184" i="627"/>
  <c r="V1184" i="627"/>
  <c r="W1184" i="627"/>
  <c r="X1184" i="627"/>
  <c r="Y1184" i="627"/>
  <c r="Z1184" i="627"/>
  <c r="AA1184" i="627"/>
  <c r="U1185" i="627"/>
  <c r="V1185" i="627"/>
  <c r="W1185" i="627"/>
  <c r="X1185" i="627"/>
  <c r="Y1185" i="627"/>
  <c r="Z1185" i="627"/>
  <c r="AA1185" i="627"/>
  <c r="U1186" i="627"/>
  <c r="V1186" i="627"/>
  <c r="W1186" i="627"/>
  <c r="X1186" i="627"/>
  <c r="Y1186" i="627"/>
  <c r="Z1186" i="627"/>
  <c r="AA1186" i="627"/>
  <c r="U1187" i="627"/>
  <c r="V1187" i="627"/>
  <c r="W1187" i="627"/>
  <c r="X1187" i="627"/>
  <c r="Y1187" i="627"/>
  <c r="Z1187" i="627"/>
  <c r="AA1187" i="627"/>
  <c r="U1188" i="627"/>
  <c r="V1188" i="627"/>
  <c r="W1188" i="627"/>
  <c r="X1188" i="627"/>
  <c r="Y1188" i="627"/>
  <c r="Z1188" i="627"/>
  <c r="AA1188" i="627"/>
  <c r="U1189" i="627"/>
  <c r="V1189" i="627"/>
  <c r="W1189" i="627"/>
  <c r="X1189" i="627"/>
  <c r="Y1189" i="627"/>
  <c r="Z1189" i="627"/>
  <c r="AA1189" i="627"/>
  <c r="U1190" i="627"/>
  <c r="V1190" i="627"/>
  <c r="W1190" i="627"/>
  <c r="X1190" i="627"/>
  <c r="Y1190" i="627"/>
  <c r="Z1190" i="627"/>
  <c r="AA1190" i="627"/>
  <c r="U1191" i="627"/>
  <c r="V1191" i="627"/>
  <c r="W1191" i="627"/>
  <c r="X1191" i="627"/>
  <c r="Y1191" i="627"/>
  <c r="Z1191" i="627"/>
  <c r="AA1191" i="627"/>
  <c r="U1192" i="627"/>
  <c r="V1192" i="627"/>
  <c r="W1192" i="627"/>
  <c r="X1192" i="627"/>
  <c r="Y1192" i="627"/>
  <c r="Z1192" i="627"/>
  <c r="AA1192" i="627"/>
  <c r="U1193" i="627"/>
  <c r="V1193" i="627"/>
  <c r="W1193" i="627"/>
  <c r="X1193" i="627"/>
  <c r="Y1193" i="627"/>
  <c r="Z1193" i="627"/>
  <c r="AA1193" i="627"/>
  <c r="U1194" i="627"/>
  <c r="V1194" i="627"/>
  <c r="W1194" i="627"/>
  <c r="X1194" i="627"/>
  <c r="Y1194" i="627"/>
  <c r="Z1194" i="627"/>
  <c r="AA1194" i="627"/>
  <c r="U1195" i="627"/>
  <c r="V1195" i="627"/>
  <c r="W1195" i="627"/>
  <c r="X1195" i="627"/>
  <c r="Y1195" i="627"/>
  <c r="Z1195" i="627"/>
  <c r="AA1195" i="627"/>
  <c r="U1196" i="627"/>
  <c r="V1196" i="627"/>
  <c r="W1196" i="627"/>
  <c r="X1196" i="627"/>
  <c r="Y1196" i="627"/>
  <c r="Z1196" i="627"/>
  <c r="AA1196" i="627"/>
  <c r="U1197" i="627"/>
  <c r="V1197" i="627"/>
  <c r="W1197" i="627"/>
  <c r="X1197" i="627"/>
  <c r="Y1197" i="627"/>
  <c r="Z1197" i="627"/>
  <c r="AA1197" i="627"/>
  <c r="U1198" i="627"/>
  <c r="V1198" i="627"/>
  <c r="W1198" i="627"/>
  <c r="X1198" i="627"/>
  <c r="Y1198" i="627"/>
  <c r="Z1198" i="627"/>
  <c r="AA1198" i="627"/>
  <c r="U1199" i="627"/>
  <c r="V1199" i="627"/>
  <c r="W1199" i="627"/>
  <c r="X1199" i="627"/>
  <c r="Y1199" i="627"/>
  <c r="Z1199" i="627"/>
  <c r="AA1199" i="627"/>
  <c r="U1200" i="627"/>
  <c r="V1200" i="627"/>
  <c r="W1200" i="627"/>
  <c r="X1200" i="627"/>
  <c r="Y1200" i="627"/>
  <c r="Z1200" i="627"/>
  <c r="AA1200" i="627"/>
  <c r="U1201" i="627"/>
  <c r="V1201" i="627"/>
  <c r="W1201" i="627"/>
  <c r="X1201" i="627"/>
  <c r="Y1201" i="627"/>
  <c r="Z1201" i="627"/>
  <c r="AA1201" i="627"/>
  <c r="U1202" i="627"/>
  <c r="V1202" i="627"/>
  <c r="W1202" i="627"/>
  <c r="X1202" i="627"/>
  <c r="Y1202" i="627"/>
  <c r="Z1202" i="627"/>
  <c r="AA1202" i="627"/>
  <c r="U1203" i="627"/>
  <c r="V1203" i="627"/>
  <c r="W1203" i="627"/>
  <c r="X1203" i="627"/>
  <c r="Y1203" i="627"/>
  <c r="Z1203" i="627"/>
  <c r="AA1203" i="627"/>
  <c r="U1204" i="627"/>
  <c r="V1204" i="627"/>
  <c r="W1204" i="627"/>
  <c r="X1204" i="627"/>
  <c r="Y1204" i="627"/>
  <c r="Z1204" i="627"/>
  <c r="AA1204" i="627"/>
  <c r="U1205" i="627"/>
  <c r="V1205" i="627"/>
  <c r="W1205" i="627"/>
  <c r="X1205" i="627"/>
  <c r="Y1205" i="627"/>
  <c r="Z1205" i="627"/>
  <c r="AA1205" i="627"/>
  <c r="U1206" i="627"/>
  <c r="V1206" i="627"/>
  <c r="W1206" i="627"/>
  <c r="X1206" i="627"/>
  <c r="Y1206" i="627"/>
  <c r="Z1206" i="627"/>
  <c r="AA1206" i="627"/>
  <c r="U1207" i="627"/>
  <c r="V1207" i="627"/>
  <c r="W1207" i="627"/>
  <c r="X1207" i="627"/>
  <c r="Y1207" i="627"/>
  <c r="Z1207" i="627"/>
  <c r="AA1207" i="627"/>
  <c r="U1208" i="627"/>
  <c r="V1208" i="627"/>
  <c r="W1208" i="627"/>
  <c r="X1208" i="627"/>
  <c r="Y1208" i="627"/>
  <c r="Z1208" i="627"/>
  <c r="AA1208" i="627"/>
  <c r="U1209" i="627"/>
  <c r="V1209" i="627"/>
  <c r="W1209" i="627"/>
  <c r="X1209" i="627"/>
  <c r="Y1209" i="627"/>
  <c r="Z1209" i="627"/>
  <c r="AA1209" i="627"/>
  <c r="U1210" i="627"/>
  <c r="V1210" i="627"/>
  <c r="W1210" i="627"/>
  <c r="X1210" i="627"/>
  <c r="Y1210" i="627"/>
  <c r="Z1210" i="627"/>
  <c r="AA1210" i="627"/>
  <c r="U1211" i="627"/>
  <c r="V1211" i="627"/>
  <c r="W1211" i="627"/>
  <c r="X1211" i="627"/>
  <c r="Y1211" i="627"/>
  <c r="Z1211" i="627"/>
  <c r="AA1211" i="627"/>
  <c r="U1212" i="627"/>
  <c r="V1212" i="627"/>
  <c r="W1212" i="627"/>
  <c r="X1212" i="627"/>
  <c r="Y1212" i="627"/>
  <c r="Z1212" i="627"/>
  <c r="AA1212" i="627"/>
  <c r="U1213" i="627"/>
  <c r="V1213" i="627"/>
  <c r="W1213" i="627"/>
  <c r="X1213" i="627"/>
  <c r="Y1213" i="627"/>
  <c r="Z1213" i="627"/>
  <c r="AA1213" i="627"/>
  <c r="U1214" i="627"/>
  <c r="V1214" i="627"/>
  <c r="W1214" i="627"/>
  <c r="X1214" i="627"/>
  <c r="Y1214" i="627"/>
  <c r="Z1214" i="627"/>
  <c r="AA1214" i="627"/>
  <c r="U1215" i="627"/>
  <c r="V1215" i="627"/>
  <c r="W1215" i="627"/>
  <c r="X1215" i="627"/>
  <c r="Y1215" i="627"/>
  <c r="Z1215" i="627"/>
  <c r="AA1215" i="627"/>
  <c r="U1216" i="627"/>
  <c r="V1216" i="627"/>
  <c r="W1216" i="627"/>
  <c r="X1216" i="627"/>
  <c r="Y1216" i="627"/>
  <c r="Z1216" i="627"/>
  <c r="AA1216" i="627"/>
  <c r="U1217" i="627"/>
  <c r="V1217" i="627"/>
  <c r="W1217" i="627"/>
  <c r="X1217" i="627"/>
  <c r="Y1217" i="627"/>
  <c r="Z1217" i="627"/>
  <c r="AA1217" i="627"/>
  <c r="U1218" i="627"/>
  <c r="V1218" i="627"/>
  <c r="W1218" i="627"/>
  <c r="X1218" i="627"/>
  <c r="Y1218" i="627"/>
  <c r="Z1218" i="627"/>
  <c r="AA1218" i="627"/>
  <c r="U1219" i="627"/>
  <c r="V1219" i="627"/>
  <c r="W1219" i="627"/>
  <c r="X1219" i="627"/>
  <c r="Y1219" i="627"/>
  <c r="Z1219" i="627"/>
  <c r="AA1219" i="627"/>
  <c r="U1220" i="627"/>
  <c r="V1220" i="627"/>
  <c r="W1220" i="627"/>
  <c r="X1220" i="627"/>
  <c r="Y1220" i="627"/>
  <c r="Z1220" i="627"/>
  <c r="AA1220" i="627"/>
  <c r="U1221" i="627"/>
  <c r="V1221" i="627"/>
  <c r="W1221" i="627"/>
  <c r="X1221" i="627"/>
  <c r="Y1221" i="627"/>
  <c r="Z1221" i="627"/>
  <c r="AA1221" i="627"/>
  <c r="U1222" i="627"/>
  <c r="V1222" i="627"/>
  <c r="W1222" i="627"/>
  <c r="X1222" i="627"/>
  <c r="Y1222" i="627"/>
  <c r="Z1222" i="627"/>
  <c r="AA1222" i="627"/>
  <c r="U1223" i="627"/>
  <c r="V1223" i="627"/>
  <c r="W1223" i="627"/>
  <c r="X1223" i="627"/>
  <c r="Y1223" i="627"/>
  <c r="Z1223" i="627"/>
  <c r="AA1223" i="627"/>
  <c r="U1224" i="627"/>
  <c r="V1224" i="627"/>
  <c r="W1224" i="627"/>
  <c r="X1224" i="627"/>
  <c r="Y1224" i="627"/>
  <c r="Z1224" i="627"/>
  <c r="AA1224" i="627"/>
  <c r="U1225" i="627"/>
  <c r="V1225" i="627"/>
  <c r="W1225" i="627"/>
  <c r="X1225" i="627"/>
  <c r="Y1225" i="627"/>
  <c r="Z1225" i="627"/>
  <c r="AA1225" i="627"/>
  <c r="U1226" i="627"/>
  <c r="V1226" i="627"/>
  <c r="W1226" i="627"/>
  <c r="X1226" i="627"/>
  <c r="Y1226" i="627"/>
  <c r="Z1226" i="627"/>
  <c r="AA1226" i="627"/>
  <c r="U1227" i="627"/>
  <c r="V1227" i="627"/>
  <c r="W1227" i="627"/>
  <c r="X1227" i="627"/>
  <c r="Y1227" i="627"/>
  <c r="Z1227" i="627"/>
  <c r="AA1227" i="627"/>
  <c r="U1228" i="627"/>
  <c r="V1228" i="627"/>
  <c r="W1228" i="627"/>
  <c r="X1228" i="627"/>
  <c r="Y1228" i="627"/>
  <c r="Z1228" i="627"/>
  <c r="AA1228" i="627"/>
  <c r="U1229" i="627"/>
  <c r="V1229" i="627"/>
  <c r="W1229" i="627"/>
  <c r="X1229" i="627"/>
  <c r="Y1229" i="627"/>
  <c r="Z1229" i="627"/>
  <c r="AA1229" i="627"/>
  <c r="U1230" i="627"/>
  <c r="V1230" i="627"/>
  <c r="W1230" i="627"/>
  <c r="X1230" i="627"/>
  <c r="Y1230" i="627"/>
  <c r="Z1230" i="627"/>
  <c r="AA1230" i="627"/>
  <c r="U1231" i="627"/>
  <c r="V1231" i="627"/>
  <c r="W1231" i="627"/>
  <c r="X1231" i="627"/>
  <c r="Y1231" i="627"/>
  <c r="Z1231" i="627"/>
  <c r="AA1231" i="627"/>
  <c r="U1232" i="627"/>
  <c r="V1232" i="627"/>
  <c r="W1232" i="627"/>
  <c r="X1232" i="627"/>
  <c r="Y1232" i="627"/>
  <c r="Z1232" i="627"/>
  <c r="AA1232" i="627"/>
  <c r="U1233" i="627"/>
  <c r="V1233" i="627"/>
  <c r="W1233" i="627"/>
  <c r="X1233" i="627"/>
  <c r="Y1233" i="627"/>
  <c r="Z1233" i="627"/>
  <c r="AA1233" i="627"/>
  <c r="U1234" i="627"/>
  <c r="V1234" i="627"/>
  <c r="W1234" i="627"/>
  <c r="X1234" i="627"/>
  <c r="Y1234" i="627"/>
  <c r="Z1234" i="627"/>
  <c r="AA1234" i="627"/>
  <c r="U1235" i="627"/>
  <c r="V1235" i="627"/>
  <c r="W1235" i="627"/>
  <c r="X1235" i="627"/>
  <c r="Y1235" i="627"/>
  <c r="Z1235" i="627"/>
  <c r="AA1235" i="627"/>
  <c r="U1236" i="627"/>
  <c r="V1236" i="627"/>
  <c r="W1236" i="627"/>
  <c r="X1236" i="627"/>
  <c r="Y1236" i="627"/>
  <c r="Z1236" i="627"/>
  <c r="AA1236" i="627"/>
  <c r="U1237" i="627"/>
  <c r="V1237" i="627"/>
  <c r="W1237" i="627"/>
  <c r="X1237" i="627"/>
  <c r="Y1237" i="627"/>
  <c r="Z1237" i="627"/>
  <c r="AA1237" i="627"/>
  <c r="U1238" i="627"/>
  <c r="V1238" i="627"/>
  <c r="W1238" i="627"/>
  <c r="X1238" i="627"/>
  <c r="Y1238" i="627"/>
  <c r="Z1238" i="627"/>
  <c r="AA1238" i="627"/>
  <c r="U1239" i="627"/>
  <c r="V1239" i="627"/>
  <c r="W1239" i="627"/>
  <c r="X1239" i="627"/>
  <c r="Y1239" i="627"/>
  <c r="Z1239" i="627"/>
  <c r="AA1239" i="627"/>
  <c r="U1240" i="627"/>
  <c r="V1240" i="627"/>
  <c r="W1240" i="627"/>
  <c r="X1240" i="627"/>
  <c r="Y1240" i="627"/>
  <c r="Z1240" i="627"/>
  <c r="AA1240" i="627"/>
  <c r="U1241" i="627"/>
  <c r="V1241" i="627"/>
  <c r="W1241" i="627"/>
  <c r="X1241" i="627"/>
  <c r="Y1241" i="627"/>
  <c r="Z1241" i="627"/>
  <c r="AA1241" i="627"/>
  <c r="U1242" i="627"/>
  <c r="V1242" i="627"/>
  <c r="W1242" i="627"/>
  <c r="X1242" i="627"/>
  <c r="Y1242" i="627"/>
  <c r="Z1242" i="627"/>
  <c r="AA1242" i="627"/>
  <c r="U1243" i="627"/>
  <c r="V1243" i="627"/>
  <c r="W1243" i="627"/>
  <c r="X1243" i="627"/>
  <c r="Y1243" i="627"/>
  <c r="Z1243" i="627"/>
  <c r="AA1243" i="627"/>
  <c r="U1244" i="627"/>
  <c r="V1244" i="627"/>
  <c r="W1244" i="627"/>
  <c r="X1244" i="627"/>
  <c r="Y1244" i="627"/>
  <c r="Z1244" i="627"/>
  <c r="AA1244" i="627"/>
  <c r="U1245" i="627"/>
  <c r="V1245" i="627"/>
  <c r="W1245" i="627"/>
  <c r="X1245" i="627"/>
  <c r="Y1245" i="627"/>
  <c r="Z1245" i="627"/>
  <c r="AA1245" i="627"/>
  <c r="U1246" i="627"/>
  <c r="V1246" i="627"/>
  <c r="W1246" i="627"/>
  <c r="X1246" i="627"/>
  <c r="Y1246" i="627"/>
  <c r="Z1246" i="627"/>
  <c r="AA1246" i="627"/>
  <c r="U1247" i="627"/>
  <c r="V1247" i="627"/>
  <c r="W1247" i="627"/>
  <c r="X1247" i="627"/>
  <c r="Y1247" i="627"/>
  <c r="Z1247" i="627"/>
  <c r="AA1247" i="627"/>
  <c r="U1248" i="627"/>
  <c r="V1248" i="627"/>
  <c r="W1248" i="627"/>
  <c r="X1248" i="627"/>
  <c r="Y1248" i="627"/>
  <c r="Z1248" i="627"/>
  <c r="AA1248" i="627"/>
  <c r="U1249" i="627"/>
  <c r="V1249" i="627"/>
  <c r="W1249" i="627"/>
  <c r="X1249" i="627"/>
  <c r="Y1249" i="627"/>
  <c r="Z1249" i="627"/>
  <c r="AA1249" i="627"/>
  <c r="U1250" i="627"/>
  <c r="V1250" i="627"/>
  <c r="W1250" i="627"/>
  <c r="X1250" i="627"/>
  <c r="Y1250" i="627"/>
  <c r="Z1250" i="627"/>
  <c r="AA1250" i="627"/>
  <c r="U1251" i="627"/>
  <c r="V1251" i="627"/>
  <c r="W1251" i="627"/>
  <c r="X1251" i="627"/>
  <c r="Y1251" i="627"/>
  <c r="Z1251" i="627"/>
  <c r="AA1251" i="627"/>
  <c r="U1252" i="627"/>
  <c r="V1252" i="627"/>
  <c r="W1252" i="627"/>
  <c r="X1252" i="627"/>
  <c r="Y1252" i="627"/>
  <c r="Z1252" i="627"/>
  <c r="AA1252" i="627"/>
  <c r="U1253" i="627"/>
  <c r="V1253" i="627"/>
  <c r="W1253" i="627"/>
  <c r="X1253" i="627"/>
  <c r="Y1253" i="627"/>
  <c r="Z1253" i="627"/>
  <c r="AA1253" i="627"/>
  <c r="U1254" i="627"/>
  <c r="V1254" i="627"/>
  <c r="W1254" i="627"/>
  <c r="X1254" i="627"/>
  <c r="Y1254" i="627"/>
  <c r="Z1254" i="627"/>
  <c r="AA1254" i="627"/>
  <c r="U1255" i="627"/>
  <c r="V1255" i="627"/>
  <c r="W1255" i="627"/>
  <c r="X1255" i="627"/>
  <c r="Y1255" i="627"/>
  <c r="Z1255" i="627"/>
  <c r="AA1255" i="627"/>
  <c r="U1256" i="627"/>
  <c r="V1256" i="627"/>
  <c r="W1256" i="627"/>
  <c r="X1256" i="627"/>
  <c r="Y1256" i="627"/>
  <c r="Z1256" i="627"/>
  <c r="AA1256" i="627"/>
  <c r="U1257" i="627"/>
  <c r="V1257" i="627"/>
  <c r="W1257" i="627"/>
  <c r="X1257" i="627"/>
  <c r="Y1257" i="627"/>
  <c r="Z1257" i="627"/>
  <c r="AA1257" i="627"/>
  <c r="U1258" i="627"/>
  <c r="V1258" i="627"/>
  <c r="W1258" i="627"/>
  <c r="X1258" i="627"/>
  <c r="Y1258" i="627"/>
  <c r="Z1258" i="627"/>
  <c r="AA1258" i="627"/>
  <c r="U1259" i="627"/>
  <c r="V1259" i="627"/>
  <c r="W1259" i="627"/>
  <c r="X1259" i="627"/>
  <c r="Y1259" i="627"/>
  <c r="Z1259" i="627"/>
  <c r="AA1259" i="627"/>
  <c r="U1260" i="627"/>
  <c r="V1260" i="627"/>
  <c r="W1260" i="627"/>
  <c r="X1260" i="627"/>
  <c r="Y1260" i="627"/>
  <c r="Z1260" i="627"/>
  <c r="AA1260" i="627"/>
  <c r="U1261" i="627"/>
  <c r="V1261" i="627"/>
  <c r="W1261" i="627"/>
  <c r="X1261" i="627"/>
  <c r="Y1261" i="627"/>
  <c r="Z1261" i="627"/>
  <c r="AA1261" i="627"/>
  <c r="U1262" i="627"/>
  <c r="V1262" i="627"/>
  <c r="W1262" i="627"/>
  <c r="X1262" i="627"/>
  <c r="Y1262" i="627"/>
  <c r="Z1262" i="627"/>
  <c r="AA1262" i="627"/>
  <c r="U1263" i="627"/>
  <c r="V1263" i="627"/>
  <c r="W1263" i="627"/>
  <c r="X1263" i="627"/>
  <c r="Y1263" i="627"/>
  <c r="Z1263" i="627"/>
  <c r="AA1263" i="627"/>
  <c r="U1264" i="627"/>
  <c r="V1264" i="627"/>
  <c r="W1264" i="627"/>
  <c r="X1264" i="627"/>
  <c r="Y1264" i="627"/>
  <c r="Z1264" i="627"/>
  <c r="AA1264" i="627"/>
  <c r="U1265" i="627"/>
  <c r="V1265" i="627"/>
  <c r="W1265" i="627"/>
  <c r="X1265" i="627"/>
  <c r="Y1265" i="627"/>
  <c r="Z1265" i="627"/>
  <c r="AA1265" i="627"/>
  <c r="U1266" i="627"/>
  <c r="V1266" i="627"/>
  <c r="W1266" i="627"/>
  <c r="X1266" i="627"/>
  <c r="Y1266" i="627"/>
  <c r="Z1266" i="627"/>
  <c r="AA1266" i="627"/>
  <c r="U1267" i="627"/>
  <c r="V1267" i="627"/>
  <c r="W1267" i="627"/>
  <c r="X1267" i="627"/>
  <c r="Y1267" i="627"/>
  <c r="Z1267" i="627"/>
  <c r="AA1267" i="627"/>
  <c r="U1268" i="627"/>
  <c r="V1268" i="627"/>
  <c r="W1268" i="627"/>
  <c r="X1268" i="627"/>
  <c r="Y1268" i="627"/>
  <c r="Z1268" i="627"/>
  <c r="AA1268" i="627"/>
  <c r="U1269" i="627"/>
  <c r="V1269" i="627"/>
  <c r="W1269" i="627"/>
  <c r="X1269" i="627"/>
  <c r="Y1269" i="627"/>
  <c r="Z1269" i="627"/>
  <c r="AA1269" i="627"/>
  <c r="U1270" i="627"/>
  <c r="V1270" i="627"/>
  <c r="W1270" i="627"/>
  <c r="X1270" i="627"/>
  <c r="Y1270" i="627"/>
  <c r="Z1270" i="627"/>
  <c r="AA1270" i="627"/>
  <c r="U1271" i="627"/>
  <c r="V1271" i="627"/>
  <c r="W1271" i="627"/>
  <c r="X1271" i="627"/>
  <c r="Y1271" i="627"/>
  <c r="Z1271" i="627"/>
  <c r="AA1271" i="627"/>
  <c r="U1272" i="627"/>
  <c r="V1272" i="627"/>
  <c r="W1272" i="627"/>
  <c r="X1272" i="627"/>
  <c r="Y1272" i="627"/>
  <c r="Z1272" i="627"/>
  <c r="AA1272" i="627"/>
  <c r="U1273" i="627"/>
  <c r="V1273" i="627"/>
  <c r="W1273" i="627"/>
  <c r="X1273" i="627"/>
  <c r="Y1273" i="627"/>
  <c r="Z1273" i="627"/>
  <c r="AA1273" i="627"/>
  <c r="U1274" i="627"/>
  <c r="V1274" i="627"/>
  <c r="W1274" i="627"/>
  <c r="X1274" i="627"/>
  <c r="Y1274" i="627"/>
  <c r="Z1274" i="627"/>
  <c r="AA1274" i="627"/>
  <c r="U1275" i="627"/>
  <c r="V1275" i="627"/>
  <c r="W1275" i="627"/>
  <c r="X1275" i="627"/>
  <c r="Y1275" i="627"/>
  <c r="Z1275" i="627"/>
  <c r="AA1275" i="627"/>
  <c r="U1276" i="627"/>
  <c r="V1276" i="627"/>
  <c r="W1276" i="627"/>
  <c r="X1276" i="627"/>
  <c r="Y1276" i="627"/>
  <c r="Z1276" i="627"/>
  <c r="AA1276" i="627"/>
  <c r="U1277" i="627"/>
  <c r="V1277" i="627"/>
  <c r="W1277" i="627"/>
  <c r="X1277" i="627"/>
  <c r="Y1277" i="627"/>
  <c r="Z1277" i="627"/>
  <c r="AA1277" i="627"/>
  <c r="U1278" i="627"/>
  <c r="V1278" i="627"/>
  <c r="W1278" i="627"/>
  <c r="X1278" i="627"/>
  <c r="Y1278" i="627"/>
  <c r="Z1278" i="627"/>
  <c r="AA1278" i="627"/>
  <c r="U1279" i="627"/>
  <c r="V1279" i="627"/>
  <c r="W1279" i="627"/>
  <c r="X1279" i="627"/>
  <c r="Y1279" i="627"/>
  <c r="Z1279" i="627"/>
  <c r="AA1279" i="627"/>
  <c r="U1280" i="627"/>
  <c r="V1280" i="627"/>
  <c r="W1280" i="627"/>
  <c r="X1280" i="627"/>
  <c r="Y1280" i="627"/>
  <c r="Z1280" i="627"/>
  <c r="AA1280" i="627"/>
  <c r="U1281" i="627"/>
  <c r="V1281" i="627"/>
  <c r="W1281" i="627"/>
  <c r="X1281" i="627"/>
  <c r="Y1281" i="627"/>
  <c r="Z1281" i="627"/>
  <c r="AA1281" i="627"/>
  <c r="U1282" i="627"/>
  <c r="V1282" i="627"/>
  <c r="W1282" i="627"/>
  <c r="X1282" i="627"/>
  <c r="Y1282" i="627"/>
  <c r="Z1282" i="627"/>
  <c r="AA1282" i="627"/>
  <c r="U1283" i="627"/>
  <c r="V1283" i="627"/>
  <c r="W1283" i="627"/>
  <c r="X1283" i="627"/>
  <c r="Y1283" i="627"/>
  <c r="Z1283" i="627"/>
  <c r="AA1283" i="627"/>
  <c r="U1284" i="627"/>
  <c r="V1284" i="627"/>
  <c r="W1284" i="627"/>
  <c r="X1284" i="627"/>
  <c r="Y1284" i="627"/>
  <c r="Z1284" i="627"/>
  <c r="AA1284" i="627"/>
  <c r="U1285" i="627"/>
  <c r="V1285" i="627"/>
  <c r="W1285" i="627"/>
  <c r="X1285" i="627"/>
  <c r="Y1285" i="627"/>
  <c r="Z1285" i="627"/>
  <c r="AA1285" i="627"/>
  <c r="U1286" i="627"/>
  <c r="V1286" i="627"/>
  <c r="W1286" i="627"/>
  <c r="X1286" i="627"/>
  <c r="Y1286" i="627"/>
  <c r="Z1286" i="627"/>
  <c r="AA1286" i="627"/>
  <c r="U1287" i="627"/>
  <c r="V1287" i="627"/>
  <c r="W1287" i="627"/>
  <c r="X1287" i="627"/>
  <c r="Y1287" i="627"/>
  <c r="Z1287" i="627"/>
  <c r="AA1287" i="627"/>
  <c r="U1288" i="627"/>
  <c r="V1288" i="627"/>
  <c r="W1288" i="627"/>
  <c r="X1288" i="627"/>
  <c r="Y1288" i="627"/>
  <c r="Z1288" i="627"/>
  <c r="AA1288" i="627"/>
  <c r="U1289" i="627"/>
  <c r="V1289" i="627"/>
  <c r="W1289" i="627"/>
  <c r="X1289" i="627"/>
  <c r="Y1289" i="627"/>
  <c r="Z1289" i="627"/>
  <c r="AA1289" i="627"/>
  <c r="U1290" i="627"/>
  <c r="V1290" i="627"/>
  <c r="W1290" i="627"/>
  <c r="X1290" i="627"/>
  <c r="Y1290" i="627"/>
  <c r="Z1290" i="627"/>
  <c r="AA1290" i="627"/>
  <c r="U1291" i="627"/>
  <c r="V1291" i="627"/>
  <c r="W1291" i="627"/>
  <c r="X1291" i="627"/>
  <c r="Y1291" i="627"/>
  <c r="Z1291" i="627"/>
  <c r="AA1291" i="627"/>
  <c r="U1292" i="627"/>
  <c r="V1292" i="627"/>
  <c r="W1292" i="627"/>
  <c r="X1292" i="627"/>
  <c r="Y1292" i="627"/>
  <c r="Z1292" i="627"/>
  <c r="AA1292" i="627"/>
  <c r="U1293" i="627"/>
  <c r="V1293" i="627"/>
  <c r="W1293" i="627"/>
  <c r="X1293" i="627"/>
  <c r="Y1293" i="627"/>
  <c r="Z1293" i="627"/>
  <c r="AA1293" i="627"/>
  <c r="U1294" i="627"/>
  <c r="V1294" i="627"/>
  <c r="W1294" i="627"/>
  <c r="X1294" i="627"/>
  <c r="Y1294" i="627"/>
  <c r="Z1294" i="627"/>
  <c r="AA1294" i="627"/>
  <c r="U1295" i="627"/>
  <c r="V1295" i="627"/>
  <c r="W1295" i="627"/>
  <c r="X1295" i="627"/>
  <c r="Y1295" i="627"/>
  <c r="Z1295" i="627"/>
  <c r="AA1295" i="627"/>
  <c r="U1296" i="627"/>
  <c r="V1296" i="627"/>
  <c r="W1296" i="627"/>
  <c r="X1296" i="627"/>
  <c r="Y1296" i="627"/>
  <c r="Z1296" i="627"/>
  <c r="AA1296" i="627"/>
  <c r="U1297" i="627"/>
  <c r="V1297" i="627"/>
  <c r="W1297" i="627"/>
  <c r="X1297" i="627"/>
  <c r="Y1297" i="627"/>
  <c r="Z1297" i="627"/>
  <c r="AA1297" i="627"/>
  <c r="U1298" i="627"/>
  <c r="V1298" i="627"/>
  <c r="W1298" i="627"/>
  <c r="X1298" i="627"/>
  <c r="Y1298" i="627"/>
  <c r="Z1298" i="627"/>
  <c r="AA1298" i="627"/>
  <c r="U1299" i="627"/>
  <c r="V1299" i="627"/>
  <c r="W1299" i="627"/>
  <c r="X1299" i="627"/>
  <c r="Y1299" i="627"/>
  <c r="Z1299" i="627"/>
  <c r="AA1299" i="627"/>
  <c r="U1300" i="627"/>
  <c r="V1300" i="627"/>
  <c r="W1300" i="627"/>
  <c r="X1300" i="627"/>
  <c r="Y1300" i="627"/>
  <c r="Z1300" i="627"/>
  <c r="AA1300" i="627"/>
  <c r="U1301" i="627"/>
  <c r="V1301" i="627"/>
  <c r="W1301" i="627"/>
  <c r="X1301" i="627"/>
  <c r="Y1301" i="627"/>
  <c r="Z1301" i="627"/>
  <c r="AA1301" i="627"/>
  <c r="U1302" i="627"/>
  <c r="V1302" i="627"/>
  <c r="W1302" i="627"/>
  <c r="X1302" i="627"/>
  <c r="Y1302" i="627"/>
  <c r="Z1302" i="627"/>
  <c r="AA1302" i="627"/>
  <c r="U1303" i="627"/>
  <c r="V1303" i="627"/>
  <c r="W1303" i="627"/>
  <c r="X1303" i="627"/>
  <c r="Y1303" i="627"/>
  <c r="Z1303" i="627"/>
  <c r="AA1303" i="627"/>
  <c r="U1304" i="627"/>
  <c r="V1304" i="627"/>
  <c r="W1304" i="627"/>
  <c r="X1304" i="627"/>
  <c r="Y1304" i="627"/>
  <c r="Z1304" i="627"/>
  <c r="AA1304" i="627"/>
  <c r="U1305" i="627"/>
  <c r="V1305" i="627"/>
  <c r="W1305" i="627"/>
  <c r="X1305" i="627"/>
  <c r="Y1305" i="627"/>
  <c r="Z1305" i="627"/>
  <c r="AA1305" i="627"/>
  <c r="U1306" i="627"/>
  <c r="V1306" i="627"/>
  <c r="W1306" i="627"/>
  <c r="X1306" i="627"/>
  <c r="Y1306" i="627"/>
  <c r="Z1306" i="627"/>
  <c r="AA1306" i="627"/>
  <c r="U1307" i="627"/>
  <c r="V1307" i="627"/>
  <c r="W1307" i="627"/>
  <c r="X1307" i="627"/>
  <c r="Y1307" i="627"/>
  <c r="Z1307" i="627"/>
  <c r="AA1307" i="627"/>
  <c r="U1308" i="627"/>
  <c r="V1308" i="627"/>
  <c r="W1308" i="627"/>
  <c r="X1308" i="627"/>
  <c r="Y1308" i="627"/>
  <c r="Z1308" i="627"/>
  <c r="AA1308" i="627"/>
  <c r="U1309" i="627"/>
  <c r="V1309" i="627"/>
  <c r="W1309" i="627"/>
  <c r="X1309" i="627"/>
  <c r="Y1309" i="627"/>
  <c r="Z1309" i="627"/>
  <c r="AA1309" i="627"/>
  <c r="U1310" i="627"/>
  <c r="V1310" i="627"/>
  <c r="W1310" i="627"/>
  <c r="X1310" i="627"/>
  <c r="Y1310" i="627"/>
  <c r="Z1310" i="627"/>
  <c r="AA1310" i="627"/>
  <c r="U1311" i="627"/>
  <c r="V1311" i="627"/>
  <c r="W1311" i="627"/>
  <c r="X1311" i="627"/>
  <c r="Y1311" i="627"/>
  <c r="Z1311" i="627"/>
  <c r="AA1311" i="627"/>
  <c r="U1312" i="627"/>
  <c r="V1312" i="627"/>
  <c r="W1312" i="627"/>
  <c r="X1312" i="627"/>
  <c r="Y1312" i="627"/>
  <c r="Z1312" i="627"/>
  <c r="AA1312" i="627"/>
  <c r="U1313" i="627"/>
  <c r="V1313" i="627"/>
  <c r="W1313" i="627"/>
  <c r="X1313" i="627"/>
  <c r="Y1313" i="627"/>
  <c r="Z1313" i="627"/>
  <c r="AA1313" i="627"/>
  <c r="U1314" i="627"/>
  <c r="V1314" i="627"/>
  <c r="W1314" i="627"/>
  <c r="X1314" i="627"/>
  <c r="Y1314" i="627"/>
  <c r="Z1314" i="627"/>
  <c r="AA1314" i="627"/>
  <c r="U1315" i="627"/>
  <c r="V1315" i="627"/>
  <c r="W1315" i="627"/>
  <c r="X1315" i="627"/>
  <c r="Y1315" i="627"/>
  <c r="Z1315" i="627"/>
  <c r="AA1315" i="627"/>
  <c r="U1316" i="627"/>
  <c r="V1316" i="627"/>
  <c r="W1316" i="627"/>
  <c r="X1316" i="627"/>
  <c r="Y1316" i="627"/>
  <c r="Z1316" i="627"/>
  <c r="AA1316" i="627"/>
  <c r="U1317" i="627"/>
  <c r="V1317" i="627"/>
  <c r="W1317" i="627"/>
  <c r="X1317" i="627"/>
  <c r="Y1317" i="627"/>
  <c r="Z1317" i="627"/>
  <c r="AA1317" i="627"/>
  <c r="U1318" i="627"/>
  <c r="V1318" i="627"/>
  <c r="W1318" i="627"/>
  <c r="X1318" i="627"/>
  <c r="Y1318" i="627"/>
  <c r="Z1318" i="627"/>
  <c r="AA1318" i="627"/>
  <c r="U1319" i="627"/>
  <c r="V1319" i="627"/>
  <c r="W1319" i="627"/>
  <c r="X1319" i="627"/>
  <c r="Y1319" i="627"/>
  <c r="Z1319" i="627"/>
  <c r="AA1319" i="627"/>
  <c r="U1320" i="627"/>
  <c r="V1320" i="627"/>
  <c r="W1320" i="627"/>
  <c r="X1320" i="627"/>
  <c r="Y1320" i="627"/>
  <c r="Z1320" i="627"/>
  <c r="AA1320" i="627"/>
  <c r="U1321" i="627"/>
  <c r="V1321" i="627"/>
  <c r="W1321" i="627"/>
  <c r="X1321" i="627"/>
  <c r="Y1321" i="627"/>
  <c r="Z1321" i="627"/>
  <c r="AA1321" i="627"/>
  <c r="U1322" i="627"/>
  <c r="V1322" i="627"/>
  <c r="W1322" i="627"/>
  <c r="X1322" i="627"/>
  <c r="Y1322" i="627"/>
  <c r="Z1322" i="627"/>
  <c r="AA1322" i="627"/>
  <c r="U1323" i="627"/>
  <c r="V1323" i="627"/>
  <c r="W1323" i="627"/>
  <c r="X1323" i="627"/>
  <c r="Y1323" i="627"/>
  <c r="Z1323" i="627"/>
  <c r="AA1323" i="627"/>
  <c r="U1324" i="627"/>
  <c r="V1324" i="627"/>
  <c r="W1324" i="627"/>
  <c r="X1324" i="627"/>
  <c r="Y1324" i="627"/>
  <c r="Z1324" i="627"/>
  <c r="AA1324" i="627"/>
  <c r="U1325" i="627"/>
  <c r="V1325" i="627"/>
  <c r="W1325" i="627"/>
  <c r="X1325" i="627"/>
  <c r="Y1325" i="627"/>
  <c r="Z1325" i="627"/>
  <c r="AA1325" i="627"/>
  <c r="U1326" i="627"/>
  <c r="V1326" i="627"/>
  <c r="W1326" i="627"/>
  <c r="X1326" i="627"/>
  <c r="Y1326" i="627"/>
  <c r="Z1326" i="627"/>
  <c r="AA1326" i="627"/>
  <c r="U1327" i="627"/>
  <c r="V1327" i="627"/>
  <c r="W1327" i="627"/>
  <c r="X1327" i="627"/>
  <c r="Y1327" i="627"/>
  <c r="Z1327" i="627"/>
  <c r="AA1327" i="627"/>
  <c r="U1328" i="627"/>
  <c r="V1328" i="627"/>
  <c r="W1328" i="627"/>
  <c r="X1328" i="627"/>
  <c r="Y1328" i="627"/>
  <c r="Z1328" i="627"/>
  <c r="AA1328" i="627"/>
  <c r="U1329" i="627"/>
  <c r="V1329" i="627"/>
  <c r="W1329" i="627"/>
  <c r="X1329" i="627"/>
  <c r="Y1329" i="627"/>
  <c r="Z1329" i="627"/>
  <c r="AA1329" i="627"/>
  <c r="U1330" i="627"/>
  <c r="V1330" i="627"/>
  <c r="W1330" i="627"/>
  <c r="X1330" i="627"/>
  <c r="Y1330" i="627"/>
  <c r="Z1330" i="627"/>
  <c r="AA1330" i="627"/>
  <c r="U1331" i="627"/>
  <c r="V1331" i="627"/>
  <c r="W1331" i="627"/>
  <c r="X1331" i="627"/>
  <c r="Y1331" i="627"/>
  <c r="Z1331" i="627"/>
  <c r="AA1331" i="627"/>
  <c r="U1332" i="627"/>
  <c r="V1332" i="627"/>
  <c r="W1332" i="627"/>
  <c r="X1332" i="627"/>
  <c r="Y1332" i="627"/>
  <c r="Z1332" i="627"/>
  <c r="AA1332" i="627"/>
  <c r="U1333" i="627"/>
  <c r="V1333" i="627"/>
  <c r="W1333" i="627"/>
  <c r="X1333" i="627"/>
  <c r="Y1333" i="627"/>
  <c r="Z1333" i="627"/>
  <c r="AA1333" i="627"/>
  <c r="U1334" i="627"/>
  <c r="V1334" i="627"/>
  <c r="W1334" i="627"/>
  <c r="X1334" i="627"/>
  <c r="Y1334" i="627"/>
  <c r="Z1334" i="627"/>
  <c r="AA1334" i="627"/>
  <c r="U1335" i="627"/>
  <c r="V1335" i="627"/>
  <c r="W1335" i="627"/>
  <c r="X1335" i="627"/>
  <c r="Y1335" i="627"/>
  <c r="Z1335" i="627"/>
  <c r="AA1335" i="627"/>
  <c r="U1336" i="627"/>
  <c r="V1336" i="627"/>
  <c r="W1336" i="627"/>
  <c r="X1336" i="627"/>
  <c r="Y1336" i="627"/>
  <c r="Z1336" i="627"/>
  <c r="AA1336" i="627"/>
  <c r="U1337" i="627"/>
  <c r="V1337" i="627"/>
  <c r="W1337" i="627"/>
  <c r="X1337" i="627"/>
  <c r="Y1337" i="627"/>
  <c r="Z1337" i="627"/>
  <c r="AA1337" i="627"/>
  <c r="U1338" i="627"/>
  <c r="V1338" i="627"/>
  <c r="W1338" i="627"/>
  <c r="X1338" i="627"/>
  <c r="Y1338" i="627"/>
  <c r="Z1338" i="627"/>
  <c r="AA1338" i="627"/>
  <c r="U1339" i="627"/>
  <c r="V1339" i="627"/>
  <c r="W1339" i="627"/>
  <c r="X1339" i="627"/>
  <c r="Y1339" i="627"/>
  <c r="Z1339" i="627"/>
  <c r="AA1339" i="627"/>
  <c r="U1340" i="627"/>
  <c r="V1340" i="627"/>
  <c r="W1340" i="627"/>
  <c r="X1340" i="627"/>
  <c r="Y1340" i="627"/>
  <c r="Z1340" i="627"/>
  <c r="AA1340" i="627"/>
  <c r="U1341" i="627"/>
  <c r="V1341" i="627"/>
  <c r="W1341" i="627"/>
  <c r="X1341" i="627"/>
  <c r="Y1341" i="627"/>
  <c r="Z1341" i="627"/>
  <c r="AA1341" i="627"/>
  <c r="U1342" i="627"/>
  <c r="V1342" i="627"/>
  <c r="W1342" i="627"/>
  <c r="X1342" i="627"/>
  <c r="Y1342" i="627"/>
  <c r="Z1342" i="627"/>
  <c r="AA1342" i="627"/>
  <c r="U1343" i="627"/>
  <c r="V1343" i="627"/>
  <c r="W1343" i="627"/>
  <c r="X1343" i="627"/>
  <c r="Y1343" i="627"/>
  <c r="Z1343" i="627"/>
  <c r="AA1343" i="627"/>
  <c r="U1344" i="627"/>
  <c r="V1344" i="627"/>
  <c r="W1344" i="627"/>
  <c r="X1344" i="627"/>
  <c r="Y1344" i="627"/>
  <c r="Z1344" i="627"/>
  <c r="AA1344" i="627"/>
  <c r="U1345" i="627"/>
  <c r="V1345" i="627"/>
  <c r="W1345" i="627"/>
  <c r="X1345" i="627"/>
  <c r="Y1345" i="627"/>
  <c r="Z1345" i="627"/>
  <c r="AA1345" i="627"/>
  <c r="U1346" i="627"/>
  <c r="V1346" i="627"/>
  <c r="W1346" i="627"/>
  <c r="X1346" i="627"/>
  <c r="Y1346" i="627"/>
  <c r="Z1346" i="627"/>
  <c r="AA1346" i="627"/>
  <c r="U1347" i="627"/>
  <c r="V1347" i="627"/>
  <c r="W1347" i="627"/>
  <c r="X1347" i="627"/>
  <c r="Y1347" i="627"/>
  <c r="Z1347" i="627"/>
  <c r="AA1347" i="627"/>
  <c r="U1348" i="627"/>
  <c r="V1348" i="627"/>
  <c r="W1348" i="627"/>
  <c r="X1348" i="627"/>
  <c r="Y1348" i="627"/>
  <c r="Z1348" i="627"/>
  <c r="AA1348" i="627"/>
  <c r="U1349" i="627"/>
  <c r="V1349" i="627"/>
  <c r="W1349" i="627"/>
  <c r="X1349" i="627"/>
  <c r="Y1349" i="627"/>
  <c r="Z1349" i="627"/>
  <c r="AA1349" i="627"/>
  <c r="U1350" i="627"/>
  <c r="V1350" i="627"/>
  <c r="W1350" i="627"/>
  <c r="X1350" i="627"/>
  <c r="Y1350" i="627"/>
  <c r="Z1350" i="627"/>
  <c r="AA1350" i="627"/>
  <c r="U1351" i="627"/>
  <c r="V1351" i="627"/>
  <c r="W1351" i="627"/>
  <c r="X1351" i="627"/>
  <c r="Y1351" i="627"/>
  <c r="Z1351" i="627"/>
  <c r="AA1351" i="627"/>
  <c r="U1352" i="627"/>
  <c r="V1352" i="627"/>
  <c r="W1352" i="627"/>
  <c r="X1352" i="627"/>
  <c r="Y1352" i="627"/>
  <c r="Z1352" i="627"/>
  <c r="AA1352" i="627"/>
  <c r="U1353" i="627"/>
  <c r="V1353" i="627"/>
  <c r="W1353" i="627"/>
  <c r="X1353" i="627"/>
  <c r="Y1353" i="627"/>
  <c r="Z1353" i="627"/>
  <c r="AA1353" i="627"/>
  <c r="U1354" i="627"/>
  <c r="V1354" i="627"/>
  <c r="W1354" i="627"/>
  <c r="X1354" i="627"/>
  <c r="Y1354" i="627"/>
  <c r="Z1354" i="627"/>
  <c r="AA1354" i="627"/>
  <c r="U1355" i="627"/>
  <c r="V1355" i="627"/>
  <c r="W1355" i="627"/>
  <c r="X1355" i="627"/>
  <c r="Y1355" i="627"/>
  <c r="Z1355" i="627"/>
  <c r="AA1355" i="627"/>
  <c r="U1356" i="627"/>
  <c r="V1356" i="627"/>
  <c r="W1356" i="627"/>
  <c r="X1356" i="627"/>
  <c r="Y1356" i="627"/>
  <c r="Z1356" i="627"/>
  <c r="AA1356" i="627"/>
  <c r="U1357" i="627"/>
  <c r="V1357" i="627"/>
  <c r="W1357" i="627"/>
  <c r="X1357" i="627"/>
  <c r="Y1357" i="627"/>
  <c r="Z1357" i="627"/>
  <c r="AA1357" i="627"/>
  <c r="U1358" i="627"/>
  <c r="V1358" i="627"/>
  <c r="W1358" i="627"/>
  <c r="X1358" i="627"/>
  <c r="Y1358" i="627"/>
  <c r="Z1358" i="627"/>
  <c r="AA1358" i="627"/>
  <c r="U1359" i="627"/>
  <c r="V1359" i="627"/>
  <c r="W1359" i="627"/>
  <c r="X1359" i="627"/>
  <c r="Y1359" i="627"/>
  <c r="Z1359" i="627"/>
  <c r="AA1359" i="627"/>
  <c r="U1360" i="627"/>
  <c r="V1360" i="627"/>
  <c r="W1360" i="627"/>
  <c r="X1360" i="627"/>
  <c r="Y1360" i="627"/>
  <c r="Z1360" i="627"/>
  <c r="AA1360" i="627"/>
  <c r="U1361" i="627"/>
  <c r="V1361" i="627"/>
  <c r="W1361" i="627"/>
  <c r="X1361" i="627"/>
  <c r="Y1361" i="627"/>
  <c r="Z1361" i="627"/>
  <c r="AA1361" i="627"/>
  <c r="U1362" i="627"/>
  <c r="V1362" i="627"/>
  <c r="W1362" i="627"/>
  <c r="X1362" i="627"/>
  <c r="Y1362" i="627"/>
  <c r="Z1362" i="627"/>
  <c r="AA1362" i="627"/>
  <c r="U1363" i="627"/>
  <c r="V1363" i="627"/>
  <c r="W1363" i="627"/>
  <c r="X1363" i="627"/>
  <c r="Y1363" i="627"/>
  <c r="Z1363" i="627"/>
  <c r="AA1363" i="627"/>
  <c r="U1364" i="627"/>
  <c r="V1364" i="627"/>
  <c r="W1364" i="627"/>
  <c r="X1364" i="627"/>
  <c r="Y1364" i="627"/>
  <c r="Z1364" i="627"/>
  <c r="AA1364" i="627"/>
  <c r="U1365" i="627"/>
  <c r="V1365" i="627"/>
  <c r="W1365" i="627"/>
  <c r="X1365" i="627"/>
  <c r="Y1365" i="627"/>
  <c r="Z1365" i="627"/>
  <c r="AA1365" i="627"/>
  <c r="U1366" i="627"/>
  <c r="V1366" i="627"/>
  <c r="W1366" i="627"/>
  <c r="X1366" i="627"/>
  <c r="Y1366" i="627"/>
  <c r="Z1366" i="627"/>
  <c r="AA1366" i="627"/>
  <c r="U1367" i="627"/>
  <c r="V1367" i="627"/>
  <c r="W1367" i="627"/>
  <c r="X1367" i="627"/>
  <c r="Y1367" i="627"/>
  <c r="Z1367" i="627"/>
  <c r="AA1367" i="627"/>
  <c r="U1368" i="627"/>
  <c r="V1368" i="627"/>
  <c r="W1368" i="627"/>
  <c r="X1368" i="627"/>
  <c r="Y1368" i="627"/>
  <c r="Z1368" i="627"/>
  <c r="AA1368" i="627"/>
  <c r="U1369" i="627"/>
  <c r="V1369" i="627"/>
  <c r="W1369" i="627"/>
  <c r="X1369" i="627"/>
  <c r="Y1369" i="627"/>
  <c r="Z1369" i="627"/>
  <c r="AA1369" i="627"/>
  <c r="U1370" i="627"/>
  <c r="V1370" i="627"/>
  <c r="W1370" i="627"/>
  <c r="X1370" i="627"/>
  <c r="Y1370" i="627"/>
  <c r="Z1370" i="627"/>
  <c r="AA1370" i="627"/>
  <c r="U1371" i="627"/>
  <c r="V1371" i="627"/>
  <c r="W1371" i="627"/>
  <c r="X1371" i="627"/>
  <c r="Y1371" i="627"/>
  <c r="Z1371" i="627"/>
  <c r="AA1371" i="627"/>
  <c r="U1372" i="627"/>
  <c r="V1372" i="627"/>
  <c r="W1372" i="627"/>
  <c r="X1372" i="627"/>
  <c r="Y1372" i="627"/>
  <c r="Z1372" i="627"/>
  <c r="AA1372" i="627"/>
  <c r="U1373" i="627"/>
  <c r="V1373" i="627"/>
  <c r="W1373" i="627"/>
  <c r="X1373" i="627"/>
  <c r="Y1373" i="627"/>
  <c r="Z1373" i="627"/>
  <c r="AA1373" i="627"/>
  <c r="U1374" i="627"/>
  <c r="V1374" i="627"/>
  <c r="W1374" i="627"/>
  <c r="X1374" i="627"/>
  <c r="Y1374" i="627"/>
  <c r="Z1374" i="627"/>
  <c r="AA1374" i="627"/>
  <c r="U1375" i="627"/>
  <c r="V1375" i="627"/>
  <c r="W1375" i="627"/>
  <c r="X1375" i="627"/>
  <c r="Y1375" i="627"/>
  <c r="Z1375" i="627"/>
  <c r="AA1375" i="627"/>
  <c r="U1376" i="627"/>
  <c r="V1376" i="627"/>
  <c r="W1376" i="627"/>
  <c r="X1376" i="627"/>
  <c r="Y1376" i="627"/>
  <c r="Z1376" i="627"/>
  <c r="AA1376" i="627"/>
  <c r="U1377" i="627"/>
  <c r="V1377" i="627"/>
  <c r="W1377" i="627"/>
  <c r="X1377" i="627"/>
  <c r="Y1377" i="627"/>
  <c r="Z1377" i="627"/>
  <c r="AA1377" i="627"/>
  <c r="U1378" i="627"/>
  <c r="V1378" i="627"/>
  <c r="W1378" i="627"/>
  <c r="X1378" i="627"/>
  <c r="Y1378" i="627"/>
  <c r="Z1378" i="627"/>
  <c r="AA1378" i="627"/>
  <c r="U1379" i="627"/>
  <c r="V1379" i="627"/>
  <c r="W1379" i="627"/>
  <c r="X1379" i="627"/>
  <c r="Y1379" i="627"/>
  <c r="Z1379" i="627"/>
  <c r="AA1379" i="627"/>
  <c r="U1380" i="627"/>
  <c r="V1380" i="627"/>
  <c r="W1380" i="627"/>
  <c r="X1380" i="627"/>
  <c r="Y1380" i="627"/>
  <c r="Z1380" i="627"/>
  <c r="AA1380" i="627"/>
  <c r="U1381" i="627"/>
  <c r="V1381" i="627"/>
  <c r="W1381" i="627"/>
  <c r="X1381" i="627"/>
  <c r="Y1381" i="627"/>
  <c r="Z1381" i="627"/>
  <c r="AA1381" i="627"/>
  <c r="U1382" i="627"/>
  <c r="V1382" i="627"/>
  <c r="W1382" i="627"/>
  <c r="X1382" i="627"/>
  <c r="Y1382" i="627"/>
  <c r="Z1382" i="627"/>
  <c r="AA1382" i="627"/>
  <c r="U1383" i="627"/>
  <c r="V1383" i="627"/>
  <c r="W1383" i="627"/>
  <c r="X1383" i="627"/>
  <c r="Y1383" i="627"/>
  <c r="Z1383" i="627"/>
  <c r="AA1383" i="627"/>
  <c r="U1384" i="627"/>
  <c r="V1384" i="627"/>
  <c r="W1384" i="627"/>
  <c r="X1384" i="627"/>
  <c r="Y1384" i="627"/>
  <c r="Z1384" i="627"/>
  <c r="AA1384" i="627"/>
  <c r="U1385" i="627"/>
  <c r="V1385" i="627"/>
  <c r="W1385" i="627"/>
  <c r="X1385" i="627"/>
  <c r="Y1385" i="627"/>
  <c r="Z1385" i="627"/>
  <c r="AA1385" i="627"/>
  <c r="U1386" i="627"/>
  <c r="V1386" i="627"/>
  <c r="W1386" i="627"/>
  <c r="X1386" i="627"/>
  <c r="Y1386" i="627"/>
  <c r="Z1386" i="627"/>
  <c r="AA1386" i="627"/>
  <c r="U1387" i="627"/>
  <c r="V1387" i="627"/>
  <c r="W1387" i="627"/>
  <c r="X1387" i="627"/>
  <c r="Y1387" i="627"/>
  <c r="Z1387" i="627"/>
  <c r="AA1387" i="627"/>
  <c r="U1388" i="627"/>
  <c r="V1388" i="627"/>
  <c r="W1388" i="627"/>
  <c r="X1388" i="627"/>
  <c r="Y1388" i="627"/>
  <c r="Z1388" i="627"/>
  <c r="AA1388" i="627"/>
  <c r="U1389" i="627"/>
  <c r="V1389" i="627"/>
  <c r="W1389" i="627"/>
  <c r="X1389" i="627"/>
  <c r="Y1389" i="627"/>
  <c r="Z1389" i="627"/>
  <c r="AA1389" i="627"/>
  <c r="U1390" i="627"/>
  <c r="V1390" i="627"/>
  <c r="W1390" i="627"/>
  <c r="X1390" i="627"/>
  <c r="Y1390" i="627"/>
  <c r="Z1390" i="627"/>
  <c r="AA1390" i="627"/>
  <c r="U1391" i="627"/>
  <c r="V1391" i="627"/>
  <c r="W1391" i="627"/>
  <c r="X1391" i="627"/>
  <c r="Y1391" i="627"/>
  <c r="Z1391" i="627"/>
  <c r="AA1391" i="627"/>
  <c r="U1392" i="627"/>
  <c r="V1392" i="627"/>
  <c r="W1392" i="627"/>
  <c r="X1392" i="627"/>
  <c r="Y1392" i="627"/>
  <c r="Z1392" i="627"/>
  <c r="AA1392" i="627"/>
  <c r="U1393" i="627"/>
  <c r="V1393" i="627"/>
  <c r="W1393" i="627"/>
  <c r="X1393" i="627"/>
  <c r="Y1393" i="627"/>
  <c r="Z1393" i="627"/>
  <c r="AA1393" i="627"/>
  <c r="U1394" i="627"/>
  <c r="V1394" i="627"/>
  <c r="W1394" i="627"/>
  <c r="X1394" i="627"/>
  <c r="Y1394" i="627"/>
  <c r="Z1394" i="627"/>
  <c r="AA1394" i="627"/>
  <c r="U1395" i="627"/>
  <c r="V1395" i="627"/>
  <c r="W1395" i="627"/>
  <c r="X1395" i="627"/>
  <c r="Y1395" i="627"/>
  <c r="Z1395" i="627"/>
  <c r="AA1395" i="627"/>
  <c r="U1396" i="627"/>
  <c r="V1396" i="627"/>
  <c r="W1396" i="627"/>
  <c r="X1396" i="627"/>
  <c r="Y1396" i="627"/>
  <c r="Z1396" i="627"/>
  <c r="AA1396" i="627"/>
  <c r="U1397" i="627"/>
  <c r="V1397" i="627"/>
  <c r="W1397" i="627"/>
  <c r="X1397" i="627"/>
  <c r="Y1397" i="627"/>
  <c r="Z1397" i="627"/>
  <c r="AA1397" i="627"/>
  <c r="U1398" i="627"/>
  <c r="V1398" i="627"/>
  <c r="W1398" i="627"/>
  <c r="X1398" i="627"/>
  <c r="Y1398" i="627"/>
  <c r="Z1398" i="627"/>
  <c r="AA1398" i="627"/>
  <c r="U1399" i="627"/>
  <c r="V1399" i="627"/>
  <c r="W1399" i="627"/>
  <c r="X1399" i="627"/>
  <c r="Y1399" i="627"/>
  <c r="Z1399" i="627"/>
  <c r="AA1399" i="627"/>
  <c r="U1400" i="627"/>
  <c r="V1400" i="627"/>
  <c r="W1400" i="627"/>
  <c r="X1400" i="627"/>
  <c r="Y1400" i="627"/>
  <c r="Z1400" i="627"/>
  <c r="AA1400" i="627"/>
  <c r="U1401" i="627"/>
  <c r="V1401" i="627"/>
  <c r="W1401" i="627"/>
  <c r="X1401" i="627"/>
  <c r="Y1401" i="627"/>
  <c r="Z1401" i="627"/>
  <c r="AA1401" i="627"/>
  <c r="U1402" i="627"/>
  <c r="V1402" i="627"/>
  <c r="W1402" i="627"/>
  <c r="X1402" i="627"/>
  <c r="Y1402" i="627"/>
  <c r="Z1402" i="627"/>
  <c r="AA1402" i="627"/>
  <c r="U1403" i="627"/>
  <c r="V1403" i="627"/>
  <c r="W1403" i="627"/>
  <c r="X1403" i="627"/>
  <c r="Y1403" i="627"/>
  <c r="Z1403" i="627"/>
  <c r="AA1403" i="627"/>
  <c r="U1404" i="627"/>
  <c r="V1404" i="627"/>
  <c r="W1404" i="627"/>
  <c r="X1404" i="627"/>
  <c r="Y1404" i="627"/>
  <c r="Z1404" i="627"/>
  <c r="AA1404" i="627"/>
  <c r="U1405" i="627"/>
  <c r="V1405" i="627"/>
  <c r="W1405" i="627"/>
  <c r="X1405" i="627"/>
  <c r="Y1405" i="627"/>
  <c r="Z1405" i="627"/>
  <c r="AA1405" i="627"/>
  <c r="U1406" i="627"/>
  <c r="V1406" i="627"/>
  <c r="W1406" i="627"/>
  <c r="X1406" i="627"/>
  <c r="Y1406" i="627"/>
  <c r="Z1406" i="627"/>
  <c r="AA1406" i="627"/>
  <c r="U1407" i="627"/>
  <c r="V1407" i="627"/>
  <c r="W1407" i="627"/>
  <c r="X1407" i="627"/>
  <c r="Y1407" i="627"/>
  <c r="Z1407" i="627"/>
  <c r="AA1407" i="627"/>
  <c r="U1408" i="627"/>
  <c r="V1408" i="627"/>
  <c r="W1408" i="627"/>
  <c r="X1408" i="627"/>
  <c r="Y1408" i="627"/>
  <c r="Z1408" i="627"/>
  <c r="AA1408" i="627"/>
  <c r="U1409" i="627"/>
  <c r="V1409" i="627"/>
  <c r="W1409" i="627"/>
  <c r="X1409" i="627"/>
  <c r="Y1409" i="627"/>
  <c r="Z1409" i="627"/>
  <c r="AA1409" i="627"/>
  <c r="U1410" i="627"/>
  <c r="V1410" i="627"/>
  <c r="W1410" i="627"/>
  <c r="X1410" i="627"/>
  <c r="Y1410" i="627"/>
  <c r="Z1410" i="627"/>
  <c r="AA1410" i="627"/>
  <c r="U1411" i="627"/>
  <c r="V1411" i="627"/>
  <c r="W1411" i="627"/>
  <c r="X1411" i="627"/>
  <c r="Y1411" i="627"/>
  <c r="Z1411" i="627"/>
  <c r="AA1411" i="627"/>
  <c r="U1412" i="627"/>
  <c r="V1412" i="627"/>
  <c r="W1412" i="627"/>
  <c r="X1412" i="627"/>
  <c r="Y1412" i="627"/>
  <c r="Z1412" i="627"/>
  <c r="AA1412" i="627"/>
  <c r="U1413" i="627"/>
  <c r="V1413" i="627"/>
  <c r="W1413" i="627"/>
  <c r="X1413" i="627"/>
  <c r="Y1413" i="627"/>
  <c r="Z1413" i="627"/>
  <c r="AA1413" i="627"/>
  <c r="U1414" i="627"/>
  <c r="V1414" i="627"/>
  <c r="W1414" i="627"/>
  <c r="X1414" i="627"/>
  <c r="Y1414" i="627"/>
  <c r="Z1414" i="627"/>
  <c r="AA1414" i="627"/>
  <c r="U1415" i="627"/>
  <c r="V1415" i="627"/>
  <c r="W1415" i="627"/>
  <c r="X1415" i="627"/>
  <c r="Y1415" i="627"/>
  <c r="Z1415" i="627"/>
  <c r="AA1415" i="627"/>
  <c r="U1416" i="627"/>
  <c r="V1416" i="627"/>
  <c r="W1416" i="627"/>
  <c r="X1416" i="627"/>
  <c r="Y1416" i="627"/>
  <c r="Z1416" i="627"/>
  <c r="AA1416" i="627"/>
  <c r="U1417" i="627"/>
  <c r="V1417" i="627"/>
  <c r="W1417" i="627"/>
  <c r="X1417" i="627"/>
  <c r="Y1417" i="627"/>
  <c r="Z1417" i="627"/>
  <c r="AA1417" i="627"/>
  <c r="U1418" i="627"/>
  <c r="V1418" i="627"/>
  <c r="W1418" i="627"/>
  <c r="X1418" i="627"/>
  <c r="Y1418" i="627"/>
  <c r="Z1418" i="627"/>
  <c r="AA1418" i="627"/>
  <c r="U1419" i="627"/>
  <c r="V1419" i="627"/>
  <c r="W1419" i="627"/>
  <c r="X1419" i="627"/>
  <c r="Y1419" i="627"/>
  <c r="Z1419" i="627"/>
  <c r="AA1419" i="627"/>
  <c r="U1420" i="627"/>
  <c r="V1420" i="627"/>
  <c r="W1420" i="627"/>
  <c r="X1420" i="627"/>
  <c r="Y1420" i="627"/>
  <c r="Z1420" i="627"/>
  <c r="AA1420" i="627"/>
  <c r="U1421" i="627"/>
  <c r="V1421" i="627"/>
  <c r="W1421" i="627"/>
  <c r="X1421" i="627"/>
  <c r="Y1421" i="627"/>
  <c r="Z1421" i="627"/>
  <c r="AA1421" i="627"/>
  <c r="U1422" i="627"/>
  <c r="V1422" i="627"/>
  <c r="W1422" i="627"/>
  <c r="X1422" i="627"/>
  <c r="Y1422" i="627"/>
  <c r="Z1422" i="627"/>
  <c r="AA1422" i="627"/>
  <c r="U1423" i="627"/>
  <c r="V1423" i="627"/>
  <c r="W1423" i="627"/>
  <c r="X1423" i="627"/>
  <c r="Y1423" i="627"/>
  <c r="Z1423" i="627"/>
  <c r="AA1423" i="627"/>
  <c r="U1424" i="627"/>
  <c r="V1424" i="627"/>
  <c r="W1424" i="627"/>
  <c r="X1424" i="627"/>
  <c r="Y1424" i="627"/>
  <c r="Z1424" i="627"/>
  <c r="AA1424" i="627"/>
  <c r="U1425" i="627"/>
  <c r="V1425" i="627"/>
  <c r="W1425" i="627"/>
  <c r="X1425" i="627"/>
  <c r="Y1425" i="627"/>
  <c r="Z1425" i="627"/>
  <c r="AA1425" i="627"/>
  <c r="U1426" i="627"/>
  <c r="V1426" i="627"/>
  <c r="W1426" i="627"/>
  <c r="X1426" i="627"/>
  <c r="Y1426" i="627"/>
  <c r="Z1426" i="627"/>
  <c r="AA1426" i="627"/>
  <c r="U1427" i="627"/>
  <c r="V1427" i="627"/>
  <c r="W1427" i="627"/>
  <c r="X1427" i="627"/>
  <c r="Y1427" i="627"/>
  <c r="Z1427" i="627"/>
  <c r="AA1427" i="627"/>
  <c r="U1428" i="627"/>
  <c r="V1428" i="627"/>
  <c r="W1428" i="627"/>
  <c r="X1428" i="627"/>
  <c r="Y1428" i="627"/>
  <c r="Z1428" i="627"/>
  <c r="AA1428" i="627"/>
  <c r="U1429" i="627"/>
  <c r="V1429" i="627"/>
  <c r="W1429" i="627"/>
  <c r="X1429" i="627"/>
  <c r="Y1429" i="627"/>
  <c r="Z1429" i="627"/>
  <c r="AA1429" i="627"/>
  <c r="U1430" i="627"/>
  <c r="V1430" i="627"/>
  <c r="W1430" i="627"/>
  <c r="X1430" i="627"/>
  <c r="Y1430" i="627"/>
  <c r="Z1430" i="627"/>
  <c r="AA1430" i="627"/>
  <c r="U1431" i="627"/>
  <c r="V1431" i="627"/>
  <c r="W1431" i="627"/>
  <c r="X1431" i="627"/>
  <c r="Y1431" i="627"/>
  <c r="Z1431" i="627"/>
  <c r="AA1431" i="627"/>
  <c r="U1432" i="627"/>
  <c r="V1432" i="627"/>
  <c r="W1432" i="627"/>
  <c r="X1432" i="627"/>
  <c r="Y1432" i="627"/>
  <c r="Z1432" i="627"/>
  <c r="AA1432" i="627"/>
  <c r="U1433" i="627"/>
  <c r="V1433" i="627"/>
  <c r="W1433" i="627"/>
  <c r="X1433" i="627"/>
  <c r="Y1433" i="627"/>
  <c r="Z1433" i="627"/>
  <c r="AA1433" i="627"/>
  <c r="U1434" i="627"/>
  <c r="V1434" i="627"/>
  <c r="W1434" i="627"/>
  <c r="X1434" i="627"/>
  <c r="Y1434" i="627"/>
  <c r="Z1434" i="627"/>
  <c r="AA1434" i="627"/>
  <c r="U1435" i="627"/>
  <c r="V1435" i="627"/>
  <c r="W1435" i="627"/>
  <c r="X1435" i="627"/>
  <c r="Y1435" i="627"/>
  <c r="Z1435" i="627"/>
  <c r="AA1435" i="627"/>
  <c r="U1436" i="627"/>
  <c r="V1436" i="627"/>
  <c r="W1436" i="627"/>
  <c r="X1436" i="627"/>
  <c r="Y1436" i="627"/>
  <c r="Z1436" i="627"/>
  <c r="AA1436" i="627"/>
  <c r="U1437" i="627"/>
  <c r="V1437" i="627"/>
  <c r="W1437" i="627"/>
  <c r="X1437" i="627"/>
  <c r="Y1437" i="627"/>
  <c r="Z1437" i="627"/>
  <c r="AA1437" i="627"/>
  <c r="U1438" i="627"/>
  <c r="V1438" i="627"/>
  <c r="W1438" i="627"/>
  <c r="X1438" i="627"/>
  <c r="Y1438" i="627"/>
  <c r="Z1438" i="627"/>
  <c r="AA1438" i="627"/>
  <c r="U1439" i="627"/>
  <c r="V1439" i="627"/>
  <c r="W1439" i="627"/>
  <c r="X1439" i="627"/>
  <c r="Y1439" i="627"/>
  <c r="Z1439" i="627"/>
  <c r="AA1439" i="627"/>
  <c r="U1440" i="627"/>
  <c r="V1440" i="627"/>
  <c r="W1440" i="627"/>
  <c r="X1440" i="627"/>
  <c r="Y1440" i="627"/>
  <c r="Z1440" i="627"/>
  <c r="AA1440" i="627"/>
  <c r="U1441" i="627"/>
  <c r="V1441" i="627"/>
  <c r="W1441" i="627"/>
  <c r="X1441" i="627"/>
  <c r="Y1441" i="627"/>
  <c r="Z1441" i="627"/>
  <c r="AA1441" i="627"/>
  <c r="U1442" i="627"/>
  <c r="V1442" i="627"/>
  <c r="W1442" i="627"/>
  <c r="X1442" i="627"/>
  <c r="Y1442" i="627"/>
  <c r="Z1442" i="627"/>
  <c r="AA1442" i="627"/>
  <c r="U1443" i="627"/>
  <c r="V1443" i="627"/>
  <c r="W1443" i="627"/>
  <c r="X1443" i="627"/>
  <c r="Y1443" i="627"/>
  <c r="Z1443" i="627"/>
  <c r="AA1443" i="627"/>
  <c r="U1444" i="627"/>
  <c r="V1444" i="627"/>
  <c r="W1444" i="627"/>
  <c r="X1444" i="627"/>
  <c r="Y1444" i="627"/>
  <c r="Z1444" i="627"/>
  <c r="AA1444" i="627"/>
  <c r="U1445" i="627"/>
  <c r="V1445" i="627"/>
  <c r="W1445" i="627"/>
  <c r="X1445" i="627"/>
  <c r="Y1445" i="627"/>
  <c r="Z1445" i="627"/>
  <c r="AA1445" i="627"/>
  <c r="U1446" i="627"/>
  <c r="V1446" i="627"/>
  <c r="W1446" i="627"/>
  <c r="X1446" i="627"/>
  <c r="Y1446" i="627"/>
  <c r="Z1446" i="627"/>
  <c r="AA1446" i="627"/>
  <c r="U1447" i="627"/>
  <c r="V1447" i="627"/>
  <c r="W1447" i="627"/>
  <c r="X1447" i="627"/>
  <c r="Y1447" i="627"/>
  <c r="Z1447" i="627"/>
  <c r="AA1447" i="627"/>
  <c r="U1448" i="627"/>
  <c r="V1448" i="627"/>
  <c r="W1448" i="627"/>
  <c r="X1448" i="627"/>
  <c r="Y1448" i="627"/>
  <c r="Z1448" i="627"/>
  <c r="AA1448" i="627"/>
  <c r="U1449" i="627"/>
  <c r="V1449" i="627"/>
  <c r="W1449" i="627"/>
  <c r="X1449" i="627"/>
  <c r="Y1449" i="627"/>
  <c r="Z1449" i="627"/>
  <c r="AA1449" i="627"/>
  <c r="U1450" i="627"/>
  <c r="V1450" i="627"/>
  <c r="W1450" i="627"/>
  <c r="X1450" i="627"/>
  <c r="Y1450" i="627"/>
  <c r="Z1450" i="627"/>
  <c r="AA1450" i="627"/>
  <c r="U1451" i="627"/>
  <c r="V1451" i="627"/>
  <c r="W1451" i="627"/>
  <c r="X1451" i="627"/>
  <c r="Y1451" i="627"/>
  <c r="Z1451" i="627"/>
  <c r="AA1451" i="627"/>
  <c r="U1452" i="627"/>
  <c r="V1452" i="627"/>
  <c r="W1452" i="627"/>
  <c r="X1452" i="627"/>
  <c r="Y1452" i="627"/>
  <c r="Z1452" i="627"/>
  <c r="AA1452" i="627"/>
  <c r="U1453" i="627"/>
  <c r="V1453" i="627"/>
  <c r="W1453" i="627"/>
  <c r="X1453" i="627"/>
  <c r="Y1453" i="627"/>
  <c r="Z1453" i="627"/>
  <c r="AA1453" i="627"/>
  <c r="U1454" i="627"/>
  <c r="V1454" i="627"/>
  <c r="W1454" i="627"/>
  <c r="X1454" i="627"/>
  <c r="Y1454" i="627"/>
  <c r="Z1454" i="627"/>
  <c r="AA1454" i="627"/>
  <c r="U1455" i="627"/>
  <c r="V1455" i="627"/>
  <c r="W1455" i="627"/>
  <c r="X1455" i="627"/>
  <c r="Y1455" i="627"/>
  <c r="Z1455" i="627"/>
  <c r="AA1455" i="627"/>
  <c r="U1456" i="627"/>
  <c r="V1456" i="627"/>
  <c r="W1456" i="627"/>
  <c r="X1456" i="627"/>
  <c r="Y1456" i="627"/>
  <c r="Z1456" i="627"/>
  <c r="AA1456" i="627"/>
  <c r="U1457" i="627"/>
  <c r="V1457" i="627"/>
  <c r="W1457" i="627"/>
  <c r="X1457" i="627"/>
  <c r="Y1457" i="627"/>
  <c r="Z1457" i="627"/>
  <c r="AA1457" i="627"/>
  <c r="U1458" i="627"/>
  <c r="V1458" i="627"/>
  <c r="W1458" i="627"/>
  <c r="X1458" i="627"/>
  <c r="Y1458" i="627"/>
  <c r="Z1458" i="627"/>
  <c r="AA1458" i="627"/>
  <c r="U1459" i="627"/>
  <c r="V1459" i="627"/>
  <c r="W1459" i="627"/>
  <c r="X1459" i="627"/>
  <c r="Y1459" i="627"/>
  <c r="Z1459" i="627"/>
  <c r="AA1459" i="627"/>
  <c r="U1460" i="627"/>
  <c r="V1460" i="627"/>
  <c r="W1460" i="627"/>
  <c r="X1460" i="627"/>
  <c r="Y1460" i="627"/>
  <c r="Z1460" i="627"/>
  <c r="AA1460" i="627"/>
  <c r="U1461" i="627"/>
  <c r="V1461" i="627"/>
  <c r="W1461" i="627"/>
  <c r="X1461" i="627"/>
  <c r="Y1461" i="627"/>
  <c r="Z1461" i="627"/>
  <c r="AA1461" i="627"/>
  <c r="U1462" i="627"/>
  <c r="V1462" i="627"/>
  <c r="W1462" i="627"/>
  <c r="X1462" i="627"/>
  <c r="Y1462" i="627"/>
  <c r="Z1462" i="627"/>
  <c r="AA1462" i="627"/>
  <c r="U1463" i="627"/>
  <c r="V1463" i="627"/>
  <c r="W1463" i="627"/>
  <c r="X1463" i="627"/>
  <c r="Y1463" i="627"/>
  <c r="Z1463" i="627"/>
  <c r="AA1463" i="627"/>
  <c r="U1464" i="627"/>
  <c r="V1464" i="627"/>
  <c r="W1464" i="627"/>
  <c r="X1464" i="627"/>
  <c r="Y1464" i="627"/>
  <c r="Z1464" i="627"/>
  <c r="AA1464" i="627"/>
  <c r="U1465" i="627"/>
  <c r="V1465" i="627"/>
  <c r="W1465" i="627"/>
  <c r="X1465" i="627"/>
  <c r="Y1465" i="627"/>
  <c r="Z1465" i="627"/>
  <c r="AA1465" i="627"/>
  <c r="U1466" i="627"/>
  <c r="V1466" i="627"/>
  <c r="W1466" i="627"/>
  <c r="X1466" i="627"/>
  <c r="Y1466" i="627"/>
  <c r="Z1466" i="627"/>
  <c r="AA1466" i="627"/>
  <c r="U1467" i="627"/>
  <c r="V1467" i="627"/>
  <c r="W1467" i="627"/>
  <c r="X1467" i="627"/>
  <c r="Y1467" i="627"/>
  <c r="Z1467" i="627"/>
  <c r="AA1467" i="627"/>
  <c r="U1468" i="627"/>
  <c r="V1468" i="627"/>
  <c r="W1468" i="627"/>
  <c r="X1468" i="627"/>
  <c r="Y1468" i="627"/>
  <c r="Z1468" i="627"/>
  <c r="AA1468" i="627"/>
  <c r="U1469" i="627"/>
  <c r="V1469" i="627"/>
  <c r="W1469" i="627"/>
  <c r="X1469" i="627"/>
  <c r="Y1469" i="627"/>
  <c r="Z1469" i="627"/>
  <c r="AA1469" i="627"/>
  <c r="U1470" i="627"/>
  <c r="V1470" i="627"/>
  <c r="W1470" i="627"/>
  <c r="X1470" i="627"/>
  <c r="Y1470" i="627"/>
  <c r="Z1470" i="627"/>
  <c r="AA1470" i="627"/>
  <c r="U1471" i="627"/>
  <c r="V1471" i="627"/>
  <c r="W1471" i="627"/>
  <c r="X1471" i="627"/>
  <c r="Y1471" i="627"/>
  <c r="Z1471" i="627"/>
  <c r="AA1471" i="627"/>
  <c r="U1472" i="627"/>
  <c r="V1472" i="627"/>
  <c r="W1472" i="627"/>
  <c r="X1472" i="627"/>
  <c r="Y1472" i="627"/>
  <c r="Z1472" i="627"/>
  <c r="AA1472" i="627"/>
  <c r="U1473" i="627"/>
  <c r="V1473" i="627"/>
  <c r="W1473" i="627"/>
  <c r="X1473" i="627"/>
  <c r="Y1473" i="627"/>
  <c r="Z1473" i="627"/>
  <c r="AA1473" i="627"/>
  <c r="U1474" i="627"/>
  <c r="V1474" i="627"/>
  <c r="W1474" i="627"/>
  <c r="X1474" i="627"/>
  <c r="Y1474" i="627"/>
  <c r="Z1474" i="627"/>
  <c r="AA1474" i="627"/>
  <c r="U1475" i="627"/>
  <c r="V1475" i="627"/>
  <c r="W1475" i="627"/>
  <c r="X1475" i="627"/>
  <c r="Y1475" i="627"/>
  <c r="Z1475" i="627"/>
  <c r="AA1475" i="627"/>
  <c r="U1476" i="627"/>
  <c r="V1476" i="627"/>
  <c r="W1476" i="627"/>
  <c r="X1476" i="627"/>
  <c r="Y1476" i="627"/>
  <c r="Z1476" i="627"/>
  <c r="AA1476" i="627"/>
  <c r="U1477" i="627"/>
  <c r="V1477" i="627"/>
  <c r="W1477" i="627"/>
  <c r="X1477" i="627"/>
  <c r="Y1477" i="627"/>
  <c r="Z1477" i="627"/>
  <c r="AA1477" i="627"/>
  <c r="U1478" i="627"/>
  <c r="V1478" i="627"/>
  <c r="W1478" i="627"/>
  <c r="X1478" i="627"/>
  <c r="Y1478" i="627"/>
  <c r="Z1478" i="627"/>
  <c r="AA1478" i="627"/>
  <c r="U1479" i="627"/>
  <c r="V1479" i="627"/>
  <c r="W1479" i="627"/>
  <c r="X1479" i="627"/>
  <c r="Y1479" i="627"/>
  <c r="Z1479" i="627"/>
  <c r="AA1479" i="627"/>
  <c r="U1480" i="627"/>
  <c r="V1480" i="627"/>
  <c r="W1480" i="627"/>
  <c r="X1480" i="627"/>
  <c r="Y1480" i="627"/>
  <c r="Z1480" i="627"/>
  <c r="AA1480" i="627"/>
  <c r="U1481" i="627"/>
  <c r="V1481" i="627"/>
  <c r="W1481" i="627"/>
  <c r="X1481" i="627"/>
  <c r="Y1481" i="627"/>
  <c r="Z1481" i="627"/>
  <c r="AA1481" i="627"/>
  <c r="U1482" i="627"/>
  <c r="V1482" i="627"/>
  <c r="W1482" i="627"/>
  <c r="X1482" i="627"/>
  <c r="Y1482" i="627"/>
  <c r="Z1482" i="627"/>
  <c r="AA1482" i="627"/>
  <c r="U1483" i="627"/>
  <c r="V1483" i="627"/>
  <c r="W1483" i="627"/>
  <c r="X1483" i="627"/>
  <c r="Y1483" i="627"/>
  <c r="Z1483" i="627"/>
  <c r="AA1483" i="627"/>
  <c r="U1484" i="627"/>
  <c r="V1484" i="627"/>
  <c r="W1484" i="627"/>
  <c r="X1484" i="627"/>
  <c r="Y1484" i="627"/>
  <c r="Z1484" i="627"/>
  <c r="AA1484" i="627"/>
  <c r="U1485" i="627"/>
  <c r="V1485" i="627"/>
  <c r="W1485" i="627"/>
  <c r="X1485" i="627"/>
  <c r="Y1485" i="627"/>
  <c r="Z1485" i="627"/>
  <c r="AA1485" i="627"/>
  <c r="U1486" i="627"/>
  <c r="V1486" i="627"/>
  <c r="W1486" i="627"/>
  <c r="X1486" i="627"/>
  <c r="Y1486" i="627"/>
  <c r="Z1486" i="627"/>
  <c r="AA1486" i="627"/>
  <c r="U1487" i="627"/>
  <c r="V1487" i="627"/>
  <c r="W1487" i="627"/>
  <c r="X1487" i="627"/>
  <c r="Y1487" i="627"/>
  <c r="Z1487" i="627"/>
  <c r="AA1487" i="627"/>
  <c r="U1488" i="627"/>
  <c r="V1488" i="627"/>
  <c r="W1488" i="627"/>
  <c r="X1488" i="627"/>
  <c r="Y1488" i="627"/>
  <c r="Z1488" i="627"/>
  <c r="AA1488" i="627"/>
  <c r="U1489" i="627"/>
  <c r="V1489" i="627"/>
  <c r="W1489" i="627"/>
  <c r="X1489" i="627"/>
  <c r="Y1489" i="627"/>
  <c r="Z1489" i="627"/>
  <c r="AA1489" i="627"/>
  <c r="U1490" i="627"/>
  <c r="V1490" i="627"/>
  <c r="W1490" i="627"/>
  <c r="X1490" i="627"/>
  <c r="Y1490" i="627"/>
  <c r="Z1490" i="627"/>
  <c r="AA1490" i="627"/>
  <c r="U1491" i="627"/>
  <c r="V1491" i="627"/>
  <c r="W1491" i="627"/>
  <c r="X1491" i="627"/>
  <c r="Y1491" i="627"/>
  <c r="Z1491" i="627"/>
  <c r="AA1491" i="627"/>
  <c r="U1492" i="627"/>
  <c r="V1492" i="627"/>
  <c r="W1492" i="627"/>
  <c r="X1492" i="627"/>
  <c r="Y1492" i="627"/>
  <c r="Z1492" i="627"/>
  <c r="AA1492" i="627"/>
  <c r="U1493" i="627"/>
  <c r="V1493" i="627"/>
  <c r="W1493" i="627"/>
  <c r="X1493" i="627"/>
  <c r="Y1493" i="627"/>
  <c r="Z1493" i="627"/>
  <c r="AA1493" i="627"/>
  <c r="U1494" i="627"/>
  <c r="V1494" i="627"/>
  <c r="W1494" i="627"/>
  <c r="X1494" i="627"/>
  <c r="Y1494" i="627"/>
  <c r="Z1494" i="627"/>
  <c r="AA1494" i="627"/>
  <c r="U1495" i="627"/>
  <c r="V1495" i="627"/>
  <c r="W1495" i="627"/>
  <c r="X1495" i="627"/>
  <c r="Y1495" i="627"/>
  <c r="Z1495" i="627"/>
  <c r="AA1495" i="627"/>
  <c r="U1496" i="627"/>
  <c r="V1496" i="627"/>
  <c r="W1496" i="627"/>
  <c r="X1496" i="627"/>
  <c r="Y1496" i="627"/>
  <c r="Z1496" i="627"/>
  <c r="AA1496" i="627"/>
  <c r="U1497" i="627"/>
  <c r="V1497" i="627"/>
  <c r="W1497" i="627"/>
  <c r="X1497" i="627"/>
  <c r="Y1497" i="627"/>
  <c r="Z1497" i="627"/>
  <c r="AA1497" i="627"/>
  <c r="U1498" i="627"/>
  <c r="V1498" i="627"/>
  <c r="W1498" i="627"/>
  <c r="X1498" i="627"/>
  <c r="Y1498" i="627"/>
  <c r="Z1498" i="627"/>
  <c r="AA1498" i="627"/>
  <c r="U1499" i="627"/>
  <c r="V1499" i="627"/>
  <c r="W1499" i="627"/>
  <c r="X1499" i="627"/>
  <c r="Y1499" i="627"/>
  <c r="Z1499" i="627"/>
  <c r="AA1499" i="627"/>
  <c r="U1500" i="627"/>
  <c r="V1500" i="627"/>
  <c r="W1500" i="627"/>
  <c r="X1500" i="627"/>
  <c r="Y1500" i="627"/>
  <c r="Z1500" i="627"/>
  <c r="AA1500" i="627"/>
  <c r="U1501" i="627"/>
  <c r="V1501" i="627"/>
  <c r="W1501" i="627"/>
  <c r="X1501" i="627"/>
  <c r="Y1501" i="627"/>
  <c r="Z1501" i="627"/>
  <c r="AA1501" i="627"/>
  <c r="U1502" i="627"/>
  <c r="V1502" i="627"/>
  <c r="W1502" i="627"/>
  <c r="X1502" i="627"/>
  <c r="Y1502" i="627"/>
  <c r="Z1502" i="627"/>
  <c r="AA1502" i="627"/>
  <c r="U1503" i="627"/>
  <c r="V1503" i="627"/>
  <c r="W1503" i="627"/>
  <c r="X1503" i="627"/>
  <c r="Y1503" i="627"/>
  <c r="Z1503" i="627"/>
  <c r="AA1503" i="627"/>
  <c r="U1504" i="627"/>
  <c r="V1504" i="627"/>
  <c r="W1504" i="627"/>
  <c r="X1504" i="627"/>
  <c r="Y1504" i="627"/>
  <c r="Z1504" i="627"/>
  <c r="AA1504" i="627"/>
  <c r="U1505" i="627"/>
  <c r="V1505" i="627"/>
  <c r="W1505" i="627"/>
  <c r="X1505" i="627"/>
  <c r="Y1505" i="627"/>
  <c r="Z1505" i="627"/>
  <c r="AA1505" i="627"/>
  <c r="U1506" i="627"/>
  <c r="V1506" i="627"/>
  <c r="W1506" i="627"/>
  <c r="X1506" i="627"/>
  <c r="Y1506" i="627"/>
  <c r="Z1506" i="627"/>
  <c r="AA1506" i="627"/>
  <c r="U1507" i="627"/>
  <c r="V1507" i="627"/>
  <c r="W1507" i="627"/>
  <c r="X1507" i="627"/>
  <c r="Y1507" i="627"/>
  <c r="Z1507" i="627"/>
  <c r="AA1507" i="627"/>
  <c r="U1508" i="627"/>
  <c r="V1508" i="627"/>
  <c r="W1508" i="627"/>
  <c r="X1508" i="627"/>
  <c r="Y1508" i="627"/>
  <c r="Z1508" i="627"/>
  <c r="AA1508" i="627"/>
  <c r="U1509" i="627"/>
  <c r="V1509" i="627"/>
  <c r="W1509" i="627"/>
  <c r="X1509" i="627"/>
  <c r="Y1509" i="627"/>
  <c r="Z1509" i="627"/>
  <c r="AA1509" i="627"/>
  <c r="U1510" i="627"/>
  <c r="V1510" i="627"/>
  <c r="W1510" i="627"/>
  <c r="X1510" i="627"/>
  <c r="Y1510" i="627"/>
  <c r="Z1510" i="627"/>
  <c r="AA1510" i="627"/>
  <c r="U1511" i="627"/>
  <c r="V1511" i="627"/>
  <c r="W1511" i="627"/>
  <c r="X1511" i="627"/>
  <c r="Y1511" i="627"/>
  <c r="Z1511" i="627"/>
  <c r="AA1511" i="627"/>
  <c r="U1512" i="627"/>
  <c r="V1512" i="627"/>
  <c r="W1512" i="627"/>
  <c r="X1512" i="627"/>
  <c r="Y1512" i="627"/>
  <c r="Z1512" i="627"/>
  <c r="AA1512" i="627"/>
  <c r="U1513" i="627"/>
  <c r="V1513" i="627"/>
  <c r="W1513" i="627"/>
  <c r="X1513" i="627"/>
  <c r="Y1513" i="627"/>
  <c r="Z1513" i="627"/>
  <c r="AA1513" i="627"/>
  <c r="U1514" i="627"/>
  <c r="V1514" i="627"/>
  <c r="W1514" i="627"/>
  <c r="X1514" i="627"/>
  <c r="Y1514" i="627"/>
  <c r="Z1514" i="627"/>
  <c r="AA1514" i="627"/>
  <c r="U1515" i="627"/>
  <c r="V1515" i="627"/>
  <c r="W1515" i="627"/>
  <c r="X1515" i="627"/>
  <c r="Y1515" i="627"/>
  <c r="Z1515" i="627"/>
  <c r="AA1515" i="627"/>
  <c r="U1516" i="627"/>
  <c r="V1516" i="627"/>
  <c r="W1516" i="627"/>
  <c r="X1516" i="627"/>
  <c r="Y1516" i="627"/>
  <c r="Z1516" i="627"/>
  <c r="AA1516" i="627"/>
  <c r="U1517" i="627"/>
  <c r="V1517" i="627"/>
  <c r="W1517" i="627"/>
  <c r="X1517" i="627"/>
  <c r="Y1517" i="627"/>
  <c r="Z1517" i="627"/>
  <c r="AA1517" i="627"/>
  <c r="U1518" i="627"/>
  <c r="V1518" i="627"/>
  <c r="W1518" i="627"/>
  <c r="X1518" i="627"/>
  <c r="Y1518" i="627"/>
  <c r="Z1518" i="627"/>
  <c r="AA1518" i="627"/>
  <c r="U1519" i="627"/>
  <c r="V1519" i="627"/>
  <c r="W1519" i="627"/>
  <c r="X1519" i="627"/>
  <c r="Y1519" i="627"/>
  <c r="Z1519" i="627"/>
  <c r="AA1519" i="627"/>
  <c r="U1520" i="627"/>
  <c r="V1520" i="627"/>
  <c r="W1520" i="627"/>
  <c r="X1520" i="627"/>
  <c r="Y1520" i="627"/>
  <c r="Z1520" i="627"/>
  <c r="AA1520" i="627"/>
  <c r="U1521" i="627"/>
  <c r="V1521" i="627"/>
  <c r="W1521" i="627"/>
  <c r="X1521" i="627"/>
  <c r="Y1521" i="627"/>
  <c r="Z1521" i="627"/>
  <c r="AA1521" i="627"/>
  <c r="U1522" i="627"/>
  <c r="V1522" i="627"/>
  <c r="W1522" i="627"/>
  <c r="X1522" i="627"/>
  <c r="Y1522" i="627"/>
  <c r="Z1522" i="627"/>
  <c r="AA1522" i="627"/>
  <c r="U1523" i="627"/>
  <c r="V1523" i="627"/>
  <c r="W1523" i="627"/>
  <c r="X1523" i="627"/>
  <c r="Y1523" i="627"/>
  <c r="Z1523" i="627"/>
  <c r="AA1523" i="627"/>
  <c r="U1524" i="627"/>
  <c r="V1524" i="627"/>
  <c r="W1524" i="627"/>
  <c r="X1524" i="627"/>
  <c r="Y1524" i="627"/>
  <c r="Z1524" i="627"/>
  <c r="AA1524" i="627"/>
  <c r="U1525" i="627"/>
  <c r="V1525" i="627"/>
  <c r="W1525" i="627"/>
  <c r="X1525" i="627"/>
  <c r="Y1525" i="627"/>
  <c r="Z1525" i="627"/>
  <c r="AA1525" i="627"/>
  <c r="U1526" i="627"/>
  <c r="V1526" i="627"/>
  <c r="W1526" i="627"/>
  <c r="X1526" i="627"/>
  <c r="Y1526" i="627"/>
  <c r="Z1526" i="627"/>
  <c r="AA1526" i="627"/>
  <c r="U1527" i="627"/>
  <c r="V1527" i="627"/>
  <c r="W1527" i="627"/>
  <c r="X1527" i="627"/>
  <c r="Y1527" i="627"/>
  <c r="Z1527" i="627"/>
  <c r="AA1527" i="627"/>
  <c r="U1528" i="627"/>
  <c r="V1528" i="627"/>
  <c r="W1528" i="627"/>
  <c r="X1528" i="627"/>
  <c r="Y1528" i="627"/>
  <c r="Z1528" i="627"/>
  <c r="AA1528" i="627"/>
  <c r="U1529" i="627"/>
  <c r="V1529" i="627"/>
  <c r="W1529" i="627"/>
  <c r="X1529" i="627"/>
  <c r="Y1529" i="627"/>
  <c r="Z1529" i="627"/>
  <c r="AA1529" i="627"/>
  <c r="U1530" i="627"/>
  <c r="V1530" i="627"/>
  <c r="W1530" i="627"/>
  <c r="X1530" i="627"/>
  <c r="Y1530" i="627"/>
  <c r="Z1530" i="627"/>
  <c r="AA1530" i="627"/>
  <c r="U1531" i="627"/>
  <c r="V1531" i="627"/>
  <c r="W1531" i="627"/>
  <c r="X1531" i="627"/>
  <c r="Y1531" i="627"/>
  <c r="Z1531" i="627"/>
  <c r="AA1531" i="627"/>
  <c r="U1532" i="627"/>
  <c r="V1532" i="627"/>
  <c r="W1532" i="627"/>
  <c r="X1532" i="627"/>
  <c r="Y1532" i="627"/>
  <c r="Z1532" i="627"/>
  <c r="AA1532" i="627"/>
  <c r="U1533" i="627"/>
  <c r="V1533" i="627"/>
  <c r="W1533" i="627"/>
  <c r="X1533" i="627"/>
  <c r="Y1533" i="627"/>
  <c r="Z1533" i="627"/>
  <c r="AA1533" i="627"/>
  <c r="U1534" i="627"/>
  <c r="V1534" i="627"/>
  <c r="W1534" i="627"/>
  <c r="X1534" i="627"/>
  <c r="Y1534" i="627"/>
  <c r="Z1534" i="627"/>
  <c r="AA1534" i="627"/>
  <c r="U1535" i="627"/>
  <c r="V1535" i="627"/>
  <c r="W1535" i="627"/>
  <c r="X1535" i="627"/>
  <c r="Y1535" i="627"/>
  <c r="Z1535" i="627"/>
  <c r="AA1535" i="627"/>
  <c r="U1536" i="627"/>
  <c r="V1536" i="627"/>
  <c r="W1536" i="627"/>
  <c r="X1536" i="627"/>
  <c r="Y1536" i="627"/>
  <c r="Z1536" i="627"/>
  <c r="AA1536" i="627"/>
  <c r="U1537" i="627"/>
  <c r="V1537" i="627"/>
  <c r="W1537" i="627"/>
  <c r="X1537" i="627"/>
  <c r="Y1537" i="627"/>
  <c r="Z1537" i="627"/>
  <c r="AA1537" i="627"/>
  <c r="U1538" i="627"/>
  <c r="V1538" i="627"/>
  <c r="W1538" i="627"/>
  <c r="X1538" i="627"/>
  <c r="Y1538" i="627"/>
  <c r="Z1538" i="627"/>
  <c r="AA1538" i="627"/>
  <c r="U1539" i="627"/>
  <c r="V1539" i="627"/>
  <c r="W1539" i="627"/>
  <c r="X1539" i="627"/>
  <c r="Y1539" i="627"/>
  <c r="Z1539" i="627"/>
  <c r="AA1539" i="627"/>
  <c r="U1540" i="627"/>
  <c r="V1540" i="627"/>
  <c r="W1540" i="627"/>
  <c r="X1540" i="627"/>
  <c r="Y1540" i="627"/>
  <c r="Z1540" i="627"/>
  <c r="AA1540" i="627"/>
  <c r="U1541" i="627"/>
  <c r="V1541" i="627"/>
  <c r="W1541" i="627"/>
  <c r="X1541" i="627"/>
  <c r="Y1541" i="627"/>
  <c r="Z1541" i="627"/>
  <c r="AA1541" i="627"/>
  <c r="U1542" i="627"/>
  <c r="V1542" i="627"/>
  <c r="W1542" i="627"/>
  <c r="X1542" i="627"/>
  <c r="Y1542" i="627"/>
  <c r="Z1542" i="627"/>
  <c r="AA1542" i="627"/>
  <c r="U1543" i="627"/>
  <c r="V1543" i="627"/>
  <c r="W1543" i="627"/>
  <c r="X1543" i="627"/>
  <c r="Y1543" i="627"/>
  <c r="Z1543" i="627"/>
  <c r="AA1543" i="627"/>
  <c r="U1544" i="627"/>
  <c r="V1544" i="627"/>
  <c r="W1544" i="627"/>
  <c r="X1544" i="627"/>
  <c r="Y1544" i="627"/>
  <c r="Z1544" i="627"/>
  <c r="AA1544" i="627"/>
  <c r="U1545" i="627"/>
  <c r="V1545" i="627"/>
  <c r="W1545" i="627"/>
  <c r="X1545" i="627"/>
  <c r="Y1545" i="627"/>
  <c r="Z1545" i="627"/>
  <c r="AA1545" i="627"/>
  <c r="U1546" i="627"/>
  <c r="V1546" i="627"/>
  <c r="W1546" i="627"/>
  <c r="X1546" i="627"/>
  <c r="Y1546" i="627"/>
  <c r="Z1546" i="627"/>
  <c r="AA1546" i="627"/>
  <c r="U1547" i="627"/>
  <c r="V1547" i="627"/>
  <c r="W1547" i="627"/>
  <c r="X1547" i="627"/>
  <c r="Y1547" i="627"/>
  <c r="Z1547" i="627"/>
  <c r="AA1547" i="627"/>
  <c r="U1548" i="627"/>
  <c r="V1548" i="627"/>
  <c r="W1548" i="627"/>
  <c r="X1548" i="627"/>
  <c r="Y1548" i="627"/>
  <c r="Z1548" i="627"/>
  <c r="AA1548" i="627"/>
  <c r="U1549" i="627"/>
  <c r="V1549" i="627"/>
  <c r="W1549" i="627"/>
  <c r="X1549" i="627"/>
  <c r="Y1549" i="627"/>
  <c r="Z1549" i="627"/>
  <c r="AA1549" i="627"/>
  <c r="U1550" i="627"/>
  <c r="V1550" i="627"/>
  <c r="W1550" i="627"/>
  <c r="X1550" i="627"/>
  <c r="Y1550" i="627"/>
  <c r="Z1550" i="627"/>
  <c r="AA1550" i="627"/>
  <c r="U1551" i="627"/>
  <c r="V1551" i="627"/>
  <c r="W1551" i="627"/>
  <c r="X1551" i="627"/>
  <c r="Y1551" i="627"/>
  <c r="Z1551" i="627"/>
  <c r="AA1551" i="627"/>
  <c r="U1552" i="627"/>
  <c r="V1552" i="627"/>
  <c r="W1552" i="627"/>
  <c r="X1552" i="627"/>
  <c r="Y1552" i="627"/>
  <c r="Z1552" i="627"/>
  <c r="AA1552" i="627"/>
  <c r="U1553" i="627"/>
  <c r="V1553" i="627"/>
  <c r="W1553" i="627"/>
  <c r="X1553" i="627"/>
  <c r="Y1553" i="627"/>
  <c r="Z1553" i="627"/>
  <c r="AA1553" i="627"/>
  <c r="U1554" i="627"/>
  <c r="V1554" i="627"/>
  <c r="W1554" i="627"/>
  <c r="X1554" i="627"/>
  <c r="Y1554" i="627"/>
  <c r="Z1554" i="627"/>
  <c r="AA1554" i="627"/>
  <c r="U1555" i="627"/>
  <c r="V1555" i="627"/>
  <c r="W1555" i="627"/>
  <c r="X1555" i="627"/>
  <c r="Y1555" i="627"/>
  <c r="Z1555" i="627"/>
  <c r="AA1555" i="627"/>
  <c r="U1556" i="627"/>
  <c r="V1556" i="627"/>
  <c r="W1556" i="627"/>
  <c r="X1556" i="627"/>
  <c r="Y1556" i="627"/>
  <c r="Z1556" i="627"/>
  <c r="AA1556" i="627"/>
  <c r="U1557" i="627"/>
  <c r="V1557" i="627"/>
  <c r="W1557" i="627"/>
  <c r="X1557" i="627"/>
  <c r="Y1557" i="627"/>
  <c r="Z1557" i="627"/>
  <c r="AA1557" i="627"/>
  <c r="U1558" i="627"/>
  <c r="V1558" i="627"/>
  <c r="W1558" i="627"/>
  <c r="X1558" i="627"/>
  <c r="Y1558" i="627"/>
  <c r="Z1558" i="627"/>
  <c r="AA1558" i="627"/>
  <c r="U1559" i="627"/>
  <c r="V1559" i="627"/>
  <c r="W1559" i="627"/>
  <c r="X1559" i="627"/>
  <c r="Y1559" i="627"/>
  <c r="Z1559" i="627"/>
  <c r="AA1559" i="627"/>
  <c r="U1560" i="627"/>
  <c r="V1560" i="627"/>
  <c r="W1560" i="627"/>
  <c r="X1560" i="627"/>
  <c r="Y1560" i="627"/>
  <c r="Z1560" i="627"/>
  <c r="AA1560" i="627"/>
  <c r="U1561" i="627"/>
  <c r="V1561" i="627"/>
  <c r="W1561" i="627"/>
  <c r="X1561" i="627"/>
  <c r="Y1561" i="627"/>
  <c r="Z1561" i="627"/>
  <c r="AA1561" i="627"/>
  <c r="U1562" i="627"/>
  <c r="V1562" i="627"/>
  <c r="W1562" i="627"/>
  <c r="X1562" i="627"/>
  <c r="Y1562" i="627"/>
  <c r="Z1562" i="627"/>
  <c r="AA1562" i="627"/>
  <c r="U1563" i="627"/>
  <c r="V1563" i="627"/>
  <c r="W1563" i="627"/>
  <c r="X1563" i="627"/>
  <c r="Y1563" i="627"/>
  <c r="Z1563" i="627"/>
  <c r="AA1563" i="627"/>
  <c r="U1564" i="627"/>
  <c r="V1564" i="627"/>
  <c r="W1564" i="627"/>
  <c r="X1564" i="627"/>
  <c r="Y1564" i="627"/>
  <c r="Z1564" i="627"/>
  <c r="AA1564" i="627"/>
  <c r="U1565" i="627"/>
  <c r="V1565" i="627"/>
  <c r="W1565" i="627"/>
  <c r="X1565" i="627"/>
  <c r="Y1565" i="627"/>
  <c r="Z1565" i="627"/>
  <c r="AA1565" i="627"/>
  <c r="U1566" i="627"/>
  <c r="V1566" i="627"/>
  <c r="W1566" i="627"/>
  <c r="X1566" i="627"/>
  <c r="Y1566" i="627"/>
  <c r="Z1566" i="627"/>
  <c r="AA1566" i="627"/>
  <c r="U1567" i="627"/>
  <c r="V1567" i="627"/>
  <c r="W1567" i="627"/>
  <c r="X1567" i="627"/>
  <c r="Y1567" i="627"/>
  <c r="Z1567" i="627"/>
  <c r="AA1567" i="627"/>
  <c r="U1568" i="627"/>
  <c r="V1568" i="627"/>
  <c r="W1568" i="627"/>
  <c r="X1568" i="627"/>
  <c r="Y1568" i="627"/>
  <c r="Z1568" i="627"/>
  <c r="AA1568" i="627"/>
  <c r="U1569" i="627"/>
  <c r="V1569" i="627"/>
  <c r="W1569" i="627"/>
  <c r="X1569" i="627"/>
  <c r="Y1569" i="627"/>
  <c r="Z1569" i="627"/>
  <c r="AA1569" i="627"/>
  <c r="U1570" i="627"/>
  <c r="V1570" i="627"/>
  <c r="W1570" i="627"/>
  <c r="X1570" i="627"/>
  <c r="Y1570" i="627"/>
  <c r="Z1570" i="627"/>
  <c r="AA1570" i="627"/>
  <c r="U1571" i="627"/>
  <c r="V1571" i="627"/>
  <c r="W1571" i="627"/>
  <c r="X1571" i="627"/>
  <c r="Y1571" i="627"/>
  <c r="Z1571" i="627"/>
  <c r="AA1571" i="627"/>
  <c r="U1572" i="627"/>
  <c r="V1572" i="627"/>
  <c r="W1572" i="627"/>
  <c r="X1572" i="627"/>
  <c r="Y1572" i="627"/>
  <c r="Z1572" i="627"/>
  <c r="AA1572" i="627"/>
  <c r="U1573" i="627"/>
  <c r="V1573" i="627"/>
  <c r="W1573" i="627"/>
  <c r="X1573" i="627"/>
  <c r="Y1573" i="627"/>
  <c r="Z1573" i="627"/>
  <c r="AA1573" i="627"/>
  <c r="U1574" i="627"/>
  <c r="V1574" i="627"/>
  <c r="W1574" i="627"/>
  <c r="X1574" i="627"/>
  <c r="Y1574" i="627"/>
  <c r="Z1574" i="627"/>
  <c r="AA1574" i="627"/>
  <c r="U1575" i="627"/>
  <c r="V1575" i="627"/>
  <c r="W1575" i="627"/>
  <c r="X1575" i="627"/>
  <c r="Y1575" i="627"/>
  <c r="Z1575" i="627"/>
  <c r="AA1575" i="627"/>
  <c r="U1576" i="627"/>
  <c r="V1576" i="627"/>
  <c r="W1576" i="627"/>
  <c r="X1576" i="627"/>
  <c r="Y1576" i="627"/>
  <c r="Z1576" i="627"/>
  <c r="AA1576" i="627"/>
  <c r="U1577" i="627"/>
  <c r="V1577" i="627"/>
  <c r="W1577" i="627"/>
  <c r="X1577" i="627"/>
  <c r="Y1577" i="627"/>
  <c r="Z1577" i="627"/>
  <c r="AA1577" i="627"/>
  <c r="U1578" i="627"/>
  <c r="V1578" i="627"/>
  <c r="W1578" i="627"/>
  <c r="X1578" i="627"/>
  <c r="Y1578" i="627"/>
  <c r="Z1578" i="627"/>
  <c r="AA1578" i="627"/>
  <c r="U1579" i="627"/>
  <c r="V1579" i="627"/>
  <c r="W1579" i="627"/>
  <c r="X1579" i="627"/>
  <c r="Y1579" i="627"/>
  <c r="Z1579" i="627"/>
  <c r="AA1579" i="627"/>
  <c r="U1580" i="627"/>
  <c r="V1580" i="627"/>
  <c r="W1580" i="627"/>
  <c r="X1580" i="627"/>
  <c r="Y1580" i="627"/>
  <c r="Z1580" i="627"/>
  <c r="AA1580" i="627"/>
  <c r="U1581" i="627"/>
  <c r="V1581" i="627"/>
  <c r="W1581" i="627"/>
  <c r="X1581" i="627"/>
  <c r="Y1581" i="627"/>
  <c r="Z1581" i="627"/>
  <c r="AA1581" i="627"/>
  <c r="U1582" i="627"/>
  <c r="V1582" i="627"/>
  <c r="W1582" i="627"/>
  <c r="X1582" i="627"/>
  <c r="Y1582" i="627"/>
  <c r="Z1582" i="627"/>
  <c r="AA1582" i="627"/>
  <c r="U1583" i="627"/>
  <c r="V1583" i="627"/>
  <c r="W1583" i="627"/>
  <c r="X1583" i="627"/>
  <c r="Y1583" i="627"/>
  <c r="Z1583" i="627"/>
  <c r="AA1583" i="627"/>
  <c r="U1584" i="627"/>
  <c r="V1584" i="627"/>
  <c r="W1584" i="627"/>
  <c r="X1584" i="627"/>
  <c r="Y1584" i="627"/>
  <c r="Z1584" i="627"/>
  <c r="AA1584" i="627"/>
  <c r="U1585" i="627"/>
  <c r="V1585" i="627"/>
  <c r="W1585" i="627"/>
  <c r="X1585" i="627"/>
  <c r="Y1585" i="627"/>
  <c r="Z1585" i="627"/>
  <c r="AA1585" i="627"/>
  <c r="U1586" i="627"/>
  <c r="V1586" i="627"/>
  <c r="W1586" i="627"/>
  <c r="X1586" i="627"/>
  <c r="Y1586" i="627"/>
  <c r="Z1586" i="627"/>
  <c r="AA1586" i="627"/>
  <c r="U1587" i="627"/>
  <c r="V1587" i="627"/>
  <c r="W1587" i="627"/>
  <c r="X1587" i="627"/>
  <c r="Y1587" i="627"/>
  <c r="Z1587" i="627"/>
  <c r="AA1587" i="627"/>
  <c r="U1588" i="627"/>
  <c r="V1588" i="627"/>
  <c r="W1588" i="627"/>
  <c r="X1588" i="627"/>
  <c r="Y1588" i="627"/>
  <c r="Z1588" i="627"/>
  <c r="AA1588" i="627"/>
  <c r="U1589" i="627"/>
  <c r="V1589" i="627"/>
  <c r="W1589" i="627"/>
  <c r="X1589" i="627"/>
  <c r="Y1589" i="627"/>
  <c r="Z1589" i="627"/>
  <c r="AA1589" i="627"/>
  <c r="U1590" i="627"/>
  <c r="V1590" i="627"/>
  <c r="W1590" i="627"/>
  <c r="X1590" i="627"/>
  <c r="Y1590" i="627"/>
  <c r="Z1590" i="627"/>
  <c r="AA1590" i="627"/>
  <c r="U1591" i="627"/>
  <c r="V1591" i="627"/>
  <c r="W1591" i="627"/>
  <c r="X1591" i="627"/>
  <c r="Y1591" i="627"/>
  <c r="Z1591" i="627"/>
  <c r="AA1591" i="627"/>
  <c r="U1592" i="627"/>
  <c r="V1592" i="627"/>
  <c r="W1592" i="627"/>
  <c r="X1592" i="627"/>
  <c r="Y1592" i="627"/>
  <c r="Z1592" i="627"/>
  <c r="AA1592" i="627"/>
  <c r="U1593" i="627"/>
  <c r="V1593" i="627"/>
  <c r="W1593" i="627"/>
  <c r="X1593" i="627"/>
  <c r="Y1593" i="627"/>
  <c r="Z1593" i="627"/>
  <c r="AA1593" i="627"/>
  <c r="U1594" i="627"/>
  <c r="V1594" i="627"/>
  <c r="W1594" i="627"/>
  <c r="X1594" i="627"/>
  <c r="Y1594" i="627"/>
  <c r="Z1594" i="627"/>
  <c r="AA1594" i="627"/>
  <c r="U1595" i="627"/>
  <c r="V1595" i="627"/>
  <c r="W1595" i="627"/>
  <c r="X1595" i="627"/>
  <c r="Y1595" i="627"/>
  <c r="Z1595" i="627"/>
  <c r="AA1595" i="627"/>
  <c r="U1596" i="627"/>
  <c r="V1596" i="627"/>
  <c r="W1596" i="627"/>
  <c r="X1596" i="627"/>
  <c r="Y1596" i="627"/>
  <c r="Z1596" i="627"/>
  <c r="AA1596" i="627"/>
  <c r="U1597" i="627"/>
  <c r="V1597" i="627"/>
  <c r="W1597" i="627"/>
  <c r="X1597" i="627"/>
  <c r="Y1597" i="627"/>
  <c r="Z1597" i="627"/>
  <c r="AA1597" i="627"/>
  <c r="U1598" i="627"/>
  <c r="V1598" i="627"/>
  <c r="W1598" i="627"/>
  <c r="X1598" i="627"/>
  <c r="Y1598" i="627"/>
  <c r="Z1598" i="627"/>
  <c r="AA1598" i="627"/>
  <c r="U1599" i="627"/>
  <c r="V1599" i="627"/>
  <c r="W1599" i="627"/>
  <c r="X1599" i="627"/>
  <c r="Y1599" i="627"/>
  <c r="Z1599" i="627"/>
  <c r="AA1599" i="627"/>
  <c r="U1600" i="627"/>
  <c r="V1600" i="627"/>
  <c r="W1600" i="627"/>
  <c r="X1600" i="627"/>
  <c r="Y1600" i="627"/>
  <c r="Z1600" i="627"/>
  <c r="AA1600" i="627"/>
  <c r="U1601" i="627"/>
  <c r="V1601" i="627"/>
  <c r="W1601" i="627"/>
  <c r="X1601" i="627"/>
  <c r="Y1601" i="627"/>
  <c r="Z1601" i="627"/>
  <c r="AA1601" i="627"/>
  <c r="U1602" i="627"/>
  <c r="V1602" i="627"/>
  <c r="W1602" i="627"/>
  <c r="X1602" i="627"/>
  <c r="Y1602" i="627"/>
  <c r="Z1602" i="627"/>
  <c r="AA1602" i="627"/>
  <c r="U1603" i="627"/>
  <c r="V1603" i="627"/>
  <c r="W1603" i="627"/>
  <c r="X1603" i="627"/>
  <c r="Y1603" i="627"/>
  <c r="Z1603" i="627"/>
  <c r="AA1603" i="627"/>
  <c r="U1604" i="627"/>
  <c r="V1604" i="627"/>
  <c r="W1604" i="627"/>
  <c r="X1604" i="627"/>
  <c r="Y1604" i="627"/>
  <c r="Z1604" i="627"/>
  <c r="AA1604" i="627"/>
  <c r="U1605" i="627"/>
  <c r="V1605" i="627"/>
  <c r="W1605" i="627"/>
  <c r="X1605" i="627"/>
  <c r="Y1605" i="627"/>
  <c r="Z1605" i="627"/>
  <c r="AA1605" i="627"/>
  <c r="U1606" i="627"/>
  <c r="V1606" i="627"/>
  <c r="W1606" i="627"/>
  <c r="X1606" i="627"/>
  <c r="Y1606" i="627"/>
  <c r="Z1606" i="627"/>
  <c r="AA1606" i="627"/>
  <c r="U1607" i="627"/>
  <c r="V1607" i="627"/>
  <c r="W1607" i="627"/>
  <c r="X1607" i="627"/>
  <c r="Y1607" i="627"/>
  <c r="Z1607" i="627"/>
  <c r="AA1607" i="627"/>
  <c r="U1608" i="627"/>
  <c r="V1608" i="627"/>
  <c r="W1608" i="627"/>
  <c r="X1608" i="627"/>
  <c r="Y1608" i="627"/>
  <c r="Z1608" i="627"/>
  <c r="AA1608" i="627"/>
  <c r="U1609" i="627"/>
  <c r="V1609" i="627"/>
  <c r="W1609" i="627"/>
  <c r="X1609" i="627"/>
  <c r="Y1609" i="627"/>
  <c r="Z1609" i="627"/>
  <c r="AA1609" i="627"/>
  <c r="U1610" i="627"/>
  <c r="V1610" i="627"/>
  <c r="W1610" i="627"/>
  <c r="X1610" i="627"/>
  <c r="Y1610" i="627"/>
  <c r="Z1610" i="627"/>
  <c r="AA1610" i="627"/>
  <c r="U1611" i="627"/>
  <c r="V1611" i="627"/>
  <c r="W1611" i="627"/>
  <c r="X1611" i="627"/>
  <c r="Y1611" i="627"/>
  <c r="Z1611" i="627"/>
  <c r="AA1611" i="627"/>
  <c r="U1612" i="627"/>
  <c r="V1612" i="627"/>
  <c r="W1612" i="627"/>
  <c r="X1612" i="627"/>
  <c r="Y1612" i="627"/>
  <c r="Z1612" i="627"/>
  <c r="AA1612" i="627"/>
  <c r="U1613" i="627"/>
  <c r="V1613" i="627"/>
  <c r="W1613" i="627"/>
  <c r="X1613" i="627"/>
  <c r="Y1613" i="627"/>
  <c r="Z1613" i="627"/>
  <c r="AA1613" i="627"/>
  <c r="U1614" i="627"/>
  <c r="V1614" i="627"/>
  <c r="W1614" i="627"/>
  <c r="X1614" i="627"/>
  <c r="Y1614" i="627"/>
  <c r="Z1614" i="627"/>
  <c r="AA1614" i="627"/>
  <c r="U1615" i="627"/>
  <c r="V1615" i="627"/>
  <c r="W1615" i="627"/>
  <c r="X1615" i="627"/>
  <c r="Y1615" i="627"/>
  <c r="Z1615" i="627"/>
  <c r="AA1615" i="627"/>
  <c r="U1616" i="627"/>
  <c r="V1616" i="627"/>
  <c r="W1616" i="627"/>
  <c r="X1616" i="627"/>
  <c r="Y1616" i="627"/>
  <c r="Z1616" i="627"/>
  <c r="AA1616" i="627"/>
  <c r="U1617" i="627"/>
  <c r="V1617" i="627"/>
  <c r="W1617" i="627"/>
  <c r="X1617" i="627"/>
  <c r="Y1617" i="627"/>
  <c r="Z1617" i="627"/>
  <c r="AA1617" i="627"/>
  <c r="U1618" i="627"/>
  <c r="V1618" i="627"/>
  <c r="W1618" i="627"/>
  <c r="X1618" i="627"/>
  <c r="Y1618" i="627"/>
  <c r="Z1618" i="627"/>
  <c r="AA1618" i="627"/>
  <c r="U1619" i="627"/>
  <c r="V1619" i="627"/>
  <c r="W1619" i="627"/>
  <c r="X1619" i="627"/>
  <c r="Y1619" i="627"/>
  <c r="Z1619" i="627"/>
  <c r="AA1619" i="627"/>
  <c r="U1620" i="627"/>
  <c r="V1620" i="627"/>
  <c r="W1620" i="627"/>
  <c r="X1620" i="627"/>
  <c r="Y1620" i="627"/>
  <c r="Z1620" i="627"/>
  <c r="AA1620" i="627"/>
  <c r="U1621" i="627"/>
  <c r="V1621" i="627"/>
  <c r="W1621" i="627"/>
  <c r="X1621" i="627"/>
  <c r="Y1621" i="627"/>
  <c r="Z1621" i="627"/>
  <c r="AA1621" i="627"/>
  <c r="U1622" i="627"/>
  <c r="V1622" i="627"/>
  <c r="W1622" i="627"/>
  <c r="X1622" i="627"/>
  <c r="Y1622" i="627"/>
  <c r="Z1622" i="627"/>
  <c r="AA1622" i="627"/>
  <c r="U1623" i="627"/>
  <c r="V1623" i="627"/>
  <c r="W1623" i="627"/>
  <c r="X1623" i="627"/>
  <c r="Y1623" i="627"/>
  <c r="Z1623" i="627"/>
  <c r="AA1623" i="627"/>
  <c r="U1624" i="627"/>
  <c r="V1624" i="627"/>
  <c r="W1624" i="627"/>
  <c r="X1624" i="627"/>
  <c r="Y1624" i="627"/>
  <c r="Z1624" i="627"/>
  <c r="AA1624" i="627"/>
  <c r="U1625" i="627"/>
  <c r="V1625" i="627"/>
  <c r="W1625" i="627"/>
  <c r="X1625" i="627"/>
  <c r="Y1625" i="627"/>
  <c r="Z1625" i="627"/>
  <c r="AA1625" i="627"/>
  <c r="U1626" i="627"/>
  <c r="V1626" i="627"/>
  <c r="W1626" i="627"/>
  <c r="X1626" i="627"/>
  <c r="Y1626" i="627"/>
  <c r="Z1626" i="627"/>
  <c r="AA1626" i="627"/>
  <c r="U1627" i="627"/>
  <c r="V1627" i="627"/>
  <c r="W1627" i="627"/>
  <c r="X1627" i="627"/>
  <c r="Y1627" i="627"/>
  <c r="Z1627" i="627"/>
  <c r="AA1627" i="627"/>
  <c r="U1628" i="627"/>
  <c r="V1628" i="627"/>
  <c r="W1628" i="627"/>
  <c r="X1628" i="627"/>
  <c r="Y1628" i="627"/>
  <c r="Z1628" i="627"/>
  <c r="AA1628" i="627"/>
  <c r="U1629" i="627"/>
  <c r="V1629" i="627"/>
  <c r="W1629" i="627"/>
  <c r="X1629" i="627"/>
  <c r="Y1629" i="627"/>
  <c r="Z1629" i="627"/>
  <c r="AA1629" i="627"/>
  <c r="U1630" i="627"/>
  <c r="V1630" i="627"/>
  <c r="W1630" i="627"/>
  <c r="X1630" i="627"/>
  <c r="Y1630" i="627"/>
  <c r="Z1630" i="627"/>
  <c r="AA1630" i="627"/>
  <c r="U1631" i="627"/>
  <c r="V1631" i="627"/>
  <c r="W1631" i="627"/>
  <c r="X1631" i="627"/>
  <c r="Y1631" i="627"/>
  <c r="Z1631" i="627"/>
  <c r="AA1631" i="627"/>
  <c r="U1632" i="627"/>
  <c r="V1632" i="627"/>
  <c r="W1632" i="627"/>
  <c r="X1632" i="627"/>
  <c r="Y1632" i="627"/>
  <c r="Z1632" i="627"/>
  <c r="AA1632" i="627"/>
  <c r="U1633" i="627"/>
  <c r="V1633" i="627"/>
  <c r="W1633" i="627"/>
  <c r="X1633" i="627"/>
  <c r="Y1633" i="627"/>
  <c r="Z1633" i="627"/>
  <c r="AA1633" i="627"/>
  <c r="U1634" i="627"/>
  <c r="V1634" i="627"/>
  <c r="W1634" i="627"/>
  <c r="X1634" i="627"/>
  <c r="Y1634" i="627"/>
  <c r="Z1634" i="627"/>
  <c r="AA1634" i="627"/>
  <c r="U1635" i="627"/>
  <c r="V1635" i="627"/>
  <c r="W1635" i="627"/>
  <c r="X1635" i="627"/>
  <c r="Y1635" i="627"/>
  <c r="Z1635" i="627"/>
  <c r="AA1635" i="627"/>
  <c r="U1636" i="627"/>
  <c r="V1636" i="627"/>
  <c r="W1636" i="627"/>
  <c r="X1636" i="627"/>
  <c r="Y1636" i="627"/>
  <c r="Z1636" i="627"/>
  <c r="AA1636" i="627"/>
  <c r="U1637" i="627"/>
  <c r="V1637" i="627"/>
  <c r="W1637" i="627"/>
  <c r="X1637" i="627"/>
  <c r="Y1637" i="627"/>
  <c r="Z1637" i="627"/>
  <c r="AA1637" i="627"/>
  <c r="U1638" i="627"/>
  <c r="V1638" i="627"/>
  <c r="W1638" i="627"/>
  <c r="X1638" i="627"/>
  <c r="Y1638" i="627"/>
  <c r="Z1638" i="627"/>
  <c r="AA1638" i="627"/>
  <c r="U1639" i="627"/>
  <c r="V1639" i="627"/>
  <c r="W1639" i="627"/>
  <c r="X1639" i="627"/>
  <c r="Y1639" i="627"/>
  <c r="Z1639" i="627"/>
  <c r="AA1639" i="627"/>
  <c r="U1640" i="627"/>
  <c r="V1640" i="627"/>
  <c r="W1640" i="627"/>
  <c r="X1640" i="627"/>
  <c r="Y1640" i="627"/>
  <c r="Z1640" i="627"/>
  <c r="AA1640" i="627"/>
  <c r="U1641" i="627"/>
  <c r="V1641" i="627"/>
  <c r="W1641" i="627"/>
  <c r="X1641" i="627"/>
  <c r="Y1641" i="627"/>
  <c r="Z1641" i="627"/>
  <c r="AA1641" i="627"/>
  <c r="U1642" i="627"/>
  <c r="V1642" i="627"/>
  <c r="W1642" i="627"/>
  <c r="X1642" i="627"/>
  <c r="Y1642" i="627"/>
  <c r="Z1642" i="627"/>
  <c r="AA1642" i="627"/>
  <c r="U1643" i="627"/>
  <c r="V1643" i="627"/>
  <c r="W1643" i="627"/>
  <c r="X1643" i="627"/>
  <c r="Y1643" i="627"/>
  <c r="Z1643" i="627"/>
  <c r="AA1643" i="627"/>
  <c r="U1644" i="627"/>
  <c r="V1644" i="627"/>
  <c r="W1644" i="627"/>
  <c r="X1644" i="627"/>
  <c r="Y1644" i="627"/>
  <c r="Z1644" i="627"/>
  <c r="AA1644" i="627"/>
  <c r="U1645" i="627"/>
  <c r="V1645" i="627"/>
  <c r="W1645" i="627"/>
  <c r="X1645" i="627"/>
  <c r="Y1645" i="627"/>
  <c r="Z1645" i="627"/>
  <c r="AA1645" i="627"/>
  <c r="U1646" i="627"/>
  <c r="V1646" i="627"/>
  <c r="W1646" i="627"/>
  <c r="X1646" i="627"/>
  <c r="Y1646" i="627"/>
  <c r="Z1646" i="627"/>
  <c r="AA1646" i="627"/>
  <c r="U1647" i="627"/>
  <c r="V1647" i="627"/>
  <c r="W1647" i="627"/>
  <c r="X1647" i="627"/>
  <c r="Y1647" i="627"/>
  <c r="Z1647" i="627"/>
  <c r="AA1647" i="627"/>
  <c r="U1648" i="627"/>
  <c r="V1648" i="627"/>
  <c r="W1648" i="627"/>
  <c r="X1648" i="627"/>
  <c r="Y1648" i="627"/>
  <c r="Z1648" i="627"/>
  <c r="AA1648" i="627"/>
  <c r="U1649" i="627"/>
  <c r="V1649" i="627"/>
  <c r="W1649" i="627"/>
  <c r="X1649" i="627"/>
  <c r="Y1649" i="627"/>
  <c r="Z1649" i="627"/>
  <c r="AA1649" i="627"/>
  <c r="U1650" i="627"/>
  <c r="V1650" i="627"/>
  <c r="W1650" i="627"/>
  <c r="X1650" i="627"/>
  <c r="Y1650" i="627"/>
  <c r="Z1650" i="627"/>
  <c r="AA1650" i="627"/>
  <c r="U1651" i="627"/>
  <c r="V1651" i="627"/>
  <c r="W1651" i="627"/>
  <c r="X1651" i="627"/>
  <c r="Y1651" i="627"/>
  <c r="Z1651" i="627"/>
  <c r="AA1651" i="627"/>
  <c r="U1652" i="627"/>
  <c r="V1652" i="627"/>
  <c r="W1652" i="627"/>
  <c r="X1652" i="627"/>
  <c r="Y1652" i="627"/>
  <c r="Z1652" i="627"/>
  <c r="AA1652" i="627"/>
  <c r="U1653" i="627"/>
  <c r="V1653" i="627"/>
  <c r="W1653" i="627"/>
  <c r="X1653" i="627"/>
  <c r="Y1653" i="627"/>
  <c r="Z1653" i="627"/>
  <c r="AA1653" i="627"/>
  <c r="U1654" i="627"/>
  <c r="V1654" i="627"/>
  <c r="W1654" i="627"/>
  <c r="X1654" i="627"/>
  <c r="Y1654" i="627"/>
  <c r="Z1654" i="627"/>
  <c r="AA1654" i="627"/>
  <c r="U1655" i="627"/>
  <c r="V1655" i="627"/>
  <c r="W1655" i="627"/>
  <c r="X1655" i="627"/>
  <c r="Y1655" i="627"/>
  <c r="Z1655" i="627"/>
  <c r="AA1655" i="627"/>
  <c r="U1656" i="627"/>
  <c r="V1656" i="627"/>
  <c r="W1656" i="627"/>
  <c r="X1656" i="627"/>
  <c r="Y1656" i="627"/>
  <c r="Z1656" i="627"/>
  <c r="AA1656" i="627"/>
  <c r="U1657" i="627"/>
  <c r="V1657" i="627"/>
  <c r="W1657" i="627"/>
  <c r="X1657" i="627"/>
  <c r="Y1657" i="627"/>
  <c r="Z1657" i="627"/>
  <c r="AA1657" i="627"/>
  <c r="U1658" i="627"/>
  <c r="V1658" i="627"/>
  <c r="W1658" i="627"/>
  <c r="X1658" i="627"/>
  <c r="Y1658" i="627"/>
  <c r="Z1658" i="627"/>
  <c r="AA1658" i="627"/>
  <c r="U1659" i="627"/>
  <c r="V1659" i="627"/>
  <c r="W1659" i="627"/>
  <c r="X1659" i="627"/>
  <c r="Y1659" i="627"/>
  <c r="Z1659" i="627"/>
  <c r="AA1659" i="627"/>
  <c r="U1660" i="627"/>
  <c r="V1660" i="627"/>
  <c r="W1660" i="627"/>
  <c r="X1660" i="627"/>
  <c r="Y1660" i="627"/>
  <c r="Z1660" i="627"/>
  <c r="AA1660" i="627"/>
  <c r="U1661" i="627"/>
  <c r="V1661" i="627"/>
  <c r="W1661" i="627"/>
  <c r="X1661" i="627"/>
  <c r="Y1661" i="627"/>
  <c r="Z1661" i="627"/>
  <c r="AA1661" i="627"/>
  <c r="U1662" i="627"/>
  <c r="V1662" i="627"/>
  <c r="W1662" i="627"/>
  <c r="X1662" i="627"/>
  <c r="Y1662" i="627"/>
  <c r="Z1662" i="627"/>
  <c r="AA1662" i="627"/>
  <c r="U1663" i="627"/>
  <c r="V1663" i="627"/>
  <c r="W1663" i="627"/>
  <c r="X1663" i="627"/>
  <c r="Y1663" i="627"/>
  <c r="Z1663" i="627"/>
  <c r="AA1663" i="627"/>
  <c r="U1664" i="627"/>
  <c r="V1664" i="627"/>
  <c r="W1664" i="627"/>
  <c r="X1664" i="627"/>
  <c r="Y1664" i="627"/>
  <c r="Z1664" i="627"/>
  <c r="AA1664" i="627"/>
  <c r="U1665" i="627"/>
  <c r="V1665" i="627"/>
  <c r="W1665" i="627"/>
  <c r="X1665" i="627"/>
  <c r="Y1665" i="627"/>
  <c r="Z1665" i="627"/>
  <c r="AA1665" i="627"/>
  <c r="U1666" i="627"/>
  <c r="V1666" i="627"/>
  <c r="W1666" i="627"/>
  <c r="X1666" i="627"/>
  <c r="Y1666" i="627"/>
  <c r="Z1666" i="627"/>
  <c r="AA1666" i="627"/>
  <c r="U1667" i="627"/>
  <c r="V1667" i="627"/>
  <c r="W1667" i="627"/>
  <c r="X1667" i="627"/>
  <c r="Y1667" i="627"/>
  <c r="Z1667" i="627"/>
  <c r="AA1667" i="627"/>
  <c r="U1668" i="627"/>
  <c r="V1668" i="627"/>
  <c r="W1668" i="627"/>
  <c r="X1668" i="627"/>
  <c r="Y1668" i="627"/>
  <c r="Z1668" i="627"/>
  <c r="AA1668" i="627"/>
  <c r="U1669" i="627"/>
  <c r="V1669" i="627"/>
  <c r="W1669" i="627"/>
  <c r="X1669" i="627"/>
  <c r="Y1669" i="627"/>
  <c r="Z1669" i="627"/>
  <c r="AA1669" i="627"/>
  <c r="U1670" i="627"/>
  <c r="V1670" i="627"/>
  <c r="W1670" i="627"/>
  <c r="X1670" i="627"/>
  <c r="Y1670" i="627"/>
  <c r="Z1670" i="627"/>
  <c r="AA1670" i="627"/>
  <c r="U1671" i="627"/>
  <c r="V1671" i="627"/>
  <c r="W1671" i="627"/>
  <c r="X1671" i="627"/>
  <c r="Y1671" i="627"/>
  <c r="Z1671" i="627"/>
  <c r="AA1671" i="627"/>
  <c r="U1672" i="627"/>
  <c r="V1672" i="627"/>
  <c r="W1672" i="627"/>
  <c r="X1672" i="627"/>
  <c r="Y1672" i="627"/>
  <c r="Z1672" i="627"/>
  <c r="AA1672" i="627"/>
  <c r="U1673" i="627"/>
  <c r="V1673" i="627"/>
  <c r="W1673" i="627"/>
  <c r="X1673" i="627"/>
  <c r="Y1673" i="627"/>
  <c r="Z1673" i="627"/>
  <c r="AA1673" i="627"/>
  <c r="U1674" i="627"/>
  <c r="V1674" i="627"/>
  <c r="W1674" i="627"/>
  <c r="X1674" i="627"/>
  <c r="Y1674" i="627"/>
  <c r="Z1674" i="627"/>
  <c r="AA1674" i="627"/>
  <c r="U1675" i="627"/>
  <c r="V1675" i="627"/>
  <c r="W1675" i="627"/>
  <c r="X1675" i="627"/>
  <c r="Y1675" i="627"/>
  <c r="Z1675" i="627"/>
  <c r="AA1675" i="627"/>
  <c r="U1676" i="627"/>
  <c r="V1676" i="627"/>
  <c r="W1676" i="627"/>
  <c r="X1676" i="627"/>
  <c r="Y1676" i="627"/>
  <c r="Z1676" i="627"/>
  <c r="AA1676" i="627"/>
  <c r="U1677" i="627"/>
  <c r="V1677" i="627"/>
  <c r="W1677" i="627"/>
  <c r="X1677" i="627"/>
  <c r="Y1677" i="627"/>
  <c r="Z1677" i="627"/>
  <c r="AA1677" i="627"/>
  <c r="U1678" i="627"/>
  <c r="V1678" i="627"/>
  <c r="W1678" i="627"/>
  <c r="X1678" i="627"/>
  <c r="Y1678" i="627"/>
  <c r="Z1678" i="627"/>
  <c r="AA1678" i="627"/>
  <c r="U1679" i="627"/>
  <c r="V1679" i="627"/>
  <c r="W1679" i="627"/>
  <c r="X1679" i="627"/>
  <c r="Y1679" i="627"/>
  <c r="Z1679" i="627"/>
  <c r="AA1679" i="627"/>
  <c r="U1680" i="627"/>
  <c r="V1680" i="627"/>
  <c r="W1680" i="627"/>
  <c r="X1680" i="627"/>
  <c r="Y1680" i="627"/>
  <c r="Z1680" i="627"/>
  <c r="AA1680" i="627"/>
  <c r="U1681" i="627"/>
  <c r="V1681" i="627"/>
  <c r="W1681" i="627"/>
  <c r="X1681" i="627"/>
  <c r="Y1681" i="627"/>
  <c r="Z1681" i="627"/>
  <c r="AA1681" i="627"/>
  <c r="U1682" i="627"/>
  <c r="V1682" i="627"/>
  <c r="W1682" i="627"/>
  <c r="X1682" i="627"/>
  <c r="Y1682" i="627"/>
  <c r="Z1682" i="627"/>
  <c r="AA1682" i="627"/>
  <c r="U1683" i="627"/>
  <c r="V1683" i="627"/>
  <c r="W1683" i="627"/>
  <c r="X1683" i="627"/>
  <c r="Y1683" i="627"/>
  <c r="Z1683" i="627"/>
  <c r="AA1683" i="627"/>
  <c r="U1684" i="627"/>
  <c r="V1684" i="627"/>
  <c r="W1684" i="627"/>
  <c r="X1684" i="627"/>
  <c r="Y1684" i="627"/>
  <c r="Z1684" i="627"/>
  <c r="AA1684" i="627"/>
  <c r="U1685" i="627"/>
  <c r="V1685" i="627"/>
  <c r="W1685" i="627"/>
  <c r="X1685" i="627"/>
  <c r="Y1685" i="627"/>
  <c r="Z1685" i="627"/>
  <c r="AA1685" i="627"/>
  <c r="U1686" i="627"/>
  <c r="V1686" i="627"/>
  <c r="W1686" i="627"/>
  <c r="X1686" i="627"/>
  <c r="Y1686" i="627"/>
  <c r="Z1686" i="627"/>
  <c r="AA1686" i="627"/>
  <c r="U1687" i="627"/>
  <c r="V1687" i="627"/>
  <c r="W1687" i="627"/>
  <c r="X1687" i="627"/>
  <c r="Y1687" i="627"/>
  <c r="Z1687" i="627"/>
  <c r="AA1687" i="627"/>
  <c r="U1688" i="627"/>
  <c r="V1688" i="627"/>
  <c r="W1688" i="627"/>
  <c r="X1688" i="627"/>
  <c r="Y1688" i="627"/>
  <c r="Z1688" i="627"/>
  <c r="AA1688" i="627"/>
  <c r="U1689" i="627"/>
  <c r="V1689" i="627"/>
  <c r="W1689" i="627"/>
  <c r="X1689" i="627"/>
  <c r="Y1689" i="627"/>
  <c r="Z1689" i="627"/>
  <c r="AA1689" i="627"/>
  <c r="U1690" i="627"/>
  <c r="V1690" i="627"/>
  <c r="W1690" i="627"/>
  <c r="X1690" i="627"/>
  <c r="Y1690" i="627"/>
  <c r="Z1690" i="627"/>
  <c r="AA1690" i="627"/>
  <c r="U1691" i="627"/>
  <c r="V1691" i="627"/>
  <c r="W1691" i="627"/>
  <c r="X1691" i="627"/>
  <c r="Y1691" i="627"/>
  <c r="Z1691" i="627"/>
  <c r="AA1691" i="627"/>
  <c r="U1692" i="627"/>
  <c r="V1692" i="627"/>
  <c r="W1692" i="627"/>
  <c r="X1692" i="627"/>
  <c r="Y1692" i="627"/>
  <c r="Z1692" i="627"/>
  <c r="AA1692" i="627"/>
  <c r="U1693" i="627"/>
  <c r="V1693" i="627"/>
  <c r="W1693" i="627"/>
  <c r="X1693" i="627"/>
  <c r="Y1693" i="627"/>
  <c r="Z1693" i="627"/>
  <c r="AA1693" i="627"/>
  <c r="U1694" i="627"/>
  <c r="V1694" i="627"/>
  <c r="W1694" i="627"/>
  <c r="X1694" i="627"/>
  <c r="Y1694" i="627"/>
  <c r="Z1694" i="627"/>
  <c r="AA1694" i="627"/>
  <c r="U1695" i="627"/>
  <c r="V1695" i="627"/>
  <c r="W1695" i="627"/>
  <c r="X1695" i="627"/>
  <c r="Y1695" i="627"/>
  <c r="Z1695" i="627"/>
  <c r="AA1695" i="627"/>
  <c r="U1696" i="627"/>
  <c r="V1696" i="627"/>
  <c r="W1696" i="627"/>
  <c r="X1696" i="627"/>
  <c r="Y1696" i="627"/>
  <c r="Z1696" i="627"/>
  <c r="AA1696" i="627"/>
  <c r="U1697" i="627"/>
  <c r="V1697" i="627"/>
  <c r="W1697" i="627"/>
  <c r="X1697" i="627"/>
  <c r="Y1697" i="627"/>
  <c r="Z1697" i="627"/>
  <c r="AA1697" i="627"/>
  <c r="U1698" i="627"/>
  <c r="V1698" i="627"/>
  <c r="W1698" i="627"/>
  <c r="X1698" i="627"/>
  <c r="Y1698" i="627"/>
  <c r="Z1698" i="627"/>
  <c r="AA1698" i="627"/>
  <c r="U1699" i="627"/>
  <c r="V1699" i="627"/>
  <c r="W1699" i="627"/>
  <c r="X1699" i="627"/>
  <c r="Y1699" i="627"/>
  <c r="Z1699" i="627"/>
  <c r="AA1699" i="627"/>
  <c r="U1700" i="627"/>
  <c r="V1700" i="627"/>
  <c r="W1700" i="627"/>
  <c r="X1700" i="627"/>
  <c r="Y1700" i="627"/>
  <c r="Z1700" i="627"/>
  <c r="AA1700" i="627"/>
  <c r="U1701" i="627"/>
  <c r="V1701" i="627"/>
  <c r="W1701" i="627"/>
  <c r="X1701" i="627"/>
  <c r="Y1701" i="627"/>
  <c r="Z1701" i="627"/>
  <c r="AA1701" i="627"/>
  <c r="U1702" i="627"/>
  <c r="V1702" i="627"/>
  <c r="W1702" i="627"/>
  <c r="X1702" i="627"/>
  <c r="Y1702" i="627"/>
  <c r="Z1702" i="627"/>
  <c r="AA1702" i="627"/>
  <c r="U1703" i="627"/>
  <c r="V1703" i="627"/>
  <c r="W1703" i="627"/>
  <c r="X1703" i="627"/>
  <c r="Y1703" i="627"/>
  <c r="Z1703" i="627"/>
  <c r="AA1703" i="627"/>
  <c r="U1704" i="627"/>
  <c r="V1704" i="627"/>
  <c r="W1704" i="627"/>
  <c r="X1704" i="627"/>
  <c r="Y1704" i="627"/>
  <c r="Z1704" i="627"/>
  <c r="AA1704" i="627"/>
  <c r="U1705" i="627"/>
  <c r="V1705" i="627"/>
  <c r="W1705" i="627"/>
  <c r="X1705" i="627"/>
  <c r="Y1705" i="627"/>
  <c r="Z1705" i="627"/>
  <c r="AA1705" i="627"/>
  <c r="U1706" i="627"/>
  <c r="V1706" i="627"/>
  <c r="W1706" i="627"/>
  <c r="X1706" i="627"/>
  <c r="Y1706" i="627"/>
  <c r="Z1706" i="627"/>
  <c r="AA1706" i="627"/>
  <c r="U1707" i="627"/>
  <c r="V1707" i="627"/>
  <c r="W1707" i="627"/>
  <c r="X1707" i="627"/>
  <c r="Y1707" i="627"/>
  <c r="Z1707" i="627"/>
  <c r="AA1707" i="627"/>
  <c r="U1708" i="627"/>
  <c r="V1708" i="627"/>
  <c r="W1708" i="627"/>
  <c r="X1708" i="627"/>
  <c r="Y1708" i="627"/>
  <c r="Z1708" i="627"/>
  <c r="AA1708" i="627"/>
  <c r="U1709" i="627"/>
  <c r="V1709" i="627"/>
  <c r="W1709" i="627"/>
  <c r="X1709" i="627"/>
  <c r="Y1709" i="627"/>
  <c r="Z1709" i="627"/>
  <c r="AA1709" i="627"/>
  <c r="U1710" i="627"/>
  <c r="V1710" i="627"/>
  <c r="W1710" i="627"/>
  <c r="X1710" i="627"/>
  <c r="Y1710" i="627"/>
  <c r="Z1710" i="627"/>
  <c r="AA1710" i="627"/>
  <c r="U1711" i="627"/>
  <c r="V1711" i="627"/>
  <c r="W1711" i="627"/>
  <c r="X1711" i="627"/>
  <c r="Y1711" i="627"/>
  <c r="Z1711" i="627"/>
  <c r="AA1711" i="627"/>
  <c r="U1712" i="627"/>
  <c r="V1712" i="627"/>
  <c r="W1712" i="627"/>
  <c r="X1712" i="627"/>
  <c r="Y1712" i="627"/>
  <c r="Z1712" i="627"/>
  <c r="AA1712" i="627"/>
  <c r="U1713" i="627"/>
  <c r="V1713" i="627"/>
  <c r="W1713" i="627"/>
  <c r="X1713" i="627"/>
  <c r="Y1713" i="627"/>
  <c r="Z1713" i="627"/>
  <c r="AA1713" i="627"/>
  <c r="U1714" i="627"/>
  <c r="V1714" i="627"/>
  <c r="W1714" i="627"/>
  <c r="X1714" i="627"/>
  <c r="Y1714" i="627"/>
  <c r="Z1714" i="627"/>
  <c r="AA1714" i="627"/>
  <c r="U1715" i="627"/>
  <c r="V1715" i="627"/>
  <c r="W1715" i="627"/>
  <c r="X1715" i="627"/>
  <c r="Y1715" i="627"/>
  <c r="Z1715" i="627"/>
  <c r="AA1715" i="627"/>
  <c r="U1716" i="627"/>
  <c r="V1716" i="627"/>
  <c r="W1716" i="627"/>
  <c r="X1716" i="627"/>
  <c r="Y1716" i="627"/>
  <c r="Z1716" i="627"/>
  <c r="AA1716" i="627"/>
  <c r="U1717" i="627"/>
  <c r="V1717" i="627"/>
  <c r="W1717" i="627"/>
  <c r="X1717" i="627"/>
  <c r="Y1717" i="627"/>
  <c r="Z1717" i="627"/>
  <c r="AA1717" i="627"/>
  <c r="U1718" i="627"/>
  <c r="V1718" i="627"/>
  <c r="W1718" i="627"/>
  <c r="X1718" i="627"/>
  <c r="Y1718" i="627"/>
  <c r="Z1718" i="627"/>
  <c r="AA1718" i="627"/>
  <c r="U1719" i="627"/>
  <c r="V1719" i="627"/>
  <c r="W1719" i="627"/>
  <c r="X1719" i="627"/>
  <c r="Y1719" i="627"/>
  <c r="Z1719" i="627"/>
  <c r="AA1719" i="627"/>
  <c r="U1720" i="627"/>
  <c r="V1720" i="627"/>
  <c r="W1720" i="627"/>
  <c r="X1720" i="627"/>
  <c r="Y1720" i="627"/>
  <c r="Z1720" i="627"/>
  <c r="AA1720" i="627"/>
  <c r="U1721" i="627"/>
  <c r="V1721" i="627"/>
  <c r="W1721" i="627"/>
  <c r="X1721" i="627"/>
  <c r="Y1721" i="627"/>
  <c r="Z1721" i="627"/>
  <c r="AA1721" i="627"/>
  <c r="U1722" i="627"/>
  <c r="V1722" i="627"/>
  <c r="W1722" i="627"/>
  <c r="X1722" i="627"/>
  <c r="Y1722" i="627"/>
  <c r="Z1722" i="627"/>
  <c r="AA1722" i="627"/>
  <c r="U1723" i="627"/>
  <c r="V1723" i="627"/>
  <c r="W1723" i="627"/>
  <c r="X1723" i="627"/>
  <c r="Y1723" i="627"/>
  <c r="Z1723" i="627"/>
  <c r="AA1723" i="627"/>
  <c r="U1724" i="627"/>
  <c r="V1724" i="627"/>
  <c r="W1724" i="627"/>
  <c r="X1724" i="627"/>
  <c r="Y1724" i="627"/>
  <c r="Z1724" i="627"/>
  <c r="AA1724" i="627"/>
  <c r="U1725" i="627"/>
  <c r="V1725" i="627"/>
  <c r="W1725" i="627"/>
  <c r="X1725" i="627"/>
  <c r="Y1725" i="627"/>
  <c r="Z1725" i="627"/>
  <c r="AA1725" i="627"/>
  <c r="U1726" i="627"/>
  <c r="V1726" i="627"/>
  <c r="W1726" i="627"/>
  <c r="X1726" i="627"/>
  <c r="Y1726" i="627"/>
  <c r="Z1726" i="627"/>
  <c r="AA1726" i="627"/>
  <c r="U1727" i="627"/>
  <c r="V1727" i="627"/>
  <c r="W1727" i="627"/>
  <c r="X1727" i="627"/>
  <c r="Y1727" i="627"/>
  <c r="Z1727" i="627"/>
  <c r="AA1727" i="627"/>
  <c r="U1728" i="627"/>
  <c r="V1728" i="627"/>
  <c r="W1728" i="627"/>
  <c r="X1728" i="627"/>
  <c r="Y1728" i="627"/>
  <c r="Z1728" i="627"/>
  <c r="AA1728" i="627"/>
  <c r="U1729" i="627"/>
  <c r="V1729" i="627"/>
  <c r="W1729" i="627"/>
  <c r="X1729" i="627"/>
  <c r="Y1729" i="627"/>
  <c r="Z1729" i="627"/>
  <c r="AA1729" i="627"/>
  <c r="U1730" i="627"/>
  <c r="V1730" i="627"/>
  <c r="W1730" i="627"/>
  <c r="X1730" i="627"/>
  <c r="Y1730" i="627"/>
  <c r="Z1730" i="627"/>
  <c r="AA1730" i="627"/>
  <c r="U1731" i="627"/>
  <c r="V1731" i="627"/>
  <c r="W1731" i="627"/>
  <c r="X1731" i="627"/>
  <c r="Y1731" i="627"/>
  <c r="Z1731" i="627"/>
  <c r="AA1731" i="627"/>
  <c r="U1732" i="627"/>
  <c r="V1732" i="627"/>
  <c r="W1732" i="627"/>
  <c r="X1732" i="627"/>
  <c r="Y1732" i="627"/>
  <c r="Z1732" i="627"/>
  <c r="AA1732" i="627"/>
  <c r="U1733" i="627"/>
  <c r="V1733" i="627"/>
  <c r="W1733" i="627"/>
  <c r="X1733" i="627"/>
  <c r="Y1733" i="627"/>
  <c r="Z1733" i="627"/>
  <c r="AA1733" i="627"/>
  <c r="U1734" i="627"/>
  <c r="V1734" i="627"/>
  <c r="W1734" i="627"/>
  <c r="X1734" i="627"/>
  <c r="Y1734" i="627"/>
  <c r="Z1734" i="627"/>
  <c r="AA1734" i="627"/>
  <c r="U1735" i="627"/>
  <c r="V1735" i="627"/>
  <c r="W1735" i="627"/>
  <c r="X1735" i="627"/>
  <c r="Y1735" i="627"/>
  <c r="Z1735" i="627"/>
  <c r="AA1735" i="627"/>
  <c r="U1736" i="627"/>
  <c r="V1736" i="627"/>
  <c r="W1736" i="627"/>
  <c r="X1736" i="627"/>
  <c r="Y1736" i="627"/>
  <c r="Z1736" i="627"/>
  <c r="AA1736" i="627"/>
  <c r="U1737" i="627"/>
  <c r="V1737" i="627"/>
  <c r="W1737" i="627"/>
  <c r="X1737" i="627"/>
  <c r="Y1737" i="627"/>
  <c r="Z1737" i="627"/>
  <c r="AA1737" i="627"/>
  <c r="U1738" i="627"/>
  <c r="V1738" i="627"/>
  <c r="W1738" i="627"/>
  <c r="X1738" i="627"/>
  <c r="Y1738" i="627"/>
  <c r="Z1738" i="627"/>
  <c r="AA1738" i="627"/>
  <c r="U1739" i="627"/>
  <c r="V1739" i="627"/>
  <c r="W1739" i="627"/>
  <c r="X1739" i="627"/>
  <c r="Y1739" i="627"/>
  <c r="Z1739" i="627"/>
  <c r="AA1739" i="627"/>
  <c r="U1740" i="627"/>
  <c r="V1740" i="627"/>
  <c r="W1740" i="627"/>
  <c r="X1740" i="627"/>
  <c r="Y1740" i="627"/>
  <c r="Z1740" i="627"/>
  <c r="AA1740" i="627"/>
  <c r="U1741" i="627"/>
  <c r="V1741" i="627"/>
  <c r="W1741" i="627"/>
  <c r="X1741" i="627"/>
  <c r="Y1741" i="627"/>
  <c r="Z1741" i="627"/>
  <c r="AA1741" i="627"/>
  <c r="U1742" i="627"/>
  <c r="V1742" i="627"/>
  <c r="W1742" i="627"/>
  <c r="X1742" i="627"/>
  <c r="Y1742" i="627"/>
  <c r="Z1742" i="627"/>
  <c r="AA1742" i="627"/>
  <c r="U1743" i="627"/>
  <c r="V1743" i="627"/>
  <c r="W1743" i="627"/>
  <c r="X1743" i="627"/>
  <c r="Y1743" i="627"/>
  <c r="Z1743" i="627"/>
  <c r="AA1743" i="627"/>
  <c r="U1744" i="627"/>
  <c r="V1744" i="627"/>
  <c r="W1744" i="627"/>
  <c r="X1744" i="627"/>
  <c r="Y1744" i="627"/>
  <c r="Z1744" i="627"/>
  <c r="AA1744" i="627"/>
  <c r="U1745" i="627"/>
  <c r="V1745" i="627"/>
  <c r="W1745" i="627"/>
  <c r="X1745" i="627"/>
  <c r="Y1745" i="627"/>
  <c r="Z1745" i="627"/>
  <c r="AA1745" i="627"/>
  <c r="U1746" i="627"/>
  <c r="V1746" i="627"/>
  <c r="W1746" i="627"/>
  <c r="X1746" i="627"/>
  <c r="Y1746" i="627"/>
  <c r="Z1746" i="627"/>
  <c r="AA1746" i="627"/>
  <c r="U1747" i="627"/>
  <c r="V1747" i="627"/>
  <c r="W1747" i="627"/>
  <c r="X1747" i="627"/>
  <c r="Y1747" i="627"/>
  <c r="Z1747" i="627"/>
  <c r="AA1747" i="627"/>
  <c r="U1748" i="627"/>
  <c r="V1748" i="627"/>
  <c r="W1748" i="627"/>
  <c r="X1748" i="627"/>
  <c r="Y1748" i="627"/>
  <c r="Z1748" i="627"/>
  <c r="AA1748" i="627"/>
  <c r="U1749" i="627"/>
  <c r="V1749" i="627"/>
  <c r="W1749" i="627"/>
  <c r="X1749" i="627"/>
  <c r="Y1749" i="627"/>
  <c r="Z1749" i="627"/>
  <c r="AA1749" i="627"/>
  <c r="U1750" i="627"/>
  <c r="V1750" i="627"/>
  <c r="W1750" i="627"/>
  <c r="X1750" i="627"/>
  <c r="Y1750" i="627"/>
  <c r="Z1750" i="627"/>
  <c r="AA1750" i="627"/>
  <c r="U1751" i="627"/>
  <c r="V1751" i="627"/>
  <c r="W1751" i="627"/>
  <c r="X1751" i="627"/>
  <c r="Y1751" i="627"/>
  <c r="Z1751" i="627"/>
  <c r="AA1751" i="627"/>
  <c r="U1752" i="627"/>
  <c r="V1752" i="627"/>
  <c r="W1752" i="627"/>
  <c r="X1752" i="627"/>
  <c r="Y1752" i="627"/>
  <c r="Z1752" i="627"/>
  <c r="AA1752" i="627"/>
  <c r="U1753" i="627"/>
  <c r="V1753" i="627"/>
  <c r="W1753" i="627"/>
  <c r="X1753" i="627"/>
  <c r="Y1753" i="627"/>
  <c r="Z1753" i="627"/>
  <c r="AA1753" i="627"/>
  <c r="U1754" i="627"/>
  <c r="V1754" i="627"/>
  <c r="W1754" i="627"/>
  <c r="X1754" i="627"/>
  <c r="Y1754" i="627"/>
  <c r="Z1754" i="627"/>
  <c r="AA1754" i="627"/>
  <c r="U1755" i="627"/>
  <c r="V1755" i="627"/>
  <c r="W1755" i="627"/>
  <c r="X1755" i="627"/>
  <c r="Y1755" i="627"/>
  <c r="Z1755" i="627"/>
  <c r="AA1755" i="627"/>
  <c r="U1756" i="627"/>
  <c r="V1756" i="627"/>
  <c r="W1756" i="627"/>
  <c r="X1756" i="627"/>
  <c r="Y1756" i="627"/>
  <c r="Z1756" i="627"/>
  <c r="AA1756" i="627"/>
  <c r="U1757" i="627"/>
  <c r="V1757" i="627"/>
  <c r="W1757" i="627"/>
  <c r="X1757" i="627"/>
  <c r="Y1757" i="627"/>
  <c r="Z1757" i="627"/>
  <c r="AA1757" i="627"/>
  <c r="U1758" i="627"/>
  <c r="V1758" i="627"/>
  <c r="W1758" i="627"/>
  <c r="X1758" i="627"/>
  <c r="Y1758" i="627"/>
  <c r="Z1758" i="627"/>
  <c r="AA1758" i="627"/>
  <c r="U1759" i="627"/>
  <c r="V1759" i="627"/>
  <c r="W1759" i="627"/>
  <c r="X1759" i="627"/>
  <c r="Y1759" i="627"/>
  <c r="Z1759" i="627"/>
  <c r="AA1759" i="627"/>
  <c r="U1760" i="627"/>
  <c r="V1760" i="627"/>
  <c r="W1760" i="627"/>
  <c r="X1760" i="627"/>
  <c r="Y1760" i="627"/>
  <c r="Z1760" i="627"/>
  <c r="AA1760" i="627"/>
  <c r="U1761" i="627"/>
  <c r="V1761" i="627"/>
  <c r="W1761" i="627"/>
  <c r="X1761" i="627"/>
  <c r="Y1761" i="627"/>
  <c r="Z1761" i="627"/>
  <c r="AA1761" i="627"/>
  <c r="U1762" i="627"/>
  <c r="V1762" i="627"/>
  <c r="W1762" i="627"/>
  <c r="X1762" i="627"/>
  <c r="Y1762" i="627"/>
  <c r="Z1762" i="627"/>
  <c r="AA1762" i="627"/>
  <c r="U1763" i="627"/>
  <c r="V1763" i="627"/>
  <c r="W1763" i="627"/>
  <c r="X1763" i="627"/>
  <c r="Y1763" i="627"/>
  <c r="Z1763" i="627"/>
  <c r="AA1763" i="627"/>
  <c r="U1764" i="627"/>
  <c r="V1764" i="627"/>
  <c r="W1764" i="627"/>
  <c r="X1764" i="627"/>
  <c r="Y1764" i="627"/>
  <c r="Z1764" i="627"/>
  <c r="AA1764" i="627"/>
  <c r="U1765" i="627"/>
  <c r="V1765" i="627"/>
  <c r="W1765" i="627"/>
  <c r="X1765" i="627"/>
  <c r="Y1765" i="627"/>
  <c r="Z1765" i="627"/>
  <c r="AA1765" i="627"/>
  <c r="U1766" i="627"/>
  <c r="V1766" i="627"/>
  <c r="W1766" i="627"/>
  <c r="X1766" i="627"/>
  <c r="Y1766" i="627"/>
  <c r="Z1766" i="627"/>
  <c r="AA1766" i="627"/>
  <c r="U1767" i="627"/>
  <c r="V1767" i="627"/>
  <c r="W1767" i="627"/>
  <c r="X1767" i="627"/>
  <c r="Y1767" i="627"/>
  <c r="Z1767" i="627"/>
  <c r="AA1767" i="627"/>
  <c r="U1768" i="627"/>
  <c r="V1768" i="627"/>
  <c r="W1768" i="627"/>
  <c r="X1768" i="627"/>
  <c r="Y1768" i="627"/>
  <c r="Z1768" i="627"/>
  <c r="AA1768" i="627"/>
  <c r="U1769" i="627"/>
  <c r="V1769" i="627"/>
  <c r="W1769" i="627"/>
  <c r="X1769" i="627"/>
  <c r="Y1769" i="627"/>
  <c r="Z1769" i="627"/>
  <c r="AA1769" i="627"/>
  <c r="U1770" i="627"/>
  <c r="V1770" i="627"/>
  <c r="W1770" i="627"/>
  <c r="X1770" i="627"/>
  <c r="Y1770" i="627"/>
  <c r="Z1770" i="627"/>
  <c r="AA1770" i="627"/>
  <c r="U1771" i="627"/>
  <c r="V1771" i="627"/>
  <c r="W1771" i="627"/>
  <c r="X1771" i="627"/>
  <c r="Y1771" i="627"/>
  <c r="Z1771" i="627"/>
  <c r="AA1771" i="627"/>
  <c r="U1772" i="627"/>
  <c r="V1772" i="627"/>
  <c r="W1772" i="627"/>
  <c r="X1772" i="627"/>
  <c r="Y1772" i="627"/>
  <c r="Z1772" i="627"/>
  <c r="AA1772" i="627"/>
  <c r="U1773" i="627"/>
  <c r="V1773" i="627"/>
  <c r="W1773" i="627"/>
  <c r="X1773" i="627"/>
  <c r="Y1773" i="627"/>
  <c r="Z1773" i="627"/>
  <c r="AA1773" i="627"/>
  <c r="U1774" i="627"/>
  <c r="V1774" i="627"/>
  <c r="W1774" i="627"/>
  <c r="X1774" i="627"/>
  <c r="Y1774" i="627"/>
  <c r="Z1774" i="627"/>
  <c r="AA1774" i="627"/>
  <c r="U1775" i="627"/>
  <c r="V1775" i="627"/>
  <c r="W1775" i="627"/>
  <c r="X1775" i="627"/>
  <c r="Y1775" i="627"/>
  <c r="Z1775" i="627"/>
  <c r="AA1775" i="627"/>
  <c r="U1776" i="627"/>
  <c r="V1776" i="627"/>
  <c r="W1776" i="627"/>
  <c r="X1776" i="627"/>
  <c r="Y1776" i="627"/>
  <c r="Z1776" i="627"/>
  <c r="AA1776" i="627"/>
  <c r="U1777" i="627"/>
  <c r="V1777" i="627"/>
  <c r="W1777" i="627"/>
  <c r="X1777" i="627"/>
  <c r="Y1777" i="627"/>
  <c r="Z1777" i="627"/>
  <c r="AA1777" i="627"/>
  <c r="U1778" i="627"/>
  <c r="V1778" i="627"/>
  <c r="W1778" i="627"/>
  <c r="X1778" i="627"/>
  <c r="Y1778" i="627"/>
  <c r="Z1778" i="627"/>
  <c r="AA1778" i="627"/>
  <c r="U1779" i="627"/>
  <c r="V1779" i="627"/>
  <c r="W1779" i="627"/>
  <c r="X1779" i="627"/>
  <c r="Y1779" i="627"/>
  <c r="Z1779" i="627"/>
  <c r="AA1779" i="627"/>
  <c r="U1780" i="627"/>
  <c r="V1780" i="627"/>
  <c r="W1780" i="627"/>
  <c r="X1780" i="627"/>
  <c r="Y1780" i="627"/>
  <c r="Z1780" i="627"/>
  <c r="AA1780" i="627"/>
  <c r="U1781" i="627"/>
  <c r="V1781" i="627"/>
  <c r="W1781" i="627"/>
  <c r="X1781" i="627"/>
  <c r="Y1781" i="627"/>
  <c r="Z1781" i="627"/>
  <c r="AA1781" i="627"/>
  <c r="U1782" i="627"/>
  <c r="V1782" i="627"/>
  <c r="W1782" i="627"/>
  <c r="X1782" i="627"/>
  <c r="Y1782" i="627"/>
  <c r="Z1782" i="627"/>
  <c r="AA1782" i="627"/>
  <c r="U1783" i="627"/>
  <c r="V1783" i="627"/>
  <c r="W1783" i="627"/>
  <c r="X1783" i="627"/>
  <c r="Y1783" i="627"/>
  <c r="Z1783" i="627"/>
  <c r="AA1783" i="627"/>
  <c r="U1784" i="627"/>
  <c r="V1784" i="627"/>
  <c r="W1784" i="627"/>
  <c r="X1784" i="627"/>
  <c r="Y1784" i="627"/>
  <c r="Z1784" i="627"/>
  <c r="AA1784" i="627"/>
  <c r="U1785" i="627"/>
  <c r="V1785" i="627"/>
  <c r="W1785" i="627"/>
  <c r="X1785" i="627"/>
  <c r="Y1785" i="627"/>
  <c r="Z1785" i="627"/>
  <c r="AA1785" i="627"/>
  <c r="U1786" i="627"/>
  <c r="V1786" i="627"/>
  <c r="W1786" i="627"/>
  <c r="X1786" i="627"/>
  <c r="Y1786" i="627"/>
  <c r="Z1786" i="627"/>
  <c r="AA1786" i="627"/>
  <c r="U1787" i="627"/>
  <c r="V1787" i="627"/>
  <c r="W1787" i="627"/>
  <c r="X1787" i="627"/>
  <c r="Y1787" i="627"/>
  <c r="Z1787" i="627"/>
  <c r="AA1787" i="627"/>
  <c r="U1788" i="627"/>
  <c r="V1788" i="627"/>
  <c r="W1788" i="627"/>
  <c r="X1788" i="627"/>
  <c r="Y1788" i="627"/>
  <c r="Z1788" i="627"/>
  <c r="AA1788" i="627"/>
  <c r="U1789" i="627"/>
  <c r="V1789" i="627"/>
  <c r="W1789" i="627"/>
  <c r="X1789" i="627"/>
  <c r="Y1789" i="627"/>
  <c r="Z1789" i="627"/>
  <c r="AA1789" i="627"/>
  <c r="U1790" i="627"/>
  <c r="V1790" i="627"/>
  <c r="W1790" i="627"/>
  <c r="X1790" i="627"/>
  <c r="Y1790" i="627"/>
  <c r="Z1790" i="627"/>
  <c r="AA1790" i="627"/>
  <c r="U1791" i="627"/>
  <c r="V1791" i="627"/>
  <c r="W1791" i="627"/>
  <c r="X1791" i="627"/>
  <c r="Y1791" i="627"/>
  <c r="Z1791" i="627"/>
  <c r="AA1791" i="627"/>
  <c r="U1792" i="627"/>
  <c r="V1792" i="627"/>
  <c r="W1792" i="627"/>
  <c r="X1792" i="627"/>
  <c r="Y1792" i="627"/>
  <c r="Z1792" i="627"/>
  <c r="AA1792" i="627"/>
  <c r="U1793" i="627"/>
  <c r="V1793" i="627"/>
  <c r="W1793" i="627"/>
  <c r="X1793" i="627"/>
  <c r="Y1793" i="627"/>
  <c r="Z1793" i="627"/>
  <c r="AA1793" i="627"/>
  <c r="U1794" i="627"/>
  <c r="V1794" i="627"/>
  <c r="W1794" i="627"/>
  <c r="X1794" i="627"/>
  <c r="Y1794" i="627"/>
  <c r="Z1794" i="627"/>
  <c r="AA1794" i="627"/>
  <c r="U1795" i="627"/>
  <c r="V1795" i="627"/>
  <c r="W1795" i="627"/>
  <c r="X1795" i="627"/>
  <c r="Y1795" i="627"/>
  <c r="Z1795" i="627"/>
  <c r="AA1795" i="627"/>
  <c r="U1796" i="627"/>
  <c r="V1796" i="627"/>
  <c r="W1796" i="627"/>
  <c r="X1796" i="627"/>
  <c r="Y1796" i="627"/>
  <c r="Z1796" i="627"/>
  <c r="AA1796" i="627"/>
  <c r="U1797" i="627"/>
  <c r="V1797" i="627"/>
  <c r="W1797" i="627"/>
  <c r="X1797" i="627"/>
  <c r="Y1797" i="627"/>
  <c r="Z1797" i="627"/>
  <c r="AA1797" i="627"/>
  <c r="U1798" i="627"/>
  <c r="V1798" i="627"/>
  <c r="W1798" i="627"/>
  <c r="X1798" i="627"/>
  <c r="Y1798" i="627"/>
  <c r="Z1798" i="627"/>
  <c r="AA1798" i="627"/>
  <c r="U1799" i="627"/>
  <c r="V1799" i="627"/>
  <c r="W1799" i="627"/>
  <c r="X1799" i="627"/>
  <c r="Y1799" i="627"/>
  <c r="Z1799" i="627"/>
  <c r="AA1799" i="627"/>
  <c r="U1800" i="627"/>
  <c r="V1800" i="627"/>
  <c r="W1800" i="627"/>
  <c r="X1800" i="627"/>
  <c r="Y1800" i="627"/>
  <c r="Z1800" i="627"/>
  <c r="AA1800" i="627"/>
  <c r="U1801" i="627"/>
  <c r="V1801" i="627"/>
  <c r="W1801" i="627"/>
  <c r="X1801" i="627"/>
  <c r="Y1801" i="627"/>
  <c r="Z1801" i="627"/>
  <c r="AA1801" i="627"/>
  <c r="U1802" i="627"/>
  <c r="V1802" i="627"/>
  <c r="W1802" i="627"/>
  <c r="X1802" i="627"/>
  <c r="Y1802" i="627"/>
  <c r="Z1802" i="627"/>
  <c r="AA1802" i="627"/>
  <c r="U1803" i="627"/>
  <c r="V1803" i="627"/>
  <c r="W1803" i="627"/>
  <c r="X1803" i="627"/>
  <c r="Y1803" i="627"/>
  <c r="Z1803" i="627"/>
  <c r="AA1803" i="627"/>
  <c r="U1804" i="627"/>
  <c r="V1804" i="627"/>
  <c r="W1804" i="627"/>
  <c r="X1804" i="627"/>
  <c r="Y1804" i="627"/>
  <c r="Z1804" i="627"/>
  <c r="AA1804" i="627"/>
  <c r="U1805" i="627"/>
  <c r="V1805" i="627"/>
  <c r="W1805" i="627"/>
  <c r="X1805" i="627"/>
  <c r="Y1805" i="627"/>
  <c r="Z1805" i="627"/>
  <c r="AA1805" i="627"/>
  <c r="U1806" i="627"/>
  <c r="V1806" i="627"/>
  <c r="W1806" i="627"/>
  <c r="X1806" i="627"/>
  <c r="Y1806" i="627"/>
  <c r="Z1806" i="627"/>
  <c r="AA1806" i="627"/>
  <c r="U1807" i="627"/>
  <c r="V1807" i="627"/>
  <c r="W1807" i="627"/>
  <c r="X1807" i="627"/>
  <c r="Y1807" i="627"/>
  <c r="Z1807" i="627"/>
  <c r="AA1807" i="627"/>
  <c r="U1808" i="627"/>
  <c r="V1808" i="627"/>
  <c r="W1808" i="627"/>
  <c r="X1808" i="627"/>
  <c r="Y1808" i="627"/>
  <c r="Z1808" i="627"/>
  <c r="AA1808" i="627"/>
  <c r="U1809" i="627"/>
  <c r="V1809" i="627"/>
  <c r="W1809" i="627"/>
  <c r="X1809" i="627"/>
  <c r="Y1809" i="627"/>
  <c r="Z1809" i="627"/>
  <c r="AA1809" i="627"/>
  <c r="U1810" i="627"/>
  <c r="V1810" i="627"/>
  <c r="W1810" i="627"/>
  <c r="X1810" i="627"/>
  <c r="Y1810" i="627"/>
  <c r="Z1810" i="627"/>
  <c r="AA1810" i="627"/>
  <c r="U1811" i="627"/>
  <c r="V1811" i="627"/>
  <c r="W1811" i="627"/>
  <c r="X1811" i="627"/>
  <c r="Y1811" i="627"/>
  <c r="Z1811" i="627"/>
  <c r="AA1811" i="627"/>
  <c r="U1812" i="627"/>
  <c r="V1812" i="627"/>
  <c r="W1812" i="627"/>
  <c r="X1812" i="627"/>
  <c r="Y1812" i="627"/>
  <c r="Z1812" i="627"/>
  <c r="AA1812" i="627"/>
  <c r="U1813" i="627"/>
  <c r="V1813" i="627"/>
  <c r="W1813" i="627"/>
  <c r="X1813" i="627"/>
  <c r="Y1813" i="627"/>
  <c r="Z1813" i="627"/>
  <c r="AA1813" i="627"/>
  <c r="U1814" i="627"/>
  <c r="V1814" i="627"/>
  <c r="W1814" i="627"/>
  <c r="X1814" i="627"/>
  <c r="Y1814" i="627"/>
  <c r="Z1814" i="627"/>
  <c r="AA1814" i="627"/>
  <c r="U1815" i="627"/>
  <c r="V1815" i="627"/>
  <c r="W1815" i="627"/>
  <c r="X1815" i="627"/>
  <c r="Y1815" i="627"/>
  <c r="Z1815" i="627"/>
  <c r="AA1815" i="627"/>
  <c r="U1816" i="627"/>
  <c r="V1816" i="627"/>
  <c r="W1816" i="627"/>
  <c r="X1816" i="627"/>
  <c r="Y1816" i="627"/>
  <c r="Z1816" i="627"/>
  <c r="AA1816" i="627"/>
  <c r="U1817" i="627"/>
  <c r="V1817" i="627"/>
  <c r="W1817" i="627"/>
  <c r="X1817" i="627"/>
  <c r="Y1817" i="627"/>
  <c r="Z1817" i="627"/>
  <c r="AA1817" i="627"/>
  <c r="U1818" i="627"/>
  <c r="V1818" i="627"/>
  <c r="W1818" i="627"/>
  <c r="X1818" i="627"/>
  <c r="Y1818" i="627"/>
  <c r="Z1818" i="627"/>
  <c r="AA1818" i="627"/>
  <c r="U1819" i="627"/>
  <c r="V1819" i="627"/>
  <c r="W1819" i="627"/>
  <c r="X1819" i="627"/>
  <c r="Y1819" i="627"/>
  <c r="Z1819" i="627"/>
  <c r="AA1819" i="627"/>
  <c r="U1820" i="627"/>
  <c r="V1820" i="627"/>
  <c r="W1820" i="627"/>
  <c r="X1820" i="627"/>
  <c r="Y1820" i="627"/>
  <c r="Z1820" i="627"/>
  <c r="AA1820" i="627"/>
  <c r="U1821" i="627"/>
  <c r="V1821" i="627"/>
  <c r="W1821" i="627"/>
  <c r="X1821" i="627"/>
  <c r="Y1821" i="627"/>
  <c r="Z1821" i="627"/>
  <c r="AA1821" i="627"/>
  <c r="U1822" i="627"/>
  <c r="V1822" i="627"/>
  <c r="W1822" i="627"/>
  <c r="X1822" i="627"/>
  <c r="Y1822" i="627"/>
  <c r="Z1822" i="627"/>
  <c r="AA1822" i="627"/>
  <c r="U1823" i="627"/>
  <c r="V1823" i="627"/>
  <c r="W1823" i="627"/>
  <c r="X1823" i="627"/>
  <c r="Y1823" i="627"/>
  <c r="Z1823" i="627"/>
  <c r="AA1823" i="627"/>
  <c r="U1824" i="627"/>
  <c r="V1824" i="627"/>
  <c r="W1824" i="627"/>
  <c r="X1824" i="627"/>
  <c r="Y1824" i="627"/>
  <c r="Z1824" i="627"/>
  <c r="AA1824" i="627"/>
  <c r="U1825" i="627"/>
  <c r="V1825" i="627"/>
  <c r="W1825" i="627"/>
  <c r="X1825" i="627"/>
  <c r="Y1825" i="627"/>
  <c r="Z1825" i="627"/>
  <c r="AA1825" i="627"/>
  <c r="U1826" i="627"/>
  <c r="V1826" i="627"/>
  <c r="W1826" i="627"/>
  <c r="X1826" i="627"/>
  <c r="Y1826" i="627"/>
  <c r="Z1826" i="627"/>
  <c r="AA1826" i="627"/>
  <c r="U1827" i="627"/>
  <c r="V1827" i="627"/>
  <c r="W1827" i="627"/>
  <c r="X1827" i="627"/>
  <c r="Y1827" i="627"/>
  <c r="Z1827" i="627"/>
  <c r="AA1827" i="627"/>
  <c r="U1828" i="627"/>
  <c r="V1828" i="627"/>
  <c r="W1828" i="627"/>
  <c r="X1828" i="627"/>
  <c r="Y1828" i="627"/>
  <c r="Z1828" i="627"/>
  <c r="AA1828" i="627"/>
  <c r="U1829" i="627"/>
  <c r="V1829" i="627"/>
  <c r="W1829" i="627"/>
  <c r="X1829" i="627"/>
  <c r="Y1829" i="627"/>
  <c r="Z1829" i="627"/>
  <c r="AA1829" i="627"/>
  <c r="U1830" i="627"/>
  <c r="V1830" i="627"/>
  <c r="W1830" i="627"/>
  <c r="X1830" i="627"/>
  <c r="Y1830" i="627"/>
  <c r="Z1830" i="627"/>
  <c r="AA1830" i="627"/>
  <c r="U1831" i="627"/>
  <c r="V1831" i="627"/>
  <c r="W1831" i="627"/>
  <c r="X1831" i="627"/>
  <c r="Y1831" i="627"/>
  <c r="Z1831" i="627"/>
  <c r="AA1831" i="627"/>
  <c r="U1832" i="627"/>
  <c r="V1832" i="627"/>
  <c r="W1832" i="627"/>
  <c r="X1832" i="627"/>
  <c r="Y1832" i="627"/>
  <c r="Z1832" i="627"/>
  <c r="AA1832" i="627"/>
  <c r="U1833" i="627"/>
  <c r="V1833" i="627"/>
  <c r="W1833" i="627"/>
  <c r="X1833" i="627"/>
  <c r="Y1833" i="627"/>
  <c r="Z1833" i="627"/>
  <c r="AA1833" i="627"/>
  <c r="U1834" i="627"/>
  <c r="V1834" i="627"/>
  <c r="W1834" i="627"/>
  <c r="X1834" i="627"/>
  <c r="Y1834" i="627"/>
  <c r="Z1834" i="627"/>
  <c r="AA1834" i="627"/>
  <c r="U1835" i="627"/>
  <c r="V1835" i="627"/>
  <c r="W1835" i="627"/>
  <c r="X1835" i="627"/>
  <c r="Y1835" i="627"/>
  <c r="Z1835" i="627"/>
  <c r="AA1835" i="627"/>
  <c r="U1836" i="627"/>
  <c r="V1836" i="627"/>
  <c r="W1836" i="627"/>
  <c r="X1836" i="627"/>
  <c r="Y1836" i="627"/>
  <c r="Z1836" i="627"/>
  <c r="AA1836" i="627"/>
  <c r="U1837" i="627"/>
  <c r="V1837" i="627"/>
  <c r="W1837" i="627"/>
  <c r="X1837" i="627"/>
  <c r="Y1837" i="627"/>
  <c r="Z1837" i="627"/>
  <c r="AA1837" i="627"/>
  <c r="U1838" i="627"/>
  <c r="V1838" i="627"/>
  <c r="W1838" i="627"/>
  <c r="X1838" i="627"/>
  <c r="Y1838" i="627"/>
  <c r="Z1838" i="627"/>
  <c r="AA1838" i="627"/>
  <c r="U1839" i="627"/>
  <c r="V1839" i="627"/>
  <c r="W1839" i="627"/>
  <c r="X1839" i="627"/>
  <c r="Y1839" i="627"/>
  <c r="Z1839" i="627"/>
  <c r="AA1839" i="627"/>
  <c r="U1840" i="627"/>
  <c r="V1840" i="627"/>
  <c r="W1840" i="627"/>
  <c r="X1840" i="627"/>
  <c r="Y1840" i="627"/>
  <c r="Z1840" i="627"/>
  <c r="AA1840" i="627"/>
  <c r="U1841" i="627"/>
  <c r="V1841" i="627"/>
  <c r="W1841" i="627"/>
  <c r="X1841" i="627"/>
  <c r="Y1841" i="627"/>
  <c r="Z1841" i="627"/>
  <c r="AA1841" i="627"/>
  <c r="U1842" i="627"/>
  <c r="V1842" i="627"/>
  <c r="W1842" i="627"/>
  <c r="X1842" i="627"/>
  <c r="Y1842" i="627"/>
  <c r="Z1842" i="627"/>
  <c r="AA1842" i="627"/>
  <c r="U1843" i="627"/>
  <c r="V1843" i="627"/>
  <c r="W1843" i="627"/>
  <c r="X1843" i="627"/>
  <c r="Y1843" i="627"/>
  <c r="Z1843" i="627"/>
  <c r="AA1843" i="627"/>
  <c r="U1844" i="627"/>
  <c r="V1844" i="627"/>
  <c r="W1844" i="627"/>
  <c r="X1844" i="627"/>
  <c r="Y1844" i="627"/>
  <c r="Z1844" i="627"/>
  <c r="AA1844" i="627"/>
  <c r="U1845" i="627"/>
  <c r="V1845" i="627"/>
  <c r="W1845" i="627"/>
  <c r="X1845" i="627"/>
  <c r="Y1845" i="627"/>
  <c r="Z1845" i="627"/>
  <c r="AA1845" i="627"/>
  <c r="U1846" i="627"/>
  <c r="V1846" i="627"/>
  <c r="W1846" i="627"/>
  <c r="X1846" i="627"/>
  <c r="Y1846" i="627"/>
  <c r="Z1846" i="627"/>
  <c r="AA1846" i="627"/>
  <c r="U1847" i="627"/>
  <c r="V1847" i="627"/>
  <c r="W1847" i="627"/>
  <c r="X1847" i="627"/>
  <c r="Y1847" i="627"/>
  <c r="Z1847" i="627"/>
  <c r="AA1847" i="627"/>
  <c r="U1848" i="627"/>
  <c r="V1848" i="627"/>
  <c r="W1848" i="627"/>
  <c r="X1848" i="627"/>
  <c r="Y1848" i="627"/>
  <c r="Z1848" i="627"/>
  <c r="AA1848" i="627"/>
  <c r="U1849" i="627"/>
  <c r="V1849" i="627"/>
  <c r="W1849" i="627"/>
  <c r="X1849" i="627"/>
  <c r="Y1849" i="627"/>
  <c r="Z1849" i="627"/>
  <c r="AA1849" i="627"/>
  <c r="U1850" i="627"/>
  <c r="V1850" i="627"/>
  <c r="W1850" i="627"/>
  <c r="X1850" i="627"/>
  <c r="Y1850" i="627"/>
  <c r="Z1850" i="627"/>
  <c r="AA1850" i="627"/>
  <c r="U1851" i="627"/>
  <c r="V1851" i="627"/>
  <c r="W1851" i="627"/>
  <c r="X1851" i="627"/>
  <c r="Y1851" i="627"/>
  <c r="Z1851" i="627"/>
  <c r="AA1851" i="627"/>
  <c r="U1852" i="627"/>
  <c r="V1852" i="627"/>
  <c r="W1852" i="627"/>
  <c r="X1852" i="627"/>
  <c r="Y1852" i="627"/>
  <c r="Z1852" i="627"/>
  <c r="AA1852" i="627"/>
  <c r="U1853" i="627"/>
  <c r="V1853" i="627"/>
  <c r="W1853" i="627"/>
  <c r="X1853" i="627"/>
  <c r="Y1853" i="627"/>
  <c r="Z1853" i="627"/>
  <c r="AA1853" i="627"/>
  <c r="U1854" i="627"/>
  <c r="V1854" i="627"/>
  <c r="W1854" i="627"/>
  <c r="X1854" i="627"/>
  <c r="Y1854" i="627"/>
  <c r="Z1854" i="627"/>
  <c r="AA1854" i="627"/>
  <c r="U1855" i="627"/>
  <c r="V1855" i="627"/>
  <c r="W1855" i="627"/>
  <c r="X1855" i="627"/>
  <c r="Y1855" i="627"/>
  <c r="Z1855" i="627"/>
  <c r="AA1855" i="627"/>
  <c r="U1856" i="627"/>
  <c r="V1856" i="627"/>
  <c r="W1856" i="627"/>
  <c r="X1856" i="627"/>
  <c r="Y1856" i="627"/>
  <c r="Z1856" i="627"/>
  <c r="AA1856" i="627"/>
  <c r="U1857" i="627"/>
  <c r="V1857" i="627"/>
  <c r="W1857" i="627"/>
  <c r="X1857" i="627"/>
  <c r="Y1857" i="627"/>
  <c r="Z1857" i="627"/>
  <c r="AA1857" i="627"/>
  <c r="U1858" i="627"/>
  <c r="V1858" i="627"/>
  <c r="W1858" i="627"/>
  <c r="X1858" i="627"/>
  <c r="Y1858" i="627"/>
  <c r="Z1858" i="627"/>
  <c r="AA1858" i="627"/>
  <c r="U1859" i="627"/>
  <c r="V1859" i="627"/>
  <c r="W1859" i="627"/>
  <c r="X1859" i="627"/>
  <c r="Y1859" i="627"/>
  <c r="Z1859" i="627"/>
  <c r="AA1859" i="627"/>
  <c r="U1860" i="627"/>
  <c r="V1860" i="627"/>
  <c r="W1860" i="627"/>
  <c r="X1860" i="627"/>
  <c r="Y1860" i="627"/>
  <c r="Z1860" i="627"/>
  <c r="AA1860" i="627"/>
  <c r="U1861" i="627"/>
  <c r="V1861" i="627"/>
  <c r="W1861" i="627"/>
  <c r="X1861" i="627"/>
  <c r="Y1861" i="627"/>
  <c r="Z1861" i="627"/>
  <c r="AA1861" i="627"/>
  <c r="U1862" i="627"/>
  <c r="V1862" i="627"/>
  <c r="W1862" i="627"/>
  <c r="X1862" i="627"/>
  <c r="Y1862" i="627"/>
  <c r="Z1862" i="627"/>
  <c r="AA1862" i="627"/>
  <c r="U1863" i="627"/>
  <c r="V1863" i="627"/>
  <c r="W1863" i="627"/>
  <c r="X1863" i="627"/>
  <c r="Y1863" i="627"/>
  <c r="Z1863" i="627"/>
  <c r="AA1863" i="627"/>
  <c r="U1864" i="627"/>
  <c r="V1864" i="627"/>
  <c r="W1864" i="627"/>
  <c r="X1864" i="627"/>
  <c r="Y1864" i="627"/>
  <c r="Z1864" i="627"/>
  <c r="AA1864" i="627"/>
  <c r="U1865" i="627"/>
  <c r="V1865" i="627"/>
  <c r="W1865" i="627"/>
  <c r="X1865" i="627"/>
  <c r="Y1865" i="627"/>
  <c r="Z1865" i="627"/>
  <c r="AA1865" i="627"/>
  <c r="U1866" i="627"/>
  <c r="V1866" i="627"/>
  <c r="W1866" i="627"/>
  <c r="X1866" i="627"/>
  <c r="Y1866" i="627"/>
  <c r="Z1866" i="627"/>
  <c r="AA1866" i="627"/>
  <c r="U1867" i="627"/>
  <c r="V1867" i="627"/>
  <c r="W1867" i="627"/>
  <c r="X1867" i="627"/>
  <c r="Y1867" i="627"/>
  <c r="Z1867" i="627"/>
  <c r="AA1867" i="627"/>
  <c r="U1868" i="627"/>
  <c r="V1868" i="627"/>
  <c r="W1868" i="627"/>
  <c r="X1868" i="627"/>
  <c r="Y1868" i="627"/>
  <c r="Z1868" i="627"/>
  <c r="AA1868" i="627"/>
  <c r="U1869" i="627"/>
  <c r="V1869" i="627"/>
  <c r="W1869" i="627"/>
  <c r="X1869" i="627"/>
  <c r="Y1869" i="627"/>
  <c r="Z1869" i="627"/>
  <c r="AA1869" i="627"/>
  <c r="U1870" i="627"/>
  <c r="V1870" i="627"/>
  <c r="W1870" i="627"/>
  <c r="X1870" i="627"/>
  <c r="Y1870" i="627"/>
  <c r="Z1870" i="627"/>
  <c r="AA1870" i="627"/>
  <c r="U1871" i="627"/>
  <c r="V1871" i="627"/>
  <c r="W1871" i="627"/>
  <c r="X1871" i="627"/>
  <c r="Y1871" i="627"/>
  <c r="Z1871" i="627"/>
  <c r="AA1871" i="627"/>
  <c r="U1872" i="627"/>
  <c r="V1872" i="627"/>
  <c r="W1872" i="627"/>
  <c r="X1872" i="627"/>
  <c r="Y1872" i="627"/>
  <c r="Z1872" i="627"/>
  <c r="AA1872" i="627"/>
  <c r="U1873" i="627"/>
  <c r="V1873" i="627"/>
  <c r="W1873" i="627"/>
  <c r="X1873" i="627"/>
  <c r="Y1873" i="627"/>
  <c r="Z1873" i="627"/>
  <c r="AA1873" i="627"/>
  <c r="U1874" i="627"/>
  <c r="V1874" i="627"/>
  <c r="W1874" i="627"/>
  <c r="X1874" i="627"/>
  <c r="Y1874" i="627"/>
  <c r="Z1874" i="627"/>
  <c r="AA1874" i="627"/>
  <c r="U1875" i="627"/>
  <c r="V1875" i="627"/>
  <c r="W1875" i="627"/>
  <c r="X1875" i="627"/>
  <c r="Y1875" i="627"/>
  <c r="Z1875" i="627"/>
  <c r="AA1875" i="627"/>
  <c r="U1876" i="627"/>
  <c r="V1876" i="627"/>
  <c r="W1876" i="627"/>
  <c r="X1876" i="627"/>
  <c r="Y1876" i="627"/>
  <c r="Z1876" i="627"/>
  <c r="AA1876" i="627"/>
  <c r="U1877" i="627"/>
  <c r="V1877" i="627"/>
  <c r="W1877" i="627"/>
  <c r="X1877" i="627"/>
  <c r="Y1877" i="627"/>
  <c r="Z1877" i="627"/>
  <c r="AA1877" i="627"/>
  <c r="U1878" i="627"/>
  <c r="V1878" i="627"/>
  <c r="W1878" i="627"/>
  <c r="X1878" i="627"/>
  <c r="Y1878" i="627"/>
  <c r="Z1878" i="627"/>
  <c r="AA1878" i="627"/>
  <c r="U1879" i="627"/>
  <c r="V1879" i="627"/>
  <c r="W1879" i="627"/>
  <c r="X1879" i="627"/>
  <c r="Y1879" i="627"/>
  <c r="Z1879" i="627"/>
  <c r="AA1879" i="627"/>
  <c r="U1880" i="627"/>
  <c r="V1880" i="627"/>
  <c r="W1880" i="627"/>
  <c r="X1880" i="627"/>
  <c r="Y1880" i="627"/>
  <c r="Z1880" i="627"/>
  <c r="AA1880" i="627"/>
  <c r="U1881" i="627"/>
  <c r="V1881" i="627"/>
  <c r="W1881" i="627"/>
  <c r="X1881" i="627"/>
  <c r="Y1881" i="627"/>
  <c r="Z1881" i="627"/>
  <c r="AA1881" i="627"/>
  <c r="U1882" i="627"/>
  <c r="V1882" i="627"/>
  <c r="W1882" i="627"/>
  <c r="X1882" i="627"/>
  <c r="Y1882" i="627"/>
  <c r="Z1882" i="627"/>
  <c r="AA1882" i="627"/>
  <c r="U1883" i="627"/>
  <c r="V1883" i="627"/>
  <c r="W1883" i="627"/>
  <c r="X1883" i="627"/>
  <c r="Y1883" i="627"/>
  <c r="Z1883" i="627"/>
  <c r="AA1883" i="627"/>
  <c r="U1884" i="627"/>
  <c r="V1884" i="627"/>
  <c r="W1884" i="627"/>
  <c r="X1884" i="627"/>
  <c r="Y1884" i="627"/>
  <c r="Z1884" i="627"/>
  <c r="AA1884" i="627"/>
  <c r="U1885" i="627"/>
  <c r="V1885" i="627"/>
  <c r="W1885" i="627"/>
  <c r="X1885" i="627"/>
  <c r="Y1885" i="627"/>
  <c r="Z1885" i="627"/>
  <c r="AA1885" i="627"/>
  <c r="U1886" i="627"/>
  <c r="V1886" i="627"/>
  <c r="W1886" i="627"/>
  <c r="X1886" i="627"/>
  <c r="Y1886" i="627"/>
  <c r="Z1886" i="627"/>
  <c r="AA1886" i="627"/>
  <c r="U1887" i="627"/>
  <c r="V1887" i="627"/>
  <c r="W1887" i="627"/>
  <c r="X1887" i="627"/>
  <c r="Y1887" i="627"/>
  <c r="Z1887" i="627"/>
  <c r="AA1887" i="627"/>
  <c r="U1888" i="627"/>
  <c r="V1888" i="627"/>
  <c r="W1888" i="627"/>
  <c r="X1888" i="627"/>
  <c r="Y1888" i="627"/>
  <c r="Z1888" i="627"/>
  <c r="AA1888" i="627"/>
  <c r="U1889" i="627"/>
  <c r="V1889" i="627"/>
  <c r="W1889" i="627"/>
  <c r="X1889" i="627"/>
  <c r="Y1889" i="627"/>
  <c r="Z1889" i="627"/>
  <c r="AA1889" i="627"/>
  <c r="U1890" i="627"/>
  <c r="V1890" i="627"/>
  <c r="W1890" i="627"/>
  <c r="X1890" i="627"/>
  <c r="Y1890" i="627"/>
  <c r="Z1890" i="627"/>
  <c r="AA1890" i="627"/>
  <c r="U1891" i="627"/>
  <c r="V1891" i="627"/>
  <c r="W1891" i="627"/>
  <c r="X1891" i="627"/>
  <c r="Y1891" i="627"/>
  <c r="Z1891" i="627"/>
  <c r="AA1891" i="627"/>
  <c r="U1892" i="627"/>
  <c r="V1892" i="627"/>
  <c r="W1892" i="627"/>
  <c r="X1892" i="627"/>
  <c r="Y1892" i="627"/>
  <c r="Z1892" i="627"/>
  <c r="AA1892" i="627"/>
  <c r="U1893" i="627"/>
  <c r="V1893" i="627"/>
  <c r="W1893" i="627"/>
  <c r="X1893" i="627"/>
  <c r="Y1893" i="627"/>
  <c r="Z1893" i="627"/>
  <c r="AA1893" i="627"/>
  <c r="U1894" i="627"/>
  <c r="V1894" i="627"/>
  <c r="W1894" i="627"/>
  <c r="X1894" i="627"/>
  <c r="Y1894" i="627"/>
  <c r="Z1894" i="627"/>
  <c r="AA1894" i="627"/>
  <c r="U1895" i="627"/>
  <c r="V1895" i="627"/>
  <c r="W1895" i="627"/>
  <c r="X1895" i="627"/>
  <c r="Y1895" i="627"/>
  <c r="Z1895" i="627"/>
  <c r="AA1895" i="627"/>
  <c r="U1896" i="627"/>
  <c r="V1896" i="627"/>
  <c r="W1896" i="627"/>
  <c r="X1896" i="627"/>
  <c r="Y1896" i="627"/>
  <c r="Z1896" i="627"/>
  <c r="AA1896" i="627"/>
  <c r="U1897" i="627"/>
  <c r="V1897" i="627"/>
  <c r="W1897" i="627"/>
  <c r="X1897" i="627"/>
  <c r="Y1897" i="627"/>
  <c r="Z1897" i="627"/>
  <c r="AA1897" i="627"/>
  <c r="U1898" i="627"/>
  <c r="V1898" i="627"/>
  <c r="W1898" i="627"/>
  <c r="X1898" i="627"/>
  <c r="Y1898" i="627"/>
  <c r="Z1898" i="627"/>
  <c r="AA1898" i="627"/>
  <c r="U1899" i="627"/>
  <c r="V1899" i="627"/>
  <c r="W1899" i="627"/>
  <c r="X1899" i="627"/>
  <c r="Y1899" i="627"/>
  <c r="Z1899" i="627"/>
  <c r="AA1899" i="627"/>
  <c r="U1900" i="627"/>
  <c r="V1900" i="627"/>
  <c r="W1900" i="627"/>
  <c r="X1900" i="627"/>
  <c r="Y1900" i="627"/>
  <c r="Z1900" i="627"/>
  <c r="AA1900" i="627"/>
  <c r="U1901" i="627"/>
  <c r="V1901" i="627"/>
  <c r="W1901" i="627"/>
  <c r="X1901" i="627"/>
  <c r="Y1901" i="627"/>
  <c r="Z1901" i="627"/>
  <c r="AA1901" i="627"/>
  <c r="U1902" i="627"/>
  <c r="V1902" i="627"/>
  <c r="W1902" i="627"/>
  <c r="X1902" i="627"/>
  <c r="Y1902" i="627"/>
  <c r="Z1902" i="627"/>
  <c r="AA1902" i="627"/>
  <c r="U1903" i="627"/>
  <c r="V1903" i="627"/>
  <c r="W1903" i="627"/>
  <c r="X1903" i="627"/>
  <c r="Y1903" i="627"/>
  <c r="Z1903" i="627"/>
  <c r="AA1903" i="627"/>
  <c r="U1904" i="627"/>
  <c r="V1904" i="627"/>
  <c r="W1904" i="627"/>
  <c r="X1904" i="627"/>
  <c r="Y1904" i="627"/>
  <c r="Z1904" i="627"/>
  <c r="AA1904" i="627"/>
  <c r="U1905" i="627"/>
  <c r="V1905" i="627"/>
  <c r="W1905" i="627"/>
  <c r="X1905" i="627"/>
  <c r="Y1905" i="627"/>
  <c r="Z1905" i="627"/>
  <c r="AA1905" i="627"/>
  <c r="U1906" i="627"/>
  <c r="V1906" i="627"/>
  <c r="W1906" i="627"/>
  <c r="X1906" i="627"/>
  <c r="Y1906" i="627"/>
  <c r="Z1906" i="627"/>
  <c r="AA1906" i="627"/>
  <c r="U1907" i="627"/>
  <c r="V1907" i="627"/>
  <c r="W1907" i="627"/>
  <c r="X1907" i="627"/>
  <c r="Y1907" i="627"/>
  <c r="Z1907" i="627"/>
  <c r="AA1907" i="627"/>
  <c r="U1908" i="627"/>
  <c r="V1908" i="627"/>
  <c r="W1908" i="627"/>
  <c r="X1908" i="627"/>
  <c r="Y1908" i="627"/>
  <c r="Z1908" i="627"/>
  <c r="AA1908" i="627"/>
  <c r="U1909" i="627"/>
  <c r="V1909" i="627"/>
  <c r="W1909" i="627"/>
  <c r="X1909" i="627"/>
  <c r="Y1909" i="627"/>
  <c r="Z1909" i="627"/>
  <c r="AA1909" i="627"/>
  <c r="U1910" i="627"/>
  <c r="V1910" i="627"/>
  <c r="W1910" i="627"/>
  <c r="X1910" i="627"/>
  <c r="Y1910" i="627"/>
  <c r="Z1910" i="627"/>
  <c r="AA1910" i="627"/>
  <c r="U1911" i="627"/>
  <c r="V1911" i="627"/>
  <c r="W1911" i="627"/>
  <c r="X1911" i="627"/>
  <c r="Y1911" i="627"/>
  <c r="Z1911" i="627"/>
  <c r="AA1911" i="627"/>
  <c r="U1912" i="627"/>
  <c r="V1912" i="627"/>
  <c r="W1912" i="627"/>
  <c r="X1912" i="627"/>
  <c r="Y1912" i="627"/>
  <c r="Z1912" i="627"/>
  <c r="AA1912" i="627"/>
  <c r="U1913" i="627"/>
  <c r="V1913" i="627"/>
  <c r="W1913" i="627"/>
  <c r="X1913" i="627"/>
  <c r="Y1913" i="627"/>
  <c r="Z1913" i="627"/>
  <c r="AA1913" i="627"/>
  <c r="U1914" i="627"/>
  <c r="V1914" i="627"/>
  <c r="W1914" i="627"/>
  <c r="X1914" i="627"/>
  <c r="Y1914" i="627"/>
  <c r="Z1914" i="627"/>
  <c r="AA1914" i="627"/>
  <c r="U1915" i="627"/>
  <c r="V1915" i="627"/>
  <c r="W1915" i="627"/>
  <c r="X1915" i="627"/>
  <c r="Y1915" i="627"/>
  <c r="Z1915" i="627"/>
  <c r="AA1915" i="627"/>
  <c r="U1916" i="627"/>
  <c r="V1916" i="627"/>
  <c r="W1916" i="627"/>
  <c r="X1916" i="627"/>
  <c r="Y1916" i="627"/>
  <c r="Z1916" i="627"/>
  <c r="AA1916" i="627"/>
  <c r="U1917" i="627"/>
  <c r="V1917" i="627"/>
  <c r="W1917" i="627"/>
  <c r="X1917" i="627"/>
  <c r="Y1917" i="627"/>
  <c r="Z1917" i="627"/>
  <c r="AA1917" i="627"/>
  <c r="U1918" i="627"/>
  <c r="V1918" i="627"/>
  <c r="W1918" i="627"/>
  <c r="X1918" i="627"/>
  <c r="Y1918" i="627"/>
  <c r="Z1918" i="627"/>
  <c r="AA1918" i="627"/>
  <c r="U1919" i="627"/>
  <c r="V1919" i="627"/>
  <c r="W1919" i="627"/>
  <c r="X1919" i="627"/>
  <c r="Y1919" i="627"/>
  <c r="Z1919" i="627"/>
  <c r="AA1919" i="627"/>
  <c r="U1920" i="627"/>
  <c r="V1920" i="627"/>
  <c r="W1920" i="627"/>
  <c r="X1920" i="627"/>
  <c r="Y1920" i="627"/>
  <c r="Z1920" i="627"/>
  <c r="AA1920" i="627"/>
  <c r="U1921" i="627"/>
  <c r="V1921" i="627"/>
  <c r="W1921" i="627"/>
  <c r="X1921" i="627"/>
  <c r="Y1921" i="627"/>
  <c r="Z1921" i="627"/>
  <c r="AA1921" i="627"/>
  <c r="U1922" i="627"/>
  <c r="V1922" i="627"/>
  <c r="W1922" i="627"/>
  <c r="X1922" i="627"/>
  <c r="Y1922" i="627"/>
  <c r="Z1922" i="627"/>
  <c r="AA1922" i="627"/>
  <c r="U1923" i="627"/>
  <c r="V1923" i="627"/>
  <c r="W1923" i="627"/>
  <c r="X1923" i="627"/>
  <c r="Y1923" i="627"/>
  <c r="Z1923" i="627"/>
  <c r="AA1923" i="627"/>
  <c r="U1924" i="627"/>
  <c r="V1924" i="627"/>
  <c r="W1924" i="627"/>
  <c r="X1924" i="627"/>
  <c r="Y1924" i="627"/>
  <c r="Z1924" i="627"/>
  <c r="AA1924" i="627"/>
  <c r="U1925" i="627"/>
  <c r="V1925" i="627"/>
  <c r="W1925" i="627"/>
  <c r="X1925" i="627"/>
  <c r="Y1925" i="627"/>
  <c r="Z1925" i="627"/>
  <c r="AA1925" i="627"/>
  <c r="U1926" i="627"/>
  <c r="V1926" i="627"/>
  <c r="W1926" i="627"/>
  <c r="X1926" i="627"/>
  <c r="Y1926" i="627"/>
  <c r="Z1926" i="627"/>
  <c r="AA1926" i="627"/>
  <c r="U1927" i="627"/>
  <c r="V1927" i="627"/>
  <c r="W1927" i="627"/>
  <c r="X1927" i="627"/>
  <c r="Y1927" i="627"/>
  <c r="Z1927" i="627"/>
  <c r="AA1927" i="627"/>
  <c r="U1928" i="627"/>
  <c r="V1928" i="627"/>
  <c r="W1928" i="627"/>
  <c r="X1928" i="627"/>
  <c r="Y1928" i="627"/>
  <c r="Z1928" i="627"/>
  <c r="AA1928" i="627"/>
  <c r="U1929" i="627"/>
  <c r="V1929" i="627"/>
  <c r="W1929" i="627"/>
  <c r="X1929" i="627"/>
  <c r="Y1929" i="627"/>
  <c r="Z1929" i="627"/>
  <c r="AA1929" i="627"/>
  <c r="U1930" i="627"/>
  <c r="V1930" i="627"/>
  <c r="W1930" i="627"/>
  <c r="X1930" i="627"/>
  <c r="Y1930" i="627"/>
  <c r="Z1930" i="627"/>
  <c r="AA1930" i="627"/>
  <c r="U1931" i="627"/>
  <c r="V1931" i="627"/>
  <c r="W1931" i="627"/>
  <c r="X1931" i="627"/>
  <c r="Y1931" i="627"/>
  <c r="Z1931" i="627"/>
  <c r="AA1931" i="627"/>
  <c r="U1932" i="627"/>
  <c r="V1932" i="627"/>
  <c r="W1932" i="627"/>
  <c r="X1932" i="627"/>
  <c r="Y1932" i="627"/>
  <c r="Z1932" i="627"/>
  <c r="AA1932" i="627"/>
  <c r="U1933" i="627"/>
  <c r="V1933" i="627"/>
  <c r="W1933" i="627"/>
  <c r="X1933" i="627"/>
  <c r="Y1933" i="627"/>
  <c r="Z1933" i="627"/>
  <c r="AA1933" i="627"/>
  <c r="U1934" i="627"/>
  <c r="V1934" i="627"/>
  <c r="W1934" i="627"/>
  <c r="X1934" i="627"/>
  <c r="Y1934" i="627"/>
  <c r="Z1934" i="627"/>
  <c r="AA1934" i="627"/>
  <c r="U1935" i="627"/>
  <c r="V1935" i="627"/>
  <c r="W1935" i="627"/>
  <c r="X1935" i="627"/>
  <c r="Y1935" i="627"/>
  <c r="Z1935" i="627"/>
  <c r="AA1935" i="627"/>
  <c r="U1936" i="627"/>
  <c r="V1936" i="627"/>
  <c r="W1936" i="627"/>
  <c r="X1936" i="627"/>
  <c r="Y1936" i="627"/>
  <c r="Z1936" i="627"/>
  <c r="AA1936" i="627"/>
  <c r="U1937" i="627"/>
  <c r="V1937" i="627"/>
  <c r="W1937" i="627"/>
  <c r="X1937" i="627"/>
  <c r="Y1937" i="627"/>
  <c r="Z1937" i="627"/>
  <c r="AA1937" i="627"/>
  <c r="U1938" i="627"/>
  <c r="V1938" i="627"/>
  <c r="W1938" i="627"/>
  <c r="X1938" i="627"/>
  <c r="Y1938" i="627"/>
  <c r="Z1938" i="627"/>
  <c r="AA1938" i="627"/>
  <c r="U1939" i="627"/>
  <c r="V1939" i="627"/>
  <c r="W1939" i="627"/>
  <c r="X1939" i="627"/>
  <c r="Y1939" i="627"/>
  <c r="Z1939" i="627"/>
  <c r="AA1939" i="627"/>
  <c r="U1940" i="627"/>
  <c r="V1940" i="627"/>
  <c r="W1940" i="627"/>
  <c r="X1940" i="627"/>
  <c r="Y1940" i="627"/>
  <c r="Z1940" i="627"/>
  <c r="AA1940" i="627"/>
  <c r="U1941" i="627"/>
  <c r="V1941" i="627"/>
  <c r="W1941" i="627"/>
  <c r="X1941" i="627"/>
  <c r="Y1941" i="627"/>
  <c r="Z1941" i="627"/>
  <c r="AA1941" i="627"/>
  <c r="U1942" i="627"/>
  <c r="V1942" i="627"/>
  <c r="W1942" i="627"/>
  <c r="X1942" i="627"/>
  <c r="Y1942" i="627"/>
  <c r="Z1942" i="627"/>
  <c r="AA1942" i="627"/>
  <c r="U1943" i="627"/>
  <c r="V1943" i="627"/>
  <c r="W1943" i="627"/>
  <c r="X1943" i="627"/>
  <c r="Y1943" i="627"/>
  <c r="Z1943" i="627"/>
  <c r="AA1943" i="627"/>
  <c r="U1944" i="627"/>
  <c r="V1944" i="627"/>
  <c r="W1944" i="627"/>
  <c r="X1944" i="627"/>
  <c r="Y1944" i="627"/>
  <c r="Z1944" i="627"/>
  <c r="AA1944" i="627"/>
  <c r="U1945" i="627"/>
  <c r="V1945" i="627"/>
  <c r="W1945" i="627"/>
  <c r="X1945" i="627"/>
  <c r="Y1945" i="627"/>
  <c r="Z1945" i="627"/>
  <c r="AA1945" i="627"/>
  <c r="U1946" i="627"/>
  <c r="V1946" i="627"/>
  <c r="W1946" i="627"/>
  <c r="X1946" i="627"/>
  <c r="Y1946" i="627"/>
  <c r="Z1946" i="627"/>
  <c r="AA1946" i="627"/>
  <c r="U1947" i="627"/>
  <c r="V1947" i="627"/>
  <c r="W1947" i="627"/>
  <c r="X1947" i="627"/>
  <c r="Y1947" i="627"/>
  <c r="Z1947" i="627"/>
  <c r="AA1947" i="627"/>
  <c r="U1948" i="627"/>
  <c r="V1948" i="627"/>
  <c r="W1948" i="627"/>
  <c r="X1948" i="627"/>
  <c r="Y1948" i="627"/>
  <c r="Z1948" i="627"/>
  <c r="AA1948" i="627"/>
  <c r="U1949" i="627"/>
  <c r="V1949" i="627"/>
  <c r="W1949" i="627"/>
  <c r="X1949" i="627"/>
  <c r="Y1949" i="627"/>
  <c r="Z1949" i="627"/>
  <c r="AA1949" i="627"/>
  <c r="U1950" i="627"/>
  <c r="V1950" i="627"/>
  <c r="W1950" i="627"/>
  <c r="X1950" i="627"/>
  <c r="Y1950" i="627"/>
  <c r="Z1950" i="627"/>
  <c r="AA1950" i="627"/>
  <c r="U1951" i="627"/>
  <c r="V1951" i="627"/>
  <c r="W1951" i="627"/>
  <c r="X1951" i="627"/>
  <c r="Y1951" i="627"/>
  <c r="Z1951" i="627"/>
  <c r="AA1951" i="627"/>
  <c r="U1952" i="627"/>
  <c r="V1952" i="627"/>
  <c r="W1952" i="627"/>
  <c r="X1952" i="627"/>
  <c r="Y1952" i="627"/>
  <c r="Z1952" i="627"/>
  <c r="AA1952" i="627"/>
  <c r="U1953" i="627"/>
  <c r="V1953" i="627"/>
  <c r="W1953" i="627"/>
  <c r="X1953" i="627"/>
  <c r="Y1953" i="627"/>
  <c r="Z1953" i="627"/>
  <c r="AA1953" i="627"/>
  <c r="U1954" i="627"/>
  <c r="V1954" i="627"/>
  <c r="W1954" i="627"/>
  <c r="X1954" i="627"/>
  <c r="Y1954" i="627"/>
  <c r="Z1954" i="627"/>
  <c r="AA1954" i="627"/>
  <c r="U1955" i="627"/>
  <c r="V1955" i="627"/>
  <c r="W1955" i="627"/>
  <c r="X1955" i="627"/>
  <c r="Y1955" i="627"/>
  <c r="Z1955" i="627"/>
  <c r="AA1955" i="627"/>
  <c r="U1956" i="627"/>
  <c r="V1956" i="627"/>
  <c r="W1956" i="627"/>
  <c r="X1956" i="627"/>
  <c r="Y1956" i="627"/>
  <c r="Z1956" i="627"/>
  <c r="AA1956" i="627"/>
  <c r="U1957" i="627"/>
  <c r="V1957" i="627"/>
  <c r="W1957" i="627"/>
  <c r="X1957" i="627"/>
  <c r="Y1957" i="627"/>
  <c r="Z1957" i="627"/>
  <c r="AA1957" i="627"/>
  <c r="U1958" i="627"/>
  <c r="V1958" i="627"/>
  <c r="W1958" i="627"/>
  <c r="X1958" i="627"/>
  <c r="Y1958" i="627"/>
  <c r="Z1958" i="627"/>
  <c r="AA1958" i="627"/>
  <c r="U1959" i="627"/>
  <c r="V1959" i="627"/>
  <c r="W1959" i="627"/>
  <c r="X1959" i="627"/>
  <c r="Y1959" i="627"/>
  <c r="Z1959" i="627"/>
  <c r="AA1959" i="627"/>
  <c r="U1960" i="627"/>
  <c r="V1960" i="627"/>
  <c r="W1960" i="627"/>
  <c r="X1960" i="627"/>
  <c r="Y1960" i="627"/>
  <c r="Z1960" i="627"/>
  <c r="AA1960" i="627"/>
  <c r="U1961" i="627"/>
  <c r="V1961" i="627"/>
  <c r="W1961" i="627"/>
  <c r="X1961" i="627"/>
  <c r="Y1961" i="627"/>
  <c r="Z1961" i="627"/>
  <c r="AA1961" i="627"/>
  <c r="U1962" i="627"/>
  <c r="V1962" i="627"/>
  <c r="W1962" i="627"/>
  <c r="X1962" i="627"/>
  <c r="Y1962" i="627"/>
  <c r="Z1962" i="627"/>
  <c r="AA1962" i="627"/>
  <c r="U1963" i="627"/>
  <c r="V1963" i="627"/>
  <c r="W1963" i="627"/>
  <c r="X1963" i="627"/>
  <c r="Y1963" i="627"/>
  <c r="Z1963" i="627"/>
  <c r="AA1963" i="627"/>
  <c r="U1964" i="627"/>
  <c r="V1964" i="627"/>
  <c r="W1964" i="627"/>
  <c r="X1964" i="627"/>
  <c r="Y1964" i="627"/>
  <c r="Z1964" i="627"/>
  <c r="AA1964" i="627"/>
  <c r="U1965" i="627"/>
  <c r="V1965" i="627"/>
  <c r="W1965" i="627"/>
  <c r="X1965" i="627"/>
  <c r="Y1965" i="627"/>
  <c r="Z1965" i="627"/>
  <c r="AA1965" i="627"/>
  <c r="U1966" i="627"/>
  <c r="V1966" i="627"/>
  <c r="W1966" i="627"/>
  <c r="X1966" i="627"/>
  <c r="Y1966" i="627"/>
  <c r="Z1966" i="627"/>
  <c r="AA1966" i="627"/>
  <c r="U1967" i="627"/>
  <c r="V1967" i="627"/>
  <c r="W1967" i="627"/>
  <c r="X1967" i="627"/>
  <c r="Y1967" i="627"/>
  <c r="Z1967" i="627"/>
  <c r="AA1967" i="627"/>
  <c r="U1968" i="627"/>
  <c r="V1968" i="627"/>
  <c r="W1968" i="627"/>
  <c r="X1968" i="627"/>
  <c r="Y1968" i="627"/>
  <c r="Z1968" i="627"/>
  <c r="AA1968" i="627"/>
  <c r="U1969" i="627"/>
  <c r="V1969" i="627"/>
  <c r="W1969" i="627"/>
  <c r="X1969" i="627"/>
  <c r="Y1969" i="627"/>
  <c r="Z1969" i="627"/>
  <c r="AA1969" i="627"/>
  <c r="U1970" i="627"/>
  <c r="V1970" i="627"/>
  <c r="W1970" i="627"/>
  <c r="X1970" i="627"/>
  <c r="Y1970" i="627"/>
  <c r="Z1970" i="627"/>
  <c r="AA1970" i="627"/>
  <c r="U1971" i="627"/>
  <c r="V1971" i="627"/>
  <c r="W1971" i="627"/>
  <c r="X1971" i="627"/>
  <c r="Y1971" i="627"/>
  <c r="Z1971" i="627"/>
  <c r="AA1971" i="627"/>
  <c r="U1972" i="627"/>
  <c r="V1972" i="627"/>
  <c r="W1972" i="627"/>
  <c r="X1972" i="627"/>
  <c r="Y1972" i="627"/>
  <c r="Z1972" i="627"/>
  <c r="AA1972" i="627"/>
  <c r="U1973" i="627"/>
  <c r="V1973" i="627"/>
  <c r="W1973" i="627"/>
  <c r="X1973" i="627"/>
  <c r="Y1973" i="627"/>
  <c r="Z1973" i="627"/>
  <c r="AA1973" i="627"/>
  <c r="U1974" i="627"/>
  <c r="V1974" i="627"/>
  <c r="W1974" i="627"/>
  <c r="X1974" i="627"/>
  <c r="Y1974" i="627"/>
  <c r="Z1974" i="627"/>
  <c r="AA1974" i="627"/>
  <c r="U1975" i="627"/>
  <c r="V1975" i="627"/>
  <c r="W1975" i="627"/>
  <c r="X1975" i="627"/>
  <c r="Y1975" i="627"/>
  <c r="Z1975" i="627"/>
  <c r="AA1975" i="627"/>
  <c r="U1976" i="627"/>
  <c r="V1976" i="627"/>
  <c r="W1976" i="627"/>
  <c r="X1976" i="627"/>
  <c r="Y1976" i="627"/>
  <c r="Z1976" i="627"/>
  <c r="AA1976" i="627"/>
  <c r="U1977" i="627"/>
  <c r="V1977" i="627"/>
  <c r="W1977" i="627"/>
  <c r="X1977" i="627"/>
  <c r="Y1977" i="627"/>
  <c r="Z1977" i="627"/>
  <c r="AA1977" i="627"/>
  <c r="U1978" i="627"/>
  <c r="V1978" i="627"/>
  <c r="W1978" i="627"/>
  <c r="X1978" i="627"/>
  <c r="Y1978" i="627"/>
  <c r="Z1978" i="627"/>
  <c r="AA1978" i="627"/>
  <c r="U1979" i="627"/>
  <c r="V1979" i="627"/>
  <c r="W1979" i="627"/>
  <c r="X1979" i="627"/>
  <c r="Y1979" i="627"/>
  <c r="Z1979" i="627"/>
  <c r="AA1979" i="627"/>
  <c r="U1980" i="627"/>
  <c r="V1980" i="627"/>
  <c r="W1980" i="627"/>
  <c r="X1980" i="627"/>
  <c r="Y1980" i="627"/>
  <c r="Z1980" i="627"/>
  <c r="AA1980" i="627"/>
  <c r="U1981" i="627"/>
  <c r="V1981" i="627"/>
  <c r="W1981" i="627"/>
  <c r="X1981" i="627"/>
  <c r="Y1981" i="627"/>
  <c r="Z1981" i="627"/>
  <c r="AA1981" i="627"/>
  <c r="U1982" i="627"/>
  <c r="V1982" i="627"/>
  <c r="W1982" i="627"/>
  <c r="X1982" i="627"/>
  <c r="Y1982" i="627"/>
  <c r="Z1982" i="627"/>
  <c r="AA1982" i="627"/>
  <c r="U1983" i="627"/>
  <c r="V1983" i="627"/>
  <c r="W1983" i="627"/>
  <c r="X1983" i="627"/>
  <c r="Y1983" i="627"/>
  <c r="Z1983" i="627"/>
  <c r="AA1983" i="627"/>
  <c r="U1984" i="627"/>
  <c r="V1984" i="627"/>
  <c r="W1984" i="627"/>
  <c r="X1984" i="627"/>
  <c r="Y1984" i="627"/>
  <c r="Z1984" i="627"/>
  <c r="AA1984" i="627"/>
  <c r="U1985" i="627"/>
  <c r="V1985" i="627"/>
  <c r="W1985" i="627"/>
  <c r="X1985" i="627"/>
  <c r="Y1985" i="627"/>
  <c r="Z1985" i="627"/>
  <c r="AA1985" i="627"/>
  <c r="U1986" i="627"/>
  <c r="V1986" i="627"/>
  <c r="W1986" i="627"/>
  <c r="X1986" i="627"/>
  <c r="Y1986" i="627"/>
  <c r="Z1986" i="627"/>
  <c r="AA1986" i="627"/>
  <c r="U1987" i="627"/>
  <c r="V1987" i="627"/>
  <c r="W1987" i="627"/>
  <c r="X1987" i="627"/>
  <c r="Y1987" i="627"/>
  <c r="Z1987" i="627"/>
  <c r="AA1987" i="627"/>
  <c r="U1988" i="627"/>
  <c r="V1988" i="627"/>
  <c r="W1988" i="627"/>
  <c r="X1988" i="627"/>
  <c r="Y1988" i="627"/>
  <c r="Z1988" i="627"/>
  <c r="AA1988" i="627"/>
  <c r="U1989" i="627"/>
  <c r="V1989" i="627"/>
  <c r="W1989" i="627"/>
  <c r="X1989" i="627"/>
  <c r="Y1989" i="627"/>
  <c r="Z1989" i="627"/>
  <c r="AA1989" i="627"/>
  <c r="U1990" i="627"/>
  <c r="V1990" i="627"/>
  <c r="W1990" i="627"/>
  <c r="X1990" i="627"/>
  <c r="Y1990" i="627"/>
  <c r="Z1990" i="627"/>
  <c r="AA1990" i="627"/>
  <c r="U1991" i="627"/>
  <c r="V1991" i="627"/>
  <c r="W1991" i="627"/>
  <c r="X1991" i="627"/>
  <c r="Y1991" i="627"/>
  <c r="Z1991" i="627"/>
  <c r="AA1991" i="627"/>
  <c r="U1992" i="627"/>
  <c r="V1992" i="627"/>
  <c r="W1992" i="627"/>
  <c r="X1992" i="627"/>
  <c r="Y1992" i="627"/>
  <c r="Z1992" i="627"/>
  <c r="AA1992" i="627"/>
  <c r="U1993" i="627"/>
  <c r="V1993" i="627"/>
  <c r="W1993" i="627"/>
  <c r="X1993" i="627"/>
  <c r="Y1993" i="627"/>
  <c r="Z1993" i="627"/>
  <c r="AA1993" i="627"/>
  <c r="U1994" i="627"/>
  <c r="V1994" i="627"/>
  <c r="W1994" i="627"/>
  <c r="X1994" i="627"/>
  <c r="Y1994" i="627"/>
  <c r="Z1994" i="627"/>
  <c r="AA1994" i="627"/>
  <c r="U1995" i="627"/>
  <c r="V1995" i="627"/>
  <c r="W1995" i="627"/>
  <c r="X1995" i="627"/>
  <c r="Y1995" i="627"/>
  <c r="Z1995" i="627"/>
  <c r="AA1995" i="627"/>
  <c r="U1996" i="627"/>
  <c r="V1996" i="627"/>
  <c r="W1996" i="627"/>
  <c r="X1996" i="627"/>
  <c r="Y1996" i="627"/>
  <c r="Z1996" i="627"/>
  <c r="AA1996" i="627"/>
  <c r="U1997" i="627"/>
  <c r="V1997" i="627"/>
  <c r="W1997" i="627"/>
  <c r="X1997" i="627"/>
  <c r="Y1997" i="627"/>
  <c r="Z1997" i="627"/>
  <c r="AA1997" i="627"/>
  <c r="U1998" i="627"/>
  <c r="V1998" i="627"/>
  <c r="W1998" i="627"/>
  <c r="X1998" i="627"/>
  <c r="Y1998" i="627"/>
  <c r="Z1998" i="627"/>
  <c r="AA1998" i="627"/>
  <c r="U1999" i="627"/>
  <c r="V1999" i="627"/>
  <c r="W1999" i="627"/>
  <c r="X1999" i="627"/>
  <c r="Y1999" i="627"/>
  <c r="Z1999" i="627"/>
  <c r="AA1999" i="627"/>
  <c r="U2000" i="627"/>
  <c r="V2000" i="627"/>
  <c r="W2000" i="627"/>
  <c r="X2000" i="627"/>
  <c r="Y2000" i="627"/>
  <c r="Z2000" i="627"/>
  <c r="AA2000" i="627"/>
  <c r="U2001" i="627"/>
  <c r="V2001" i="627"/>
  <c r="W2001" i="627"/>
  <c r="X2001" i="627"/>
  <c r="Y2001" i="627"/>
  <c r="Z2001" i="627"/>
  <c r="AA2001" i="627"/>
  <c r="U2002" i="627"/>
  <c r="V2002" i="627"/>
  <c r="W2002" i="627"/>
  <c r="X2002" i="627"/>
  <c r="Y2002" i="627"/>
  <c r="Z2002" i="627"/>
  <c r="AA2002" i="627"/>
  <c r="U2003" i="627"/>
  <c r="V2003" i="627"/>
  <c r="W2003" i="627"/>
  <c r="X2003" i="627"/>
  <c r="Y2003" i="627"/>
  <c r="Z2003" i="627"/>
  <c r="AA2003" i="627"/>
  <c r="U2004" i="627"/>
  <c r="V2004" i="627"/>
  <c r="W2004" i="627"/>
  <c r="X2004" i="627"/>
  <c r="Y2004" i="627"/>
  <c r="Z2004" i="627"/>
  <c r="AA2004" i="627"/>
  <c r="V5" i="627"/>
  <c r="W5" i="627"/>
  <c r="X5" i="627"/>
  <c r="Y5" i="627"/>
  <c r="Z5" i="627"/>
  <c r="AA5" i="627"/>
  <c r="U5" i="627"/>
  <c r="M6" i="627"/>
  <c r="N6" i="627"/>
  <c r="O6" i="627"/>
  <c r="P6" i="627"/>
  <c r="Q6" i="627"/>
  <c r="R6" i="627"/>
  <c r="S6" i="627"/>
  <c r="M7" i="627"/>
  <c r="N7" i="627"/>
  <c r="O7" i="627"/>
  <c r="AC7" i="627" s="1"/>
  <c r="P7" i="627"/>
  <c r="Q7" i="627"/>
  <c r="R7" i="627"/>
  <c r="S7" i="627"/>
  <c r="M8" i="627"/>
  <c r="N8" i="627"/>
  <c r="O8" i="627"/>
  <c r="P8" i="627"/>
  <c r="AC8" i="627" s="1"/>
  <c r="Q8" i="627"/>
  <c r="R8" i="627"/>
  <c r="S8" i="627"/>
  <c r="M9" i="627"/>
  <c r="N9" i="627"/>
  <c r="O9" i="627"/>
  <c r="P9" i="627"/>
  <c r="Q9" i="627"/>
  <c r="R9" i="627"/>
  <c r="S9" i="627"/>
  <c r="M10" i="627"/>
  <c r="N10" i="627"/>
  <c r="O10" i="627"/>
  <c r="P10" i="627"/>
  <c r="Q10" i="627"/>
  <c r="R10" i="627"/>
  <c r="S10" i="627"/>
  <c r="M11" i="627"/>
  <c r="N11" i="627"/>
  <c r="O11" i="627"/>
  <c r="P11" i="627"/>
  <c r="Q11" i="627"/>
  <c r="R11" i="627"/>
  <c r="S11" i="627"/>
  <c r="M12" i="627"/>
  <c r="N12" i="627"/>
  <c r="O12" i="627"/>
  <c r="P12" i="627"/>
  <c r="S12" i="627"/>
  <c r="M13" i="627"/>
  <c r="N13" i="627"/>
  <c r="O13" i="627"/>
  <c r="P13" i="627"/>
  <c r="S13" i="627"/>
  <c r="M14" i="627"/>
  <c r="N14" i="627"/>
  <c r="O14" i="627"/>
  <c r="P14" i="627"/>
  <c r="S14" i="627"/>
  <c r="M15" i="627"/>
  <c r="N15" i="627"/>
  <c r="O15" i="627"/>
  <c r="P15" i="627"/>
  <c r="S15" i="627"/>
  <c r="M16" i="627"/>
  <c r="N16" i="627"/>
  <c r="O16" i="627"/>
  <c r="P16" i="627"/>
  <c r="S16" i="627"/>
  <c r="M17" i="627"/>
  <c r="N17" i="627"/>
  <c r="O17" i="627"/>
  <c r="P17" i="627"/>
  <c r="S17" i="627"/>
  <c r="M18" i="627"/>
  <c r="N18" i="627"/>
  <c r="O18" i="627"/>
  <c r="P18" i="627"/>
  <c r="S18" i="627"/>
  <c r="M19" i="627"/>
  <c r="N19" i="627"/>
  <c r="O19" i="627"/>
  <c r="P19" i="627"/>
  <c r="S19" i="627"/>
  <c r="M20" i="627"/>
  <c r="N20" i="627"/>
  <c r="O20" i="627"/>
  <c r="P20" i="627"/>
  <c r="S20" i="627"/>
  <c r="M21" i="627"/>
  <c r="N21" i="627"/>
  <c r="O21" i="627"/>
  <c r="P21" i="627"/>
  <c r="S21" i="627"/>
  <c r="M22" i="627"/>
  <c r="N22" i="627"/>
  <c r="O22" i="627"/>
  <c r="P22" i="627"/>
  <c r="S22" i="627"/>
  <c r="M23" i="627"/>
  <c r="N23" i="627"/>
  <c r="O23" i="627"/>
  <c r="P23" i="627"/>
  <c r="S23" i="627"/>
  <c r="M24" i="627"/>
  <c r="N24" i="627"/>
  <c r="O24" i="627"/>
  <c r="P24" i="627"/>
  <c r="S24" i="627"/>
  <c r="M25" i="627"/>
  <c r="N25" i="627"/>
  <c r="O25" i="627"/>
  <c r="P25" i="627"/>
  <c r="S25" i="627"/>
  <c r="M26" i="627"/>
  <c r="N26" i="627"/>
  <c r="O26" i="627"/>
  <c r="P26" i="627"/>
  <c r="S26" i="627"/>
  <c r="M27" i="627"/>
  <c r="N27" i="627"/>
  <c r="O27" i="627"/>
  <c r="P27" i="627"/>
  <c r="S27" i="627"/>
  <c r="M28" i="627"/>
  <c r="N28" i="627"/>
  <c r="O28" i="627"/>
  <c r="P28" i="627"/>
  <c r="S28" i="627"/>
  <c r="M29" i="627"/>
  <c r="N29" i="627"/>
  <c r="O29" i="627"/>
  <c r="P29" i="627"/>
  <c r="S29" i="627"/>
  <c r="M30" i="627"/>
  <c r="N30" i="627"/>
  <c r="O30" i="627"/>
  <c r="P30" i="627"/>
  <c r="S30" i="627"/>
  <c r="M31" i="627"/>
  <c r="N31" i="627"/>
  <c r="O31" i="627"/>
  <c r="P31" i="627"/>
  <c r="Q31" i="627"/>
  <c r="R31" i="627"/>
  <c r="S31" i="627"/>
  <c r="M32" i="627"/>
  <c r="N32" i="627"/>
  <c r="O32" i="627"/>
  <c r="P32" i="627"/>
  <c r="Q32" i="627"/>
  <c r="R32" i="627"/>
  <c r="S32" i="627"/>
  <c r="M33" i="627"/>
  <c r="N33" i="627"/>
  <c r="O33" i="627"/>
  <c r="P33" i="627"/>
  <c r="Q33" i="627"/>
  <c r="R33" i="627"/>
  <c r="S33" i="627"/>
  <c r="M34" i="627"/>
  <c r="N34" i="627"/>
  <c r="O34" i="627"/>
  <c r="P34" i="627"/>
  <c r="Q34" i="627"/>
  <c r="R34" i="627"/>
  <c r="S34" i="627"/>
  <c r="M35" i="627"/>
  <c r="N35" i="627"/>
  <c r="O35" i="627"/>
  <c r="P35" i="627"/>
  <c r="Q35" i="627"/>
  <c r="R35" i="627"/>
  <c r="S35" i="627"/>
  <c r="M36" i="627"/>
  <c r="N36" i="627"/>
  <c r="O36" i="627"/>
  <c r="P36" i="627"/>
  <c r="Q36" i="627"/>
  <c r="R36" i="627"/>
  <c r="S36" i="627"/>
  <c r="M37" i="627"/>
  <c r="N37" i="627"/>
  <c r="O37" i="627"/>
  <c r="P37" i="627"/>
  <c r="Q37" i="627"/>
  <c r="R37" i="627"/>
  <c r="S37" i="627"/>
  <c r="M38" i="627"/>
  <c r="N38" i="627"/>
  <c r="O38" i="627"/>
  <c r="P38" i="627"/>
  <c r="Q38" i="627"/>
  <c r="R38" i="627"/>
  <c r="S38" i="627"/>
  <c r="M39" i="627"/>
  <c r="N39" i="627"/>
  <c r="O39" i="627"/>
  <c r="P39" i="627"/>
  <c r="Q39" i="627"/>
  <c r="R39" i="627"/>
  <c r="S39" i="627"/>
  <c r="M40" i="627"/>
  <c r="N40" i="627"/>
  <c r="O40" i="627"/>
  <c r="P40" i="627"/>
  <c r="Q40" i="627"/>
  <c r="R40" i="627"/>
  <c r="S40" i="627"/>
  <c r="M41" i="627"/>
  <c r="N41" i="627"/>
  <c r="O41" i="627"/>
  <c r="P41" i="627"/>
  <c r="Q41" i="627"/>
  <c r="R41" i="627"/>
  <c r="S41" i="627"/>
  <c r="M42" i="627"/>
  <c r="N42" i="627"/>
  <c r="O42" i="627"/>
  <c r="P42" i="627"/>
  <c r="Q42" i="627"/>
  <c r="R42" i="627"/>
  <c r="S42" i="627"/>
  <c r="M43" i="627"/>
  <c r="N43" i="627"/>
  <c r="O43" i="627"/>
  <c r="P43" i="627"/>
  <c r="Q43" i="627"/>
  <c r="R43" i="627"/>
  <c r="S43" i="627"/>
  <c r="M44" i="627"/>
  <c r="N44" i="627"/>
  <c r="O44" i="627"/>
  <c r="P44" i="627"/>
  <c r="Q44" i="627"/>
  <c r="R44" i="627"/>
  <c r="S44" i="627"/>
  <c r="M45" i="627"/>
  <c r="N45" i="627"/>
  <c r="O45" i="627"/>
  <c r="P45" i="627"/>
  <c r="Q45" i="627"/>
  <c r="R45" i="627"/>
  <c r="S45" i="627"/>
  <c r="M46" i="627"/>
  <c r="N46" i="627"/>
  <c r="O46" i="627"/>
  <c r="P46" i="627"/>
  <c r="Q46" i="627"/>
  <c r="R46" i="627"/>
  <c r="S46" i="627"/>
  <c r="M47" i="627"/>
  <c r="N47" i="627"/>
  <c r="O47" i="627"/>
  <c r="P47" i="627"/>
  <c r="Q47" i="627"/>
  <c r="R47" i="627"/>
  <c r="S47" i="627"/>
  <c r="M48" i="627"/>
  <c r="N48" i="627"/>
  <c r="O48" i="627"/>
  <c r="P48" i="627"/>
  <c r="Q48" i="627"/>
  <c r="R48" i="627"/>
  <c r="S48" i="627"/>
  <c r="M49" i="627"/>
  <c r="N49" i="627"/>
  <c r="O49" i="627"/>
  <c r="AC49" i="627" s="1"/>
  <c r="P49" i="627"/>
  <c r="Q49" i="627"/>
  <c r="R49" i="627"/>
  <c r="S49" i="627"/>
  <c r="M50" i="627"/>
  <c r="N50" i="627"/>
  <c r="O50" i="627"/>
  <c r="P50" i="627"/>
  <c r="Q50" i="627"/>
  <c r="R50" i="627"/>
  <c r="S50" i="627"/>
  <c r="M51" i="627"/>
  <c r="N51" i="627"/>
  <c r="O51" i="627"/>
  <c r="P51" i="627"/>
  <c r="Q51" i="627"/>
  <c r="R51" i="627"/>
  <c r="S51" i="627"/>
  <c r="M52" i="627"/>
  <c r="N52" i="627"/>
  <c r="O52" i="627"/>
  <c r="P52" i="627"/>
  <c r="Q52" i="627"/>
  <c r="R52" i="627"/>
  <c r="S52" i="627"/>
  <c r="M53" i="627"/>
  <c r="N53" i="627"/>
  <c r="O53" i="627"/>
  <c r="P53" i="627"/>
  <c r="Q53" i="627"/>
  <c r="R53" i="627"/>
  <c r="S53" i="627"/>
  <c r="M54" i="627"/>
  <c r="N54" i="627"/>
  <c r="O54" i="627"/>
  <c r="P54" i="627"/>
  <c r="Q54" i="627"/>
  <c r="R54" i="627"/>
  <c r="S54" i="627"/>
  <c r="M55" i="627"/>
  <c r="AC55" i="627" s="1"/>
  <c r="N55" i="627"/>
  <c r="O55" i="627"/>
  <c r="P55" i="627"/>
  <c r="Q55" i="627"/>
  <c r="R55" i="627"/>
  <c r="S55" i="627"/>
  <c r="M56" i="627"/>
  <c r="N56" i="627"/>
  <c r="O56" i="627"/>
  <c r="P56" i="627"/>
  <c r="Q56" i="627"/>
  <c r="R56" i="627"/>
  <c r="S56" i="627"/>
  <c r="M57" i="627"/>
  <c r="N57" i="627"/>
  <c r="O57" i="627"/>
  <c r="AC57" i="627" s="1"/>
  <c r="P57" i="627"/>
  <c r="Q57" i="627"/>
  <c r="R57" i="627"/>
  <c r="S57" i="627"/>
  <c r="M58" i="627"/>
  <c r="N58" i="627"/>
  <c r="O58" i="627"/>
  <c r="P58" i="627"/>
  <c r="Q58" i="627"/>
  <c r="R58" i="627"/>
  <c r="S58" i="627"/>
  <c r="M59" i="627"/>
  <c r="N59" i="627"/>
  <c r="O59" i="627"/>
  <c r="P59" i="627"/>
  <c r="Q59" i="627"/>
  <c r="R59" i="627"/>
  <c r="S59" i="627"/>
  <c r="M60" i="627"/>
  <c r="N60" i="627"/>
  <c r="O60" i="627"/>
  <c r="P60" i="627"/>
  <c r="Q60" i="627"/>
  <c r="R60" i="627"/>
  <c r="S60" i="627"/>
  <c r="M61" i="627"/>
  <c r="N61" i="627"/>
  <c r="O61" i="627"/>
  <c r="P61" i="627"/>
  <c r="Q61" i="627"/>
  <c r="R61" i="627"/>
  <c r="S61" i="627"/>
  <c r="M62" i="627"/>
  <c r="N62" i="627"/>
  <c r="O62" i="627"/>
  <c r="P62" i="627"/>
  <c r="Q62" i="627"/>
  <c r="R62" i="627"/>
  <c r="S62" i="627"/>
  <c r="M63" i="627"/>
  <c r="AC63" i="627" s="1"/>
  <c r="N63" i="627"/>
  <c r="O63" i="627"/>
  <c r="P63" i="627"/>
  <c r="Q63" i="627"/>
  <c r="R63" i="627"/>
  <c r="S63" i="627"/>
  <c r="M64" i="627"/>
  <c r="N64" i="627"/>
  <c r="O64" i="627"/>
  <c r="P64" i="627"/>
  <c r="Q64" i="627"/>
  <c r="R64" i="627"/>
  <c r="S64" i="627"/>
  <c r="M65" i="627"/>
  <c r="N65" i="627"/>
  <c r="O65" i="627"/>
  <c r="AC65" i="627" s="1"/>
  <c r="P65" i="627"/>
  <c r="Q65" i="627"/>
  <c r="R65" i="627"/>
  <c r="S65" i="627"/>
  <c r="M66" i="627"/>
  <c r="N66" i="627"/>
  <c r="O66" i="627"/>
  <c r="P66" i="627"/>
  <c r="Q66" i="627"/>
  <c r="R66" i="627"/>
  <c r="S66" i="627"/>
  <c r="M67" i="627"/>
  <c r="N67" i="627"/>
  <c r="O67" i="627"/>
  <c r="P67" i="627"/>
  <c r="Q67" i="627"/>
  <c r="R67" i="627"/>
  <c r="S67" i="627"/>
  <c r="M68" i="627"/>
  <c r="N68" i="627"/>
  <c r="O68" i="627"/>
  <c r="P68" i="627"/>
  <c r="Q68" i="627"/>
  <c r="R68" i="627"/>
  <c r="S68" i="627"/>
  <c r="M69" i="627"/>
  <c r="N69" i="627"/>
  <c r="O69" i="627"/>
  <c r="P69" i="627"/>
  <c r="Q69" i="627"/>
  <c r="R69" i="627"/>
  <c r="S69" i="627"/>
  <c r="M70" i="627"/>
  <c r="N70" i="627"/>
  <c r="O70" i="627"/>
  <c r="P70" i="627"/>
  <c r="Q70" i="627"/>
  <c r="R70" i="627"/>
  <c r="S70" i="627"/>
  <c r="M71" i="627"/>
  <c r="AC71" i="627" s="1"/>
  <c r="N71" i="627"/>
  <c r="O71" i="627"/>
  <c r="P71" i="627"/>
  <c r="Q71" i="627"/>
  <c r="R71" i="627"/>
  <c r="S71" i="627"/>
  <c r="M72" i="627"/>
  <c r="N72" i="627"/>
  <c r="O72" i="627"/>
  <c r="P72" i="627"/>
  <c r="Q72" i="627"/>
  <c r="R72" i="627"/>
  <c r="S72" i="627"/>
  <c r="M73" i="627"/>
  <c r="N73" i="627"/>
  <c r="O73" i="627"/>
  <c r="AC73" i="627" s="1"/>
  <c r="P73" i="627"/>
  <c r="Q73" i="627"/>
  <c r="R73" i="627"/>
  <c r="S73" i="627"/>
  <c r="M74" i="627"/>
  <c r="N74" i="627"/>
  <c r="O74" i="627"/>
  <c r="P74" i="627"/>
  <c r="Q74" i="627"/>
  <c r="R74" i="627"/>
  <c r="S74" i="627"/>
  <c r="M75" i="627"/>
  <c r="N75" i="627"/>
  <c r="O75" i="627"/>
  <c r="P75" i="627"/>
  <c r="Q75" i="627"/>
  <c r="AC75" i="627" s="1"/>
  <c r="R75" i="627"/>
  <c r="S75" i="627"/>
  <c r="M76" i="627"/>
  <c r="N76" i="627"/>
  <c r="O76" i="627"/>
  <c r="P76" i="627"/>
  <c r="Q76" i="627"/>
  <c r="R76" i="627"/>
  <c r="AC76" i="627" s="1"/>
  <c r="S76" i="627"/>
  <c r="M77" i="627"/>
  <c r="N77" i="627"/>
  <c r="O77" i="627"/>
  <c r="P77" i="627"/>
  <c r="Q77" i="627"/>
  <c r="R77" i="627"/>
  <c r="S77" i="627"/>
  <c r="M78" i="627"/>
  <c r="N78" i="627"/>
  <c r="O78" i="627"/>
  <c r="P78" i="627"/>
  <c r="Q78" i="627"/>
  <c r="R78" i="627"/>
  <c r="S78" i="627"/>
  <c r="M79" i="627"/>
  <c r="AC79" i="627" s="1"/>
  <c r="N79" i="627"/>
  <c r="O79" i="627"/>
  <c r="P79" i="627"/>
  <c r="Q79" i="627"/>
  <c r="R79" i="627"/>
  <c r="S79" i="627"/>
  <c r="M80" i="627"/>
  <c r="N80" i="627"/>
  <c r="O80" i="627"/>
  <c r="P80" i="627"/>
  <c r="Q80" i="627"/>
  <c r="R80" i="627"/>
  <c r="S80" i="627"/>
  <c r="M81" i="627"/>
  <c r="N81" i="627"/>
  <c r="O81" i="627"/>
  <c r="AC81" i="627" s="1"/>
  <c r="P81" i="627"/>
  <c r="Q81" i="627"/>
  <c r="R81" i="627"/>
  <c r="S81" i="627"/>
  <c r="M82" i="627"/>
  <c r="N82" i="627"/>
  <c r="O82" i="627"/>
  <c r="P82" i="627"/>
  <c r="Q82" i="627"/>
  <c r="R82" i="627"/>
  <c r="S82" i="627"/>
  <c r="M83" i="627"/>
  <c r="N83" i="627"/>
  <c r="O83" i="627"/>
  <c r="P83" i="627"/>
  <c r="Q83" i="627"/>
  <c r="AC83" i="627" s="1"/>
  <c r="R83" i="627"/>
  <c r="S83" i="627"/>
  <c r="M84" i="627"/>
  <c r="N84" i="627"/>
  <c r="O84" i="627"/>
  <c r="P84" i="627"/>
  <c r="Q84" i="627"/>
  <c r="R84" i="627"/>
  <c r="AC84" i="627" s="1"/>
  <c r="S84" i="627"/>
  <c r="M85" i="627"/>
  <c r="N85" i="627"/>
  <c r="O85" i="627"/>
  <c r="P85" i="627"/>
  <c r="Q85" i="627"/>
  <c r="R85" i="627"/>
  <c r="S85" i="627"/>
  <c r="M86" i="627"/>
  <c r="N86" i="627"/>
  <c r="O86" i="627"/>
  <c r="P86" i="627"/>
  <c r="Q86" i="627"/>
  <c r="R86" i="627"/>
  <c r="S86" i="627"/>
  <c r="M87" i="627"/>
  <c r="AC87" i="627" s="1"/>
  <c r="N87" i="627"/>
  <c r="O87" i="627"/>
  <c r="P87" i="627"/>
  <c r="Q87" i="627"/>
  <c r="R87" i="627"/>
  <c r="S87" i="627"/>
  <c r="M88" i="627"/>
  <c r="N88" i="627"/>
  <c r="O88" i="627"/>
  <c r="P88" i="627"/>
  <c r="Q88" i="627"/>
  <c r="R88" i="627"/>
  <c r="S88" i="627"/>
  <c r="M89" i="627"/>
  <c r="N89" i="627"/>
  <c r="O89" i="627"/>
  <c r="AC89" i="627" s="1"/>
  <c r="P89" i="627"/>
  <c r="Q89" i="627"/>
  <c r="R89" i="627"/>
  <c r="S89" i="627"/>
  <c r="M90" i="627"/>
  <c r="N90" i="627"/>
  <c r="O90" i="627"/>
  <c r="P90" i="627"/>
  <c r="Q90" i="627"/>
  <c r="R90" i="627"/>
  <c r="S90" i="627"/>
  <c r="M91" i="627"/>
  <c r="N91" i="627"/>
  <c r="O91" i="627"/>
  <c r="P91" i="627"/>
  <c r="Q91" i="627"/>
  <c r="AC91" i="627" s="1"/>
  <c r="R91" i="627"/>
  <c r="S91" i="627"/>
  <c r="M92" i="627"/>
  <c r="N92" i="627"/>
  <c r="O92" i="627"/>
  <c r="P92" i="627"/>
  <c r="Q92" i="627"/>
  <c r="R92" i="627"/>
  <c r="AC92" i="627" s="1"/>
  <c r="S92" i="627"/>
  <c r="M93" i="627"/>
  <c r="N93" i="627"/>
  <c r="O93" i="627"/>
  <c r="P93" i="627"/>
  <c r="Q93" i="627"/>
  <c r="R93" i="627"/>
  <c r="S93" i="627"/>
  <c r="M94" i="627"/>
  <c r="N94" i="627"/>
  <c r="O94" i="627"/>
  <c r="P94" i="627"/>
  <c r="Q94" i="627"/>
  <c r="R94" i="627"/>
  <c r="S94" i="627"/>
  <c r="M95" i="627"/>
  <c r="AC95" i="627" s="1"/>
  <c r="N95" i="627"/>
  <c r="O95" i="627"/>
  <c r="P95" i="627"/>
  <c r="Q95" i="627"/>
  <c r="R95" i="627"/>
  <c r="S95" i="627"/>
  <c r="M96" i="627"/>
  <c r="N96" i="627"/>
  <c r="O96" i="627"/>
  <c r="P96" i="627"/>
  <c r="Q96" i="627"/>
  <c r="R96" i="627"/>
  <c r="S96" i="627"/>
  <c r="M97" i="627"/>
  <c r="N97" i="627"/>
  <c r="O97" i="627"/>
  <c r="AC97" i="627" s="1"/>
  <c r="P97" i="627"/>
  <c r="Q97" i="627"/>
  <c r="R97" i="627"/>
  <c r="S97" i="627"/>
  <c r="M98" i="627"/>
  <c r="N98" i="627"/>
  <c r="O98" i="627"/>
  <c r="P98" i="627"/>
  <c r="Q98" i="627"/>
  <c r="R98" i="627"/>
  <c r="S98" i="627"/>
  <c r="M99" i="627"/>
  <c r="N99" i="627"/>
  <c r="O99" i="627"/>
  <c r="P99" i="627"/>
  <c r="Q99" i="627"/>
  <c r="AC99" i="627" s="1"/>
  <c r="R99" i="627"/>
  <c r="S99" i="627"/>
  <c r="M100" i="627"/>
  <c r="N100" i="627"/>
  <c r="O100" i="627"/>
  <c r="P100" i="627"/>
  <c r="Q100" i="627"/>
  <c r="R100" i="627"/>
  <c r="AC100" i="627" s="1"/>
  <c r="S100" i="627"/>
  <c r="M101" i="627"/>
  <c r="N101" i="627"/>
  <c r="O101" i="627"/>
  <c r="P101" i="627"/>
  <c r="Q101" i="627"/>
  <c r="R101" i="627"/>
  <c r="S101" i="627"/>
  <c r="M102" i="627"/>
  <c r="N102" i="627"/>
  <c r="O102" i="627"/>
  <c r="P102" i="627"/>
  <c r="Q102" i="627"/>
  <c r="R102" i="627"/>
  <c r="S102" i="627"/>
  <c r="M103" i="627"/>
  <c r="AC103" i="627" s="1"/>
  <c r="N103" i="627"/>
  <c r="O103" i="627"/>
  <c r="P103" i="627"/>
  <c r="Q103" i="627"/>
  <c r="R103" i="627"/>
  <c r="S103" i="627"/>
  <c r="M104" i="627"/>
  <c r="N104" i="627"/>
  <c r="O104" i="627"/>
  <c r="P104" i="627"/>
  <c r="Q104" i="627"/>
  <c r="R104" i="627"/>
  <c r="S104" i="627"/>
  <c r="M105" i="627"/>
  <c r="N105" i="627"/>
  <c r="O105" i="627"/>
  <c r="AC105" i="627" s="1"/>
  <c r="P105" i="627"/>
  <c r="Q105" i="627"/>
  <c r="R105" i="627"/>
  <c r="S105" i="627"/>
  <c r="M106" i="627"/>
  <c r="N106" i="627"/>
  <c r="O106" i="627"/>
  <c r="P106" i="627"/>
  <c r="Q106" i="627"/>
  <c r="R106" i="627"/>
  <c r="S106" i="627"/>
  <c r="M107" i="627"/>
  <c r="N107" i="627"/>
  <c r="O107" i="627"/>
  <c r="P107" i="627"/>
  <c r="Q107" i="627"/>
  <c r="AC107" i="627" s="1"/>
  <c r="R107" i="627"/>
  <c r="S107" i="627"/>
  <c r="M108" i="627"/>
  <c r="N108" i="627"/>
  <c r="O108" i="627"/>
  <c r="P108" i="627"/>
  <c r="Q108" i="627"/>
  <c r="R108" i="627"/>
  <c r="AC108" i="627" s="1"/>
  <c r="S108" i="627"/>
  <c r="M109" i="627"/>
  <c r="N109" i="627"/>
  <c r="O109" i="627"/>
  <c r="P109" i="627"/>
  <c r="Q109" i="627"/>
  <c r="R109" i="627"/>
  <c r="S109" i="627"/>
  <c r="M110" i="627"/>
  <c r="N110" i="627"/>
  <c r="O110" i="627"/>
  <c r="P110" i="627"/>
  <c r="Q110" i="627"/>
  <c r="R110" i="627"/>
  <c r="S110" i="627"/>
  <c r="M111" i="627"/>
  <c r="AC111" i="627" s="1"/>
  <c r="N111" i="627"/>
  <c r="O111" i="627"/>
  <c r="P111" i="627"/>
  <c r="Q111" i="627"/>
  <c r="R111" i="627"/>
  <c r="S111" i="627"/>
  <c r="M112" i="627"/>
  <c r="N112" i="627"/>
  <c r="O112" i="627"/>
  <c r="P112" i="627"/>
  <c r="Q112" i="627"/>
  <c r="R112" i="627"/>
  <c r="S112" i="627"/>
  <c r="M113" i="627"/>
  <c r="N113" i="627"/>
  <c r="O113" i="627"/>
  <c r="AC113" i="627" s="1"/>
  <c r="P113" i="627"/>
  <c r="Q113" i="627"/>
  <c r="R113" i="627"/>
  <c r="S113" i="627"/>
  <c r="M114" i="627"/>
  <c r="N114" i="627"/>
  <c r="O114" i="627"/>
  <c r="P114" i="627"/>
  <c r="Q114" i="627"/>
  <c r="R114" i="627"/>
  <c r="S114" i="627"/>
  <c r="M115" i="627"/>
  <c r="N115" i="627"/>
  <c r="O115" i="627"/>
  <c r="P115" i="627"/>
  <c r="Q115" i="627"/>
  <c r="AC115" i="627" s="1"/>
  <c r="R115" i="627"/>
  <c r="S115" i="627"/>
  <c r="M116" i="627"/>
  <c r="N116" i="627"/>
  <c r="O116" i="627"/>
  <c r="P116" i="627"/>
  <c r="Q116" i="627"/>
  <c r="R116" i="627"/>
  <c r="AC116" i="627" s="1"/>
  <c r="S116" i="627"/>
  <c r="M117" i="627"/>
  <c r="N117" i="627"/>
  <c r="O117" i="627"/>
  <c r="P117" i="627"/>
  <c r="Q117" i="627"/>
  <c r="R117" i="627"/>
  <c r="S117" i="627"/>
  <c r="M118" i="627"/>
  <c r="N118" i="627"/>
  <c r="O118" i="627"/>
  <c r="P118" i="627"/>
  <c r="Q118" i="627"/>
  <c r="R118" i="627"/>
  <c r="S118" i="627"/>
  <c r="M119" i="627"/>
  <c r="AC119" i="627" s="1"/>
  <c r="N119" i="627"/>
  <c r="O119" i="627"/>
  <c r="P119" i="627"/>
  <c r="Q119" i="627"/>
  <c r="R119" i="627"/>
  <c r="S119" i="627"/>
  <c r="M120" i="627"/>
  <c r="N120" i="627"/>
  <c r="AC120" i="627" s="1"/>
  <c r="O120" i="627"/>
  <c r="P120" i="627"/>
  <c r="Q120" i="627"/>
  <c r="R120" i="627"/>
  <c r="S120" i="627"/>
  <c r="M121" i="627"/>
  <c r="N121" i="627"/>
  <c r="O121" i="627"/>
  <c r="AC121" i="627" s="1"/>
  <c r="P121" i="627"/>
  <c r="Q121" i="627"/>
  <c r="R121" i="627"/>
  <c r="S121" i="627"/>
  <c r="M122" i="627"/>
  <c r="N122" i="627"/>
  <c r="O122" i="627"/>
  <c r="P122" i="627"/>
  <c r="Q122" i="627"/>
  <c r="R122" i="627"/>
  <c r="S122" i="627"/>
  <c r="M123" i="627"/>
  <c r="N123" i="627"/>
  <c r="O123" i="627"/>
  <c r="P123" i="627"/>
  <c r="Q123" i="627"/>
  <c r="AC123" i="627" s="1"/>
  <c r="R123" i="627"/>
  <c r="S123" i="627"/>
  <c r="M124" i="627"/>
  <c r="N124" i="627"/>
  <c r="O124" i="627"/>
  <c r="P124" i="627"/>
  <c r="Q124" i="627"/>
  <c r="R124" i="627"/>
  <c r="AC124" i="627" s="1"/>
  <c r="S124" i="627"/>
  <c r="M125" i="627"/>
  <c r="N125" i="627"/>
  <c r="O125" i="627"/>
  <c r="P125" i="627"/>
  <c r="Q125" i="627"/>
  <c r="R125" i="627"/>
  <c r="S125" i="627"/>
  <c r="M126" i="627"/>
  <c r="N126" i="627"/>
  <c r="O126" i="627"/>
  <c r="P126" i="627"/>
  <c r="Q126" i="627"/>
  <c r="R126" i="627"/>
  <c r="S126" i="627"/>
  <c r="M127" i="627"/>
  <c r="AC127" i="627" s="1"/>
  <c r="N127" i="627"/>
  <c r="O127" i="627"/>
  <c r="P127" i="627"/>
  <c r="Q127" i="627"/>
  <c r="R127" i="627"/>
  <c r="S127" i="627"/>
  <c r="M128" i="627"/>
  <c r="N128" i="627"/>
  <c r="AC128" i="627" s="1"/>
  <c r="O128" i="627"/>
  <c r="P128" i="627"/>
  <c r="Q128" i="627"/>
  <c r="R128" i="627"/>
  <c r="S128" i="627"/>
  <c r="M129" i="627"/>
  <c r="N129" i="627"/>
  <c r="O129" i="627"/>
  <c r="AC129" i="627" s="1"/>
  <c r="P129" i="627"/>
  <c r="Q129" i="627"/>
  <c r="R129" i="627"/>
  <c r="S129" i="627"/>
  <c r="M130" i="627"/>
  <c r="N130" i="627"/>
  <c r="O130" i="627"/>
  <c r="P130" i="627"/>
  <c r="Q130" i="627"/>
  <c r="R130" i="627"/>
  <c r="S130" i="627"/>
  <c r="M131" i="627"/>
  <c r="N131" i="627"/>
  <c r="O131" i="627"/>
  <c r="P131" i="627"/>
  <c r="Q131" i="627"/>
  <c r="AC131" i="627" s="1"/>
  <c r="R131" i="627"/>
  <c r="S131" i="627"/>
  <c r="M132" i="627"/>
  <c r="N132" i="627"/>
  <c r="O132" i="627"/>
  <c r="P132" i="627"/>
  <c r="Q132" i="627"/>
  <c r="R132" i="627"/>
  <c r="AC132" i="627" s="1"/>
  <c r="S132" i="627"/>
  <c r="M133" i="627"/>
  <c r="N133" i="627"/>
  <c r="O133" i="627"/>
  <c r="P133" i="627"/>
  <c r="Q133" i="627"/>
  <c r="R133" i="627"/>
  <c r="S133" i="627"/>
  <c r="M134" i="627"/>
  <c r="N134" i="627"/>
  <c r="O134" i="627"/>
  <c r="P134" i="627"/>
  <c r="Q134" i="627"/>
  <c r="R134" i="627"/>
  <c r="S134" i="627"/>
  <c r="M135" i="627"/>
  <c r="AC135" i="627" s="1"/>
  <c r="N135" i="627"/>
  <c r="O135" i="627"/>
  <c r="P135" i="627"/>
  <c r="Q135" i="627"/>
  <c r="R135" i="627"/>
  <c r="S135" i="627"/>
  <c r="M136" i="627"/>
  <c r="N136" i="627"/>
  <c r="AC136" i="627" s="1"/>
  <c r="O136" i="627"/>
  <c r="P136" i="627"/>
  <c r="Q136" i="627"/>
  <c r="R136" i="627"/>
  <c r="S136" i="627"/>
  <c r="M137" i="627"/>
  <c r="N137" i="627"/>
  <c r="O137" i="627"/>
  <c r="AC137" i="627" s="1"/>
  <c r="P137" i="627"/>
  <c r="Q137" i="627"/>
  <c r="R137" i="627"/>
  <c r="S137" i="627"/>
  <c r="M138" i="627"/>
  <c r="N138" i="627"/>
  <c r="O138" i="627"/>
  <c r="P138" i="627"/>
  <c r="Q138" i="627"/>
  <c r="R138" i="627"/>
  <c r="S138" i="627"/>
  <c r="M139" i="627"/>
  <c r="N139" i="627"/>
  <c r="O139" i="627"/>
  <c r="P139" i="627"/>
  <c r="Q139" i="627"/>
  <c r="AC139" i="627" s="1"/>
  <c r="R139" i="627"/>
  <c r="S139" i="627"/>
  <c r="M140" i="627"/>
  <c r="N140" i="627"/>
  <c r="O140" i="627"/>
  <c r="P140" i="627"/>
  <c r="Q140" i="627"/>
  <c r="R140" i="627"/>
  <c r="AC140" i="627" s="1"/>
  <c r="S140" i="627"/>
  <c r="M141" i="627"/>
  <c r="N141" i="627"/>
  <c r="O141" i="627"/>
  <c r="P141" i="627"/>
  <c r="Q141" i="627"/>
  <c r="R141" i="627"/>
  <c r="S141" i="627"/>
  <c r="M142" i="627"/>
  <c r="N142" i="627"/>
  <c r="O142" i="627"/>
  <c r="P142" i="627"/>
  <c r="Q142" i="627"/>
  <c r="R142" i="627"/>
  <c r="S142" i="627"/>
  <c r="M143" i="627"/>
  <c r="AC143" i="627" s="1"/>
  <c r="N143" i="627"/>
  <c r="O143" i="627"/>
  <c r="P143" i="627"/>
  <c r="Q143" i="627"/>
  <c r="R143" i="627"/>
  <c r="S143" i="627"/>
  <c r="M144" i="627"/>
  <c r="N144" i="627"/>
  <c r="AC144" i="627" s="1"/>
  <c r="O144" i="627"/>
  <c r="P144" i="627"/>
  <c r="Q144" i="627"/>
  <c r="R144" i="627"/>
  <c r="S144" i="627"/>
  <c r="M145" i="627"/>
  <c r="N145" i="627"/>
  <c r="O145" i="627"/>
  <c r="AC145" i="627" s="1"/>
  <c r="P145" i="627"/>
  <c r="Q145" i="627"/>
  <c r="R145" i="627"/>
  <c r="S145" i="627"/>
  <c r="M146" i="627"/>
  <c r="N146" i="627"/>
  <c r="O146" i="627"/>
  <c r="P146" i="627"/>
  <c r="Q146" i="627"/>
  <c r="R146" i="627"/>
  <c r="S146" i="627"/>
  <c r="M147" i="627"/>
  <c r="N147" i="627"/>
  <c r="O147" i="627"/>
  <c r="P147" i="627"/>
  <c r="Q147" i="627"/>
  <c r="AC147" i="627" s="1"/>
  <c r="R147" i="627"/>
  <c r="S147" i="627"/>
  <c r="M148" i="627"/>
  <c r="N148" i="627"/>
  <c r="O148" i="627"/>
  <c r="P148" i="627"/>
  <c r="Q148" i="627"/>
  <c r="R148" i="627"/>
  <c r="AC148" i="627" s="1"/>
  <c r="S148" i="627"/>
  <c r="M149" i="627"/>
  <c r="N149" i="627"/>
  <c r="O149" i="627"/>
  <c r="P149" i="627"/>
  <c r="Q149" i="627"/>
  <c r="R149" i="627"/>
  <c r="S149" i="627"/>
  <c r="M150" i="627"/>
  <c r="N150" i="627"/>
  <c r="O150" i="627"/>
  <c r="P150" i="627"/>
  <c r="Q150" i="627"/>
  <c r="R150" i="627"/>
  <c r="S150" i="627"/>
  <c r="M151" i="627"/>
  <c r="AC151" i="627" s="1"/>
  <c r="N151" i="627"/>
  <c r="O151" i="627"/>
  <c r="P151" i="627"/>
  <c r="Q151" i="627"/>
  <c r="R151" i="627"/>
  <c r="S151" i="627"/>
  <c r="M152" i="627"/>
  <c r="N152" i="627"/>
  <c r="AC152" i="627" s="1"/>
  <c r="O152" i="627"/>
  <c r="P152" i="627"/>
  <c r="Q152" i="627"/>
  <c r="R152" i="627"/>
  <c r="S152" i="627"/>
  <c r="M153" i="627"/>
  <c r="N153" i="627"/>
  <c r="O153" i="627"/>
  <c r="AC153" i="627" s="1"/>
  <c r="P153" i="627"/>
  <c r="Q153" i="627"/>
  <c r="R153" i="627"/>
  <c r="S153" i="627"/>
  <c r="M154" i="627"/>
  <c r="N154" i="627"/>
  <c r="O154" i="627"/>
  <c r="P154" i="627"/>
  <c r="Q154" i="627"/>
  <c r="R154" i="627"/>
  <c r="S154" i="627"/>
  <c r="M155" i="627"/>
  <c r="N155" i="627"/>
  <c r="O155" i="627"/>
  <c r="P155" i="627"/>
  <c r="Q155" i="627"/>
  <c r="AC155" i="627" s="1"/>
  <c r="R155" i="627"/>
  <c r="S155" i="627"/>
  <c r="M156" i="627"/>
  <c r="N156" i="627"/>
  <c r="O156" i="627"/>
  <c r="P156" i="627"/>
  <c r="Q156" i="627"/>
  <c r="R156" i="627"/>
  <c r="AC156" i="627" s="1"/>
  <c r="S156" i="627"/>
  <c r="M157" i="627"/>
  <c r="N157" i="627"/>
  <c r="O157" i="627"/>
  <c r="P157" i="627"/>
  <c r="Q157" i="627"/>
  <c r="R157" i="627"/>
  <c r="S157" i="627"/>
  <c r="M158" i="627"/>
  <c r="N158" i="627"/>
  <c r="O158" i="627"/>
  <c r="P158" i="627"/>
  <c r="Q158" i="627"/>
  <c r="R158" i="627"/>
  <c r="S158" i="627"/>
  <c r="M159" i="627"/>
  <c r="AC159" i="627" s="1"/>
  <c r="N159" i="627"/>
  <c r="O159" i="627"/>
  <c r="P159" i="627"/>
  <c r="Q159" i="627"/>
  <c r="R159" i="627"/>
  <c r="S159" i="627"/>
  <c r="M160" i="627"/>
  <c r="N160" i="627"/>
  <c r="AC160" i="627" s="1"/>
  <c r="O160" i="627"/>
  <c r="P160" i="627"/>
  <c r="Q160" i="627"/>
  <c r="R160" i="627"/>
  <c r="S160" i="627"/>
  <c r="M161" i="627"/>
  <c r="N161" i="627"/>
  <c r="O161" i="627"/>
  <c r="AC161" i="627" s="1"/>
  <c r="P161" i="627"/>
  <c r="Q161" i="627"/>
  <c r="R161" i="627"/>
  <c r="S161" i="627"/>
  <c r="M162" i="627"/>
  <c r="N162" i="627"/>
  <c r="O162" i="627"/>
  <c r="P162" i="627"/>
  <c r="Q162" i="627"/>
  <c r="R162" i="627"/>
  <c r="S162" i="627"/>
  <c r="M163" i="627"/>
  <c r="N163" i="627"/>
  <c r="O163" i="627"/>
  <c r="P163" i="627"/>
  <c r="Q163" i="627"/>
  <c r="AC163" i="627" s="1"/>
  <c r="R163" i="627"/>
  <c r="S163" i="627"/>
  <c r="M164" i="627"/>
  <c r="N164" i="627"/>
  <c r="O164" i="627"/>
  <c r="P164" i="627"/>
  <c r="Q164" i="627"/>
  <c r="R164" i="627"/>
  <c r="AC164" i="627" s="1"/>
  <c r="S164" i="627"/>
  <c r="M165" i="627"/>
  <c r="N165" i="627"/>
  <c r="O165" i="627"/>
  <c r="P165" i="627"/>
  <c r="Q165" i="627"/>
  <c r="R165" i="627"/>
  <c r="S165" i="627"/>
  <c r="M166" i="627"/>
  <c r="N166" i="627"/>
  <c r="O166" i="627"/>
  <c r="P166" i="627"/>
  <c r="Q166" i="627"/>
  <c r="R166" i="627"/>
  <c r="S166" i="627"/>
  <c r="M167" i="627"/>
  <c r="AC167" i="627" s="1"/>
  <c r="N167" i="627"/>
  <c r="O167" i="627"/>
  <c r="P167" i="627"/>
  <c r="Q167" i="627"/>
  <c r="R167" i="627"/>
  <c r="S167" i="627"/>
  <c r="M168" i="627"/>
  <c r="N168" i="627"/>
  <c r="AC168" i="627" s="1"/>
  <c r="O168" i="627"/>
  <c r="P168" i="627"/>
  <c r="Q168" i="627"/>
  <c r="R168" i="627"/>
  <c r="S168" i="627"/>
  <c r="M169" i="627"/>
  <c r="N169" i="627"/>
  <c r="O169" i="627"/>
  <c r="AC169" i="627" s="1"/>
  <c r="P169" i="627"/>
  <c r="Q169" i="627"/>
  <c r="R169" i="627"/>
  <c r="S169" i="627"/>
  <c r="M170" i="627"/>
  <c r="N170" i="627"/>
  <c r="O170" i="627"/>
  <c r="P170" i="627"/>
  <c r="Q170" i="627"/>
  <c r="R170" i="627"/>
  <c r="S170" i="627"/>
  <c r="M171" i="627"/>
  <c r="N171" i="627"/>
  <c r="O171" i="627"/>
  <c r="P171" i="627"/>
  <c r="Q171" i="627"/>
  <c r="AC171" i="627" s="1"/>
  <c r="R171" i="627"/>
  <c r="S171" i="627"/>
  <c r="M172" i="627"/>
  <c r="N172" i="627"/>
  <c r="O172" i="627"/>
  <c r="P172" i="627"/>
  <c r="Q172" i="627"/>
  <c r="R172" i="627"/>
  <c r="AC172" i="627" s="1"/>
  <c r="S172" i="627"/>
  <c r="M173" i="627"/>
  <c r="N173" i="627"/>
  <c r="O173" i="627"/>
  <c r="P173" i="627"/>
  <c r="Q173" i="627"/>
  <c r="R173" i="627"/>
  <c r="S173" i="627"/>
  <c r="M174" i="627"/>
  <c r="N174" i="627"/>
  <c r="O174" i="627"/>
  <c r="P174" i="627"/>
  <c r="Q174" i="627"/>
  <c r="R174" i="627"/>
  <c r="S174" i="627"/>
  <c r="M175" i="627"/>
  <c r="AC175" i="627" s="1"/>
  <c r="N175" i="627"/>
  <c r="O175" i="627"/>
  <c r="P175" i="627"/>
  <c r="Q175" i="627"/>
  <c r="R175" i="627"/>
  <c r="S175" i="627"/>
  <c r="M176" i="627"/>
  <c r="N176" i="627"/>
  <c r="AC176" i="627" s="1"/>
  <c r="O176" i="627"/>
  <c r="P176" i="627"/>
  <c r="Q176" i="627"/>
  <c r="R176" i="627"/>
  <c r="S176" i="627"/>
  <c r="M177" i="627"/>
  <c r="N177" i="627"/>
  <c r="O177" i="627"/>
  <c r="AC177" i="627" s="1"/>
  <c r="P177" i="627"/>
  <c r="Q177" i="627"/>
  <c r="R177" i="627"/>
  <c r="S177" i="627"/>
  <c r="M178" i="627"/>
  <c r="N178" i="627"/>
  <c r="O178" i="627"/>
  <c r="P178" i="627"/>
  <c r="Q178" i="627"/>
  <c r="R178" i="627"/>
  <c r="S178" i="627"/>
  <c r="M179" i="627"/>
  <c r="N179" i="627"/>
  <c r="O179" i="627"/>
  <c r="P179" i="627"/>
  <c r="Q179" i="627"/>
  <c r="AC179" i="627" s="1"/>
  <c r="R179" i="627"/>
  <c r="S179" i="627"/>
  <c r="M180" i="627"/>
  <c r="N180" i="627"/>
  <c r="O180" i="627"/>
  <c r="P180" i="627"/>
  <c r="Q180" i="627"/>
  <c r="R180" i="627"/>
  <c r="AC180" i="627" s="1"/>
  <c r="S180" i="627"/>
  <c r="M181" i="627"/>
  <c r="N181" i="627"/>
  <c r="O181" i="627"/>
  <c r="P181" i="627"/>
  <c r="Q181" i="627"/>
  <c r="R181" i="627"/>
  <c r="S181" i="627"/>
  <c r="M182" i="627"/>
  <c r="N182" i="627"/>
  <c r="O182" i="627"/>
  <c r="P182" i="627"/>
  <c r="Q182" i="627"/>
  <c r="R182" i="627"/>
  <c r="S182" i="627"/>
  <c r="M183" i="627"/>
  <c r="AC183" i="627" s="1"/>
  <c r="N183" i="627"/>
  <c r="O183" i="627"/>
  <c r="P183" i="627"/>
  <c r="Q183" i="627"/>
  <c r="R183" i="627"/>
  <c r="S183" i="627"/>
  <c r="M184" i="627"/>
  <c r="N184" i="627"/>
  <c r="AC184" i="627" s="1"/>
  <c r="O184" i="627"/>
  <c r="P184" i="627"/>
  <c r="Q184" i="627"/>
  <c r="R184" i="627"/>
  <c r="S184" i="627"/>
  <c r="M185" i="627"/>
  <c r="N185" i="627"/>
  <c r="O185" i="627"/>
  <c r="AC185" i="627" s="1"/>
  <c r="P185" i="627"/>
  <c r="Q185" i="627"/>
  <c r="R185" i="627"/>
  <c r="S185" i="627"/>
  <c r="M186" i="627"/>
  <c r="N186" i="627"/>
  <c r="O186" i="627"/>
  <c r="P186" i="627"/>
  <c r="Q186" i="627"/>
  <c r="R186" i="627"/>
  <c r="S186" i="627"/>
  <c r="M187" i="627"/>
  <c r="N187" i="627"/>
  <c r="O187" i="627"/>
  <c r="P187" i="627"/>
  <c r="Q187" i="627"/>
  <c r="AC187" i="627" s="1"/>
  <c r="R187" i="627"/>
  <c r="S187" i="627"/>
  <c r="M188" i="627"/>
  <c r="N188" i="627"/>
  <c r="O188" i="627"/>
  <c r="P188" i="627"/>
  <c r="Q188" i="627"/>
  <c r="R188" i="627"/>
  <c r="AC188" i="627" s="1"/>
  <c r="S188" i="627"/>
  <c r="M189" i="627"/>
  <c r="N189" i="627"/>
  <c r="O189" i="627"/>
  <c r="P189" i="627"/>
  <c r="Q189" i="627"/>
  <c r="R189" i="627"/>
  <c r="S189" i="627"/>
  <c r="M190" i="627"/>
  <c r="N190" i="627"/>
  <c r="O190" i="627"/>
  <c r="P190" i="627"/>
  <c r="Q190" i="627"/>
  <c r="R190" i="627"/>
  <c r="S190" i="627"/>
  <c r="M191" i="627"/>
  <c r="AC191" i="627" s="1"/>
  <c r="N191" i="627"/>
  <c r="O191" i="627"/>
  <c r="P191" i="627"/>
  <c r="Q191" i="627"/>
  <c r="R191" i="627"/>
  <c r="S191" i="627"/>
  <c r="M192" i="627"/>
  <c r="N192" i="627"/>
  <c r="AC192" i="627" s="1"/>
  <c r="O192" i="627"/>
  <c r="P192" i="627"/>
  <c r="Q192" i="627"/>
  <c r="R192" i="627"/>
  <c r="S192" i="627"/>
  <c r="M193" i="627"/>
  <c r="N193" i="627"/>
  <c r="O193" i="627"/>
  <c r="AC193" i="627" s="1"/>
  <c r="P193" i="627"/>
  <c r="Q193" i="627"/>
  <c r="R193" i="627"/>
  <c r="S193" i="627"/>
  <c r="M194" i="627"/>
  <c r="N194" i="627"/>
  <c r="O194" i="627"/>
  <c r="P194" i="627"/>
  <c r="Q194" i="627"/>
  <c r="R194" i="627"/>
  <c r="S194" i="627"/>
  <c r="M195" i="627"/>
  <c r="N195" i="627"/>
  <c r="O195" i="627"/>
  <c r="P195" i="627"/>
  <c r="Q195" i="627"/>
  <c r="AC195" i="627" s="1"/>
  <c r="R195" i="627"/>
  <c r="S195" i="627"/>
  <c r="M196" i="627"/>
  <c r="N196" i="627"/>
  <c r="O196" i="627"/>
  <c r="P196" i="627"/>
  <c r="Q196" i="627"/>
  <c r="R196" i="627"/>
  <c r="AC196" i="627" s="1"/>
  <c r="S196" i="627"/>
  <c r="M197" i="627"/>
  <c r="N197" i="627"/>
  <c r="O197" i="627"/>
  <c r="P197" i="627"/>
  <c r="Q197" i="627"/>
  <c r="R197" i="627"/>
  <c r="S197" i="627"/>
  <c r="M198" i="627"/>
  <c r="N198" i="627"/>
  <c r="O198" i="627"/>
  <c r="P198" i="627"/>
  <c r="Q198" i="627"/>
  <c r="R198" i="627"/>
  <c r="S198" i="627"/>
  <c r="M199" i="627"/>
  <c r="AC199" i="627" s="1"/>
  <c r="N199" i="627"/>
  <c r="O199" i="627"/>
  <c r="P199" i="627"/>
  <c r="Q199" i="627"/>
  <c r="R199" i="627"/>
  <c r="S199" i="627"/>
  <c r="M200" i="627"/>
  <c r="N200" i="627"/>
  <c r="AC200" i="627" s="1"/>
  <c r="O200" i="627"/>
  <c r="P200" i="627"/>
  <c r="Q200" i="627"/>
  <c r="R200" i="627"/>
  <c r="S200" i="627"/>
  <c r="M201" i="627"/>
  <c r="N201" i="627"/>
  <c r="O201" i="627"/>
  <c r="AC201" i="627" s="1"/>
  <c r="P201" i="627"/>
  <c r="Q201" i="627"/>
  <c r="R201" i="627"/>
  <c r="S201" i="627"/>
  <c r="M202" i="627"/>
  <c r="N202" i="627"/>
  <c r="O202" i="627"/>
  <c r="P202" i="627"/>
  <c r="Q202" i="627"/>
  <c r="R202" i="627"/>
  <c r="S202" i="627"/>
  <c r="M203" i="627"/>
  <c r="N203" i="627"/>
  <c r="O203" i="627"/>
  <c r="P203" i="627"/>
  <c r="Q203" i="627"/>
  <c r="AC203" i="627" s="1"/>
  <c r="R203" i="627"/>
  <c r="S203" i="627"/>
  <c r="M204" i="627"/>
  <c r="N204" i="627"/>
  <c r="O204" i="627"/>
  <c r="P204" i="627"/>
  <c r="Q204" i="627"/>
  <c r="R204" i="627"/>
  <c r="AC204" i="627" s="1"/>
  <c r="S204" i="627"/>
  <c r="M205" i="627"/>
  <c r="N205" i="627"/>
  <c r="O205" i="627"/>
  <c r="P205" i="627"/>
  <c r="Q205" i="627"/>
  <c r="R205" i="627"/>
  <c r="S205" i="627"/>
  <c r="M206" i="627"/>
  <c r="N206" i="627"/>
  <c r="O206" i="627"/>
  <c r="P206" i="627"/>
  <c r="Q206" i="627"/>
  <c r="R206" i="627"/>
  <c r="S206" i="627"/>
  <c r="M207" i="627"/>
  <c r="AC207" i="627" s="1"/>
  <c r="N207" i="627"/>
  <c r="O207" i="627"/>
  <c r="P207" i="627"/>
  <c r="Q207" i="627"/>
  <c r="R207" i="627"/>
  <c r="S207" i="627"/>
  <c r="M208" i="627"/>
  <c r="N208" i="627"/>
  <c r="AC208" i="627" s="1"/>
  <c r="O208" i="627"/>
  <c r="P208" i="627"/>
  <c r="Q208" i="627"/>
  <c r="R208" i="627"/>
  <c r="S208" i="627"/>
  <c r="M209" i="627"/>
  <c r="N209" i="627"/>
  <c r="O209" i="627"/>
  <c r="AC209" i="627" s="1"/>
  <c r="P209" i="627"/>
  <c r="Q209" i="627"/>
  <c r="R209" i="627"/>
  <c r="S209" i="627"/>
  <c r="M210" i="627"/>
  <c r="N210" i="627"/>
  <c r="O210" i="627"/>
  <c r="P210" i="627"/>
  <c r="Q210" i="627"/>
  <c r="R210" i="627"/>
  <c r="S210" i="627"/>
  <c r="M211" i="627"/>
  <c r="N211" i="627"/>
  <c r="O211" i="627"/>
  <c r="P211" i="627"/>
  <c r="Q211" i="627"/>
  <c r="AC211" i="627" s="1"/>
  <c r="R211" i="627"/>
  <c r="S211" i="627"/>
  <c r="M212" i="627"/>
  <c r="N212" i="627"/>
  <c r="O212" i="627"/>
  <c r="P212" i="627"/>
  <c r="Q212" i="627"/>
  <c r="R212" i="627"/>
  <c r="AC212" i="627" s="1"/>
  <c r="S212" i="627"/>
  <c r="M213" i="627"/>
  <c r="N213" i="627"/>
  <c r="O213" i="627"/>
  <c r="P213" i="627"/>
  <c r="Q213" i="627"/>
  <c r="R213" i="627"/>
  <c r="S213" i="627"/>
  <c r="M214" i="627"/>
  <c r="N214" i="627"/>
  <c r="O214" i="627"/>
  <c r="P214" i="627"/>
  <c r="Q214" i="627"/>
  <c r="R214" i="627"/>
  <c r="S214" i="627"/>
  <c r="M215" i="627"/>
  <c r="AC215" i="627" s="1"/>
  <c r="N215" i="627"/>
  <c r="O215" i="627"/>
  <c r="P215" i="627"/>
  <c r="Q215" i="627"/>
  <c r="R215" i="627"/>
  <c r="S215" i="627"/>
  <c r="M216" i="627"/>
  <c r="N216" i="627"/>
  <c r="AC216" i="627" s="1"/>
  <c r="O216" i="627"/>
  <c r="P216" i="627"/>
  <c r="Q216" i="627"/>
  <c r="R216" i="627"/>
  <c r="S216" i="627"/>
  <c r="M217" i="627"/>
  <c r="N217" i="627"/>
  <c r="O217" i="627"/>
  <c r="AC217" i="627" s="1"/>
  <c r="P217" i="627"/>
  <c r="Q217" i="627"/>
  <c r="R217" i="627"/>
  <c r="S217" i="627"/>
  <c r="M218" i="627"/>
  <c r="N218" i="627"/>
  <c r="O218" i="627"/>
  <c r="P218" i="627"/>
  <c r="Q218" i="627"/>
  <c r="R218" i="627"/>
  <c r="S218" i="627"/>
  <c r="M219" i="627"/>
  <c r="N219" i="627"/>
  <c r="O219" i="627"/>
  <c r="P219" i="627"/>
  <c r="Q219" i="627"/>
  <c r="AC219" i="627" s="1"/>
  <c r="R219" i="627"/>
  <c r="S219" i="627"/>
  <c r="M220" i="627"/>
  <c r="N220" i="627"/>
  <c r="O220" i="627"/>
  <c r="P220" i="627"/>
  <c r="Q220" i="627"/>
  <c r="R220" i="627"/>
  <c r="AC220" i="627" s="1"/>
  <c r="S220" i="627"/>
  <c r="M221" i="627"/>
  <c r="N221" i="627"/>
  <c r="O221" i="627"/>
  <c r="P221" i="627"/>
  <c r="Q221" i="627"/>
  <c r="R221" i="627"/>
  <c r="S221" i="627"/>
  <c r="M222" i="627"/>
  <c r="N222" i="627"/>
  <c r="O222" i="627"/>
  <c r="P222" i="627"/>
  <c r="Q222" i="627"/>
  <c r="R222" i="627"/>
  <c r="S222" i="627"/>
  <c r="M223" i="627"/>
  <c r="AC223" i="627" s="1"/>
  <c r="N223" i="627"/>
  <c r="O223" i="627"/>
  <c r="P223" i="627"/>
  <c r="Q223" i="627"/>
  <c r="R223" i="627"/>
  <c r="S223" i="627"/>
  <c r="M224" i="627"/>
  <c r="N224" i="627"/>
  <c r="AC224" i="627" s="1"/>
  <c r="O224" i="627"/>
  <c r="P224" i="627"/>
  <c r="Q224" i="627"/>
  <c r="R224" i="627"/>
  <c r="S224" i="627"/>
  <c r="M225" i="627"/>
  <c r="N225" i="627"/>
  <c r="O225" i="627"/>
  <c r="AC225" i="627" s="1"/>
  <c r="P225" i="627"/>
  <c r="Q225" i="627"/>
  <c r="R225" i="627"/>
  <c r="S225" i="627"/>
  <c r="M226" i="627"/>
  <c r="N226" i="627"/>
  <c r="O226" i="627"/>
  <c r="P226" i="627"/>
  <c r="Q226" i="627"/>
  <c r="R226" i="627"/>
  <c r="S226" i="627"/>
  <c r="M227" i="627"/>
  <c r="N227" i="627"/>
  <c r="O227" i="627"/>
  <c r="P227" i="627"/>
  <c r="Q227" i="627"/>
  <c r="AC227" i="627" s="1"/>
  <c r="R227" i="627"/>
  <c r="S227" i="627"/>
  <c r="M228" i="627"/>
  <c r="N228" i="627"/>
  <c r="O228" i="627"/>
  <c r="P228" i="627"/>
  <c r="Q228" i="627"/>
  <c r="R228" i="627"/>
  <c r="AC228" i="627" s="1"/>
  <c r="S228" i="627"/>
  <c r="M229" i="627"/>
  <c r="N229" i="627"/>
  <c r="O229" i="627"/>
  <c r="P229" i="627"/>
  <c r="Q229" i="627"/>
  <c r="R229" i="627"/>
  <c r="S229" i="627"/>
  <c r="M230" i="627"/>
  <c r="N230" i="627"/>
  <c r="O230" i="627"/>
  <c r="P230" i="627"/>
  <c r="Q230" i="627"/>
  <c r="R230" i="627"/>
  <c r="S230" i="627"/>
  <c r="M231" i="627"/>
  <c r="AC231" i="627" s="1"/>
  <c r="N231" i="627"/>
  <c r="O231" i="627"/>
  <c r="P231" i="627"/>
  <c r="Q231" i="627"/>
  <c r="R231" i="627"/>
  <c r="S231" i="627"/>
  <c r="M232" i="627"/>
  <c r="N232" i="627"/>
  <c r="AC232" i="627" s="1"/>
  <c r="O232" i="627"/>
  <c r="P232" i="627"/>
  <c r="Q232" i="627"/>
  <c r="R232" i="627"/>
  <c r="S232" i="627"/>
  <c r="M233" i="627"/>
  <c r="N233" i="627"/>
  <c r="O233" i="627"/>
  <c r="AC233" i="627" s="1"/>
  <c r="P233" i="627"/>
  <c r="Q233" i="627"/>
  <c r="R233" i="627"/>
  <c r="S233" i="627"/>
  <c r="M234" i="627"/>
  <c r="N234" i="627"/>
  <c r="O234" i="627"/>
  <c r="P234" i="627"/>
  <c r="Q234" i="627"/>
  <c r="R234" i="627"/>
  <c r="S234" i="627"/>
  <c r="M235" i="627"/>
  <c r="N235" i="627"/>
  <c r="O235" i="627"/>
  <c r="P235" i="627"/>
  <c r="Q235" i="627"/>
  <c r="AC235" i="627" s="1"/>
  <c r="R235" i="627"/>
  <c r="S235" i="627"/>
  <c r="M236" i="627"/>
  <c r="N236" i="627"/>
  <c r="O236" i="627"/>
  <c r="P236" i="627"/>
  <c r="Q236" i="627"/>
  <c r="R236" i="627"/>
  <c r="AC236" i="627" s="1"/>
  <c r="S236" i="627"/>
  <c r="M237" i="627"/>
  <c r="N237" i="627"/>
  <c r="O237" i="627"/>
  <c r="P237" i="627"/>
  <c r="Q237" i="627"/>
  <c r="R237" i="627"/>
  <c r="S237" i="627"/>
  <c r="M238" i="627"/>
  <c r="N238" i="627"/>
  <c r="O238" i="627"/>
  <c r="P238" i="627"/>
  <c r="Q238" i="627"/>
  <c r="R238" i="627"/>
  <c r="S238" i="627"/>
  <c r="M239" i="627"/>
  <c r="AC239" i="627" s="1"/>
  <c r="N239" i="627"/>
  <c r="O239" i="627"/>
  <c r="P239" i="627"/>
  <c r="Q239" i="627"/>
  <c r="R239" i="627"/>
  <c r="S239" i="627"/>
  <c r="M240" i="627"/>
  <c r="N240" i="627"/>
  <c r="AC240" i="627" s="1"/>
  <c r="O240" i="627"/>
  <c r="P240" i="627"/>
  <c r="Q240" i="627"/>
  <c r="R240" i="627"/>
  <c r="S240" i="627"/>
  <c r="M241" i="627"/>
  <c r="N241" i="627"/>
  <c r="O241" i="627"/>
  <c r="AC241" i="627" s="1"/>
  <c r="P241" i="627"/>
  <c r="Q241" i="627"/>
  <c r="R241" i="627"/>
  <c r="S241" i="627"/>
  <c r="M242" i="627"/>
  <c r="N242" i="627"/>
  <c r="O242" i="627"/>
  <c r="P242" i="627"/>
  <c r="Q242" i="627"/>
  <c r="R242" i="627"/>
  <c r="S242" i="627"/>
  <c r="M243" i="627"/>
  <c r="N243" i="627"/>
  <c r="O243" i="627"/>
  <c r="P243" i="627"/>
  <c r="Q243" i="627"/>
  <c r="AC243" i="627" s="1"/>
  <c r="R243" i="627"/>
  <c r="S243" i="627"/>
  <c r="M244" i="627"/>
  <c r="N244" i="627"/>
  <c r="O244" i="627"/>
  <c r="P244" i="627"/>
  <c r="Q244" i="627"/>
  <c r="R244" i="627"/>
  <c r="AC244" i="627" s="1"/>
  <c r="S244" i="627"/>
  <c r="M245" i="627"/>
  <c r="N245" i="627"/>
  <c r="O245" i="627"/>
  <c r="P245" i="627"/>
  <c r="Q245" i="627"/>
  <c r="R245" i="627"/>
  <c r="S245" i="627"/>
  <c r="M246" i="627"/>
  <c r="N246" i="627"/>
  <c r="O246" i="627"/>
  <c r="P246" i="627"/>
  <c r="Q246" i="627"/>
  <c r="R246" i="627"/>
  <c r="S246" i="627"/>
  <c r="M247" i="627"/>
  <c r="AC247" i="627" s="1"/>
  <c r="N247" i="627"/>
  <c r="O247" i="627"/>
  <c r="P247" i="627"/>
  <c r="Q247" i="627"/>
  <c r="R247" i="627"/>
  <c r="S247" i="627"/>
  <c r="M248" i="627"/>
  <c r="N248" i="627"/>
  <c r="AC248" i="627" s="1"/>
  <c r="O248" i="627"/>
  <c r="P248" i="627"/>
  <c r="Q248" i="627"/>
  <c r="R248" i="627"/>
  <c r="S248" i="627"/>
  <c r="M249" i="627"/>
  <c r="N249" i="627"/>
  <c r="O249" i="627"/>
  <c r="AC249" i="627" s="1"/>
  <c r="P249" i="627"/>
  <c r="Q249" i="627"/>
  <c r="R249" i="627"/>
  <c r="S249" i="627"/>
  <c r="M250" i="627"/>
  <c r="N250" i="627"/>
  <c r="O250" i="627"/>
  <c r="P250" i="627"/>
  <c r="Q250" i="627"/>
  <c r="R250" i="627"/>
  <c r="S250" i="627"/>
  <c r="M251" i="627"/>
  <c r="N251" i="627"/>
  <c r="O251" i="627"/>
  <c r="P251" i="627"/>
  <c r="Q251" i="627"/>
  <c r="AC251" i="627" s="1"/>
  <c r="R251" i="627"/>
  <c r="S251" i="627"/>
  <c r="M252" i="627"/>
  <c r="N252" i="627"/>
  <c r="O252" i="627"/>
  <c r="P252" i="627"/>
  <c r="Q252" i="627"/>
  <c r="R252" i="627"/>
  <c r="AC252" i="627" s="1"/>
  <c r="S252" i="627"/>
  <c r="M253" i="627"/>
  <c r="N253" i="627"/>
  <c r="O253" i="627"/>
  <c r="P253" i="627"/>
  <c r="Q253" i="627"/>
  <c r="R253" i="627"/>
  <c r="S253" i="627"/>
  <c r="AC253" i="627" s="1"/>
  <c r="M254" i="627"/>
  <c r="N254" i="627"/>
  <c r="O254" i="627"/>
  <c r="P254" i="627"/>
  <c r="Q254" i="627"/>
  <c r="R254" i="627"/>
  <c r="S254" i="627"/>
  <c r="M255" i="627"/>
  <c r="AC255" i="627" s="1"/>
  <c r="N255" i="627"/>
  <c r="O255" i="627"/>
  <c r="P255" i="627"/>
  <c r="Q255" i="627"/>
  <c r="R255" i="627"/>
  <c r="S255" i="627"/>
  <c r="M256" i="627"/>
  <c r="N256" i="627"/>
  <c r="AC256" i="627" s="1"/>
  <c r="O256" i="627"/>
  <c r="P256" i="627"/>
  <c r="Q256" i="627"/>
  <c r="R256" i="627"/>
  <c r="S256" i="627"/>
  <c r="M257" i="627"/>
  <c r="N257" i="627"/>
  <c r="O257" i="627"/>
  <c r="AC257" i="627" s="1"/>
  <c r="P257" i="627"/>
  <c r="Q257" i="627"/>
  <c r="R257" i="627"/>
  <c r="S257" i="627"/>
  <c r="M258" i="627"/>
  <c r="N258" i="627"/>
  <c r="O258" i="627"/>
  <c r="P258" i="627"/>
  <c r="AC258" i="627" s="1"/>
  <c r="Q258" i="627"/>
  <c r="R258" i="627"/>
  <c r="S258" i="627"/>
  <c r="M259" i="627"/>
  <c r="N259" i="627"/>
  <c r="O259" i="627"/>
  <c r="P259" i="627"/>
  <c r="Q259" i="627"/>
  <c r="AC259" i="627" s="1"/>
  <c r="R259" i="627"/>
  <c r="S259" i="627"/>
  <c r="M260" i="627"/>
  <c r="N260" i="627"/>
  <c r="O260" i="627"/>
  <c r="P260" i="627"/>
  <c r="Q260" i="627"/>
  <c r="R260" i="627"/>
  <c r="AC260" i="627" s="1"/>
  <c r="S260" i="627"/>
  <c r="M261" i="627"/>
  <c r="N261" i="627"/>
  <c r="O261" i="627"/>
  <c r="P261" i="627"/>
  <c r="Q261" i="627"/>
  <c r="R261" i="627"/>
  <c r="S261" i="627"/>
  <c r="AC261" i="627" s="1"/>
  <c r="M262" i="627"/>
  <c r="N262" i="627"/>
  <c r="O262" i="627"/>
  <c r="P262" i="627"/>
  <c r="Q262" i="627"/>
  <c r="R262" i="627"/>
  <c r="S262" i="627"/>
  <c r="M263" i="627"/>
  <c r="AC263" i="627" s="1"/>
  <c r="N263" i="627"/>
  <c r="O263" i="627"/>
  <c r="P263" i="627"/>
  <c r="Q263" i="627"/>
  <c r="R263" i="627"/>
  <c r="S263" i="627"/>
  <c r="M264" i="627"/>
  <c r="N264" i="627"/>
  <c r="AC264" i="627" s="1"/>
  <c r="O264" i="627"/>
  <c r="P264" i="627"/>
  <c r="Q264" i="627"/>
  <c r="R264" i="627"/>
  <c r="S264" i="627"/>
  <c r="M265" i="627"/>
  <c r="N265" i="627"/>
  <c r="O265" i="627"/>
  <c r="AC265" i="627" s="1"/>
  <c r="P265" i="627"/>
  <c r="Q265" i="627"/>
  <c r="R265" i="627"/>
  <c r="S265" i="627"/>
  <c r="M266" i="627"/>
  <c r="N266" i="627"/>
  <c r="O266" i="627"/>
  <c r="P266" i="627"/>
  <c r="AC266" i="627" s="1"/>
  <c r="Q266" i="627"/>
  <c r="R266" i="627"/>
  <c r="S266" i="627"/>
  <c r="M267" i="627"/>
  <c r="N267" i="627"/>
  <c r="O267" i="627"/>
  <c r="P267" i="627"/>
  <c r="Q267" i="627"/>
  <c r="AC267" i="627" s="1"/>
  <c r="R267" i="627"/>
  <c r="S267" i="627"/>
  <c r="M268" i="627"/>
  <c r="N268" i="627"/>
  <c r="O268" i="627"/>
  <c r="P268" i="627"/>
  <c r="Q268" i="627"/>
  <c r="R268" i="627"/>
  <c r="AC268" i="627" s="1"/>
  <c r="S268" i="627"/>
  <c r="M269" i="627"/>
  <c r="N269" i="627"/>
  <c r="O269" i="627"/>
  <c r="P269" i="627"/>
  <c r="Q269" i="627"/>
  <c r="R269" i="627"/>
  <c r="S269" i="627"/>
  <c r="M270" i="627"/>
  <c r="N270" i="627"/>
  <c r="O270" i="627"/>
  <c r="P270" i="627"/>
  <c r="Q270" i="627"/>
  <c r="R270" i="627"/>
  <c r="S270" i="627"/>
  <c r="M271" i="627"/>
  <c r="AC271" i="627" s="1"/>
  <c r="N271" i="627"/>
  <c r="O271" i="627"/>
  <c r="P271" i="627"/>
  <c r="Q271" i="627"/>
  <c r="R271" i="627"/>
  <c r="S271" i="627"/>
  <c r="M272" i="627"/>
  <c r="N272" i="627"/>
  <c r="AC272" i="627" s="1"/>
  <c r="O272" i="627"/>
  <c r="P272" i="627"/>
  <c r="Q272" i="627"/>
  <c r="R272" i="627"/>
  <c r="S272" i="627"/>
  <c r="M273" i="627"/>
  <c r="N273" i="627"/>
  <c r="O273" i="627"/>
  <c r="AC273" i="627" s="1"/>
  <c r="P273" i="627"/>
  <c r="Q273" i="627"/>
  <c r="R273" i="627"/>
  <c r="S273" i="627"/>
  <c r="M274" i="627"/>
  <c r="N274" i="627"/>
  <c r="O274" i="627"/>
  <c r="P274" i="627"/>
  <c r="AC274" i="627" s="1"/>
  <c r="Q274" i="627"/>
  <c r="R274" i="627"/>
  <c r="S274" i="627"/>
  <c r="M275" i="627"/>
  <c r="N275" i="627"/>
  <c r="O275" i="627"/>
  <c r="P275" i="627"/>
  <c r="Q275" i="627"/>
  <c r="AC275" i="627" s="1"/>
  <c r="R275" i="627"/>
  <c r="S275" i="627"/>
  <c r="M276" i="627"/>
  <c r="N276" i="627"/>
  <c r="O276" i="627"/>
  <c r="P276" i="627"/>
  <c r="Q276" i="627"/>
  <c r="R276" i="627"/>
  <c r="AC276" i="627" s="1"/>
  <c r="S276" i="627"/>
  <c r="M277" i="627"/>
  <c r="N277" i="627"/>
  <c r="O277" i="627"/>
  <c r="P277" i="627"/>
  <c r="Q277" i="627"/>
  <c r="R277" i="627"/>
  <c r="S277" i="627"/>
  <c r="M278" i="627"/>
  <c r="N278" i="627"/>
  <c r="O278" i="627"/>
  <c r="P278" i="627"/>
  <c r="Q278" i="627"/>
  <c r="R278" i="627"/>
  <c r="S278" i="627"/>
  <c r="M279" i="627"/>
  <c r="AC279" i="627" s="1"/>
  <c r="N279" i="627"/>
  <c r="O279" i="627"/>
  <c r="P279" i="627"/>
  <c r="Q279" i="627"/>
  <c r="R279" i="627"/>
  <c r="S279" i="627"/>
  <c r="M280" i="627"/>
  <c r="N280" i="627"/>
  <c r="AC280" i="627" s="1"/>
  <c r="O280" i="627"/>
  <c r="P280" i="627"/>
  <c r="Q280" i="627"/>
  <c r="R280" i="627"/>
  <c r="S280" i="627"/>
  <c r="M281" i="627"/>
  <c r="N281" i="627"/>
  <c r="O281" i="627"/>
  <c r="AC281" i="627" s="1"/>
  <c r="P281" i="627"/>
  <c r="Q281" i="627"/>
  <c r="R281" i="627"/>
  <c r="S281" i="627"/>
  <c r="M282" i="627"/>
  <c r="N282" i="627"/>
  <c r="O282" i="627"/>
  <c r="P282" i="627"/>
  <c r="AC282" i="627" s="1"/>
  <c r="Q282" i="627"/>
  <c r="R282" i="627"/>
  <c r="S282" i="627"/>
  <c r="M283" i="627"/>
  <c r="N283" i="627"/>
  <c r="O283" i="627"/>
  <c r="P283" i="627"/>
  <c r="Q283" i="627"/>
  <c r="AC283" i="627" s="1"/>
  <c r="R283" i="627"/>
  <c r="S283" i="627"/>
  <c r="M284" i="627"/>
  <c r="N284" i="627"/>
  <c r="O284" i="627"/>
  <c r="P284" i="627"/>
  <c r="Q284" i="627"/>
  <c r="R284" i="627"/>
  <c r="AC284" i="627" s="1"/>
  <c r="S284" i="627"/>
  <c r="M285" i="627"/>
  <c r="N285" i="627"/>
  <c r="O285" i="627"/>
  <c r="P285" i="627"/>
  <c r="Q285" i="627"/>
  <c r="R285" i="627"/>
  <c r="S285" i="627"/>
  <c r="M286" i="627"/>
  <c r="N286" i="627"/>
  <c r="O286" i="627"/>
  <c r="P286" i="627"/>
  <c r="Q286" i="627"/>
  <c r="R286" i="627"/>
  <c r="S286" i="627"/>
  <c r="M287" i="627"/>
  <c r="AC287" i="627" s="1"/>
  <c r="N287" i="627"/>
  <c r="O287" i="627"/>
  <c r="P287" i="627"/>
  <c r="Q287" i="627"/>
  <c r="R287" i="627"/>
  <c r="S287" i="627"/>
  <c r="M288" i="627"/>
  <c r="N288" i="627"/>
  <c r="AC288" i="627" s="1"/>
  <c r="O288" i="627"/>
  <c r="P288" i="627"/>
  <c r="Q288" i="627"/>
  <c r="R288" i="627"/>
  <c r="S288" i="627"/>
  <c r="M289" i="627"/>
  <c r="N289" i="627"/>
  <c r="O289" i="627"/>
  <c r="AC289" i="627" s="1"/>
  <c r="P289" i="627"/>
  <c r="Q289" i="627"/>
  <c r="R289" i="627"/>
  <c r="S289" i="627"/>
  <c r="M290" i="627"/>
  <c r="N290" i="627"/>
  <c r="O290" i="627"/>
  <c r="P290" i="627"/>
  <c r="Q290" i="627"/>
  <c r="R290" i="627"/>
  <c r="S290" i="627"/>
  <c r="M291" i="627"/>
  <c r="N291" i="627"/>
  <c r="O291" i="627"/>
  <c r="P291" i="627"/>
  <c r="Q291" i="627"/>
  <c r="AC291" i="627" s="1"/>
  <c r="R291" i="627"/>
  <c r="S291" i="627"/>
  <c r="M292" i="627"/>
  <c r="N292" i="627"/>
  <c r="O292" i="627"/>
  <c r="P292" i="627"/>
  <c r="Q292" i="627"/>
  <c r="R292" i="627"/>
  <c r="AC292" i="627" s="1"/>
  <c r="S292" i="627"/>
  <c r="M293" i="627"/>
  <c r="N293" i="627"/>
  <c r="O293" i="627"/>
  <c r="P293" i="627"/>
  <c r="Q293" i="627"/>
  <c r="R293" i="627"/>
  <c r="S293" i="627"/>
  <c r="AC293" i="627" s="1"/>
  <c r="M294" i="627"/>
  <c r="N294" i="627"/>
  <c r="O294" i="627"/>
  <c r="P294" i="627"/>
  <c r="Q294" i="627"/>
  <c r="R294" i="627"/>
  <c r="S294" i="627"/>
  <c r="M295" i="627"/>
  <c r="AC295" i="627" s="1"/>
  <c r="N295" i="627"/>
  <c r="O295" i="627"/>
  <c r="P295" i="627"/>
  <c r="Q295" i="627"/>
  <c r="R295" i="627"/>
  <c r="S295" i="627"/>
  <c r="M296" i="627"/>
  <c r="N296" i="627"/>
  <c r="AC296" i="627" s="1"/>
  <c r="O296" i="627"/>
  <c r="P296" i="627"/>
  <c r="Q296" i="627"/>
  <c r="R296" i="627"/>
  <c r="S296" i="627"/>
  <c r="M297" i="627"/>
  <c r="N297" i="627"/>
  <c r="O297" i="627"/>
  <c r="AC297" i="627" s="1"/>
  <c r="P297" i="627"/>
  <c r="Q297" i="627"/>
  <c r="R297" i="627"/>
  <c r="S297" i="627"/>
  <c r="M298" i="627"/>
  <c r="N298" i="627"/>
  <c r="O298" i="627"/>
  <c r="P298" i="627"/>
  <c r="Q298" i="627"/>
  <c r="R298" i="627"/>
  <c r="S298" i="627"/>
  <c r="M299" i="627"/>
  <c r="N299" i="627"/>
  <c r="O299" i="627"/>
  <c r="P299" i="627"/>
  <c r="Q299" i="627"/>
  <c r="AC299" i="627" s="1"/>
  <c r="R299" i="627"/>
  <c r="S299" i="627"/>
  <c r="M300" i="627"/>
  <c r="N300" i="627"/>
  <c r="O300" i="627"/>
  <c r="P300" i="627"/>
  <c r="Q300" i="627"/>
  <c r="R300" i="627"/>
  <c r="AC300" i="627" s="1"/>
  <c r="S300" i="627"/>
  <c r="M301" i="627"/>
  <c r="N301" i="627"/>
  <c r="O301" i="627"/>
  <c r="P301" i="627"/>
  <c r="Q301" i="627"/>
  <c r="R301" i="627"/>
  <c r="S301" i="627"/>
  <c r="AC301" i="627" s="1"/>
  <c r="M302" i="627"/>
  <c r="N302" i="627"/>
  <c r="O302" i="627"/>
  <c r="P302" i="627"/>
  <c r="Q302" i="627"/>
  <c r="R302" i="627"/>
  <c r="S302" i="627"/>
  <c r="M303" i="627"/>
  <c r="AC303" i="627" s="1"/>
  <c r="N303" i="627"/>
  <c r="O303" i="627"/>
  <c r="P303" i="627"/>
  <c r="Q303" i="627"/>
  <c r="R303" i="627"/>
  <c r="S303" i="627"/>
  <c r="M304" i="627"/>
  <c r="N304" i="627"/>
  <c r="AC304" i="627" s="1"/>
  <c r="O304" i="627"/>
  <c r="P304" i="627"/>
  <c r="Q304" i="627"/>
  <c r="R304" i="627"/>
  <c r="S304" i="627"/>
  <c r="M305" i="627"/>
  <c r="N305" i="627"/>
  <c r="O305" i="627"/>
  <c r="AC305" i="627" s="1"/>
  <c r="P305" i="627"/>
  <c r="Q305" i="627"/>
  <c r="R305" i="627"/>
  <c r="S305" i="627"/>
  <c r="M306" i="627"/>
  <c r="N306" i="627"/>
  <c r="O306" i="627"/>
  <c r="P306" i="627"/>
  <c r="Q306" i="627"/>
  <c r="R306" i="627"/>
  <c r="S306" i="627"/>
  <c r="M307" i="627"/>
  <c r="N307" i="627"/>
  <c r="O307" i="627"/>
  <c r="P307" i="627"/>
  <c r="Q307" i="627"/>
  <c r="AC307" i="627" s="1"/>
  <c r="R307" i="627"/>
  <c r="S307" i="627"/>
  <c r="M308" i="627"/>
  <c r="N308" i="627"/>
  <c r="O308" i="627"/>
  <c r="P308" i="627"/>
  <c r="Q308" i="627"/>
  <c r="R308" i="627"/>
  <c r="AC308" i="627" s="1"/>
  <c r="S308" i="627"/>
  <c r="M309" i="627"/>
  <c r="N309" i="627"/>
  <c r="O309" i="627"/>
  <c r="P309" i="627"/>
  <c r="Q309" i="627"/>
  <c r="R309" i="627"/>
  <c r="S309" i="627"/>
  <c r="AC309" i="627" s="1"/>
  <c r="M310" i="627"/>
  <c r="N310" i="627"/>
  <c r="O310" i="627"/>
  <c r="P310" i="627"/>
  <c r="Q310" i="627"/>
  <c r="R310" i="627"/>
  <c r="S310" i="627"/>
  <c r="M311" i="627"/>
  <c r="AC311" i="627" s="1"/>
  <c r="N311" i="627"/>
  <c r="O311" i="627"/>
  <c r="P311" i="627"/>
  <c r="Q311" i="627"/>
  <c r="R311" i="627"/>
  <c r="S311" i="627"/>
  <c r="M312" i="627"/>
  <c r="N312" i="627"/>
  <c r="AC312" i="627" s="1"/>
  <c r="O312" i="627"/>
  <c r="P312" i="627"/>
  <c r="Q312" i="627"/>
  <c r="R312" i="627"/>
  <c r="S312" i="627"/>
  <c r="M313" i="627"/>
  <c r="N313" i="627"/>
  <c r="O313" i="627"/>
  <c r="AC313" i="627" s="1"/>
  <c r="P313" i="627"/>
  <c r="Q313" i="627"/>
  <c r="R313" i="627"/>
  <c r="S313" i="627"/>
  <c r="M314" i="627"/>
  <c r="N314" i="627"/>
  <c r="O314" i="627"/>
  <c r="P314" i="627"/>
  <c r="AC314" i="627" s="1"/>
  <c r="Q314" i="627"/>
  <c r="R314" i="627"/>
  <c r="S314" i="627"/>
  <c r="M315" i="627"/>
  <c r="N315" i="627"/>
  <c r="O315" i="627"/>
  <c r="P315" i="627"/>
  <c r="Q315" i="627"/>
  <c r="AC315" i="627" s="1"/>
  <c r="R315" i="627"/>
  <c r="S315" i="627"/>
  <c r="M316" i="627"/>
  <c r="N316" i="627"/>
  <c r="O316" i="627"/>
  <c r="P316" i="627"/>
  <c r="Q316" i="627"/>
  <c r="R316" i="627"/>
  <c r="AC316" i="627" s="1"/>
  <c r="S316" i="627"/>
  <c r="M317" i="627"/>
  <c r="N317" i="627"/>
  <c r="O317" i="627"/>
  <c r="P317" i="627"/>
  <c r="Q317" i="627"/>
  <c r="R317" i="627"/>
  <c r="S317" i="627"/>
  <c r="AC317" i="627" s="1"/>
  <c r="M318" i="627"/>
  <c r="N318" i="627"/>
  <c r="O318" i="627"/>
  <c r="P318" i="627"/>
  <c r="Q318" i="627"/>
  <c r="R318" i="627"/>
  <c r="S318" i="627"/>
  <c r="M319" i="627"/>
  <c r="AC319" i="627" s="1"/>
  <c r="N319" i="627"/>
  <c r="O319" i="627"/>
  <c r="P319" i="627"/>
  <c r="Q319" i="627"/>
  <c r="R319" i="627"/>
  <c r="S319" i="627"/>
  <c r="M320" i="627"/>
  <c r="N320" i="627"/>
  <c r="AC320" i="627" s="1"/>
  <c r="O320" i="627"/>
  <c r="P320" i="627"/>
  <c r="Q320" i="627"/>
  <c r="R320" i="627"/>
  <c r="S320" i="627"/>
  <c r="M321" i="627"/>
  <c r="N321" i="627"/>
  <c r="O321" i="627"/>
  <c r="AC321" i="627" s="1"/>
  <c r="P321" i="627"/>
  <c r="Q321" i="627"/>
  <c r="R321" i="627"/>
  <c r="S321" i="627"/>
  <c r="M322" i="627"/>
  <c r="N322" i="627"/>
  <c r="O322" i="627"/>
  <c r="P322" i="627"/>
  <c r="AC322" i="627" s="1"/>
  <c r="Q322" i="627"/>
  <c r="R322" i="627"/>
  <c r="S322" i="627"/>
  <c r="M323" i="627"/>
  <c r="N323" i="627"/>
  <c r="O323" i="627"/>
  <c r="P323" i="627"/>
  <c r="Q323" i="627"/>
  <c r="AC323" i="627" s="1"/>
  <c r="R323" i="627"/>
  <c r="S323" i="627"/>
  <c r="M324" i="627"/>
  <c r="N324" i="627"/>
  <c r="O324" i="627"/>
  <c r="P324" i="627"/>
  <c r="Q324" i="627"/>
  <c r="R324" i="627"/>
  <c r="AC324" i="627" s="1"/>
  <c r="S324" i="627"/>
  <c r="M325" i="627"/>
  <c r="N325" i="627"/>
  <c r="O325" i="627"/>
  <c r="P325" i="627"/>
  <c r="Q325" i="627"/>
  <c r="R325" i="627"/>
  <c r="S325" i="627"/>
  <c r="AC325" i="627" s="1"/>
  <c r="M326" i="627"/>
  <c r="N326" i="627"/>
  <c r="O326" i="627"/>
  <c r="P326" i="627"/>
  <c r="Q326" i="627"/>
  <c r="R326" i="627"/>
  <c r="S326" i="627"/>
  <c r="M327" i="627"/>
  <c r="AC327" i="627" s="1"/>
  <c r="N327" i="627"/>
  <c r="O327" i="627"/>
  <c r="P327" i="627"/>
  <c r="Q327" i="627"/>
  <c r="R327" i="627"/>
  <c r="S327" i="627"/>
  <c r="M328" i="627"/>
  <c r="N328" i="627"/>
  <c r="AC328" i="627" s="1"/>
  <c r="O328" i="627"/>
  <c r="P328" i="627"/>
  <c r="Q328" i="627"/>
  <c r="R328" i="627"/>
  <c r="S328" i="627"/>
  <c r="M329" i="627"/>
  <c r="N329" i="627"/>
  <c r="O329" i="627"/>
  <c r="AC329" i="627" s="1"/>
  <c r="P329" i="627"/>
  <c r="Q329" i="627"/>
  <c r="R329" i="627"/>
  <c r="S329" i="627"/>
  <c r="M330" i="627"/>
  <c r="N330" i="627"/>
  <c r="O330" i="627"/>
  <c r="P330" i="627"/>
  <c r="AC330" i="627" s="1"/>
  <c r="Q330" i="627"/>
  <c r="R330" i="627"/>
  <c r="S330" i="627"/>
  <c r="M331" i="627"/>
  <c r="N331" i="627"/>
  <c r="O331" i="627"/>
  <c r="P331" i="627"/>
  <c r="Q331" i="627"/>
  <c r="AC331" i="627" s="1"/>
  <c r="R331" i="627"/>
  <c r="S331" i="627"/>
  <c r="M332" i="627"/>
  <c r="N332" i="627"/>
  <c r="O332" i="627"/>
  <c r="P332" i="627"/>
  <c r="Q332" i="627"/>
  <c r="R332" i="627"/>
  <c r="AC332" i="627" s="1"/>
  <c r="S332" i="627"/>
  <c r="M333" i="627"/>
  <c r="N333" i="627"/>
  <c r="O333" i="627"/>
  <c r="P333" i="627"/>
  <c r="Q333" i="627"/>
  <c r="R333" i="627"/>
  <c r="S333" i="627"/>
  <c r="M334" i="627"/>
  <c r="N334" i="627"/>
  <c r="O334" i="627"/>
  <c r="P334" i="627"/>
  <c r="Q334" i="627"/>
  <c r="R334" i="627"/>
  <c r="S334" i="627"/>
  <c r="M335" i="627"/>
  <c r="AC335" i="627" s="1"/>
  <c r="N335" i="627"/>
  <c r="O335" i="627"/>
  <c r="P335" i="627"/>
  <c r="Q335" i="627"/>
  <c r="R335" i="627"/>
  <c r="S335" i="627"/>
  <c r="M336" i="627"/>
  <c r="N336" i="627"/>
  <c r="AC336" i="627" s="1"/>
  <c r="O336" i="627"/>
  <c r="P336" i="627"/>
  <c r="Q336" i="627"/>
  <c r="R336" i="627"/>
  <c r="S336" i="627"/>
  <c r="M337" i="627"/>
  <c r="N337" i="627"/>
  <c r="O337" i="627"/>
  <c r="AC337" i="627" s="1"/>
  <c r="P337" i="627"/>
  <c r="Q337" i="627"/>
  <c r="R337" i="627"/>
  <c r="S337" i="627"/>
  <c r="M338" i="627"/>
  <c r="N338" i="627"/>
  <c r="O338" i="627"/>
  <c r="P338" i="627"/>
  <c r="AC338" i="627" s="1"/>
  <c r="Q338" i="627"/>
  <c r="R338" i="627"/>
  <c r="S338" i="627"/>
  <c r="M339" i="627"/>
  <c r="N339" i="627"/>
  <c r="O339" i="627"/>
  <c r="P339" i="627"/>
  <c r="Q339" i="627"/>
  <c r="AC339" i="627" s="1"/>
  <c r="R339" i="627"/>
  <c r="S339" i="627"/>
  <c r="M340" i="627"/>
  <c r="N340" i="627"/>
  <c r="O340" i="627"/>
  <c r="P340" i="627"/>
  <c r="Q340" i="627"/>
  <c r="R340" i="627"/>
  <c r="AC340" i="627" s="1"/>
  <c r="S340" i="627"/>
  <c r="M341" i="627"/>
  <c r="N341" i="627"/>
  <c r="O341" i="627"/>
  <c r="P341" i="627"/>
  <c r="Q341" i="627"/>
  <c r="R341" i="627"/>
  <c r="S341" i="627"/>
  <c r="AC341" i="627" s="1"/>
  <c r="M342" i="627"/>
  <c r="N342" i="627"/>
  <c r="O342" i="627"/>
  <c r="P342" i="627"/>
  <c r="Q342" i="627"/>
  <c r="R342" i="627"/>
  <c r="S342" i="627"/>
  <c r="M343" i="627"/>
  <c r="AC343" i="627" s="1"/>
  <c r="N343" i="627"/>
  <c r="O343" i="627"/>
  <c r="P343" i="627"/>
  <c r="Q343" i="627"/>
  <c r="R343" i="627"/>
  <c r="S343" i="627"/>
  <c r="M344" i="627"/>
  <c r="N344" i="627"/>
  <c r="AC344" i="627" s="1"/>
  <c r="O344" i="627"/>
  <c r="P344" i="627"/>
  <c r="Q344" i="627"/>
  <c r="R344" i="627"/>
  <c r="S344" i="627"/>
  <c r="M345" i="627"/>
  <c r="N345" i="627"/>
  <c r="O345" i="627"/>
  <c r="AC345" i="627" s="1"/>
  <c r="P345" i="627"/>
  <c r="Q345" i="627"/>
  <c r="R345" i="627"/>
  <c r="S345" i="627"/>
  <c r="M346" i="627"/>
  <c r="N346" i="627"/>
  <c r="O346" i="627"/>
  <c r="P346" i="627"/>
  <c r="AC346" i="627" s="1"/>
  <c r="Q346" i="627"/>
  <c r="R346" i="627"/>
  <c r="S346" i="627"/>
  <c r="M347" i="627"/>
  <c r="N347" i="627"/>
  <c r="O347" i="627"/>
  <c r="P347" i="627"/>
  <c r="Q347" i="627"/>
  <c r="AC347" i="627" s="1"/>
  <c r="R347" i="627"/>
  <c r="S347" i="627"/>
  <c r="M348" i="627"/>
  <c r="N348" i="627"/>
  <c r="O348" i="627"/>
  <c r="P348" i="627"/>
  <c r="Q348" i="627"/>
  <c r="R348" i="627"/>
  <c r="AC348" i="627" s="1"/>
  <c r="S348" i="627"/>
  <c r="M349" i="627"/>
  <c r="N349" i="627"/>
  <c r="O349" i="627"/>
  <c r="P349" i="627"/>
  <c r="Q349" i="627"/>
  <c r="R349" i="627"/>
  <c r="S349" i="627"/>
  <c r="M350" i="627"/>
  <c r="N350" i="627"/>
  <c r="O350" i="627"/>
  <c r="P350" i="627"/>
  <c r="Q350" i="627"/>
  <c r="R350" i="627"/>
  <c r="S350" i="627"/>
  <c r="M351" i="627"/>
  <c r="AC351" i="627" s="1"/>
  <c r="N351" i="627"/>
  <c r="O351" i="627"/>
  <c r="P351" i="627"/>
  <c r="Q351" i="627"/>
  <c r="R351" i="627"/>
  <c r="S351" i="627"/>
  <c r="M352" i="627"/>
  <c r="N352" i="627"/>
  <c r="AC352" i="627" s="1"/>
  <c r="O352" i="627"/>
  <c r="P352" i="627"/>
  <c r="Q352" i="627"/>
  <c r="R352" i="627"/>
  <c r="S352" i="627"/>
  <c r="M353" i="627"/>
  <c r="N353" i="627"/>
  <c r="O353" i="627"/>
  <c r="AC353" i="627" s="1"/>
  <c r="P353" i="627"/>
  <c r="Q353" i="627"/>
  <c r="R353" i="627"/>
  <c r="S353" i="627"/>
  <c r="M354" i="627"/>
  <c r="N354" i="627"/>
  <c r="O354" i="627"/>
  <c r="P354" i="627"/>
  <c r="Q354" i="627"/>
  <c r="R354" i="627"/>
  <c r="S354" i="627"/>
  <c r="M355" i="627"/>
  <c r="N355" i="627"/>
  <c r="O355" i="627"/>
  <c r="P355" i="627"/>
  <c r="Q355" i="627"/>
  <c r="AC355" i="627" s="1"/>
  <c r="R355" i="627"/>
  <c r="S355" i="627"/>
  <c r="M356" i="627"/>
  <c r="N356" i="627"/>
  <c r="O356" i="627"/>
  <c r="P356" i="627"/>
  <c r="Q356" i="627"/>
  <c r="R356" i="627"/>
  <c r="AC356" i="627" s="1"/>
  <c r="S356" i="627"/>
  <c r="M357" i="627"/>
  <c r="N357" i="627"/>
  <c r="O357" i="627"/>
  <c r="P357" i="627"/>
  <c r="Q357" i="627"/>
  <c r="R357" i="627"/>
  <c r="S357" i="627"/>
  <c r="AC357" i="627" s="1"/>
  <c r="M358" i="627"/>
  <c r="N358" i="627"/>
  <c r="O358" i="627"/>
  <c r="P358" i="627"/>
  <c r="Q358" i="627"/>
  <c r="R358" i="627"/>
  <c r="S358" i="627"/>
  <c r="M359" i="627"/>
  <c r="AC359" i="627" s="1"/>
  <c r="N359" i="627"/>
  <c r="O359" i="627"/>
  <c r="P359" i="627"/>
  <c r="Q359" i="627"/>
  <c r="R359" i="627"/>
  <c r="S359" i="627"/>
  <c r="M360" i="627"/>
  <c r="N360" i="627"/>
  <c r="AC360" i="627" s="1"/>
  <c r="O360" i="627"/>
  <c r="P360" i="627"/>
  <c r="Q360" i="627"/>
  <c r="R360" i="627"/>
  <c r="S360" i="627"/>
  <c r="M361" i="627"/>
  <c r="N361" i="627"/>
  <c r="O361" i="627"/>
  <c r="AC361" i="627" s="1"/>
  <c r="P361" i="627"/>
  <c r="Q361" i="627"/>
  <c r="R361" i="627"/>
  <c r="S361" i="627"/>
  <c r="M362" i="627"/>
  <c r="N362" i="627"/>
  <c r="O362" i="627"/>
  <c r="P362" i="627"/>
  <c r="AC362" i="627" s="1"/>
  <c r="Q362" i="627"/>
  <c r="R362" i="627"/>
  <c r="S362" i="627"/>
  <c r="M363" i="627"/>
  <c r="N363" i="627"/>
  <c r="O363" i="627"/>
  <c r="P363" i="627"/>
  <c r="Q363" i="627"/>
  <c r="AC363" i="627" s="1"/>
  <c r="R363" i="627"/>
  <c r="S363" i="627"/>
  <c r="M364" i="627"/>
  <c r="N364" i="627"/>
  <c r="O364" i="627"/>
  <c r="P364" i="627"/>
  <c r="Q364" i="627"/>
  <c r="R364" i="627"/>
  <c r="AC364" i="627" s="1"/>
  <c r="S364" i="627"/>
  <c r="M365" i="627"/>
  <c r="N365" i="627"/>
  <c r="O365" i="627"/>
  <c r="P365" i="627"/>
  <c r="Q365" i="627"/>
  <c r="R365" i="627"/>
  <c r="S365" i="627"/>
  <c r="AC365" i="627" s="1"/>
  <c r="M366" i="627"/>
  <c r="N366" i="627"/>
  <c r="O366" i="627"/>
  <c r="P366" i="627"/>
  <c r="Q366" i="627"/>
  <c r="R366" i="627"/>
  <c r="S366" i="627"/>
  <c r="M367" i="627"/>
  <c r="AC367" i="627" s="1"/>
  <c r="N367" i="627"/>
  <c r="O367" i="627"/>
  <c r="P367" i="627"/>
  <c r="Q367" i="627"/>
  <c r="R367" i="627"/>
  <c r="S367" i="627"/>
  <c r="M368" i="627"/>
  <c r="N368" i="627"/>
  <c r="AC368" i="627" s="1"/>
  <c r="O368" i="627"/>
  <c r="P368" i="627"/>
  <c r="Q368" i="627"/>
  <c r="R368" i="627"/>
  <c r="S368" i="627"/>
  <c r="M369" i="627"/>
  <c r="N369" i="627"/>
  <c r="O369" i="627"/>
  <c r="AC369" i="627" s="1"/>
  <c r="P369" i="627"/>
  <c r="Q369" i="627"/>
  <c r="R369" i="627"/>
  <c r="S369" i="627"/>
  <c r="M370" i="627"/>
  <c r="N370" i="627"/>
  <c r="O370" i="627"/>
  <c r="P370" i="627"/>
  <c r="Q370" i="627"/>
  <c r="R370" i="627"/>
  <c r="S370" i="627"/>
  <c r="M371" i="627"/>
  <c r="N371" i="627"/>
  <c r="O371" i="627"/>
  <c r="P371" i="627"/>
  <c r="Q371" i="627"/>
  <c r="AC371" i="627" s="1"/>
  <c r="R371" i="627"/>
  <c r="S371" i="627"/>
  <c r="M372" i="627"/>
  <c r="N372" i="627"/>
  <c r="O372" i="627"/>
  <c r="P372" i="627"/>
  <c r="Q372" i="627"/>
  <c r="R372" i="627"/>
  <c r="AC372" i="627" s="1"/>
  <c r="S372" i="627"/>
  <c r="M373" i="627"/>
  <c r="N373" i="627"/>
  <c r="O373" i="627"/>
  <c r="P373" i="627"/>
  <c r="Q373" i="627"/>
  <c r="R373" i="627"/>
  <c r="S373" i="627"/>
  <c r="AC373" i="627" s="1"/>
  <c r="M374" i="627"/>
  <c r="N374" i="627"/>
  <c r="O374" i="627"/>
  <c r="P374" i="627"/>
  <c r="Q374" i="627"/>
  <c r="R374" i="627"/>
  <c r="S374" i="627"/>
  <c r="M375" i="627"/>
  <c r="AC375" i="627" s="1"/>
  <c r="N375" i="627"/>
  <c r="O375" i="627"/>
  <c r="P375" i="627"/>
  <c r="Q375" i="627"/>
  <c r="R375" i="627"/>
  <c r="S375" i="627"/>
  <c r="M376" i="627"/>
  <c r="N376" i="627"/>
  <c r="AC376" i="627" s="1"/>
  <c r="O376" i="627"/>
  <c r="P376" i="627"/>
  <c r="Q376" i="627"/>
  <c r="R376" i="627"/>
  <c r="S376" i="627"/>
  <c r="M377" i="627"/>
  <c r="N377" i="627"/>
  <c r="O377" i="627"/>
  <c r="AC377" i="627" s="1"/>
  <c r="P377" i="627"/>
  <c r="Q377" i="627"/>
  <c r="R377" i="627"/>
  <c r="S377" i="627"/>
  <c r="M378" i="627"/>
  <c r="N378" i="627"/>
  <c r="O378" i="627"/>
  <c r="P378" i="627"/>
  <c r="AC378" i="627" s="1"/>
  <c r="Q378" i="627"/>
  <c r="R378" i="627"/>
  <c r="S378" i="627"/>
  <c r="M379" i="627"/>
  <c r="N379" i="627"/>
  <c r="O379" i="627"/>
  <c r="P379" i="627"/>
  <c r="Q379" i="627"/>
  <c r="AC379" i="627" s="1"/>
  <c r="R379" i="627"/>
  <c r="S379" i="627"/>
  <c r="M380" i="627"/>
  <c r="N380" i="627"/>
  <c r="O380" i="627"/>
  <c r="P380" i="627"/>
  <c r="Q380" i="627"/>
  <c r="R380" i="627"/>
  <c r="AC380" i="627" s="1"/>
  <c r="S380" i="627"/>
  <c r="M381" i="627"/>
  <c r="N381" i="627"/>
  <c r="O381" i="627"/>
  <c r="P381" i="627"/>
  <c r="Q381" i="627"/>
  <c r="R381" i="627"/>
  <c r="S381" i="627"/>
  <c r="AC381" i="627" s="1"/>
  <c r="M382" i="627"/>
  <c r="N382" i="627"/>
  <c r="O382" i="627"/>
  <c r="P382" i="627"/>
  <c r="Q382" i="627"/>
  <c r="R382" i="627"/>
  <c r="S382" i="627"/>
  <c r="M383" i="627"/>
  <c r="AC383" i="627" s="1"/>
  <c r="N383" i="627"/>
  <c r="O383" i="627"/>
  <c r="P383" i="627"/>
  <c r="Q383" i="627"/>
  <c r="R383" i="627"/>
  <c r="S383" i="627"/>
  <c r="M384" i="627"/>
  <c r="N384" i="627"/>
  <c r="AC384" i="627" s="1"/>
  <c r="O384" i="627"/>
  <c r="P384" i="627"/>
  <c r="Q384" i="627"/>
  <c r="R384" i="627"/>
  <c r="S384" i="627"/>
  <c r="M385" i="627"/>
  <c r="N385" i="627"/>
  <c r="O385" i="627"/>
  <c r="AC385" i="627" s="1"/>
  <c r="P385" i="627"/>
  <c r="Q385" i="627"/>
  <c r="R385" i="627"/>
  <c r="S385" i="627"/>
  <c r="M386" i="627"/>
  <c r="N386" i="627"/>
  <c r="O386" i="627"/>
  <c r="P386" i="627"/>
  <c r="AC386" i="627" s="1"/>
  <c r="Q386" i="627"/>
  <c r="R386" i="627"/>
  <c r="S386" i="627"/>
  <c r="M387" i="627"/>
  <c r="N387" i="627"/>
  <c r="O387" i="627"/>
  <c r="P387" i="627"/>
  <c r="Q387" i="627"/>
  <c r="AC387" i="627" s="1"/>
  <c r="R387" i="627"/>
  <c r="S387" i="627"/>
  <c r="M388" i="627"/>
  <c r="N388" i="627"/>
  <c r="O388" i="627"/>
  <c r="P388" i="627"/>
  <c r="Q388" i="627"/>
  <c r="R388" i="627"/>
  <c r="AC388" i="627" s="1"/>
  <c r="S388" i="627"/>
  <c r="M389" i="627"/>
  <c r="N389" i="627"/>
  <c r="O389" i="627"/>
  <c r="P389" i="627"/>
  <c r="Q389" i="627"/>
  <c r="R389" i="627"/>
  <c r="S389" i="627"/>
  <c r="AC389" i="627" s="1"/>
  <c r="M390" i="627"/>
  <c r="N390" i="627"/>
  <c r="O390" i="627"/>
  <c r="P390" i="627"/>
  <c r="Q390" i="627"/>
  <c r="R390" i="627"/>
  <c r="S390" i="627"/>
  <c r="M391" i="627"/>
  <c r="AC391" i="627" s="1"/>
  <c r="N391" i="627"/>
  <c r="O391" i="627"/>
  <c r="P391" i="627"/>
  <c r="Q391" i="627"/>
  <c r="R391" i="627"/>
  <c r="S391" i="627"/>
  <c r="M392" i="627"/>
  <c r="N392" i="627"/>
  <c r="AC392" i="627" s="1"/>
  <c r="O392" i="627"/>
  <c r="P392" i="627"/>
  <c r="Q392" i="627"/>
  <c r="R392" i="627"/>
  <c r="S392" i="627"/>
  <c r="M393" i="627"/>
  <c r="N393" i="627"/>
  <c r="O393" i="627"/>
  <c r="AC393" i="627" s="1"/>
  <c r="P393" i="627"/>
  <c r="Q393" i="627"/>
  <c r="R393" i="627"/>
  <c r="S393" i="627"/>
  <c r="M394" i="627"/>
  <c r="N394" i="627"/>
  <c r="O394" i="627"/>
  <c r="P394" i="627"/>
  <c r="AC394" i="627" s="1"/>
  <c r="Q394" i="627"/>
  <c r="R394" i="627"/>
  <c r="S394" i="627"/>
  <c r="M395" i="627"/>
  <c r="N395" i="627"/>
  <c r="O395" i="627"/>
  <c r="P395" i="627"/>
  <c r="Q395" i="627"/>
  <c r="AC395" i="627" s="1"/>
  <c r="R395" i="627"/>
  <c r="S395" i="627"/>
  <c r="M396" i="627"/>
  <c r="N396" i="627"/>
  <c r="O396" i="627"/>
  <c r="P396" i="627"/>
  <c r="Q396" i="627"/>
  <c r="R396" i="627"/>
  <c r="AC396" i="627" s="1"/>
  <c r="S396" i="627"/>
  <c r="M397" i="627"/>
  <c r="N397" i="627"/>
  <c r="O397" i="627"/>
  <c r="P397" i="627"/>
  <c r="Q397" i="627"/>
  <c r="R397" i="627"/>
  <c r="S397" i="627"/>
  <c r="M398" i="627"/>
  <c r="N398" i="627"/>
  <c r="O398" i="627"/>
  <c r="P398" i="627"/>
  <c r="Q398" i="627"/>
  <c r="R398" i="627"/>
  <c r="S398" i="627"/>
  <c r="M399" i="627"/>
  <c r="AC399" i="627" s="1"/>
  <c r="N399" i="627"/>
  <c r="O399" i="627"/>
  <c r="P399" i="627"/>
  <c r="Q399" i="627"/>
  <c r="R399" i="627"/>
  <c r="S399" i="627"/>
  <c r="M400" i="627"/>
  <c r="N400" i="627"/>
  <c r="AC400" i="627" s="1"/>
  <c r="O400" i="627"/>
  <c r="P400" i="627"/>
  <c r="Q400" i="627"/>
  <c r="R400" i="627"/>
  <c r="S400" i="627"/>
  <c r="M401" i="627"/>
  <c r="N401" i="627"/>
  <c r="O401" i="627"/>
  <c r="AC401" i="627" s="1"/>
  <c r="P401" i="627"/>
  <c r="Q401" i="627"/>
  <c r="R401" i="627"/>
  <c r="S401" i="627"/>
  <c r="M402" i="627"/>
  <c r="N402" i="627"/>
  <c r="O402" i="627"/>
  <c r="P402" i="627"/>
  <c r="AC402" i="627" s="1"/>
  <c r="Q402" i="627"/>
  <c r="R402" i="627"/>
  <c r="S402" i="627"/>
  <c r="M403" i="627"/>
  <c r="N403" i="627"/>
  <c r="O403" i="627"/>
  <c r="P403" i="627"/>
  <c r="Q403" i="627"/>
  <c r="AC403" i="627" s="1"/>
  <c r="R403" i="627"/>
  <c r="S403" i="627"/>
  <c r="M404" i="627"/>
  <c r="N404" i="627"/>
  <c r="O404" i="627"/>
  <c r="P404" i="627"/>
  <c r="Q404" i="627"/>
  <c r="R404" i="627"/>
  <c r="AC404" i="627" s="1"/>
  <c r="S404" i="627"/>
  <c r="M405" i="627"/>
  <c r="N405" i="627"/>
  <c r="O405" i="627"/>
  <c r="P405" i="627"/>
  <c r="Q405" i="627"/>
  <c r="R405" i="627"/>
  <c r="S405" i="627"/>
  <c r="AC405" i="627" s="1"/>
  <c r="M406" i="627"/>
  <c r="N406" i="627"/>
  <c r="O406" i="627"/>
  <c r="P406" i="627"/>
  <c r="Q406" i="627"/>
  <c r="R406" i="627"/>
  <c r="S406" i="627"/>
  <c r="M407" i="627"/>
  <c r="AC407" i="627" s="1"/>
  <c r="N407" i="627"/>
  <c r="O407" i="627"/>
  <c r="P407" i="627"/>
  <c r="Q407" i="627"/>
  <c r="R407" i="627"/>
  <c r="S407" i="627"/>
  <c r="M408" i="627"/>
  <c r="N408" i="627"/>
  <c r="O408" i="627"/>
  <c r="P408" i="627"/>
  <c r="Q408" i="627"/>
  <c r="R408" i="627"/>
  <c r="S408" i="627"/>
  <c r="M409" i="627"/>
  <c r="N409" i="627"/>
  <c r="O409" i="627"/>
  <c r="AC409" i="627" s="1"/>
  <c r="P409" i="627"/>
  <c r="Q409" i="627"/>
  <c r="R409" i="627"/>
  <c r="S409" i="627"/>
  <c r="M410" i="627"/>
  <c r="N410" i="627"/>
  <c r="O410" i="627"/>
  <c r="P410" i="627"/>
  <c r="AC410" i="627" s="1"/>
  <c r="Q410" i="627"/>
  <c r="R410" i="627"/>
  <c r="S410" i="627"/>
  <c r="M411" i="627"/>
  <c r="N411" i="627"/>
  <c r="O411" i="627"/>
  <c r="P411" i="627"/>
  <c r="Q411" i="627"/>
  <c r="AC411" i="627" s="1"/>
  <c r="R411" i="627"/>
  <c r="S411" i="627"/>
  <c r="M412" i="627"/>
  <c r="N412" i="627"/>
  <c r="O412" i="627"/>
  <c r="P412" i="627"/>
  <c r="Q412" i="627"/>
  <c r="R412" i="627"/>
  <c r="AC412" i="627" s="1"/>
  <c r="S412" i="627"/>
  <c r="M413" i="627"/>
  <c r="N413" i="627"/>
  <c r="O413" i="627"/>
  <c r="P413" i="627"/>
  <c r="Q413" i="627"/>
  <c r="R413" i="627"/>
  <c r="S413" i="627"/>
  <c r="M414" i="627"/>
  <c r="N414" i="627"/>
  <c r="O414" i="627"/>
  <c r="P414" i="627"/>
  <c r="Q414" i="627"/>
  <c r="R414" i="627"/>
  <c r="S414" i="627"/>
  <c r="M415" i="627"/>
  <c r="AC415" i="627" s="1"/>
  <c r="N415" i="627"/>
  <c r="O415" i="627"/>
  <c r="P415" i="627"/>
  <c r="Q415" i="627"/>
  <c r="R415" i="627"/>
  <c r="S415" i="627"/>
  <c r="M416" i="627"/>
  <c r="N416" i="627"/>
  <c r="AC416" i="627" s="1"/>
  <c r="O416" i="627"/>
  <c r="P416" i="627"/>
  <c r="Q416" i="627"/>
  <c r="R416" i="627"/>
  <c r="S416" i="627"/>
  <c r="M417" i="627"/>
  <c r="N417" i="627"/>
  <c r="O417" i="627"/>
  <c r="AC417" i="627" s="1"/>
  <c r="P417" i="627"/>
  <c r="Q417" i="627"/>
  <c r="R417" i="627"/>
  <c r="S417" i="627"/>
  <c r="M418" i="627"/>
  <c r="N418" i="627"/>
  <c r="O418" i="627"/>
  <c r="P418" i="627"/>
  <c r="AC418" i="627" s="1"/>
  <c r="Q418" i="627"/>
  <c r="R418" i="627"/>
  <c r="S418" i="627"/>
  <c r="M419" i="627"/>
  <c r="N419" i="627"/>
  <c r="O419" i="627"/>
  <c r="P419" i="627"/>
  <c r="Q419" i="627"/>
  <c r="AC419" i="627" s="1"/>
  <c r="R419" i="627"/>
  <c r="S419" i="627"/>
  <c r="M420" i="627"/>
  <c r="N420" i="627"/>
  <c r="O420" i="627"/>
  <c r="P420" i="627"/>
  <c r="Q420" i="627"/>
  <c r="R420" i="627"/>
  <c r="AC420" i="627" s="1"/>
  <c r="S420" i="627"/>
  <c r="M421" i="627"/>
  <c r="N421" i="627"/>
  <c r="O421" i="627"/>
  <c r="P421" i="627"/>
  <c r="Q421" i="627"/>
  <c r="R421" i="627"/>
  <c r="S421" i="627"/>
  <c r="AC421" i="627" s="1"/>
  <c r="M422" i="627"/>
  <c r="N422" i="627"/>
  <c r="O422" i="627"/>
  <c r="P422" i="627"/>
  <c r="Q422" i="627"/>
  <c r="R422" i="627"/>
  <c r="S422" i="627"/>
  <c r="M423" i="627"/>
  <c r="AC423" i="627" s="1"/>
  <c r="N423" i="627"/>
  <c r="O423" i="627"/>
  <c r="P423" i="627"/>
  <c r="Q423" i="627"/>
  <c r="R423" i="627"/>
  <c r="S423" i="627"/>
  <c r="M424" i="627"/>
  <c r="N424" i="627"/>
  <c r="O424" i="627"/>
  <c r="P424" i="627"/>
  <c r="Q424" i="627"/>
  <c r="R424" i="627"/>
  <c r="S424" i="627"/>
  <c r="M425" i="627"/>
  <c r="N425" i="627"/>
  <c r="O425" i="627"/>
  <c r="AC425" i="627" s="1"/>
  <c r="P425" i="627"/>
  <c r="Q425" i="627"/>
  <c r="R425" i="627"/>
  <c r="S425" i="627"/>
  <c r="M426" i="627"/>
  <c r="N426" i="627"/>
  <c r="O426" i="627"/>
  <c r="P426" i="627"/>
  <c r="AC426" i="627" s="1"/>
  <c r="Q426" i="627"/>
  <c r="R426" i="627"/>
  <c r="S426" i="627"/>
  <c r="M427" i="627"/>
  <c r="N427" i="627"/>
  <c r="O427" i="627"/>
  <c r="P427" i="627"/>
  <c r="Q427" i="627"/>
  <c r="AC427" i="627" s="1"/>
  <c r="R427" i="627"/>
  <c r="S427" i="627"/>
  <c r="M428" i="627"/>
  <c r="N428" i="627"/>
  <c r="O428" i="627"/>
  <c r="P428" i="627"/>
  <c r="Q428" i="627"/>
  <c r="R428" i="627"/>
  <c r="AC428" i="627" s="1"/>
  <c r="S428" i="627"/>
  <c r="M429" i="627"/>
  <c r="N429" i="627"/>
  <c r="O429" i="627"/>
  <c r="P429" i="627"/>
  <c r="Q429" i="627"/>
  <c r="R429" i="627"/>
  <c r="S429" i="627"/>
  <c r="M430" i="627"/>
  <c r="N430" i="627"/>
  <c r="O430" i="627"/>
  <c r="P430" i="627"/>
  <c r="Q430" i="627"/>
  <c r="R430" i="627"/>
  <c r="S430" i="627"/>
  <c r="M431" i="627"/>
  <c r="AC431" i="627" s="1"/>
  <c r="N431" i="627"/>
  <c r="O431" i="627"/>
  <c r="P431" i="627"/>
  <c r="Q431" i="627"/>
  <c r="R431" i="627"/>
  <c r="S431" i="627"/>
  <c r="M432" i="627"/>
  <c r="N432" i="627"/>
  <c r="AC432" i="627" s="1"/>
  <c r="O432" i="627"/>
  <c r="P432" i="627"/>
  <c r="Q432" i="627"/>
  <c r="R432" i="627"/>
  <c r="S432" i="627"/>
  <c r="M433" i="627"/>
  <c r="N433" i="627"/>
  <c r="O433" i="627"/>
  <c r="AC433" i="627" s="1"/>
  <c r="P433" i="627"/>
  <c r="Q433" i="627"/>
  <c r="R433" i="627"/>
  <c r="S433" i="627"/>
  <c r="M434" i="627"/>
  <c r="N434" i="627"/>
  <c r="O434" i="627"/>
  <c r="P434" i="627"/>
  <c r="AC434" i="627" s="1"/>
  <c r="Q434" i="627"/>
  <c r="R434" i="627"/>
  <c r="S434" i="627"/>
  <c r="M435" i="627"/>
  <c r="N435" i="627"/>
  <c r="O435" i="627"/>
  <c r="P435" i="627"/>
  <c r="Q435" i="627"/>
  <c r="AC435" i="627" s="1"/>
  <c r="R435" i="627"/>
  <c r="S435" i="627"/>
  <c r="M436" i="627"/>
  <c r="N436" i="627"/>
  <c r="O436" i="627"/>
  <c r="P436" i="627"/>
  <c r="Q436" i="627"/>
  <c r="R436" i="627"/>
  <c r="AC436" i="627" s="1"/>
  <c r="S436" i="627"/>
  <c r="M437" i="627"/>
  <c r="N437" i="627"/>
  <c r="O437" i="627"/>
  <c r="P437" i="627"/>
  <c r="Q437" i="627"/>
  <c r="R437" i="627"/>
  <c r="S437" i="627"/>
  <c r="AC437" i="627" s="1"/>
  <c r="M438" i="627"/>
  <c r="N438" i="627"/>
  <c r="O438" i="627"/>
  <c r="P438" i="627"/>
  <c r="Q438" i="627"/>
  <c r="R438" i="627"/>
  <c r="S438" i="627"/>
  <c r="M439" i="627"/>
  <c r="AC439" i="627" s="1"/>
  <c r="N439" i="627"/>
  <c r="O439" i="627"/>
  <c r="P439" i="627"/>
  <c r="Q439" i="627"/>
  <c r="R439" i="627"/>
  <c r="S439" i="627"/>
  <c r="M440" i="627"/>
  <c r="N440" i="627"/>
  <c r="AC440" i="627" s="1"/>
  <c r="O440" i="627"/>
  <c r="P440" i="627"/>
  <c r="Q440" i="627"/>
  <c r="R440" i="627"/>
  <c r="S440" i="627"/>
  <c r="M441" i="627"/>
  <c r="N441" i="627"/>
  <c r="O441" i="627"/>
  <c r="AC441" i="627" s="1"/>
  <c r="P441" i="627"/>
  <c r="Q441" i="627"/>
  <c r="R441" i="627"/>
  <c r="S441" i="627"/>
  <c r="M442" i="627"/>
  <c r="N442" i="627"/>
  <c r="O442" i="627"/>
  <c r="P442" i="627"/>
  <c r="AC442" i="627" s="1"/>
  <c r="Q442" i="627"/>
  <c r="R442" i="627"/>
  <c r="S442" i="627"/>
  <c r="M443" i="627"/>
  <c r="N443" i="627"/>
  <c r="O443" i="627"/>
  <c r="P443" i="627"/>
  <c r="Q443" i="627"/>
  <c r="AC443" i="627" s="1"/>
  <c r="R443" i="627"/>
  <c r="S443" i="627"/>
  <c r="M444" i="627"/>
  <c r="N444" i="627"/>
  <c r="O444" i="627"/>
  <c r="P444" i="627"/>
  <c r="Q444" i="627"/>
  <c r="R444" i="627"/>
  <c r="AC444" i="627" s="1"/>
  <c r="S444" i="627"/>
  <c r="M445" i="627"/>
  <c r="N445" i="627"/>
  <c r="O445" i="627"/>
  <c r="P445" i="627"/>
  <c r="Q445" i="627"/>
  <c r="R445" i="627"/>
  <c r="S445" i="627"/>
  <c r="AC445" i="627" s="1"/>
  <c r="M446" i="627"/>
  <c r="N446" i="627"/>
  <c r="O446" i="627"/>
  <c r="P446" i="627"/>
  <c r="Q446" i="627"/>
  <c r="R446" i="627"/>
  <c r="S446" i="627"/>
  <c r="M447" i="627"/>
  <c r="AC447" i="627" s="1"/>
  <c r="N447" i="627"/>
  <c r="O447" i="627"/>
  <c r="P447" i="627"/>
  <c r="Q447" i="627"/>
  <c r="R447" i="627"/>
  <c r="S447" i="627"/>
  <c r="M448" i="627"/>
  <c r="N448" i="627"/>
  <c r="AC448" i="627" s="1"/>
  <c r="O448" i="627"/>
  <c r="P448" i="627"/>
  <c r="Q448" i="627"/>
  <c r="R448" i="627"/>
  <c r="S448" i="627"/>
  <c r="M449" i="627"/>
  <c r="N449" i="627"/>
  <c r="O449" i="627"/>
  <c r="AC449" i="627" s="1"/>
  <c r="P449" i="627"/>
  <c r="Q449" i="627"/>
  <c r="R449" i="627"/>
  <c r="S449" i="627"/>
  <c r="M450" i="627"/>
  <c r="N450" i="627"/>
  <c r="O450" i="627"/>
  <c r="P450" i="627"/>
  <c r="AC450" i="627" s="1"/>
  <c r="Q450" i="627"/>
  <c r="R450" i="627"/>
  <c r="S450" i="627"/>
  <c r="M451" i="627"/>
  <c r="N451" i="627"/>
  <c r="O451" i="627"/>
  <c r="P451" i="627"/>
  <c r="Q451" i="627"/>
  <c r="AC451" i="627" s="1"/>
  <c r="R451" i="627"/>
  <c r="S451" i="627"/>
  <c r="M452" i="627"/>
  <c r="N452" i="627"/>
  <c r="O452" i="627"/>
  <c r="P452" i="627"/>
  <c r="Q452" i="627"/>
  <c r="R452" i="627"/>
  <c r="AC452" i="627" s="1"/>
  <c r="S452" i="627"/>
  <c r="M453" i="627"/>
  <c r="N453" i="627"/>
  <c r="O453" i="627"/>
  <c r="P453" i="627"/>
  <c r="Q453" i="627"/>
  <c r="R453" i="627"/>
  <c r="S453" i="627"/>
  <c r="AC453" i="627" s="1"/>
  <c r="M454" i="627"/>
  <c r="N454" i="627"/>
  <c r="O454" i="627"/>
  <c r="P454" i="627"/>
  <c r="Q454" i="627"/>
  <c r="R454" i="627"/>
  <c r="S454" i="627"/>
  <c r="M455" i="627"/>
  <c r="AC455" i="627" s="1"/>
  <c r="N455" i="627"/>
  <c r="O455" i="627"/>
  <c r="P455" i="627"/>
  <c r="Q455" i="627"/>
  <c r="R455" i="627"/>
  <c r="S455" i="627"/>
  <c r="M456" i="627"/>
  <c r="N456" i="627"/>
  <c r="O456" i="627"/>
  <c r="P456" i="627"/>
  <c r="Q456" i="627"/>
  <c r="R456" i="627"/>
  <c r="S456" i="627"/>
  <c r="M457" i="627"/>
  <c r="N457" i="627"/>
  <c r="O457" i="627"/>
  <c r="AC457" i="627" s="1"/>
  <c r="P457" i="627"/>
  <c r="Q457" i="627"/>
  <c r="R457" i="627"/>
  <c r="S457" i="627"/>
  <c r="M458" i="627"/>
  <c r="N458" i="627"/>
  <c r="O458" i="627"/>
  <c r="P458" i="627"/>
  <c r="AC458" i="627" s="1"/>
  <c r="Q458" i="627"/>
  <c r="R458" i="627"/>
  <c r="S458" i="627"/>
  <c r="M459" i="627"/>
  <c r="N459" i="627"/>
  <c r="O459" i="627"/>
  <c r="P459" i="627"/>
  <c r="Q459" i="627"/>
  <c r="AC459" i="627" s="1"/>
  <c r="R459" i="627"/>
  <c r="S459" i="627"/>
  <c r="M460" i="627"/>
  <c r="N460" i="627"/>
  <c r="O460" i="627"/>
  <c r="P460" i="627"/>
  <c r="Q460" i="627"/>
  <c r="R460" i="627"/>
  <c r="AC460" i="627" s="1"/>
  <c r="S460" i="627"/>
  <c r="M461" i="627"/>
  <c r="N461" i="627"/>
  <c r="O461" i="627"/>
  <c r="P461" i="627"/>
  <c r="Q461" i="627"/>
  <c r="R461" i="627"/>
  <c r="S461" i="627"/>
  <c r="AC461" i="627" s="1"/>
  <c r="M462" i="627"/>
  <c r="N462" i="627"/>
  <c r="O462" i="627"/>
  <c r="P462" i="627"/>
  <c r="Q462" i="627"/>
  <c r="R462" i="627"/>
  <c r="S462" i="627"/>
  <c r="M463" i="627"/>
  <c r="AC463" i="627" s="1"/>
  <c r="N463" i="627"/>
  <c r="O463" i="627"/>
  <c r="P463" i="627"/>
  <c r="Q463" i="627"/>
  <c r="R463" i="627"/>
  <c r="S463" i="627"/>
  <c r="M464" i="627"/>
  <c r="N464" i="627"/>
  <c r="AC464" i="627" s="1"/>
  <c r="O464" i="627"/>
  <c r="P464" i="627"/>
  <c r="Q464" i="627"/>
  <c r="R464" i="627"/>
  <c r="S464" i="627"/>
  <c r="M465" i="627"/>
  <c r="N465" i="627"/>
  <c r="O465" i="627"/>
  <c r="AC465" i="627" s="1"/>
  <c r="P465" i="627"/>
  <c r="Q465" i="627"/>
  <c r="R465" i="627"/>
  <c r="S465" i="627"/>
  <c r="M466" i="627"/>
  <c r="N466" i="627"/>
  <c r="O466" i="627"/>
  <c r="P466" i="627"/>
  <c r="AC466" i="627" s="1"/>
  <c r="Q466" i="627"/>
  <c r="R466" i="627"/>
  <c r="S466" i="627"/>
  <c r="M467" i="627"/>
  <c r="N467" i="627"/>
  <c r="O467" i="627"/>
  <c r="P467" i="627"/>
  <c r="Q467" i="627"/>
  <c r="AC467" i="627" s="1"/>
  <c r="R467" i="627"/>
  <c r="S467" i="627"/>
  <c r="M468" i="627"/>
  <c r="N468" i="627"/>
  <c r="O468" i="627"/>
  <c r="P468" i="627"/>
  <c r="Q468" i="627"/>
  <c r="R468" i="627"/>
  <c r="AC468" i="627" s="1"/>
  <c r="S468" i="627"/>
  <c r="M469" i="627"/>
  <c r="N469" i="627"/>
  <c r="O469" i="627"/>
  <c r="P469" i="627"/>
  <c r="Q469" i="627"/>
  <c r="R469" i="627"/>
  <c r="S469" i="627"/>
  <c r="AC469" i="627" s="1"/>
  <c r="M470" i="627"/>
  <c r="N470" i="627"/>
  <c r="O470" i="627"/>
  <c r="P470" i="627"/>
  <c r="Q470" i="627"/>
  <c r="R470" i="627"/>
  <c r="S470" i="627"/>
  <c r="M471" i="627"/>
  <c r="AC471" i="627" s="1"/>
  <c r="N471" i="627"/>
  <c r="O471" i="627"/>
  <c r="P471" i="627"/>
  <c r="Q471" i="627"/>
  <c r="R471" i="627"/>
  <c r="S471" i="627"/>
  <c r="M472" i="627"/>
  <c r="N472" i="627"/>
  <c r="AC472" i="627" s="1"/>
  <c r="O472" i="627"/>
  <c r="P472" i="627"/>
  <c r="Q472" i="627"/>
  <c r="R472" i="627"/>
  <c r="S472" i="627"/>
  <c r="M473" i="627"/>
  <c r="N473" i="627"/>
  <c r="O473" i="627"/>
  <c r="AC473" i="627" s="1"/>
  <c r="P473" i="627"/>
  <c r="Q473" i="627"/>
  <c r="R473" i="627"/>
  <c r="S473" i="627"/>
  <c r="M474" i="627"/>
  <c r="N474" i="627"/>
  <c r="O474" i="627"/>
  <c r="P474" i="627"/>
  <c r="AC474" i="627" s="1"/>
  <c r="Q474" i="627"/>
  <c r="R474" i="627"/>
  <c r="S474" i="627"/>
  <c r="M475" i="627"/>
  <c r="N475" i="627"/>
  <c r="O475" i="627"/>
  <c r="P475" i="627"/>
  <c r="Q475" i="627"/>
  <c r="AC475" i="627" s="1"/>
  <c r="R475" i="627"/>
  <c r="S475" i="627"/>
  <c r="M476" i="627"/>
  <c r="N476" i="627"/>
  <c r="O476" i="627"/>
  <c r="P476" i="627"/>
  <c r="Q476" i="627"/>
  <c r="R476" i="627"/>
  <c r="AC476" i="627" s="1"/>
  <c r="S476" i="627"/>
  <c r="M477" i="627"/>
  <c r="N477" i="627"/>
  <c r="O477" i="627"/>
  <c r="P477" i="627"/>
  <c r="Q477" i="627"/>
  <c r="R477" i="627"/>
  <c r="S477" i="627"/>
  <c r="AC477" i="627" s="1"/>
  <c r="M478" i="627"/>
  <c r="N478" i="627"/>
  <c r="O478" i="627"/>
  <c r="P478" i="627"/>
  <c r="Q478" i="627"/>
  <c r="R478" i="627"/>
  <c r="S478" i="627"/>
  <c r="M479" i="627"/>
  <c r="AC479" i="627" s="1"/>
  <c r="N479" i="627"/>
  <c r="O479" i="627"/>
  <c r="P479" i="627"/>
  <c r="Q479" i="627"/>
  <c r="R479" i="627"/>
  <c r="S479" i="627"/>
  <c r="M480" i="627"/>
  <c r="N480" i="627"/>
  <c r="AC480" i="627" s="1"/>
  <c r="O480" i="627"/>
  <c r="P480" i="627"/>
  <c r="Q480" i="627"/>
  <c r="R480" i="627"/>
  <c r="S480" i="627"/>
  <c r="M481" i="627"/>
  <c r="N481" i="627"/>
  <c r="O481" i="627"/>
  <c r="AC481" i="627" s="1"/>
  <c r="P481" i="627"/>
  <c r="Q481" i="627"/>
  <c r="R481" i="627"/>
  <c r="S481" i="627"/>
  <c r="M482" i="627"/>
  <c r="N482" i="627"/>
  <c r="O482" i="627"/>
  <c r="P482" i="627"/>
  <c r="AC482" i="627" s="1"/>
  <c r="Q482" i="627"/>
  <c r="R482" i="627"/>
  <c r="S482" i="627"/>
  <c r="M483" i="627"/>
  <c r="N483" i="627"/>
  <c r="O483" i="627"/>
  <c r="P483" i="627"/>
  <c r="Q483" i="627"/>
  <c r="AC483" i="627" s="1"/>
  <c r="R483" i="627"/>
  <c r="S483" i="627"/>
  <c r="M484" i="627"/>
  <c r="N484" i="627"/>
  <c r="O484" i="627"/>
  <c r="P484" i="627"/>
  <c r="Q484" i="627"/>
  <c r="R484" i="627"/>
  <c r="AC484" i="627" s="1"/>
  <c r="S484" i="627"/>
  <c r="M485" i="627"/>
  <c r="N485" i="627"/>
  <c r="O485" i="627"/>
  <c r="P485" i="627"/>
  <c r="Q485" i="627"/>
  <c r="R485" i="627"/>
  <c r="S485" i="627"/>
  <c r="AC485" i="627" s="1"/>
  <c r="M486" i="627"/>
  <c r="N486" i="627"/>
  <c r="O486" i="627"/>
  <c r="P486" i="627"/>
  <c r="Q486" i="627"/>
  <c r="R486" i="627"/>
  <c r="S486" i="627"/>
  <c r="M487" i="627"/>
  <c r="AC487" i="627" s="1"/>
  <c r="N487" i="627"/>
  <c r="O487" i="627"/>
  <c r="P487" i="627"/>
  <c r="Q487" i="627"/>
  <c r="R487" i="627"/>
  <c r="S487" i="627"/>
  <c r="M488" i="627"/>
  <c r="N488" i="627"/>
  <c r="O488" i="627"/>
  <c r="P488" i="627"/>
  <c r="Q488" i="627"/>
  <c r="R488" i="627"/>
  <c r="S488" i="627"/>
  <c r="M489" i="627"/>
  <c r="N489" i="627"/>
  <c r="O489" i="627"/>
  <c r="AC489" i="627" s="1"/>
  <c r="P489" i="627"/>
  <c r="Q489" i="627"/>
  <c r="R489" i="627"/>
  <c r="S489" i="627"/>
  <c r="M490" i="627"/>
  <c r="N490" i="627"/>
  <c r="O490" i="627"/>
  <c r="P490" i="627"/>
  <c r="AC490" i="627" s="1"/>
  <c r="Q490" i="627"/>
  <c r="R490" i="627"/>
  <c r="S490" i="627"/>
  <c r="M491" i="627"/>
  <c r="N491" i="627"/>
  <c r="O491" i="627"/>
  <c r="P491" i="627"/>
  <c r="Q491" i="627"/>
  <c r="AC491" i="627" s="1"/>
  <c r="R491" i="627"/>
  <c r="S491" i="627"/>
  <c r="M492" i="627"/>
  <c r="N492" i="627"/>
  <c r="O492" i="627"/>
  <c r="P492" i="627"/>
  <c r="Q492" i="627"/>
  <c r="R492" i="627"/>
  <c r="AC492" i="627" s="1"/>
  <c r="S492" i="627"/>
  <c r="M493" i="627"/>
  <c r="N493" i="627"/>
  <c r="O493" i="627"/>
  <c r="P493" i="627"/>
  <c r="Q493" i="627"/>
  <c r="R493" i="627"/>
  <c r="S493" i="627"/>
  <c r="AC493" i="627" s="1"/>
  <c r="M494" i="627"/>
  <c r="N494" i="627"/>
  <c r="O494" i="627"/>
  <c r="P494" i="627"/>
  <c r="Q494" i="627"/>
  <c r="R494" i="627"/>
  <c r="S494" i="627"/>
  <c r="M495" i="627"/>
  <c r="AC495" i="627" s="1"/>
  <c r="N495" i="627"/>
  <c r="O495" i="627"/>
  <c r="P495" i="627"/>
  <c r="Q495" i="627"/>
  <c r="R495" i="627"/>
  <c r="S495" i="627"/>
  <c r="M496" i="627"/>
  <c r="N496" i="627"/>
  <c r="AC496" i="627" s="1"/>
  <c r="O496" i="627"/>
  <c r="P496" i="627"/>
  <c r="Q496" i="627"/>
  <c r="R496" i="627"/>
  <c r="S496" i="627"/>
  <c r="M497" i="627"/>
  <c r="N497" i="627"/>
  <c r="O497" i="627"/>
  <c r="AC497" i="627" s="1"/>
  <c r="P497" i="627"/>
  <c r="Q497" i="627"/>
  <c r="R497" i="627"/>
  <c r="S497" i="627"/>
  <c r="M498" i="627"/>
  <c r="N498" i="627"/>
  <c r="O498" i="627"/>
  <c r="P498" i="627"/>
  <c r="AC498" i="627" s="1"/>
  <c r="Q498" i="627"/>
  <c r="R498" i="627"/>
  <c r="S498" i="627"/>
  <c r="M499" i="627"/>
  <c r="N499" i="627"/>
  <c r="O499" i="627"/>
  <c r="P499" i="627"/>
  <c r="Q499" i="627"/>
  <c r="AC499" i="627" s="1"/>
  <c r="R499" i="627"/>
  <c r="S499" i="627"/>
  <c r="M500" i="627"/>
  <c r="N500" i="627"/>
  <c r="O500" i="627"/>
  <c r="P500" i="627"/>
  <c r="Q500" i="627"/>
  <c r="R500" i="627"/>
  <c r="AC500" i="627" s="1"/>
  <c r="S500" i="627"/>
  <c r="M501" i="627"/>
  <c r="N501" i="627"/>
  <c r="O501" i="627"/>
  <c r="P501" i="627"/>
  <c r="Q501" i="627"/>
  <c r="R501" i="627"/>
  <c r="S501" i="627"/>
  <c r="AC501" i="627" s="1"/>
  <c r="M502" i="627"/>
  <c r="N502" i="627"/>
  <c r="O502" i="627"/>
  <c r="P502" i="627"/>
  <c r="Q502" i="627"/>
  <c r="R502" i="627"/>
  <c r="S502" i="627"/>
  <c r="M503" i="627"/>
  <c r="AC503" i="627" s="1"/>
  <c r="N503" i="627"/>
  <c r="O503" i="627"/>
  <c r="P503" i="627"/>
  <c r="Q503" i="627"/>
  <c r="R503" i="627"/>
  <c r="S503" i="627"/>
  <c r="M504" i="627"/>
  <c r="N504" i="627"/>
  <c r="AC504" i="627" s="1"/>
  <c r="O504" i="627"/>
  <c r="P504" i="627"/>
  <c r="Q504" i="627"/>
  <c r="R504" i="627"/>
  <c r="S504" i="627"/>
  <c r="M505" i="627"/>
  <c r="N505" i="627"/>
  <c r="O505" i="627"/>
  <c r="AC505" i="627" s="1"/>
  <c r="P505" i="627"/>
  <c r="Q505" i="627"/>
  <c r="R505" i="627"/>
  <c r="S505" i="627"/>
  <c r="M506" i="627"/>
  <c r="N506" i="627"/>
  <c r="O506" i="627"/>
  <c r="P506" i="627"/>
  <c r="AC506" i="627" s="1"/>
  <c r="Q506" i="627"/>
  <c r="R506" i="627"/>
  <c r="S506" i="627"/>
  <c r="M507" i="627"/>
  <c r="N507" i="627"/>
  <c r="O507" i="627"/>
  <c r="P507" i="627"/>
  <c r="Q507" i="627"/>
  <c r="AC507" i="627" s="1"/>
  <c r="R507" i="627"/>
  <c r="S507" i="627"/>
  <c r="M508" i="627"/>
  <c r="N508" i="627"/>
  <c r="O508" i="627"/>
  <c r="P508" i="627"/>
  <c r="Q508" i="627"/>
  <c r="R508" i="627"/>
  <c r="AC508" i="627" s="1"/>
  <c r="S508" i="627"/>
  <c r="M509" i="627"/>
  <c r="N509" i="627"/>
  <c r="O509" i="627"/>
  <c r="P509" i="627"/>
  <c r="Q509" i="627"/>
  <c r="R509" i="627"/>
  <c r="S509" i="627"/>
  <c r="AC509" i="627" s="1"/>
  <c r="M510" i="627"/>
  <c r="N510" i="627"/>
  <c r="O510" i="627"/>
  <c r="P510" i="627"/>
  <c r="Q510" i="627"/>
  <c r="R510" i="627"/>
  <c r="S510" i="627"/>
  <c r="M511" i="627"/>
  <c r="AC511" i="627" s="1"/>
  <c r="N511" i="627"/>
  <c r="O511" i="627"/>
  <c r="P511" i="627"/>
  <c r="Q511" i="627"/>
  <c r="R511" i="627"/>
  <c r="S511" i="627"/>
  <c r="M512" i="627"/>
  <c r="N512" i="627"/>
  <c r="AC512" i="627" s="1"/>
  <c r="O512" i="627"/>
  <c r="P512" i="627"/>
  <c r="Q512" i="627"/>
  <c r="R512" i="627"/>
  <c r="S512" i="627"/>
  <c r="M513" i="627"/>
  <c r="N513" i="627"/>
  <c r="O513" i="627"/>
  <c r="AC513" i="627" s="1"/>
  <c r="P513" i="627"/>
  <c r="Q513" i="627"/>
  <c r="R513" i="627"/>
  <c r="S513" i="627"/>
  <c r="M514" i="627"/>
  <c r="N514" i="627"/>
  <c r="O514" i="627"/>
  <c r="P514" i="627"/>
  <c r="AC514" i="627" s="1"/>
  <c r="Q514" i="627"/>
  <c r="R514" i="627"/>
  <c r="S514" i="627"/>
  <c r="M515" i="627"/>
  <c r="N515" i="627"/>
  <c r="O515" i="627"/>
  <c r="P515" i="627"/>
  <c r="Q515" i="627"/>
  <c r="AC515" i="627" s="1"/>
  <c r="R515" i="627"/>
  <c r="S515" i="627"/>
  <c r="M516" i="627"/>
  <c r="N516" i="627"/>
  <c r="O516" i="627"/>
  <c r="P516" i="627"/>
  <c r="Q516" i="627"/>
  <c r="R516" i="627"/>
  <c r="AC516" i="627" s="1"/>
  <c r="S516" i="627"/>
  <c r="M517" i="627"/>
  <c r="N517" i="627"/>
  <c r="O517" i="627"/>
  <c r="P517" i="627"/>
  <c r="Q517" i="627"/>
  <c r="R517" i="627"/>
  <c r="S517" i="627"/>
  <c r="AC517" i="627" s="1"/>
  <c r="M518" i="627"/>
  <c r="N518" i="627"/>
  <c r="O518" i="627"/>
  <c r="P518" i="627"/>
  <c r="Q518" i="627"/>
  <c r="R518" i="627"/>
  <c r="S518" i="627"/>
  <c r="M519" i="627"/>
  <c r="AC519" i="627" s="1"/>
  <c r="N519" i="627"/>
  <c r="O519" i="627"/>
  <c r="P519" i="627"/>
  <c r="Q519" i="627"/>
  <c r="R519" i="627"/>
  <c r="S519" i="627"/>
  <c r="M520" i="627"/>
  <c r="N520" i="627"/>
  <c r="O520" i="627"/>
  <c r="P520" i="627"/>
  <c r="Q520" i="627"/>
  <c r="R520" i="627"/>
  <c r="S520" i="627"/>
  <c r="M521" i="627"/>
  <c r="N521" i="627"/>
  <c r="O521" i="627"/>
  <c r="AC521" i="627" s="1"/>
  <c r="P521" i="627"/>
  <c r="Q521" i="627"/>
  <c r="R521" i="627"/>
  <c r="S521" i="627"/>
  <c r="M522" i="627"/>
  <c r="N522" i="627"/>
  <c r="O522" i="627"/>
  <c r="P522" i="627"/>
  <c r="AC522" i="627" s="1"/>
  <c r="Q522" i="627"/>
  <c r="R522" i="627"/>
  <c r="S522" i="627"/>
  <c r="M523" i="627"/>
  <c r="N523" i="627"/>
  <c r="O523" i="627"/>
  <c r="P523" i="627"/>
  <c r="Q523" i="627"/>
  <c r="AC523" i="627" s="1"/>
  <c r="R523" i="627"/>
  <c r="S523" i="627"/>
  <c r="M524" i="627"/>
  <c r="N524" i="627"/>
  <c r="O524" i="627"/>
  <c r="P524" i="627"/>
  <c r="Q524" i="627"/>
  <c r="R524" i="627"/>
  <c r="AC524" i="627" s="1"/>
  <c r="S524" i="627"/>
  <c r="M525" i="627"/>
  <c r="N525" i="627"/>
  <c r="O525" i="627"/>
  <c r="P525" i="627"/>
  <c r="Q525" i="627"/>
  <c r="R525" i="627"/>
  <c r="S525" i="627"/>
  <c r="AC525" i="627" s="1"/>
  <c r="M526" i="627"/>
  <c r="N526" i="627"/>
  <c r="O526" i="627"/>
  <c r="P526" i="627"/>
  <c r="Q526" i="627"/>
  <c r="R526" i="627"/>
  <c r="S526" i="627"/>
  <c r="M527" i="627"/>
  <c r="AC527" i="627" s="1"/>
  <c r="N527" i="627"/>
  <c r="O527" i="627"/>
  <c r="P527" i="627"/>
  <c r="Q527" i="627"/>
  <c r="R527" i="627"/>
  <c r="S527" i="627"/>
  <c r="M528" i="627"/>
  <c r="N528" i="627"/>
  <c r="AC528" i="627" s="1"/>
  <c r="O528" i="627"/>
  <c r="P528" i="627"/>
  <c r="Q528" i="627"/>
  <c r="R528" i="627"/>
  <c r="S528" i="627"/>
  <c r="M529" i="627"/>
  <c r="N529" i="627"/>
  <c r="O529" i="627"/>
  <c r="AC529" i="627" s="1"/>
  <c r="P529" i="627"/>
  <c r="Q529" i="627"/>
  <c r="R529" i="627"/>
  <c r="S529" i="627"/>
  <c r="M530" i="627"/>
  <c r="N530" i="627"/>
  <c r="O530" i="627"/>
  <c r="P530" i="627"/>
  <c r="AC530" i="627" s="1"/>
  <c r="Q530" i="627"/>
  <c r="R530" i="627"/>
  <c r="S530" i="627"/>
  <c r="M531" i="627"/>
  <c r="N531" i="627"/>
  <c r="O531" i="627"/>
  <c r="P531" i="627"/>
  <c r="Q531" i="627"/>
  <c r="AC531" i="627" s="1"/>
  <c r="R531" i="627"/>
  <c r="S531" i="627"/>
  <c r="M532" i="627"/>
  <c r="N532" i="627"/>
  <c r="O532" i="627"/>
  <c r="P532" i="627"/>
  <c r="Q532" i="627"/>
  <c r="R532" i="627"/>
  <c r="AC532" i="627" s="1"/>
  <c r="S532" i="627"/>
  <c r="M533" i="627"/>
  <c r="N533" i="627"/>
  <c r="O533" i="627"/>
  <c r="P533" i="627"/>
  <c r="Q533" i="627"/>
  <c r="R533" i="627"/>
  <c r="S533" i="627"/>
  <c r="AC533" i="627" s="1"/>
  <c r="M534" i="627"/>
  <c r="N534" i="627"/>
  <c r="O534" i="627"/>
  <c r="P534" i="627"/>
  <c r="Q534" i="627"/>
  <c r="R534" i="627"/>
  <c r="S534" i="627"/>
  <c r="M535" i="627"/>
  <c r="AC535" i="627" s="1"/>
  <c r="N535" i="627"/>
  <c r="O535" i="627"/>
  <c r="P535" i="627"/>
  <c r="Q535" i="627"/>
  <c r="R535" i="627"/>
  <c r="S535" i="627"/>
  <c r="M536" i="627"/>
  <c r="N536" i="627"/>
  <c r="AC536" i="627" s="1"/>
  <c r="O536" i="627"/>
  <c r="P536" i="627"/>
  <c r="Q536" i="627"/>
  <c r="R536" i="627"/>
  <c r="S536" i="627"/>
  <c r="M537" i="627"/>
  <c r="N537" i="627"/>
  <c r="O537" i="627"/>
  <c r="AC537" i="627" s="1"/>
  <c r="P537" i="627"/>
  <c r="Q537" i="627"/>
  <c r="R537" i="627"/>
  <c r="S537" i="627"/>
  <c r="M538" i="627"/>
  <c r="N538" i="627"/>
  <c r="O538" i="627"/>
  <c r="P538" i="627"/>
  <c r="AC538" i="627" s="1"/>
  <c r="Q538" i="627"/>
  <c r="R538" i="627"/>
  <c r="S538" i="627"/>
  <c r="M539" i="627"/>
  <c r="N539" i="627"/>
  <c r="O539" i="627"/>
  <c r="P539" i="627"/>
  <c r="Q539" i="627"/>
  <c r="AC539" i="627" s="1"/>
  <c r="R539" i="627"/>
  <c r="S539" i="627"/>
  <c r="M540" i="627"/>
  <c r="N540" i="627"/>
  <c r="O540" i="627"/>
  <c r="P540" i="627"/>
  <c r="Q540" i="627"/>
  <c r="R540" i="627"/>
  <c r="AC540" i="627" s="1"/>
  <c r="S540" i="627"/>
  <c r="M541" i="627"/>
  <c r="N541" i="627"/>
  <c r="O541" i="627"/>
  <c r="P541" i="627"/>
  <c r="Q541" i="627"/>
  <c r="R541" i="627"/>
  <c r="S541" i="627"/>
  <c r="AC541" i="627" s="1"/>
  <c r="M542" i="627"/>
  <c r="N542" i="627"/>
  <c r="O542" i="627"/>
  <c r="P542" i="627"/>
  <c r="Q542" i="627"/>
  <c r="R542" i="627"/>
  <c r="S542" i="627"/>
  <c r="M543" i="627"/>
  <c r="AC543" i="627" s="1"/>
  <c r="N543" i="627"/>
  <c r="O543" i="627"/>
  <c r="P543" i="627"/>
  <c r="Q543" i="627"/>
  <c r="R543" i="627"/>
  <c r="S543" i="627"/>
  <c r="M544" i="627"/>
  <c r="N544" i="627"/>
  <c r="AC544" i="627" s="1"/>
  <c r="O544" i="627"/>
  <c r="P544" i="627"/>
  <c r="Q544" i="627"/>
  <c r="R544" i="627"/>
  <c r="S544" i="627"/>
  <c r="M545" i="627"/>
  <c r="N545" i="627"/>
  <c r="O545" i="627"/>
  <c r="AC545" i="627" s="1"/>
  <c r="P545" i="627"/>
  <c r="Q545" i="627"/>
  <c r="R545" i="627"/>
  <c r="S545" i="627"/>
  <c r="M546" i="627"/>
  <c r="N546" i="627"/>
  <c r="O546" i="627"/>
  <c r="P546" i="627"/>
  <c r="AC546" i="627" s="1"/>
  <c r="Q546" i="627"/>
  <c r="R546" i="627"/>
  <c r="S546" i="627"/>
  <c r="M547" i="627"/>
  <c r="N547" i="627"/>
  <c r="O547" i="627"/>
  <c r="P547" i="627"/>
  <c r="Q547" i="627"/>
  <c r="R547" i="627"/>
  <c r="S547" i="627"/>
  <c r="M548" i="627"/>
  <c r="N548" i="627"/>
  <c r="O548" i="627"/>
  <c r="P548" i="627"/>
  <c r="Q548" i="627"/>
  <c r="R548" i="627"/>
  <c r="AC548" i="627" s="1"/>
  <c r="S548" i="627"/>
  <c r="M549" i="627"/>
  <c r="N549" i="627"/>
  <c r="O549" i="627"/>
  <c r="P549" i="627"/>
  <c r="Q549" i="627"/>
  <c r="R549" i="627"/>
  <c r="S549" i="627"/>
  <c r="AC549" i="627" s="1"/>
  <c r="M550" i="627"/>
  <c r="N550" i="627"/>
  <c r="O550" i="627"/>
  <c r="P550" i="627"/>
  <c r="Q550" i="627"/>
  <c r="R550" i="627"/>
  <c r="S550" i="627"/>
  <c r="M551" i="627"/>
  <c r="AC551" i="627" s="1"/>
  <c r="N551" i="627"/>
  <c r="O551" i="627"/>
  <c r="P551" i="627"/>
  <c r="Q551" i="627"/>
  <c r="R551" i="627"/>
  <c r="S551" i="627"/>
  <c r="M552" i="627"/>
  <c r="N552" i="627"/>
  <c r="AC552" i="627" s="1"/>
  <c r="O552" i="627"/>
  <c r="P552" i="627"/>
  <c r="Q552" i="627"/>
  <c r="R552" i="627"/>
  <c r="S552" i="627"/>
  <c r="M553" i="627"/>
  <c r="N553" i="627"/>
  <c r="O553" i="627"/>
  <c r="AC553" i="627" s="1"/>
  <c r="P553" i="627"/>
  <c r="Q553" i="627"/>
  <c r="R553" i="627"/>
  <c r="S553" i="627"/>
  <c r="M554" i="627"/>
  <c r="N554" i="627"/>
  <c r="O554" i="627"/>
  <c r="P554" i="627"/>
  <c r="AC554" i="627" s="1"/>
  <c r="Q554" i="627"/>
  <c r="R554" i="627"/>
  <c r="S554" i="627"/>
  <c r="M555" i="627"/>
  <c r="N555" i="627"/>
  <c r="O555" i="627"/>
  <c r="P555" i="627"/>
  <c r="Q555" i="627"/>
  <c r="AC555" i="627" s="1"/>
  <c r="R555" i="627"/>
  <c r="S555" i="627"/>
  <c r="M556" i="627"/>
  <c r="N556" i="627"/>
  <c r="O556" i="627"/>
  <c r="P556" i="627"/>
  <c r="Q556" i="627"/>
  <c r="R556" i="627"/>
  <c r="AC556" i="627" s="1"/>
  <c r="S556" i="627"/>
  <c r="M557" i="627"/>
  <c r="N557" i="627"/>
  <c r="O557" i="627"/>
  <c r="P557" i="627"/>
  <c r="Q557" i="627"/>
  <c r="R557" i="627"/>
  <c r="S557" i="627"/>
  <c r="AC557" i="627" s="1"/>
  <c r="M558" i="627"/>
  <c r="N558" i="627"/>
  <c r="O558" i="627"/>
  <c r="P558" i="627"/>
  <c r="Q558" i="627"/>
  <c r="R558" i="627"/>
  <c r="S558" i="627"/>
  <c r="M559" i="627"/>
  <c r="AC559" i="627" s="1"/>
  <c r="N559" i="627"/>
  <c r="O559" i="627"/>
  <c r="P559" i="627"/>
  <c r="Q559" i="627"/>
  <c r="R559" i="627"/>
  <c r="S559" i="627"/>
  <c r="M560" i="627"/>
  <c r="N560" i="627"/>
  <c r="AC560" i="627" s="1"/>
  <c r="O560" i="627"/>
  <c r="P560" i="627"/>
  <c r="Q560" i="627"/>
  <c r="R560" i="627"/>
  <c r="S560" i="627"/>
  <c r="M561" i="627"/>
  <c r="N561" i="627"/>
  <c r="O561" i="627"/>
  <c r="AC561" i="627" s="1"/>
  <c r="P561" i="627"/>
  <c r="Q561" i="627"/>
  <c r="R561" i="627"/>
  <c r="S561" i="627"/>
  <c r="M562" i="627"/>
  <c r="N562" i="627"/>
  <c r="O562" i="627"/>
  <c r="P562" i="627"/>
  <c r="AC562" i="627" s="1"/>
  <c r="Q562" i="627"/>
  <c r="R562" i="627"/>
  <c r="S562" i="627"/>
  <c r="M563" i="627"/>
  <c r="N563" i="627"/>
  <c r="O563" i="627"/>
  <c r="P563" i="627"/>
  <c r="Q563" i="627"/>
  <c r="AC563" i="627" s="1"/>
  <c r="R563" i="627"/>
  <c r="S563" i="627"/>
  <c r="M564" i="627"/>
  <c r="N564" i="627"/>
  <c r="O564" i="627"/>
  <c r="P564" i="627"/>
  <c r="Q564" i="627"/>
  <c r="R564" i="627"/>
  <c r="AC564" i="627" s="1"/>
  <c r="S564" i="627"/>
  <c r="M565" i="627"/>
  <c r="N565" i="627"/>
  <c r="O565" i="627"/>
  <c r="P565" i="627"/>
  <c r="Q565" i="627"/>
  <c r="R565" i="627"/>
  <c r="S565" i="627"/>
  <c r="AC565" i="627" s="1"/>
  <c r="M566" i="627"/>
  <c r="N566" i="627"/>
  <c r="O566" i="627"/>
  <c r="P566" i="627"/>
  <c r="Q566" i="627"/>
  <c r="R566" i="627"/>
  <c r="S566" i="627"/>
  <c r="M567" i="627"/>
  <c r="AC567" i="627" s="1"/>
  <c r="N567" i="627"/>
  <c r="O567" i="627"/>
  <c r="P567" i="627"/>
  <c r="Q567" i="627"/>
  <c r="R567" i="627"/>
  <c r="S567" i="627"/>
  <c r="M568" i="627"/>
  <c r="N568" i="627"/>
  <c r="AC568" i="627" s="1"/>
  <c r="O568" i="627"/>
  <c r="P568" i="627"/>
  <c r="Q568" i="627"/>
  <c r="R568" i="627"/>
  <c r="S568" i="627"/>
  <c r="M569" i="627"/>
  <c r="N569" i="627"/>
  <c r="O569" i="627"/>
  <c r="AC569" i="627" s="1"/>
  <c r="P569" i="627"/>
  <c r="Q569" i="627"/>
  <c r="R569" i="627"/>
  <c r="S569" i="627"/>
  <c r="M570" i="627"/>
  <c r="N570" i="627"/>
  <c r="O570" i="627"/>
  <c r="P570" i="627"/>
  <c r="AC570" i="627" s="1"/>
  <c r="Q570" i="627"/>
  <c r="R570" i="627"/>
  <c r="S570" i="627"/>
  <c r="M571" i="627"/>
  <c r="N571" i="627"/>
  <c r="O571" i="627"/>
  <c r="P571" i="627"/>
  <c r="Q571" i="627"/>
  <c r="AC571" i="627" s="1"/>
  <c r="R571" i="627"/>
  <c r="S571" i="627"/>
  <c r="M572" i="627"/>
  <c r="N572" i="627"/>
  <c r="O572" i="627"/>
  <c r="P572" i="627"/>
  <c r="Q572" i="627"/>
  <c r="R572" i="627"/>
  <c r="AC572" i="627" s="1"/>
  <c r="S572" i="627"/>
  <c r="M573" i="627"/>
  <c r="N573" i="627"/>
  <c r="O573" i="627"/>
  <c r="P573" i="627"/>
  <c r="Q573" i="627"/>
  <c r="R573" i="627"/>
  <c r="S573" i="627"/>
  <c r="AC573" i="627" s="1"/>
  <c r="M574" i="627"/>
  <c r="N574" i="627"/>
  <c r="O574" i="627"/>
  <c r="P574" i="627"/>
  <c r="Q574" i="627"/>
  <c r="R574" i="627"/>
  <c r="S574" i="627"/>
  <c r="M575" i="627"/>
  <c r="AC575" i="627" s="1"/>
  <c r="N575" i="627"/>
  <c r="O575" i="627"/>
  <c r="P575" i="627"/>
  <c r="Q575" i="627"/>
  <c r="R575" i="627"/>
  <c r="S575" i="627"/>
  <c r="M576" i="627"/>
  <c r="N576" i="627"/>
  <c r="AC576" i="627" s="1"/>
  <c r="O576" i="627"/>
  <c r="P576" i="627"/>
  <c r="Q576" i="627"/>
  <c r="R576" i="627"/>
  <c r="S576" i="627"/>
  <c r="M577" i="627"/>
  <c r="N577" i="627"/>
  <c r="O577" i="627"/>
  <c r="AC577" i="627" s="1"/>
  <c r="P577" i="627"/>
  <c r="Q577" i="627"/>
  <c r="R577" i="627"/>
  <c r="S577" i="627"/>
  <c r="M578" i="627"/>
  <c r="N578" i="627"/>
  <c r="O578" i="627"/>
  <c r="P578" i="627"/>
  <c r="AC578" i="627" s="1"/>
  <c r="Q578" i="627"/>
  <c r="R578" i="627"/>
  <c r="S578" i="627"/>
  <c r="M579" i="627"/>
  <c r="N579" i="627"/>
  <c r="O579" i="627"/>
  <c r="P579" i="627"/>
  <c r="Q579" i="627"/>
  <c r="AC579" i="627" s="1"/>
  <c r="R579" i="627"/>
  <c r="S579" i="627"/>
  <c r="M580" i="627"/>
  <c r="N580" i="627"/>
  <c r="O580" i="627"/>
  <c r="P580" i="627"/>
  <c r="Q580" i="627"/>
  <c r="R580" i="627"/>
  <c r="AC580" i="627" s="1"/>
  <c r="S580" i="627"/>
  <c r="M581" i="627"/>
  <c r="N581" i="627"/>
  <c r="O581" i="627"/>
  <c r="P581" i="627"/>
  <c r="Q581" i="627"/>
  <c r="R581" i="627"/>
  <c r="S581" i="627"/>
  <c r="AC581" i="627" s="1"/>
  <c r="M582" i="627"/>
  <c r="N582" i="627"/>
  <c r="O582" i="627"/>
  <c r="P582" i="627"/>
  <c r="Q582" i="627"/>
  <c r="R582" i="627"/>
  <c r="S582" i="627"/>
  <c r="M583" i="627"/>
  <c r="AC583" i="627" s="1"/>
  <c r="N583" i="627"/>
  <c r="O583" i="627"/>
  <c r="P583" i="627"/>
  <c r="Q583" i="627"/>
  <c r="R583" i="627"/>
  <c r="S583" i="627"/>
  <c r="M584" i="627"/>
  <c r="N584" i="627"/>
  <c r="AC584" i="627" s="1"/>
  <c r="O584" i="627"/>
  <c r="P584" i="627"/>
  <c r="Q584" i="627"/>
  <c r="R584" i="627"/>
  <c r="S584" i="627"/>
  <c r="M585" i="627"/>
  <c r="N585" i="627"/>
  <c r="O585" i="627"/>
  <c r="AC585" i="627" s="1"/>
  <c r="P585" i="627"/>
  <c r="Q585" i="627"/>
  <c r="R585" i="627"/>
  <c r="S585" i="627"/>
  <c r="M586" i="627"/>
  <c r="N586" i="627"/>
  <c r="O586" i="627"/>
  <c r="P586" i="627"/>
  <c r="AC586" i="627" s="1"/>
  <c r="Q586" i="627"/>
  <c r="R586" i="627"/>
  <c r="S586" i="627"/>
  <c r="M587" i="627"/>
  <c r="N587" i="627"/>
  <c r="O587" i="627"/>
  <c r="P587" i="627"/>
  <c r="Q587" i="627"/>
  <c r="AC587" i="627" s="1"/>
  <c r="R587" i="627"/>
  <c r="S587" i="627"/>
  <c r="M588" i="627"/>
  <c r="N588" i="627"/>
  <c r="O588" i="627"/>
  <c r="P588" i="627"/>
  <c r="Q588" i="627"/>
  <c r="R588" i="627"/>
  <c r="AC588" i="627" s="1"/>
  <c r="S588" i="627"/>
  <c r="M589" i="627"/>
  <c r="N589" i="627"/>
  <c r="O589" i="627"/>
  <c r="P589" i="627"/>
  <c r="Q589" i="627"/>
  <c r="R589" i="627"/>
  <c r="S589" i="627"/>
  <c r="AC589" i="627" s="1"/>
  <c r="M590" i="627"/>
  <c r="N590" i="627"/>
  <c r="O590" i="627"/>
  <c r="P590" i="627"/>
  <c r="Q590" i="627"/>
  <c r="R590" i="627"/>
  <c r="S590" i="627"/>
  <c r="M591" i="627"/>
  <c r="AC591" i="627" s="1"/>
  <c r="N591" i="627"/>
  <c r="O591" i="627"/>
  <c r="P591" i="627"/>
  <c r="Q591" i="627"/>
  <c r="R591" i="627"/>
  <c r="S591" i="627"/>
  <c r="M592" i="627"/>
  <c r="N592" i="627"/>
  <c r="AC592" i="627" s="1"/>
  <c r="O592" i="627"/>
  <c r="P592" i="627"/>
  <c r="Q592" i="627"/>
  <c r="R592" i="627"/>
  <c r="S592" i="627"/>
  <c r="M593" i="627"/>
  <c r="N593" i="627"/>
  <c r="O593" i="627"/>
  <c r="AC593" i="627" s="1"/>
  <c r="P593" i="627"/>
  <c r="Q593" i="627"/>
  <c r="R593" i="627"/>
  <c r="S593" i="627"/>
  <c r="M594" i="627"/>
  <c r="N594" i="627"/>
  <c r="O594" i="627"/>
  <c r="P594" i="627"/>
  <c r="AC594" i="627" s="1"/>
  <c r="Q594" i="627"/>
  <c r="R594" i="627"/>
  <c r="S594" i="627"/>
  <c r="M595" i="627"/>
  <c r="N595" i="627"/>
  <c r="O595" i="627"/>
  <c r="P595" i="627"/>
  <c r="Q595" i="627"/>
  <c r="AC595" i="627" s="1"/>
  <c r="R595" i="627"/>
  <c r="S595" i="627"/>
  <c r="M596" i="627"/>
  <c r="N596" i="627"/>
  <c r="O596" i="627"/>
  <c r="P596" i="627"/>
  <c r="Q596" i="627"/>
  <c r="R596" i="627"/>
  <c r="AC596" i="627" s="1"/>
  <c r="S596" i="627"/>
  <c r="M597" i="627"/>
  <c r="N597" i="627"/>
  <c r="O597" i="627"/>
  <c r="P597" i="627"/>
  <c r="Q597" i="627"/>
  <c r="R597" i="627"/>
  <c r="S597" i="627"/>
  <c r="AC597" i="627" s="1"/>
  <c r="M598" i="627"/>
  <c r="N598" i="627"/>
  <c r="O598" i="627"/>
  <c r="P598" i="627"/>
  <c r="Q598" i="627"/>
  <c r="R598" i="627"/>
  <c r="S598" i="627"/>
  <c r="M599" i="627"/>
  <c r="AC599" i="627" s="1"/>
  <c r="N599" i="627"/>
  <c r="O599" i="627"/>
  <c r="P599" i="627"/>
  <c r="Q599" i="627"/>
  <c r="R599" i="627"/>
  <c r="S599" i="627"/>
  <c r="M600" i="627"/>
  <c r="N600" i="627"/>
  <c r="AC600" i="627" s="1"/>
  <c r="O600" i="627"/>
  <c r="P600" i="627"/>
  <c r="Q600" i="627"/>
  <c r="R600" i="627"/>
  <c r="S600" i="627"/>
  <c r="M601" i="627"/>
  <c r="N601" i="627"/>
  <c r="O601" i="627"/>
  <c r="AC601" i="627" s="1"/>
  <c r="P601" i="627"/>
  <c r="Q601" i="627"/>
  <c r="R601" i="627"/>
  <c r="S601" i="627"/>
  <c r="M602" i="627"/>
  <c r="N602" i="627"/>
  <c r="O602" i="627"/>
  <c r="P602" i="627"/>
  <c r="AC602" i="627" s="1"/>
  <c r="Q602" i="627"/>
  <c r="R602" i="627"/>
  <c r="S602" i="627"/>
  <c r="M603" i="627"/>
  <c r="N603" i="627"/>
  <c r="O603" i="627"/>
  <c r="P603" i="627"/>
  <c r="Q603" i="627"/>
  <c r="AC603" i="627" s="1"/>
  <c r="R603" i="627"/>
  <c r="S603" i="627"/>
  <c r="M604" i="627"/>
  <c r="N604" i="627"/>
  <c r="O604" i="627"/>
  <c r="P604" i="627"/>
  <c r="Q604" i="627"/>
  <c r="R604" i="627"/>
  <c r="AC604" i="627" s="1"/>
  <c r="S604" i="627"/>
  <c r="M605" i="627"/>
  <c r="N605" i="627"/>
  <c r="O605" i="627"/>
  <c r="P605" i="627"/>
  <c r="Q605" i="627"/>
  <c r="R605" i="627"/>
  <c r="S605" i="627"/>
  <c r="AC605" i="627" s="1"/>
  <c r="M606" i="627"/>
  <c r="N606" i="627"/>
  <c r="O606" i="627"/>
  <c r="P606" i="627"/>
  <c r="Q606" i="627"/>
  <c r="R606" i="627"/>
  <c r="S606" i="627"/>
  <c r="M607" i="627"/>
  <c r="AC607" i="627" s="1"/>
  <c r="N607" i="627"/>
  <c r="O607" i="627"/>
  <c r="P607" i="627"/>
  <c r="Q607" i="627"/>
  <c r="R607" i="627"/>
  <c r="S607" i="627"/>
  <c r="M608" i="627"/>
  <c r="N608" i="627"/>
  <c r="AC608" i="627" s="1"/>
  <c r="O608" i="627"/>
  <c r="P608" i="627"/>
  <c r="Q608" i="627"/>
  <c r="R608" i="627"/>
  <c r="S608" i="627"/>
  <c r="M609" i="627"/>
  <c r="N609" i="627"/>
  <c r="O609" i="627"/>
  <c r="AC609" i="627" s="1"/>
  <c r="P609" i="627"/>
  <c r="Q609" i="627"/>
  <c r="R609" i="627"/>
  <c r="S609" i="627"/>
  <c r="M610" i="627"/>
  <c r="N610" i="627"/>
  <c r="O610" i="627"/>
  <c r="P610" i="627"/>
  <c r="AC610" i="627" s="1"/>
  <c r="Q610" i="627"/>
  <c r="R610" i="627"/>
  <c r="S610" i="627"/>
  <c r="M611" i="627"/>
  <c r="N611" i="627"/>
  <c r="O611" i="627"/>
  <c r="P611" i="627"/>
  <c r="Q611" i="627"/>
  <c r="AC611" i="627" s="1"/>
  <c r="R611" i="627"/>
  <c r="S611" i="627"/>
  <c r="M612" i="627"/>
  <c r="N612" i="627"/>
  <c r="O612" i="627"/>
  <c r="P612" i="627"/>
  <c r="Q612" i="627"/>
  <c r="R612" i="627"/>
  <c r="AC612" i="627" s="1"/>
  <c r="S612" i="627"/>
  <c r="M613" i="627"/>
  <c r="N613" i="627"/>
  <c r="O613" i="627"/>
  <c r="P613" i="627"/>
  <c r="Q613" i="627"/>
  <c r="R613" i="627"/>
  <c r="S613" i="627"/>
  <c r="AC613" i="627" s="1"/>
  <c r="M614" i="627"/>
  <c r="N614" i="627"/>
  <c r="O614" i="627"/>
  <c r="P614" i="627"/>
  <c r="Q614" i="627"/>
  <c r="R614" i="627"/>
  <c r="S614" i="627"/>
  <c r="M615" i="627"/>
  <c r="AC615" i="627" s="1"/>
  <c r="N615" i="627"/>
  <c r="O615" i="627"/>
  <c r="P615" i="627"/>
  <c r="Q615" i="627"/>
  <c r="R615" i="627"/>
  <c r="S615" i="627"/>
  <c r="M616" i="627"/>
  <c r="N616" i="627"/>
  <c r="AC616" i="627" s="1"/>
  <c r="O616" i="627"/>
  <c r="P616" i="627"/>
  <c r="Q616" i="627"/>
  <c r="R616" i="627"/>
  <c r="S616" i="627"/>
  <c r="M617" i="627"/>
  <c r="N617" i="627"/>
  <c r="O617" i="627"/>
  <c r="AC617" i="627" s="1"/>
  <c r="P617" i="627"/>
  <c r="Q617" i="627"/>
  <c r="R617" i="627"/>
  <c r="S617" i="627"/>
  <c r="M618" i="627"/>
  <c r="N618" i="627"/>
  <c r="O618" i="627"/>
  <c r="P618" i="627"/>
  <c r="AC618" i="627" s="1"/>
  <c r="Q618" i="627"/>
  <c r="R618" i="627"/>
  <c r="S618" i="627"/>
  <c r="M619" i="627"/>
  <c r="N619" i="627"/>
  <c r="O619" i="627"/>
  <c r="P619" i="627"/>
  <c r="Q619" i="627"/>
  <c r="R619" i="627"/>
  <c r="S619" i="627"/>
  <c r="M620" i="627"/>
  <c r="N620" i="627"/>
  <c r="O620" i="627"/>
  <c r="P620" i="627"/>
  <c r="Q620" i="627"/>
  <c r="R620" i="627"/>
  <c r="AC620" i="627" s="1"/>
  <c r="S620" i="627"/>
  <c r="M621" i="627"/>
  <c r="N621" i="627"/>
  <c r="O621" i="627"/>
  <c r="P621" i="627"/>
  <c r="Q621" i="627"/>
  <c r="R621" i="627"/>
  <c r="S621" i="627"/>
  <c r="AC621" i="627" s="1"/>
  <c r="M622" i="627"/>
  <c r="N622" i="627"/>
  <c r="O622" i="627"/>
  <c r="P622" i="627"/>
  <c r="Q622" i="627"/>
  <c r="R622" i="627"/>
  <c r="S622" i="627"/>
  <c r="M623" i="627"/>
  <c r="AC623" i="627" s="1"/>
  <c r="N623" i="627"/>
  <c r="O623" i="627"/>
  <c r="P623" i="627"/>
  <c r="Q623" i="627"/>
  <c r="R623" i="627"/>
  <c r="S623" i="627"/>
  <c r="M624" i="627"/>
  <c r="N624" i="627"/>
  <c r="AC624" i="627" s="1"/>
  <c r="O624" i="627"/>
  <c r="P624" i="627"/>
  <c r="Q624" i="627"/>
  <c r="R624" i="627"/>
  <c r="S624" i="627"/>
  <c r="M625" i="627"/>
  <c r="N625" i="627"/>
  <c r="O625" i="627"/>
  <c r="AC625" i="627" s="1"/>
  <c r="P625" i="627"/>
  <c r="Q625" i="627"/>
  <c r="R625" i="627"/>
  <c r="S625" i="627"/>
  <c r="M626" i="627"/>
  <c r="N626" i="627"/>
  <c r="O626" i="627"/>
  <c r="P626" i="627"/>
  <c r="AC626" i="627" s="1"/>
  <c r="Q626" i="627"/>
  <c r="R626" i="627"/>
  <c r="S626" i="627"/>
  <c r="M627" i="627"/>
  <c r="N627" i="627"/>
  <c r="O627" i="627"/>
  <c r="P627" i="627"/>
  <c r="Q627" i="627"/>
  <c r="AC627" i="627" s="1"/>
  <c r="R627" i="627"/>
  <c r="S627" i="627"/>
  <c r="M628" i="627"/>
  <c r="N628" i="627"/>
  <c r="O628" i="627"/>
  <c r="P628" i="627"/>
  <c r="Q628" i="627"/>
  <c r="R628" i="627"/>
  <c r="AC628" i="627" s="1"/>
  <c r="S628" i="627"/>
  <c r="M629" i="627"/>
  <c r="N629" i="627"/>
  <c r="O629" i="627"/>
  <c r="P629" i="627"/>
  <c r="Q629" i="627"/>
  <c r="R629" i="627"/>
  <c r="S629" i="627"/>
  <c r="AC629" i="627" s="1"/>
  <c r="M630" i="627"/>
  <c r="N630" i="627"/>
  <c r="O630" i="627"/>
  <c r="P630" i="627"/>
  <c r="Q630" i="627"/>
  <c r="R630" i="627"/>
  <c r="S630" i="627"/>
  <c r="M631" i="627"/>
  <c r="AC631" i="627" s="1"/>
  <c r="N631" i="627"/>
  <c r="O631" i="627"/>
  <c r="P631" i="627"/>
  <c r="Q631" i="627"/>
  <c r="R631" i="627"/>
  <c r="S631" i="627"/>
  <c r="M632" i="627"/>
  <c r="N632" i="627"/>
  <c r="AC632" i="627" s="1"/>
  <c r="O632" i="627"/>
  <c r="P632" i="627"/>
  <c r="Q632" i="627"/>
  <c r="R632" i="627"/>
  <c r="S632" i="627"/>
  <c r="M633" i="627"/>
  <c r="N633" i="627"/>
  <c r="O633" i="627"/>
  <c r="AC633" i="627" s="1"/>
  <c r="P633" i="627"/>
  <c r="Q633" i="627"/>
  <c r="R633" i="627"/>
  <c r="S633" i="627"/>
  <c r="M634" i="627"/>
  <c r="N634" i="627"/>
  <c r="O634" i="627"/>
  <c r="P634" i="627"/>
  <c r="AC634" i="627" s="1"/>
  <c r="Q634" i="627"/>
  <c r="R634" i="627"/>
  <c r="S634" i="627"/>
  <c r="M635" i="627"/>
  <c r="N635" i="627"/>
  <c r="O635" i="627"/>
  <c r="P635" i="627"/>
  <c r="Q635" i="627"/>
  <c r="AC635" i="627" s="1"/>
  <c r="R635" i="627"/>
  <c r="S635" i="627"/>
  <c r="M636" i="627"/>
  <c r="N636" i="627"/>
  <c r="O636" i="627"/>
  <c r="P636" i="627"/>
  <c r="Q636" i="627"/>
  <c r="R636" i="627"/>
  <c r="AC636" i="627" s="1"/>
  <c r="S636" i="627"/>
  <c r="M637" i="627"/>
  <c r="N637" i="627"/>
  <c r="O637" i="627"/>
  <c r="P637" i="627"/>
  <c r="Q637" i="627"/>
  <c r="R637" i="627"/>
  <c r="S637" i="627"/>
  <c r="AC637" i="627" s="1"/>
  <c r="M638" i="627"/>
  <c r="N638" i="627"/>
  <c r="O638" i="627"/>
  <c r="P638" i="627"/>
  <c r="Q638" i="627"/>
  <c r="R638" i="627"/>
  <c r="S638" i="627"/>
  <c r="M639" i="627"/>
  <c r="AC639" i="627" s="1"/>
  <c r="N639" i="627"/>
  <c r="O639" i="627"/>
  <c r="P639" i="627"/>
  <c r="Q639" i="627"/>
  <c r="R639" i="627"/>
  <c r="S639" i="627"/>
  <c r="M640" i="627"/>
  <c r="N640" i="627"/>
  <c r="AC640" i="627" s="1"/>
  <c r="O640" i="627"/>
  <c r="P640" i="627"/>
  <c r="Q640" i="627"/>
  <c r="R640" i="627"/>
  <c r="S640" i="627"/>
  <c r="M641" i="627"/>
  <c r="N641" i="627"/>
  <c r="O641" i="627"/>
  <c r="AC641" i="627" s="1"/>
  <c r="P641" i="627"/>
  <c r="Q641" i="627"/>
  <c r="R641" i="627"/>
  <c r="S641" i="627"/>
  <c r="M642" i="627"/>
  <c r="N642" i="627"/>
  <c r="O642" i="627"/>
  <c r="P642" i="627"/>
  <c r="AC642" i="627" s="1"/>
  <c r="Q642" i="627"/>
  <c r="R642" i="627"/>
  <c r="S642" i="627"/>
  <c r="M643" i="627"/>
  <c r="N643" i="627"/>
  <c r="O643" i="627"/>
  <c r="P643" i="627"/>
  <c r="Q643" i="627"/>
  <c r="AC643" i="627" s="1"/>
  <c r="R643" i="627"/>
  <c r="S643" i="627"/>
  <c r="M644" i="627"/>
  <c r="N644" i="627"/>
  <c r="O644" i="627"/>
  <c r="P644" i="627"/>
  <c r="Q644" i="627"/>
  <c r="R644" i="627"/>
  <c r="AC644" i="627" s="1"/>
  <c r="S644" i="627"/>
  <c r="M645" i="627"/>
  <c r="N645" i="627"/>
  <c r="O645" i="627"/>
  <c r="P645" i="627"/>
  <c r="Q645" i="627"/>
  <c r="R645" i="627"/>
  <c r="S645" i="627"/>
  <c r="AC645" i="627" s="1"/>
  <c r="M646" i="627"/>
  <c r="N646" i="627"/>
  <c r="O646" i="627"/>
  <c r="P646" i="627"/>
  <c r="Q646" i="627"/>
  <c r="R646" i="627"/>
  <c r="S646" i="627"/>
  <c r="M647" i="627"/>
  <c r="AC647" i="627" s="1"/>
  <c r="N647" i="627"/>
  <c r="O647" i="627"/>
  <c r="P647" i="627"/>
  <c r="Q647" i="627"/>
  <c r="R647" i="627"/>
  <c r="S647" i="627"/>
  <c r="M648" i="627"/>
  <c r="N648" i="627"/>
  <c r="AC648" i="627" s="1"/>
  <c r="O648" i="627"/>
  <c r="P648" i="627"/>
  <c r="Q648" i="627"/>
  <c r="R648" i="627"/>
  <c r="S648" i="627"/>
  <c r="M649" i="627"/>
  <c r="N649" i="627"/>
  <c r="O649" i="627"/>
  <c r="AC649" i="627" s="1"/>
  <c r="P649" i="627"/>
  <c r="Q649" i="627"/>
  <c r="R649" i="627"/>
  <c r="S649" i="627"/>
  <c r="M650" i="627"/>
  <c r="N650" i="627"/>
  <c r="O650" i="627"/>
  <c r="P650" i="627"/>
  <c r="AC650" i="627" s="1"/>
  <c r="Q650" i="627"/>
  <c r="R650" i="627"/>
  <c r="S650" i="627"/>
  <c r="M651" i="627"/>
  <c r="N651" i="627"/>
  <c r="O651" i="627"/>
  <c r="P651" i="627"/>
  <c r="Q651" i="627"/>
  <c r="AC651" i="627" s="1"/>
  <c r="R651" i="627"/>
  <c r="S651" i="627"/>
  <c r="M652" i="627"/>
  <c r="N652" i="627"/>
  <c r="O652" i="627"/>
  <c r="P652" i="627"/>
  <c r="Q652" i="627"/>
  <c r="R652" i="627"/>
  <c r="AC652" i="627" s="1"/>
  <c r="S652" i="627"/>
  <c r="M653" i="627"/>
  <c r="N653" i="627"/>
  <c r="O653" i="627"/>
  <c r="P653" i="627"/>
  <c r="Q653" i="627"/>
  <c r="R653" i="627"/>
  <c r="S653" i="627"/>
  <c r="AC653" i="627" s="1"/>
  <c r="M654" i="627"/>
  <c r="N654" i="627"/>
  <c r="O654" i="627"/>
  <c r="P654" i="627"/>
  <c r="Q654" i="627"/>
  <c r="R654" i="627"/>
  <c r="S654" i="627"/>
  <c r="M655" i="627"/>
  <c r="AC655" i="627" s="1"/>
  <c r="N655" i="627"/>
  <c r="O655" i="627"/>
  <c r="P655" i="627"/>
  <c r="Q655" i="627"/>
  <c r="R655" i="627"/>
  <c r="S655" i="627"/>
  <c r="M656" i="627"/>
  <c r="N656" i="627"/>
  <c r="AC656" i="627" s="1"/>
  <c r="O656" i="627"/>
  <c r="P656" i="627"/>
  <c r="Q656" i="627"/>
  <c r="R656" i="627"/>
  <c r="S656" i="627"/>
  <c r="M657" i="627"/>
  <c r="N657" i="627"/>
  <c r="O657" i="627"/>
  <c r="AC657" i="627" s="1"/>
  <c r="P657" i="627"/>
  <c r="Q657" i="627"/>
  <c r="R657" i="627"/>
  <c r="S657" i="627"/>
  <c r="M658" i="627"/>
  <c r="N658" i="627"/>
  <c r="O658" i="627"/>
  <c r="P658" i="627"/>
  <c r="AC658" i="627" s="1"/>
  <c r="Q658" i="627"/>
  <c r="R658" i="627"/>
  <c r="S658" i="627"/>
  <c r="M659" i="627"/>
  <c r="N659" i="627"/>
  <c r="O659" i="627"/>
  <c r="P659" i="627"/>
  <c r="Q659" i="627"/>
  <c r="AC659" i="627" s="1"/>
  <c r="R659" i="627"/>
  <c r="S659" i="627"/>
  <c r="M660" i="627"/>
  <c r="N660" i="627"/>
  <c r="O660" i="627"/>
  <c r="P660" i="627"/>
  <c r="Q660" i="627"/>
  <c r="R660" i="627"/>
  <c r="AC660" i="627" s="1"/>
  <c r="S660" i="627"/>
  <c r="M661" i="627"/>
  <c r="N661" i="627"/>
  <c r="O661" i="627"/>
  <c r="P661" i="627"/>
  <c r="Q661" i="627"/>
  <c r="R661" i="627"/>
  <c r="S661" i="627"/>
  <c r="AC661" i="627" s="1"/>
  <c r="M662" i="627"/>
  <c r="N662" i="627"/>
  <c r="O662" i="627"/>
  <c r="P662" i="627"/>
  <c r="Q662" i="627"/>
  <c r="R662" i="627"/>
  <c r="S662" i="627"/>
  <c r="M663" i="627"/>
  <c r="AC663" i="627" s="1"/>
  <c r="N663" i="627"/>
  <c r="O663" i="627"/>
  <c r="P663" i="627"/>
  <c r="Q663" i="627"/>
  <c r="R663" i="627"/>
  <c r="S663" i="627"/>
  <c r="M664" i="627"/>
  <c r="N664" i="627"/>
  <c r="AC664" i="627" s="1"/>
  <c r="O664" i="627"/>
  <c r="P664" i="627"/>
  <c r="Q664" i="627"/>
  <c r="R664" i="627"/>
  <c r="S664" i="627"/>
  <c r="M665" i="627"/>
  <c r="N665" i="627"/>
  <c r="O665" i="627"/>
  <c r="AC665" i="627" s="1"/>
  <c r="P665" i="627"/>
  <c r="Q665" i="627"/>
  <c r="R665" i="627"/>
  <c r="S665" i="627"/>
  <c r="M666" i="627"/>
  <c r="N666" i="627"/>
  <c r="O666" i="627"/>
  <c r="P666" i="627"/>
  <c r="AC666" i="627" s="1"/>
  <c r="Q666" i="627"/>
  <c r="R666" i="627"/>
  <c r="S666" i="627"/>
  <c r="M667" i="627"/>
  <c r="N667" i="627"/>
  <c r="O667" i="627"/>
  <c r="P667" i="627"/>
  <c r="Q667" i="627"/>
  <c r="AC667" i="627" s="1"/>
  <c r="R667" i="627"/>
  <c r="S667" i="627"/>
  <c r="M668" i="627"/>
  <c r="N668" i="627"/>
  <c r="O668" i="627"/>
  <c r="P668" i="627"/>
  <c r="Q668" i="627"/>
  <c r="R668" i="627"/>
  <c r="AC668" i="627" s="1"/>
  <c r="S668" i="627"/>
  <c r="M669" i="627"/>
  <c r="N669" i="627"/>
  <c r="O669" i="627"/>
  <c r="P669" i="627"/>
  <c r="Q669" i="627"/>
  <c r="R669" i="627"/>
  <c r="S669" i="627"/>
  <c r="AC669" i="627" s="1"/>
  <c r="M670" i="627"/>
  <c r="N670" i="627"/>
  <c r="O670" i="627"/>
  <c r="P670" i="627"/>
  <c r="Q670" i="627"/>
  <c r="R670" i="627"/>
  <c r="S670" i="627"/>
  <c r="M671" i="627"/>
  <c r="AC671" i="627" s="1"/>
  <c r="N671" i="627"/>
  <c r="O671" i="627"/>
  <c r="P671" i="627"/>
  <c r="Q671" i="627"/>
  <c r="R671" i="627"/>
  <c r="S671" i="627"/>
  <c r="M672" i="627"/>
  <c r="N672" i="627"/>
  <c r="AC672" i="627" s="1"/>
  <c r="O672" i="627"/>
  <c r="P672" i="627"/>
  <c r="Q672" i="627"/>
  <c r="R672" i="627"/>
  <c r="S672" i="627"/>
  <c r="M673" i="627"/>
  <c r="N673" i="627"/>
  <c r="O673" i="627"/>
  <c r="AC673" i="627" s="1"/>
  <c r="P673" i="627"/>
  <c r="Q673" i="627"/>
  <c r="R673" i="627"/>
  <c r="S673" i="627"/>
  <c r="M674" i="627"/>
  <c r="N674" i="627"/>
  <c r="O674" i="627"/>
  <c r="P674" i="627"/>
  <c r="AC674" i="627" s="1"/>
  <c r="Q674" i="627"/>
  <c r="R674" i="627"/>
  <c r="S674" i="627"/>
  <c r="M675" i="627"/>
  <c r="N675" i="627"/>
  <c r="O675" i="627"/>
  <c r="P675" i="627"/>
  <c r="Q675" i="627"/>
  <c r="AC675" i="627" s="1"/>
  <c r="R675" i="627"/>
  <c r="S675" i="627"/>
  <c r="M676" i="627"/>
  <c r="N676" i="627"/>
  <c r="O676" i="627"/>
  <c r="P676" i="627"/>
  <c r="Q676" i="627"/>
  <c r="R676" i="627"/>
  <c r="AC676" i="627" s="1"/>
  <c r="S676" i="627"/>
  <c r="M677" i="627"/>
  <c r="N677" i="627"/>
  <c r="O677" i="627"/>
  <c r="P677" i="627"/>
  <c r="Q677" i="627"/>
  <c r="R677" i="627"/>
  <c r="S677" i="627"/>
  <c r="AC677" i="627" s="1"/>
  <c r="M678" i="627"/>
  <c r="N678" i="627"/>
  <c r="O678" i="627"/>
  <c r="P678" i="627"/>
  <c r="Q678" i="627"/>
  <c r="R678" i="627"/>
  <c r="S678" i="627"/>
  <c r="M679" i="627"/>
  <c r="AC679" i="627" s="1"/>
  <c r="N679" i="627"/>
  <c r="O679" i="627"/>
  <c r="P679" i="627"/>
  <c r="Q679" i="627"/>
  <c r="R679" i="627"/>
  <c r="S679" i="627"/>
  <c r="M680" i="627"/>
  <c r="N680" i="627"/>
  <c r="AC680" i="627" s="1"/>
  <c r="O680" i="627"/>
  <c r="P680" i="627"/>
  <c r="Q680" i="627"/>
  <c r="R680" i="627"/>
  <c r="S680" i="627"/>
  <c r="M681" i="627"/>
  <c r="N681" i="627"/>
  <c r="O681" i="627"/>
  <c r="AC681" i="627" s="1"/>
  <c r="P681" i="627"/>
  <c r="Q681" i="627"/>
  <c r="R681" i="627"/>
  <c r="S681" i="627"/>
  <c r="M682" i="627"/>
  <c r="N682" i="627"/>
  <c r="O682" i="627"/>
  <c r="P682" i="627"/>
  <c r="AC682" i="627" s="1"/>
  <c r="Q682" i="627"/>
  <c r="R682" i="627"/>
  <c r="S682" i="627"/>
  <c r="M683" i="627"/>
  <c r="N683" i="627"/>
  <c r="O683" i="627"/>
  <c r="P683" i="627"/>
  <c r="Q683" i="627"/>
  <c r="AC683" i="627" s="1"/>
  <c r="R683" i="627"/>
  <c r="S683" i="627"/>
  <c r="M684" i="627"/>
  <c r="N684" i="627"/>
  <c r="O684" i="627"/>
  <c r="P684" i="627"/>
  <c r="Q684" i="627"/>
  <c r="R684" i="627"/>
  <c r="AC684" i="627" s="1"/>
  <c r="S684" i="627"/>
  <c r="M685" i="627"/>
  <c r="N685" i="627"/>
  <c r="O685" i="627"/>
  <c r="P685" i="627"/>
  <c r="Q685" i="627"/>
  <c r="R685" i="627"/>
  <c r="S685" i="627"/>
  <c r="AC685" i="627" s="1"/>
  <c r="M686" i="627"/>
  <c r="N686" i="627"/>
  <c r="O686" i="627"/>
  <c r="P686" i="627"/>
  <c r="Q686" i="627"/>
  <c r="R686" i="627"/>
  <c r="S686" i="627"/>
  <c r="M687" i="627"/>
  <c r="AC687" i="627" s="1"/>
  <c r="N687" i="627"/>
  <c r="O687" i="627"/>
  <c r="P687" i="627"/>
  <c r="Q687" i="627"/>
  <c r="R687" i="627"/>
  <c r="S687" i="627"/>
  <c r="M688" i="627"/>
  <c r="N688" i="627"/>
  <c r="AC688" i="627" s="1"/>
  <c r="O688" i="627"/>
  <c r="P688" i="627"/>
  <c r="Q688" i="627"/>
  <c r="R688" i="627"/>
  <c r="S688" i="627"/>
  <c r="M689" i="627"/>
  <c r="N689" i="627"/>
  <c r="O689" i="627"/>
  <c r="AC689" i="627" s="1"/>
  <c r="P689" i="627"/>
  <c r="Q689" i="627"/>
  <c r="R689" i="627"/>
  <c r="S689" i="627"/>
  <c r="M690" i="627"/>
  <c r="N690" i="627"/>
  <c r="O690" i="627"/>
  <c r="P690" i="627"/>
  <c r="AC690" i="627" s="1"/>
  <c r="Q690" i="627"/>
  <c r="R690" i="627"/>
  <c r="S690" i="627"/>
  <c r="M691" i="627"/>
  <c r="N691" i="627"/>
  <c r="O691" i="627"/>
  <c r="P691" i="627"/>
  <c r="Q691" i="627"/>
  <c r="AC691" i="627" s="1"/>
  <c r="R691" i="627"/>
  <c r="S691" i="627"/>
  <c r="M692" i="627"/>
  <c r="N692" i="627"/>
  <c r="O692" i="627"/>
  <c r="P692" i="627"/>
  <c r="Q692" i="627"/>
  <c r="R692" i="627"/>
  <c r="AC692" i="627" s="1"/>
  <c r="S692" i="627"/>
  <c r="M693" i="627"/>
  <c r="N693" i="627"/>
  <c r="O693" i="627"/>
  <c r="P693" i="627"/>
  <c r="Q693" i="627"/>
  <c r="R693" i="627"/>
  <c r="S693" i="627"/>
  <c r="AC693" i="627" s="1"/>
  <c r="M694" i="627"/>
  <c r="N694" i="627"/>
  <c r="O694" i="627"/>
  <c r="P694" i="627"/>
  <c r="Q694" i="627"/>
  <c r="R694" i="627"/>
  <c r="S694" i="627"/>
  <c r="M695" i="627"/>
  <c r="AC695" i="627" s="1"/>
  <c r="N695" i="627"/>
  <c r="O695" i="627"/>
  <c r="P695" i="627"/>
  <c r="Q695" i="627"/>
  <c r="R695" i="627"/>
  <c r="S695" i="627"/>
  <c r="M696" i="627"/>
  <c r="N696" i="627"/>
  <c r="AC696" i="627" s="1"/>
  <c r="O696" i="627"/>
  <c r="P696" i="627"/>
  <c r="Q696" i="627"/>
  <c r="R696" i="627"/>
  <c r="S696" i="627"/>
  <c r="M697" i="627"/>
  <c r="N697" i="627"/>
  <c r="O697" i="627"/>
  <c r="AC697" i="627" s="1"/>
  <c r="P697" i="627"/>
  <c r="Q697" i="627"/>
  <c r="R697" i="627"/>
  <c r="S697" i="627"/>
  <c r="M698" i="627"/>
  <c r="N698" i="627"/>
  <c r="O698" i="627"/>
  <c r="P698" i="627"/>
  <c r="AC698" i="627" s="1"/>
  <c r="Q698" i="627"/>
  <c r="R698" i="627"/>
  <c r="S698" i="627"/>
  <c r="M699" i="627"/>
  <c r="N699" i="627"/>
  <c r="O699" i="627"/>
  <c r="P699" i="627"/>
  <c r="Q699" i="627"/>
  <c r="AC699" i="627" s="1"/>
  <c r="R699" i="627"/>
  <c r="S699" i="627"/>
  <c r="M700" i="627"/>
  <c r="N700" i="627"/>
  <c r="O700" i="627"/>
  <c r="P700" i="627"/>
  <c r="Q700" i="627"/>
  <c r="R700" i="627"/>
  <c r="AC700" i="627" s="1"/>
  <c r="S700" i="627"/>
  <c r="M701" i="627"/>
  <c r="N701" i="627"/>
  <c r="O701" i="627"/>
  <c r="P701" i="627"/>
  <c r="Q701" i="627"/>
  <c r="R701" i="627"/>
  <c r="S701" i="627"/>
  <c r="AC701" i="627" s="1"/>
  <c r="M702" i="627"/>
  <c r="N702" i="627"/>
  <c r="O702" i="627"/>
  <c r="P702" i="627"/>
  <c r="Q702" i="627"/>
  <c r="R702" i="627"/>
  <c r="S702" i="627"/>
  <c r="M703" i="627"/>
  <c r="AC703" i="627" s="1"/>
  <c r="N703" i="627"/>
  <c r="O703" i="627"/>
  <c r="P703" i="627"/>
  <c r="Q703" i="627"/>
  <c r="R703" i="627"/>
  <c r="S703" i="627"/>
  <c r="M704" i="627"/>
  <c r="N704" i="627"/>
  <c r="AC704" i="627" s="1"/>
  <c r="O704" i="627"/>
  <c r="P704" i="627"/>
  <c r="Q704" i="627"/>
  <c r="R704" i="627"/>
  <c r="S704" i="627"/>
  <c r="M705" i="627"/>
  <c r="N705" i="627"/>
  <c r="O705" i="627"/>
  <c r="AC705" i="627" s="1"/>
  <c r="P705" i="627"/>
  <c r="Q705" i="627"/>
  <c r="R705" i="627"/>
  <c r="S705" i="627"/>
  <c r="M706" i="627"/>
  <c r="N706" i="627"/>
  <c r="O706" i="627"/>
  <c r="P706" i="627"/>
  <c r="AC706" i="627" s="1"/>
  <c r="Q706" i="627"/>
  <c r="R706" i="627"/>
  <c r="S706" i="627"/>
  <c r="M707" i="627"/>
  <c r="N707" i="627"/>
  <c r="O707" i="627"/>
  <c r="P707" i="627"/>
  <c r="Q707" i="627"/>
  <c r="AC707" i="627" s="1"/>
  <c r="R707" i="627"/>
  <c r="S707" i="627"/>
  <c r="M708" i="627"/>
  <c r="N708" i="627"/>
  <c r="O708" i="627"/>
  <c r="P708" i="627"/>
  <c r="Q708" i="627"/>
  <c r="R708" i="627"/>
  <c r="AC708" i="627" s="1"/>
  <c r="S708" i="627"/>
  <c r="M709" i="627"/>
  <c r="N709" i="627"/>
  <c r="O709" i="627"/>
  <c r="P709" i="627"/>
  <c r="Q709" i="627"/>
  <c r="R709" i="627"/>
  <c r="S709" i="627"/>
  <c r="AC709" i="627" s="1"/>
  <c r="M710" i="627"/>
  <c r="N710" i="627"/>
  <c r="O710" i="627"/>
  <c r="P710" i="627"/>
  <c r="Q710" i="627"/>
  <c r="R710" i="627"/>
  <c r="S710" i="627"/>
  <c r="M711" i="627"/>
  <c r="AC711" i="627" s="1"/>
  <c r="N711" i="627"/>
  <c r="O711" i="627"/>
  <c r="P711" i="627"/>
  <c r="Q711" i="627"/>
  <c r="R711" i="627"/>
  <c r="S711" i="627"/>
  <c r="M712" i="627"/>
  <c r="N712" i="627"/>
  <c r="AC712" i="627" s="1"/>
  <c r="O712" i="627"/>
  <c r="P712" i="627"/>
  <c r="Q712" i="627"/>
  <c r="R712" i="627"/>
  <c r="S712" i="627"/>
  <c r="M713" i="627"/>
  <c r="N713" i="627"/>
  <c r="O713" i="627"/>
  <c r="AC713" i="627" s="1"/>
  <c r="P713" i="627"/>
  <c r="Q713" i="627"/>
  <c r="R713" i="627"/>
  <c r="S713" i="627"/>
  <c r="M714" i="627"/>
  <c r="N714" i="627"/>
  <c r="O714" i="627"/>
  <c r="P714" i="627"/>
  <c r="AC714" i="627" s="1"/>
  <c r="Q714" i="627"/>
  <c r="R714" i="627"/>
  <c r="S714" i="627"/>
  <c r="M715" i="627"/>
  <c r="N715" i="627"/>
  <c r="O715" i="627"/>
  <c r="P715" i="627"/>
  <c r="Q715" i="627"/>
  <c r="AC715" i="627" s="1"/>
  <c r="R715" i="627"/>
  <c r="S715" i="627"/>
  <c r="M716" i="627"/>
  <c r="N716" i="627"/>
  <c r="O716" i="627"/>
  <c r="P716" i="627"/>
  <c r="Q716" i="627"/>
  <c r="R716" i="627"/>
  <c r="AC716" i="627" s="1"/>
  <c r="S716" i="627"/>
  <c r="M717" i="627"/>
  <c r="N717" i="627"/>
  <c r="O717" i="627"/>
  <c r="P717" i="627"/>
  <c r="Q717" i="627"/>
  <c r="R717" i="627"/>
  <c r="S717" i="627"/>
  <c r="AC717" i="627" s="1"/>
  <c r="M718" i="627"/>
  <c r="N718" i="627"/>
  <c r="O718" i="627"/>
  <c r="P718" i="627"/>
  <c r="Q718" i="627"/>
  <c r="R718" i="627"/>
  <c r="S718" i="627"/>
  <c r="M719" i="627"/>
  <c r="AC719" i="627" s="1"/>
  <c r="N719" i="627"/>
  <c r="O719" i="627"/>
  <c r="P719" i="627"/>
  <c r="Q719" i="627"/>
  <c r="R719" i="627"/>
  <c r="S719" i="627"/>
  <c r="M720" i="627"/>
  <c r="N720" i="627"/>
  <c r="AC720" i="627" s="1"/>
  <c r="O720" i="627"/>
  <c r="P720" i="627"/>
  <c r="Q720" i="627"/>
  <c r="R720" i="627"/>
  <c r="S720" i="627"/>
  <c r="M721" i="627"/>
  <c r="N721" i="627"/>
  <c r="O721" i="627"/>
  <c r="AC721" i="627" s="1"/>
  <c r="P721" i="627"/>
  <c r="Q721" i="627"/>
  <c r="R721" i="627"/>
  <c r="S721" i="627"/>
  <c r="M722" i="627"/>
  <c r="N722" i="627"/>
  <c r="O722" i="627"/>
  <c r="P722" i="627"/>
  <c r="AC722" i="627" s="1"/>
  <c r="Q722" i="627"/>
  <c r="R722" i="627"/>
  <c r="S722" i="627"/>
  <c r="M723" i="627"/>
  <c r="N723" i="627"/>
  <c r="O723" i="627"/>
  <c r="P723" i="627"/>
  <c r="Q723" i="627"/>
  <c r="AC723" i="627" s="1"/>
  <c r="R723" i="627"/>
  <c r="S723" i="627"/>
  <c r="M724" i="627"/>
  <c r="N724" i="627"/>
  <c r="O724" i="627"/>
  <c r="P724" i="627"/>
  <c r="Q724" i="627"/>
  <c r="R724" i="627"/>
  <c r="AC724" i="627" s="1"/>
  <c r="S724" i="627"/>
  <c r="M725" i="627"/>
  <c r="N725" i="627"/>
  <c r="O725" i="627"/>
  <c r="P725" i="627"/>
  <c r="Q725" i="627"/>
  <c r="R725" i="627"/>
  <c r="S725" i="627"/>
  <c r="AC725" i="627" s="1"/>
  <c r="M726" i="627"/>
  <c r="N726" i="627"/>
  <c r="O726" i="627"/>
  <c r="P726" i="627"/>
  <c r="Q726" i="627"/>
  <c r="R726" i="627"/>
  <c r="S726" i="627"/>
  <c r="M727" i="627"/>
  <c r="AC727" i="627" s="1"/>
  <c r="N727" i="627"/>
  <c r="O727" i="627"/>
  <c r="P727" i="627"/>
  <c r="Q727" i="627"/>
  <c r="R727" i="627"/>
  <c r="S727" i="627"/>
  <c r="M728" i="627"/>
  <c r="N728" i="627"/>
  <c r="AC728" i="627" s="1"/>
  <c r="O728" i="627"/>
  <c r="P728" i="627"/>
  <c r="Q728" i="627"/>
  <c r="R728" i="627"/>
  <c r="S728" i="627"/>
  <c r="M729" i="627"/>
  <c r="N729" i="627"/>
  <c r="O729" i="627"/>
  <c r="AC729" i="627" s="1"/>
  <c r="P729" i="627"/>
  <c r="Q729" i="627"/>
  <c r="R729" i="627"/>
  <c r="S729" i="627"/>
  <c r="M730" i="627"/>
  <c r="N730" i="627"/>
  <c r="O730" i="627"/>
  <c r="P730" i="627"/>
  <c r="AC730" i="627" s="1"/>
  <c r="Q730" i="627"/>
  <c r="R730" i="627"/>
  <c r="S730" i="627"/>
  <c r="M731" i="627"/>
  <c r="N731" i="627"/>
  <c r="O731" i="627"/>
  <c r="P731" i="627"/>
  <c r="Q731" i="627"/>
  <c r="AC731" i="627" s="1"/>
  <c r="R731" i="627"/>
  <c r="S731" i="627"/>
  <c r="M732" i="627"/>
  <c r="N732" i="627"/>
  <c r="O732" i="627"/>
  <c r="P732" i="627"/>
  <c r="Q732" i="627"/>
  <c r="R732" i="627"/>
  <c r="AC732" i="627" s="1"/>
  <c r="S732" i="627"/>
  <c r="M733" i="627"/>
  <c r="N733" i="627"/>
  <c r="O733" i="627"/>
  <c r="P733" i="627"/>
  <c r="Q733" i="627"/>
  <c r="R733" i="627"/>
  <c r="S733" i="627"/>
  <c r="AC733" i="627" s="1"/>
  <c r="M734" i="627"/>
  <c r="N734" i="627"/>
  <c r="O734" i="627"/>
  <c r="P734" i="627"/>
  <c r="Q734" i="627"/>
  <c r="R734" i="627"/>
  <c r="S734" i="627"/>
  <c r="M735" i="627"/>
  <c r="AC735" i="627" s="1"/>
  <c r="N735" i="627"/>
  <c r="O735" i="627"/>
  <c r="P735" i="627"/>
  <c r="Q735" i="627"/>
  <c r="R735" i="627"/>
  <c r="S735" i="627"/>
  <c r="M736" i="627"/>
  <c r="N736" i="627"/>
  <c r="AC736" i="627" s="1"/>
  <c r="O736" i="627"/>
  <c r="P736" i="627"/>
  <c r="Q736" i="627"/>
  <c r="R736" i="627"/>
  <c r="S736" i="627"/>
  <c r="M737" i="627"/>
  <c r="N737" i="627"/>
  <c r="O737" i="627"/>
  <c r="AC737" i="627" s="1"/>
  <c r="P737" i="627"/>
  <c r="Q737" i="627"/>
  <c r="R737" i="627"/>
  <c r="S737" i="627"/>
  <c r="M738" i="627"/>
  <c r="N738" i="627"/>
  <c r="O738" i="627"/>
  <c r="P738" i="627"/>
  <c r="AC738" i="627" s="1"/>
  <c r="Q738" i="627"/>
  <c r="R738" i="627"/>
  <c r="S738" i="627"/>
  <c r="M739" i="627"/>
  <c r="N739" i="627"/>
  <c r="O739" i="627"/>
  <c r="P739" i="627"/>
  <c r="Q739" i="627"/>
  <c r="AC739" i="627" s="1"/>
  <c r="R739" i="627"/>
  <c r="S739" i="627"/>
  <c r="M740" i="627"/>
  <c r="N740" i="627"/>
  <c r="O740" i="627"/>
  <c r="P740" i="627"/>
  <c r="Q740" i="627"/>
  <c r="R740" i="627"/>
  <c r="AC740" i="627" s="1"/>
  <c r="S740" i="627"/>
  <c r="M741" i="627"/>
  <c r="N741" i="627"/>
  <c r="O741" i="627"/>
  <c r="P741" i="627"/>
  <c r="Q741" i="627"/>
  <c r="R741" i="627"/>
  <c r="S741" i="627"/>
  <c r="AC741" i="627" s="1"/>
  <c r="M742" i="627"/>
  <c r="N742" i="627"/>
  <c r="O742" i="627"/>
  <c r="P742" i="627"/>
  <c r="Q742" i="627"/>
  <c r="R742" i="627"/>
  <c r="S742" i="627"/>
  <c r="M743" i="627"/>
  <c r="AC743" i="627" s="1"/>
  <c r="N743" i="627"/>
  <c r="O743" i="627"/>
  <c r="P743" i="627"/>
  <c r="Q743" i="627"/>
  <c r="R743" i="627"/>
  <c r="S743" i="627"/>
  <c r="M744" i="627"/>
  <c r="N744" i="627"/>
  <c r="AC744" i="627" s="1"/>
  <c r="O744" i="627"/>
  <c r="P744" i="627"/>
  <c r="Q744" i="627"/>
  <c r="R744" i="627"/>
  <c r="S744" i="627"/>
  <c r="M745" i="627"/>
  <c r="N745" i="627"/>
  <c r="O745" i="627"/>
  <c r="AC745" i="627" s="1"/>
  <c r="P745" i="627"/>
  <c r="Q745" i="627"/>
  <c r="R745" i="627"/>
  <c r="S745" i="627"/>
  <c r="M746" i="627"/>
  <c r="N746" i="627"/>
  <c r="O746" i="627"/>
  <c r="P746" i="627"/>
  <c r="AC746" i="627" s="1"/>
  <c r="Q746" i="627"/>
  <c r="R746" i="627"/>
  <c r="S746" i="627"/>
  <c r="M747" i="627"/>
  <c r="N747" i="627"/>
  <c r="O747" i="627"/>
  <c r="P747" i="627"/>
  <c r="Q747" i="627"/>
  <c r="AC747" i="627" s="1"/>
  <c r="R747" i="627"/>
  <c r="S747" i="627"/>
  <c r="M748" i="627"/>
  <c r="N748" i="627"/>
  <c r="O748" i="627"/>
  <c r="P748" i="627"/>
  <c r="Q748" i="627"/>
  <c r="R748" i="627"/>
  <c r="AC748" i="627" s="1"/>
  <c r="S748" i="627"/>
  <c r="M749" i="627"/>
  <c r="N749" i="627"/>
  <c r="O749" i="627"/>
  <c r="P749" i="627"/>
  <c r="Q749" i="627"/>
  <c r="R749" i="627"/>
  <c r="S749" i="627"/>
  <c r="AC749" i="627" s="1"/>
  <c r="M750" i="627"/>
  <c r="N750" i="627"/>
  <c r="O750" i="627"/>
  <c r="P750" i="627"/>
  <c r="Q750" i="627"/>
  <c r="R750" i="627"/>
  <c r="S750" i="627"/>
  <c r="M751" i="627"/>
  <c r="AC751" i="627" s="1"/>
  <c r="N751" i="627"/>
  <c r="O751" i="627"/>
  <c r="P751" i="627"/>
  <c r="Q751" i="627"/>
  <c r="R751" i="627"/>
  <c r="S751" i="627"/>
  <c r="M752" i="627"/>
  <c r="N752" i="627"/>
  <c r="AC752" i="627" s="1"/>
  <c r="O752" i="627"/>
  <c r="P752" i="627"/>
  <c r="Q752" i="627"/>
  <c r="R752" i="627"/>
  <c r="S752" i="627"/>
  <c r="M753" i="627"/>
  <c r="N753" i="627"/>
  <c r="O753" i="627"/>
  <c r="AC753" i="627" s="1"/>
  <c r="P753" i="627"/>
  <c r="Q753" i="627"/>
  <c r="R753" i="627"/>
  <c r="S753" i="627"/>
  <c r="M754" i="627"/>
  <c r="N754" i="627"/>
  <c r="O754" i="627"/>
  <c r="P754" i="627"/>
  <c r="AC754" i="627" s="1"/>
  <c r="Q754" i="627"/>
  <c r="R754" i="627"/>
  <c r="S754" i="627"/>
  <c r="M755" i="627"/>
  <c r="N755" i="627"/>
  <c r="O755" i="627"/>
  <c r="P755" i="627"/>
  <c r="Q755" i="627"/>
  <c r="AC755" i="627" s="1"/>
  <c r="R755" i="627"/>
  <c r="S755" i="627"/>
  <c r="M756" i="627"/>
  <c r="N756" i="627"/>
  <c r="O756" i="627"/>
  <c r="P756" i="627"/>
  <c r="Q756" i="627"/>
  <c r="R756" i="627"/>
  <c r="AC756" i="627" s="1"/>
  <c r="S756" i="627"/>
  <c r="M757" i="627"/>
  <c r="N757" i="627"/>
  <c r="O757" i="627"/>
  <c r="P757" i="627"/>
  <c r="Q757" i="627"/>
  <c r="R757" i="627"/>
  <c r="S757" i="627"/>
  <c r="AC757" i="627" s="1"/>
  <c r="M758" i="627"/>
  <c r="N758" i="627"/>
  <c r="O758" i="627"/>
  <c r="P758" i="627"/>
  <c r="Q758" i="627"/>
  <c r="R758" i="627"/>
  <c r="S758" i="627"/>
  <c r="M759" i="627"/>
  <c r="AC759" i="627" s="1"/>
  <c r="N759" i="627"/>
  <c r="O759" i="627"/>
  <c r="P759" i="627"/>
  <c r="Q759" i="627"/>
  <c r="R759" i="627"/>
  <c r="S759" i="627"/>
  <c r="M760" i="627"/>
  <c r="N760" i="627"/>
  <c r="AC760" i="627" s="1"/>
  <c r="O760" i="627"/>
  <c r="P760" i="627"/>
  <c r="Q760" i="627"/>
  <c r="R760" i="627"/>
  <c r="S760" i="627"/>
  <c r="M761" i="627"/>
  <c r="N761" i="627"/>
  <c r="O761" i="627"/>
  <c r="AC761" i="627" s="1"/>
  <c r="P761" i="627"/>
  <c r="Q761" i="627"/>
  <c r="R761" i="627"/>
  <c r="S761" i="627"/>
  <c r="M762" i="627"/>
  <c r="N762" i="627"/>
  <c r="O762" i="627"/>
  <c r="P762" i="627"/>
  <c r="AC762" i="627" s="1"/>
  <c r="Q762" i="627"/>
  <c r="R762" i="627"/>
  <c r="S762" i="627"/>
  <c r="M763" i="627"/>
  <c r="N763" i="627"/>
  <c r="O763" i="627"/>
  <c r="P763" i="627"/>
  <c r="Q763" i="627"/>
  <c r="AC763" i="627" s="1"/>
  <c r="R763" i="627"/>
  <c r="S763" i="627"/>
  <c r="M764" i="627"/>
  <c r="N764" i="627"/>
  <c r="O764" i="627"/>
  <c r="P764" i="627"/>
  <c r="Q764" i="627"/>
  <c r="R764" i="627"/>
  <c r="AC764" i="627" s="1"/>
  <c r="S764" i="627"/>
  <c r="M765" i="627"/>
  <c r="N765" i="627"/>
  <c r="O765" i="627"/>
  <c r="P765" i="627"/>
  <c r="Q765" i="627"/>
  <c r="R765" i="627"/>
  <c r="S765" i="627"/>
  <c r="AC765" i="627" s="1"/>
  <c r="M766" i="627"/>
  <c r="N766" i="627"/>
  <c r="O766" i="627"/>
  <c r="P766" i="627"/>
  <c r="Q766" i="627"/>
  <c r="R766" i="627"/>
  <c r="S766" i="627"/>
  <c r="M767" i="627"/>
  <c r="AC767" i="627" s="1"/>
  <c r="N767" i="627"/>
  <c r="O767" i="627"/>
  <c r="P767" i="627"/>
  <c r="Q767" i="627"/>
  <c r="R767" i="627"/>
  <c r="S767" i="627"/>
  <c r="M768" i="627"/>
  <c r="N768" i="627"/>
  <c r="AC768" i="627" s="1"/>
  <c r="O768" i="627"/>
  <c r="P768" i="627"/>
  <c r="Q768" i="627"/>
  <c r="R768" i="627"/>
  <c r="S768" i="627"/>
  <c r="M769" i="627"/>
  <c r="N769" i="627"/>
  <c r="O769" i="627"/>
  <c r="AC769" i="627" s="1"/>
  <c r="P769" i="627"/>
  <c r="Q769" i="627"/>
  <c r="R769" i="627"/>
  <c r="S769" i="627"/>
  <c r="M770" i="627"/>
  <c r="N770" i="627"/>
  <c r="O770" i="627"/>
  <c r="P770" i="627"/>
  <c r="AC770" i="627" s="1"/>
  <c r="Q770" i="627"/>
  <c r="R770" i="627"/>
  <c r="S770" i="627"/>
  <c r="M771" i="627"/>
  <c r="N771" i="627"/>
  <c r="O771" i="627"/>
  <c r="P771" i="627"/>
  <c r="Q771" i="627"/>
  <c r="AC771" i="627" s="1"/>
  <c r="R771" i="627"/>
  <c r="S771" i="627"/>
  <c r="M772" i="627"/>
  <c r="N772" i="627"/>
  <c r="O772" i="627"/>
  <c r="P772" i="627"/>
  <c r="Q772" i="627"/>
  <c r="R772" i="627"/>
  <c r="AC772" i="627" s="1"/>
  <c r="S772" i="627"/>
  <c r="M773" i="627"/>
  <c r="N773" i="627"/>
  <c r="O773" i="627"/>
  <c r="P773" i="627"/>
  <c r="Q773" i="627"/>
  <c r="R773" i="627"/>
  <c r="S773" i="627"/>
  <c r="AC773" i="627" s="1"/>
  <c r="M774" i="627"/>
  <c r="N774" i="627"/>
  <c r="O774" i="627"/>
  <c r="P774" i="627"/>
  <c r="Q774" i="627"/>
  <c r="R774" i="627"/>
  <c r="S774" i="627"/>
  <c r="M775" i="627"/>
  <c r="AC775" i="627" s="1"/>
  <c r="N775" i="627"/>
  <c r="O775" i="627"/>
  <c r="P775" i="627"/>
  <c r="Q775" i="627"/>
  <c r="R775" i="627"/>
  <c r="S775" i="627"/>
  <c r="M776" i="627"/>
  <c r="N776" i="627"/>
  <c r="AC776" i="627" s="1"/>
  <c r="O776" i="627"/>
  <c r="P776" i="627"/>
  <c r="Q776" i="627"/>
  <c r="R776" i="627"/>
  <c r="S776" i="627"/>
  <c r="M777" i="627"/>
  <c r="N777" i="627"/>
  <c r="O777" i="627"/>
  <c r="AC777" i="627" s="1"/>
  <c r="P777" i="627"/>
  <c r="Q777" i="627"/>
  <c r="R777" i="627"/>
  <c r="S777" i="627"/>
  <c r="M778" i="627"/>
  <c r="N778" i="627"/>
  <c r="O778" i="627"/>
  <c r="P778" i="627"/>
  <c r="AC778" i="627" s="1"/>
  <c r="Q778" i="627"/>
  <c r="R778" i="627"/>
  <c r="S778" i="627"/>
  <c r="M779" i="627"/>
  <c r="N779" i="627"/>
  <c r="O779" i="627"/>
  <c r="P779" i="627"/>
  <c r="Q779" i="627"/>
  <c r="AC779" i="627" s="1"/>
  <c r="R779" i="627"/>
  <c r="S779" i="627"/>
  <c r="M780" i="627"/>
  <c r="N780" i="627"/>
  <c r="O780" i="627"/>
  <c r="P780" i="627"/>
  <c r="Q780" i="627"/>
  <c r="R780" i="627"/>
  <c r="AC780" i="627" s="1"/>
  <c r="S780" i="627"/>
  <c r="M781" i="627"/>
  <c r="N781" i="627"/>
  <c r="O781" i="627"/>
  <c r="P781" i="627"/>
  <c r="Q781" i="627"/>
  <c r="R781" i="627"/>
  <c r="S781" i="627"/>
  <c r="AC781" i="627" s="1"/>
  <c r="M782" i="627"/>
  <c r="N782" i="627"/>
  <c r="O782" i="627"/>
  <c r="P782" i="627"/>
  <c r="Q782" i="627"/>
  <c r="R782" i="627"/>
  <c r="S782" i="627"/>
  <c r="M783" i="627"/>
  <c r="AC783" i="627" s="1"/>
  <c r="N783" i="627"/>
  <c r="O783" i="627"/>
  <c r="P783" i="627"/>
  <c r="Q783" i="627"/>
  <c r="R783" i="627"/>
  <c r="S783" i="627"/>
  <c r="M784" i="627"/>
  <c r="N784" i="627"/>
  <c r="AC784" i="627" s="1"/>
  <c r="O784" i="627"/>
  <c r="P784" i="627"/>
  <c r="Q784" i="627"/>
  <c r="R784" i="627"/>
  <c r="S784" i="627"/>
  <c r="M785" i="627"/>
  <c r="N785" i="627"/>
  <c r="O785" i="627"/>
  <c r="AC785" i="627" s="1"/>
  <c r="P785" i="627"/>
  <c r="Q785" i="627"/>
  <c r="R785" i="627"/>
  <c r="S785" i="627"/>
  <c r="M786" i="627"/>
  <c r="N786" i="627"/>
  <c r="O786" i="627"/>
  <c r="P786" i="627"/>
  <c r="AC786" i="627" s="1"/>
  <c r="Q786" i="627"/>
  <c r="R786" i="627"/>
  <c r="S786" i="627"/>
  <c r="M787" i="627"/>
  <c r="N787" i="627"/>
  <c r="O787" i="627"/>
  <c r="P787" i="627"/>
  <c r="Q787" i="627"/>
  <c r="AC787" i="627" s="1"/>
  <c r="R787" i="627"/>
  <c r="S787" i="627"/>
  <c r="M788" i="627"/>
  <c r="N788" i="627"/>
  <c r="O788" i="627"/>
  <c r="P788" i="627"/>
  <c r="Q788" i="627"/>
  <c r="R788" i="627"/>
  <c r="AC788" i="627" s="1"/>
  <c r="S788" i="627"/>
  <c r="M789" i="627"/>
  <c r="N789" i="627"/>
  <c r="O789" i="627"/>
  <c r="P789" i="627"/>
  <c r="Q789" i="627"/>
  <c r="R789" i="627"/>
  <c r="S789" i="627"/>
  <c r="AC789" i="627" s="1"/>
  <c r="M790" i="627"/>
  <c r="N790" i="627"/>
  <c r="O790" i="627"/>
  <c r="P790" i="627"/>
  <c r="Q790" i="627"/>
  <c r="R790" i="627"/>
  <c r="S790" i="627"/>
  <c r="M791" i="627"/>
  <c r="AC791" i="627" s="1"/>
  <c r="N791" i="627"/>
  <c r="O791" i="627"/>
  <c r="P791" i="627"/>
  <c r="Q791" i="627"/>
  <c r="R791" i="627"/>
  <c r="S791" i="627"/>
  <c r="M792" i="627"/>
  <c r="N792" i="627"/>
  <c r="AC792" i="627" s="1"/>
  <c r="O792" i="627"/>
  <c r="P792" i="627"/>
  <c r="Q792" i="627"/>
  <c r="R792" i="627"/>
  <c r="S792" i="627"/>
  <c r="M793" i="627"/>
  <c r="N793" i="627"/>
  <c r="O793" i="627"/>
  <c r="AC793" i="627" s="1"/>
  <c r="P793" i="627"/>
  <c r="Q793" i="627"/>
  <c r="R793" i="627"/>
  <c r="S793" i="627"/>
  <c r="M794" i="627"/>
  <c r="N794" i="627"/>
  <c r="O794" i="627"/>
  <c r="P794" i="627"/>
  <c r="AC794" i="627" s="1"/>
  <c r="Q794" i="627"/>
  <c r="R794" i="627"/>
  <c r="S794" i="627"/>
  <c r="M795" i="627"/>
  <c r="N795" i="627"/>
  <c r="O795" i="627"/>
  <c r="P795" i="627"/>
  <c r="Q795" i="627"/>
  <c r="AC795" i="627" s="1"/>
  <c r="R795" i="627"/>
  <c r="S795" i="627"/>
  <c r="M796" i="627"/>
  <c r="N796" i="627"/>
  <c r="O796" i="627"/>
  <c r="P796" i="627"/>
  <c r="Q796" i="627"/>
  <c r="R796" i="627"/>
  <c r="AC796" i="627" s="1"/>
  <c r="S796" i="627"/>
  <c r="M797" i="627"/>
  <c r="N797" i="627"/>
  <c r="O797" i="627"/>
  <c r="P797" i="627"/>
  <c r="Q797" i="627"/>
  <c r="R797" i="627"/>
  <c r="S797" i="627"/>
  <c r="AC797" i="627" s="1"/>
  <c r="M798" i="627"/>
  <c r="N798" i="627"/>
  <c r="O798" i="627"/>
  <c r="P798" i="627"/>
  <c r="Q798" i="627"/>
  <c r="R798" i="627"/>
  <c r="S798" i="627"/>
  <c r="M799" i="627"/>
  <c r="AC799" i="627" s="1"/>
  <c r="N799" i="627"/>
  <c r="O799" i="627"/>
  <c r="P799" i="627"/>
  <c r="Q799" i="627"/>
  <c r="R799" i="627"/>
  <c r="S799" i="627"/>
  <c r="M800" i="627"/>
  <c r="N800" i="627"/>
  <c r="AC800" i="627" s="1"/>
  <c r="O800" i="627"/>
  <c r="P800" i="627"/>
  <c r="Q800" i="627"/>
  <c r="R800" i="627"/>
  <c r="S800" i="627"/>
  <c r="M801" i="627"/>
  <c r="N801" i="627"/>
  <c r="O801" i="627"/>
  <c r="AC801" i="627" s="1"/>
  <c r="P801" i="627"/>
  <c r="Q801" i="627"/>
  <c r="R801" i="627"/>
  <c r="S801" i="627"/>
  <c r="M802" i="627"/>
  <c r="N802" i="627"/>
  <c r="O802" i="627"/>
  <c r="P802" i="627"/>
  <c r="AC802" i="627" s="1"/>
  <c r="Q802" i="627"/>
  <c r="R802" i="627"/>
  <c r="S802" i="627"/>
  <c r="M803" i="627"/>
  <c r="N803" i="627"/>
  <c r="O803" i="627"/>
  <c r="P803" i="627"/>
  <c r="Q803" i="627"/>
  <c r="AC803" i="627" s="1"/>
  <c r="R803" i="627"/>
  <c r="S803" i="627"/>
  <c r="M804" i="627"/>
  <c r="N804" i="627"/>
  <c r="O804" i="627"/>
  <c r="P804" i="627"/>
  <c r="Q804" i="627"/>
  <c r="R804" i="627"/>
  <c r="AC804" i="627" s="1"/>
  <c r="S804" i="627"/>
  <c r="M805" i="627"/>
  <c r="N805" i="627"/>
  <c r="O805" i="627"/>
  <c r="P805" i="627"/>
  <c r="Q805" i="627"/>
  <c r="R805" i="627"/>
  <c r="S805" i="627"/>
  <c r="AC805" i="627" s="1"/>
  <c r="M806" i="627"/>
  <c r="N806" i="627"/>
  <c r="O806" i="627"/>
  <c r="P806" i="627"/>
  <c r="Q806" i="627"/>
  <c r="R806" i="627"/>
  <c r="S806" i="627"/>
  <c r="M807" i="627"/>
  <c r="AC807" i="627" s="1"/>
  <c r="N807" i="627"/>
  <c r="O807" i="627"/>
  <c r="P807" i="627"/>
  <c r="Q807" i="627"/>
  <c r="R807" i="627"/>
  <c r="S807" i="627"/>
  <c r="M808" i="627"/>
  <c r="N808" i="627"/>
  <c r="AC808" i="627" s="1"/>
  <c r="O808" i="627"/>
  <c r="P808" i="627"/>
  <c r="Q808" i="627"/>
  <c r="R808" i="627"/>
  <c r="S808" i="627"/>
  <c r="M809" i="627"/>
  <c r="N809" i="627"/>
  <c r="O809" i="627"/>
  <c r="AC809" i="627" s="1"/>
  <c r="P809" i="627"/>
  <c r="Q809" i="627"/>
  <c r="R809" i="627"/>
  <c r="S809" i="627"/>
  <c r="M810" i="627"/>
  <c r="N810" i="627"/>
  <c r="O810" i="627"/>
  <c r="P810" i="627"/>
  <c r="AC810" i="627" s="1"/>
  <c r="Q810" i="627"/>
  <c r="R810" i="627"/>
  <c r="S810" i="627"/>
  <c r="M811" i="627"/>
  <c r="N811" i="627"/>
  <c r="O811" i="627"/>
  <c r="P811" i="627"/>
  <c r="Q811" i="627"/>
  <c r="AC811" i="627" s="1"/>
  <c r="R811" i="627"/>
  <c r="S811" i="627"/>
  <c r="M812" i="627"/>
  <c r="N812" i="627"/>
  <c r="O812" i="627"/>
  <c r="P812" i="627"/>
  <c r="Q812" i="627"/>
  <c r="R812" i="627"/>
  <c r="AC812" i="627" s="1"/>
  <c r="S812" i="627"/>
  <c r="M813" i="627"/>
  <c r="N813" i="627"/>
  <c r="O813" i="627"/>
  <c r="P813" i="627"/>
  <c r="Q813" i="627"/>
  <c r="R813" i="627"/>
  <c r="S813" i="627"/>
  <c r="AC813" i="627" s="1"/>
  <c r="M814" i="627"/>
  <c r="N814" i="627"/>
  <c r="O814" i="627"/>
  <c r="P814" i="627"/>
  <c r="Q814" i="627"/>
  <c r="R814" i="627"/>
  <c r="S814" i="627"/>
  <c r="M815" i="627"/>
  <c r="AC815" i="627" s="1"/>
  <c r="N815" i="627"/>
  <c r="O815" i="627"/>
  <c r="P815" i="627"/>
  <c r="Q815" i="627"/>
  <c r="R815" i="627"/>
  <c r="S815" i="627"/>
  <c r="M816" i="627"/>
  <c r="N816" i="627"/>
  <c r="AC816" i="627" s="1"/>
  <c r="O816" i="627"/>
  <c r="P816" i="627"/>
  <c r="Q816" i="627"/>
  <c r="R816" i="627"/>
  <c r="S816" i="627"/>
  <c r="M817" i="627"/>
  <c r="N817" i="627"/>
  <c r="O817" i="627"/>
  <c r="AC817" i="627" s="1"/>
  <c r="P817" i="627"/>
  <c r="Q817" i="627"/>
  <c r="R817" i="627"/>
  <c r="S817" i="627"/>
  <c r="M818" i="627"/>
  <c r="N818" i="627"/>
  <c r="O818" i="627"/>
  <c r="P818" i="627"/>
  <c r="AC818" i="627" s="1"/>
  <c r="Q818" i="627"/>
  <c r="R818" i="627"/>
  <c r="S818" i="627"/>
  <c r="M819" i="627"/>
  <c r="N819" i="627"/>
  <c r="O819" i="627"/>
  <c r="P819" i="627"/>
  <c r="Q819" i="627"/>
  <c r="AC819" i="627" s="1"/>
  <c r="R819" i="627"/>
  <c r="S819" i="627"/>
  <c r="M820" i="627"/>
  <c r="N820" i="627"/>
  <c r="O820" i="627"/>
  <c r="P820" i="627"/>
  <c r="Q820" i="627"/>
  <c r="R820" i="627"/>
  <c r="AC820" i="627" s="1"/>
  <c r="S820" i="627"/>
  <c r="M821" i="627"/>
  <c r="N821" i="627"/>
  <c r="O821" i="627"/>
  <c r="P821" i="627"/>
  <c r="Q821" i="627"/>
  <c r="R821" i="627"/>
  <c r="S821" i="627"/>
  <c r="AC821" i="627" s="1"/>
  <c r="M822" i="627"/>
  <c r="N822" i="627"/>
  <c r="O822" i="627"/>
  <c r="P822" i="627"/>
  <c r="Q822" i="627"/>
  <c r="R822" i="627"/>
  <c r="S822" i="627"/>
  <c r="M823" i="627"/>
  <c r="AC823" i="627" s="1"/>
  <c r="N823" i="627"/>
  <c r="O823" i="627"/>
  <c r="P823" i="627"/>
  <c r="Q823" i="627"/>
  <c r="R823" i="627"/>
  <c r="S823" i="627"/>
  <c r="M824" i="627"/>
  <c r="N824" i="627"/>
  <c r="AC824" i="627" s="1"/>
  <c r="O824" i="627"/>
  <c r="P824" i="627"/>
  <c r="Q824" i="627"/>
  <c r="R824" i="627"/>
  <c r="S824" i="627"/>
  <c r="M825" i="627"/>
  <c r="N825" i="627"/>
  <c r="O825" i="627"/>
  <c r="AC825" i="627" s="1"/>
  <c r="P825" i="627"/>
  <c r="Q825" i="627"/>
  <c r="R825" i="627"/>
  <c r="S825" i="627"/>
  <c r="M826" i="627"/>
  <c r="N826" i="627"/>
  <c r="O826" i="627"/>
  <c r="P826" i="627"/>
  <c r="AC826" i="627" s="1"/>
  <c r="Q826" i="627"/>
  <c r="R826" i="627"/>
  <c r="S826" i="627"/>
  <c r="M827" i="627"/>
  <c r="N827" i="627"/>
  <c r="O827" i="627"/>
  <c r="P827" i="627"/>
  <c r="Q827" i="627"/>
  <c r="AC827" i="627" s="1"/>
  <c r="R827" i="627"/>
  <c r="S827" i="627"/>
  <c r="M828" i="627"/>
  <c r="N828" i="627"/>
  <c r="O828" i="627"/>
  <c r="P828" i="627"/>
  <c r="Q828" i="627"/>
  <c r="R828" i="627"/>
  <c r="AC828" i="627" s="1"/>
  <c r="S828" i="627"/>
  <c r="M829" i="627"/>
  <c r="N829" i="627"/>
  <c r="O829" i="627"/>
  <c r="P829" i="627"/>
  <c r="Q829" i="627"/>
  <c r="R829" i="627"/>
  <c r="S829" i="627"/>
  <c r="AC829" i="627" s="1"/>
  <c r="M830" i="627"/>
  <c r="N830" i="627"/>
  <c r="O830" i="627"/>
  <c r="P830" i="627"/>
  <c r="Q830" i="627"/>
  <c r="R830" i="627"/>
  <c r="S830" i="627"/>
  <c r="M831" i="627"/>
  <c r="AC831" i="627" s="1"/>
  <c r="N831" i="627"/>
  <c r="O831" i="627"/>
  <c r="P831" i="627"/>
  <c r="Q831" i="627"/>
  <c r="R831" i="627"/>
  <c r="S831" i="627"/>
  <c r="M832" i="627"/>
  <c r="N832" i="627"/>
  <c r="AC832" i="627" s="1"/>
  <c r="O832" i="627"/>
  <c r="P832" i="627"/>
  <c r="Q832" i="627"/>
  <c r="R832" i="627"/>
  <c r="S832" i="627"/>
  <c r="M833" i="627"/>
  <c r="N833" i="627"/>
  <c r="O833" i="627"/>
  <c r="AC833" i="627" s="1"/>
  <c r="P833" i="627"/>
  <c r="Q833" i="627"/>
  <c r="R833" i="627"/>
  <c r="S833" i="627"/>
  <c r="M834" i="627"/>
  <c r="N834" i="627"/>
  <c r="O834" i="627"/>
  <c r="P834" i="627"/>
  <c r="AC834" i="627" s="1"/>
  <c r="Q834" i="627"/>
  <c r="R834" i="627"/>
  <c r="S834" i="627"/>
  <c r="M835" i="627"/>
  <c r="N835" i="627"/>
  <c r="O835" i="627"/>
  <c r="P835" i="627"/>
  <c r="Q835" i="627"/>
  <c r="AC835" i="627" s="1"/>
  <c r="R835" i="627"/>
  <c r="S835" i="627"/>
  <c r="M836" i="627"/>
  <c r="N836" i="627"/>
  <c r="O836" i="627"/>
  <c r="P836" i="627"/>
  <c r="Q836" i="627"/>
  <c r="R836" i="627"/>
  <c r="AC836" i="627" s="1"/>
  <c r="S836" i="627"/>
  <c r="M837" i="627"/>
  <c r="N837" i="627"/>
  <c r="O837" i="627"/>
  <c r="P837" i="627"/>
  <c r="Q837" i="627"/>
  <c r="R837" i="627"/>
  <c r="S837" i="627"/>
  <c r="AC837" i="627" s="1"/>
  <c r="M838" i="627"/>
  <c r="N838" i="627"/>
  <c r="O838" i="627"/>
  <c r="P838" i="627"/>
  <c r="Q838" i="627"/>
  <c r="R838" i="627"/>
  <c r="S838" i="627"/>
  <c r="M839" i="627"/>
  <c r="AC839" i="627" s="1"/>
  <c r="N839" i="627"/>
  <c r="O839" i="627"/>
  <c r="P839" i="627"/>
  <c r="Q839" i="627"/>
  <c r="R839" i="627"/>
  <c r="S839" i="627"/>
  <c r="M840" i="627"/>
  <c r="N840" i="627"/>
  <c r="AC840" i="627" s="1"/>
  <c r="O840" i="627"/>
  <c r="P840" i="627"/>
  <c r="Q840" i="627"/>
  <c r="R840" i="627"/>
  <c r="S840" i="627"/>
  <c r="M841" i="627"/>
  <c r="N841" i="627"/>
  <c r="O841" i="627"/>
  <c r="AC841" i="627" s="1"/>
  <c r="P841" i="627"/>
  <c r="Q841" i="627"/>
  <c r="R841" i="627"/>
  <c r="S841" i="627"/>
  <c r="M842" i="627"/>
  <c r="N842" i="627"/>
  <c r="O842" i="627"/>
  <c r="P842" i="627"/>
  <c r="AC842" i="627" s="1"/>
  <c r="Q842" i="627"/>
  <c r="R842" i="627"/>
  <c r="S842" i="627"/>
  <c r="M843" i="627"/>
  <c r="N843" i="627"/>
  <c r="O843" i="627"/>
  <c r="P843" i="627"/>
  <c r="Q843" i="627"/>
  <c r="AC843" i="627" s="1"/>
  <c r="R843" i="627"/>
  <c r="S843" i="627"/>
  <c r="M844" i="627"/>
  <c r="N844" i="627"/>
  <c r="O844" i="627"/>
  <c r="P844" i="627"/>
  <c r="Q844" i="627"/>
  <c r="R844" i="627"/>
  <c r="AC844" i="627" s="1"/>
  <c r="S844" i="627"/>
  <c r="M845" i="627"/>
  <c r="N845" i="627"/>
  <c r="O845" i="627"/>
  <c r="P845" i="627"/>
  <c r="Q845" i="627"/>
  <c r="R845" i="627"/>
  <c r="S845" i="627"/>
  <c r="AC845" i="627" s="1"/>
  <c r="M846" i="627"/>
  <c r="N846" i="627"/>
  <c r="O846" i="627"/>
  <c r="P846" i="627"/>
  <c r="Q846" i="627"/>
  <c r="R846" i="627"/>
  <c r="S846" i="627"/>
  <c r="M847" i="627"/>
  <c r="AC847" i="627" s="1"/>
  <c r="N847" i="627"/>
  <c r="O847" i="627"/>
  <c r="P847" i="627"/>
  <c r="Q847" i="627"/>
  <c r="R847" i="627"/>
  <c r="S847" i="627"/>
  <c r="M848" i="627"/>
  <c r="N848" i="627"/>
  <c r="AC848" i="627" s="1"/>
  <c r="O848" i="627"/>
  <c r="P848" i="627"/>
  <c r="Q848" i="627"/>
  <c r="R848" i="627"/>
  <c r="S848" i="627"/>
  <c r="M849" i="627"/>
  <c r="N849" i="627"/>
  <c r="O849" i="627"/>
  <c r="AC849" i="627" s="1"/>
  <c r="P849" i="627"/>
  <c r="Q849" i="627"/>
  <c r="R849" i="627"/>
  <c r="S849" i="627"/>
  <c r="M850" i="627"/>
  <c r="N850" i="627"/>
  <c r="O850" i="627"/>
  <c r="P850" i="627"/>
  <c r="AC850" i="627" s="1"/>
  <c r="Q850" i="627"/>
  <c r="R850" i="627"/>
  <c r="S850" i="627"/>
  <c r="M851" i="627"/>
  <c r="N851" i="627"/>
  <c r="O851" i="627"/>
  <c r="P851" i="627"/>
  <c r="Q851" i="627"/>
  <c r="AC851" i="627" s="1"/>
  <c r="R851" i="627"/>
  <c r="S851" i="627"/>
  <c r="M852" i="627"/>
  <c r="N852" i="627"/>
  <c r="O852" i="627"/>
  <c r="P852" i="627"/>
  <c r="Q852" i="627"/>
  <c r="R852" i="627"/>
  <c r="AC852" i="627" s="1"/>
  <c r="S852" i="627"/>
  <c r="M853" i="627"/>
  <c r="N853" i="627"/>
  <c r="O853" i="627"/>
  <c r="P853" i="627"/>
  <c r="Q853" i="627"/>
  <c r="R853" i="627"/>
  <c r="S853" i="627"/>
  <c r="AC853" i="627" s="1"/>
  <c r="M854" i="627"/>
  <c r="N854" i="627"/>
  <c r="O854" i="627"/>
  <c r="P854" i="627"/>
  <c r="Q854" i="627"/>
  <c r="R854" i="627"/>
  <c r="S854" i="627"/>
  <c r="M855" i="627"/>
  <c r="AC855" i="627" s="1"/>
  <c r="N855" i="627"/>
  <c r="O855" i="627"/>
  <c r="P855" i="627"/>
  <c r="Q855" i="627"/>
  <c r="R855" i="627"/>
  <c r="S855" i="627"/>
  <c r="M856" i="627"/>
  <c r="N856" i="627"/>
  <c r="AC856" i="627" s="1"/>
  <c r="O856" i="627"/>
  <c r="P856" i="627"/>
  <c r="Q856" i="627"/>
  <c r="R856" i="627"/>
  <c r="S856" i="627"/>
  <c r="M857" i="627"/>
  <c r="N857" i="627"/>
  <c r="O857" i="627"/>
  <c r="AC857" i="627" s="1"/>
  <c r="P857" i="627"/>
  <c r="Q857" i="627"/>
  <c r="R857" i="627"/>
  <c r="S857" i="627"/>
  <c r="M858" i="627"/>
  <c r="N858" i="627"/>
  <c r="O858" i="627"/>
  <c r="P858" i="627"/>
  <c r="AC858" i="627" s="1"/>
  <c r="Q858" i="627"/>
  <c r="R858" i="627"/>
  <c r="S858" i="627"/>
  <c r="M859" i="627"/>
  <c r="N859" i="627"/>
  <c r="O859" i="627"/>
  <c r="P859" i="627"/>
  <c r="Q859" i="627"/>
  <c r="AC859" i="627" s="1"/>
  <c r="R859" i="627"/>
  <c r="S859" i="627"/>
  <c r="M860" i="627"/>
  <c r="N860" i="627"/>
  <c r="O860" i="627"/>
  <c r="P860" i="627"/>
  <c r="Q860" i="627"/>
  <c r="R860" i="627"/>
  <c r="AC860" i="627" s="1"/>
  <c r="S860" i="627"/>
  <c r="M861" i="627"/>
  <c r="N861" i="627"/>
  <c r="O861" i="627"/>
  <c r="P861" i="627"/>
  <c r="Q861" i="627"/>
  <c r="R861" i="627"/>
  <c r="S861" i="627"/>
  <c r="AC861" i="627" s="1"/>
  <c r="M862" i="627"/>
  <c r="N862" i="627"/>
  <c r="O862" i="627"/>
  <c r="P862" i="627"/>
  <c r="Q862" i="627"/>
  <c r="R862" i="627"/>
  <c r="S862" i="627"/>
  <c r="M863" i="627"/>
  <c r="AC863" i="627" s="1"/>
  <c r="N863" i="627"/>
  <c r="O863" i="627"/>
  <c r="P863" i="627"/>
  <c r="Q863" i="627"/>
  <c r="R863" i="627"/>
  <c r="S863" i="627"/>
  <c r="M864" i="627"/>
  <c r="N864" i="627"/>
  <c r="AC864" i="627" s="1"/>
  <c r="O864" i="627"/>
  <c r="P864" i="627"/>
  <c r="Q864" i="627"/>
  <c r="R864" i="627"/>
  <c r="S864" i="627"/>
  <c r="M865" i="627"/>
  <c r="N865" i="627"/>
  <c r="O865" i="627"/>
  <c r="AC865" i="627" s="1"/>
  <c r="P865" i="627"/>
  <c r="Q865" i="627"/>
  <c r="R865" i="627"/>
  <c r="S865" i="627"/>
  <c r="M866" i="627"/>
  <c r="N866" i="627"/>
  <c r="O866" i="627"/>
  <c r="P866" i="627"/>
  <c r="AC866" i="627" s="1"/>
  <c r="Q866" i="627"/>
  <c r="R866" i="627"/>
  <c r="S866" i="627"/>
  <c r="M867" i="627"/>
  <c r="N867" i="627"/>
  <c r="O867" i="627"/>
  <c r="P867" i="627"/>
  <c r="Q867" i="627"/>
  <c r="AC867" i="627" s="1"/>
  <c r="R867" i="627"/>
  <c r="S867" i="627"/>
  <c r="M868" i="627"/>
  <c r="N868" i="627"/>
  <c r="O868" i="627"/>
  <c r="P868" i="627"/>
  <c r="Q868" i="627"/>
  <c r="R868" i="627"/>
  <c r="AC868" i="627" s="1"/>
  <c r="S868" i="627"/>
  <c r="M869" i="627"/>
  <c r="N869" i="627"/>
  <c r="O869" i="627"/>
  <c r="P869" i="627"/>
  <c r="Q869" i="627"/>
  <c r="R869" i="627"/>
  <c r="S869" i="627"/>
  <c r="AC869" i="627" s="1"/>
  <c r="M870" i="627"/>
  <c r="N870" i="627"/>
  <c r="O870" i="627"/>
  <c r="P870" i="627"/>
  <c r="Q870" i="627"/>
  <c r="R870" i="627"/>
  <c r="S870" i="627"/>
  <c r="M871" i="627"/>
  <c r="AC871" i="627" s="1"/>
  <c r="N871" i="627"/>
  <c r="O871" i="627"/>
  <c r="P871" i="627"/>
  <c r="Q871" i="627"/>
  <c r="R871" i="627"/>
  <c r="S871" i="627"/>
  <c r="M872" i="627"/>
  <c r="N872" i="627"/>
  <c r="AC872" i="627" s="1"/>
  <c r="O872" i="627"/>
  <c r="P872" i="627"/>
  <c r="Q872" i="627"/>
  <c r="R872" i="627"/>
  <c r="S872" i="627"/>
  <c r="M873" i="627"/>
  <c r="N873" i="627"/>
  <c r="O873" i="627"/>
  <c r="AC873" i="627" s="1"/>
  <c r="P873" i="627"/>
  <c r="Q873" i="627"/>
  <c r="R873" i="627"/>
  <c r="S873" i="627"/>
  <c r="M874" i="627"/>
  <c r="N874" i="627"/>
  <c r="O874" i="627"/>
  <c r="P874" i="627"/>
  <c r="AC874" i="627" s="1"/>
  <c r="Q874" i="627"/>
  <c r="R874" i="627"/>
  <c r="S874" i="627"/>
  <c r="M875" i="627"/>
  <c r="N875" i="627"/>
  <c r="O875" i="627"/>
  <c r="P875" i="627"/>
  <c r="Q875" i="627"/>
  <c r="AC875" i="627" s="1"/>
  <c r="R875" i="627"/>
  <c r="S875" i="627"/>
  <c r="M876" i="627"/>
  <c r="N876" i="627"/>
  <c r="O876" i="627"/>
  <c r="P876" i="627"/>
  <c r="Q876" i="627"/>
  <c r="R876" i="627"/>
  <c r="AC876" i="627" s="1"/>
  <c r="S876" i="627"/>
  <c r="M877" i="627"/>
  <c r="N877" i="627"/>
  <c r="O877" i="627"/>
  <c r="P877" i="627"/>
  <c r="Q877" i="627"/>
  <c r="R877" i="627"/>
  <c r="S877" i="627"/>
  <c r="AC877" i="627" s="1"/>
  <c r="M878" i="627"/>
  <c r="N878" i="627"/>
  <c r="O878" i="627"/>
  <c r="P878" i="627"/>
  <c r="Q878" i="627"/>
  <c r="R878" i="627"/>
  <c r="S878" i="627"/>
  <c r="M879" i="627"/>
  <c r="AC879" i="627" s="1"/>
  <c r="N879" i="627"/>
  <c r="O879" i="627"/>
  <c r="P879" i="627"/>
  <c r="Q879" i="627"/>
  <c r="R879" i="627"/>
  <c r="S879" i="627"/>
  <c r="M880" i="627"/>
  <c r="N880" i="627"/>
  <c r="AC880" i="627" s="1"/>
  <c r="O880" i="627"/>
  <c r="P880" i="627"/>
  <c r="Q880" i="627"/>
  <c r="R880" i="627"/>
  <c r="S880" i="627"/>
  <c r="M881" i="627"/>
  <c r="N881" i="627"/>
  <c r="O881" i="627"/>
  <c r="AC881" i="627" s="1"/>
  <c r="P881" i="627"/>
  <c r="Q881" i="627"/>
  <c r="R881" i="627"/>
  <c r="S881" i="627"/>
  <c r="M882" i="627"/>
  <c r="N882" i="627"/>
  <c r="O882" i="627"/>
  <c r="P882" i="627"/>
  <c r="AC882" i="627" s="1"/>
  <c r="Q882" i="627"/>
  <c r="R882" i="627"/>
  <c r="S882" i="627"/>
  <c r="M883" i="627"/>
  <c r="N883" i="627"/>
  <c r="O883" i="627"/>
  <c r="P883" i="627"/>
  <c r="Q883" i="627"/>
  <c r="AC883" i="627" s="1"/>
  <c r="R883" i="627"/>
  <c r="S883" i="627"/>
  <c r="M884" i="627"/>
  <c r="N884" i="627"/>
  <c r="O884" i="627"/>
  <c r="P884" i="627"/>
  <c r="Q884" i="627"/>
  <c r="R884" i="627"/>
  <c r="AC884" i="627" s="1"/>
  <c r="S884" i="627"/>
  <c r="M885" i="627"/>
  <c r="N885" i="627"/>
  <c r="O885" i="627"/>
  <c r="P885" i="627"/>
  <c r="Q885" i="627"/>
  <c r="R885" i="627"/>
  <c r="S885" i="627"/>
  <c r="AC885" i="627" s="1"/>
  <c r="M886" i="627"/>
  <c r="N886" i="627"/>
  <c r="O886" i="627"/>
  <c r="P886" i="627"/>
  <c r="Q886" i="627"/>
  <c r="R886" i="627"/>
  <c r="S886" i="627"/>
  <c r="M887" i="627"/>
  <c r="AC887" i="627" s="1"/>
  <c r="N887" i="627"/>
  <c r="O887" i="627"/>
  <c r="P887" i="627"/>
  <c r="Q887" i="627"/>
  <c r="R887" i="627"/>
  <c r="S887" i="627"/>
  <c r="M888" i="627"/>
  <c r="N888" i="627"/>
  <c r="AC888" i="627" s="1"/>
  <c r="O888" i="627"/>
  <c r="P888" i="627"/>
  <c r="Q888" i="627"/>
  <c r="R888" i="627"/>
  <c r="S888" i="627"/>
  <c r="M889" i="627"/>
  <c r="N889" i="627"/>
  <c r="O889" i="627"/>
  <c r="AC889" i="627" s="1"/>
  <c r="P889" i="627"/>
  <c r="Q889" i="627"/>
  <c r="R889" i="627"/>
  <c r="S889" i="627"/>
  <c r="M890" i="627"/>
  <c r="N890" i="627"/>
  <c r="O890" i="627"/>
  <c r="P890" i="627"/>
  <c r="AC890" i="627" s="1"/>
  <c r="Q890" i="627"/>
  <c r="R890" i="627"/>
  <c r="S890" i="627"/>
  <c r="M891" i="627"/>
  <c r="N891" i="627"/>
  <c r="O891" i="627"/>
  <c r="P891" i="627"/>
  <c r="Q891" i="627"/>
  <c r="AC891" i="627" s="1"/>
  <c r="R891" i="627"/>
  <c r="S891" i="627"/>
  <c r="M892" i="627"/>
  <c r="N892" i="627"/>
  <c r="O892" i="627"/>
  <c r="P892" i="627"/>
  <c r="Q892" i="627"/>
  <c r="R892" i="627"/>
  <c r="AC892" i="627" s="1"/>
  <c r="S892" i="627"/>
  <c r="M893" i="627"/>
  <c r="N893" i="627"/>
  <c r="O893" i="627"/>
  <c r="P893" i="627"/>
  <c r="Q893" i="627"/>
  <c r="R893" i="627"/>
  <c r="S893" i="627"/>
  <c r="AC893" i="627" s="1"/>
  <c r="M894" i="627"/>
  <c r="N894" i="627"/>
  <c r="O894" i="627"/>
  <c r="P894" i="627"/>
  <c r="Q894" i="627"/>
  <c r="R894" i="627"/>
  <c r="S894" i="627"/>
  <c r="M895" i="627"/>
  <c r="AC895" i="627" s="1"/>
  <c r="N895" i="627"/>
  <c r="O895" i="627"/>
  <c r="P895" i="627"/>
  <c r="Q895" i="627"/>
  <c r="R895" i="627"/>
  <c r="S895" i="627"/>
  <c r="M896" i="627"/>
  <c r="N896" i="627"/>
  <c r="AC896" i="627" s="1"/>
  <c r="O896" i="627"/>
  <c r="P896" i="627"/>
  <c r="Q896" i="627"/>
  <c r="R896" i="627"/>
  <c r="S896" i="627"/>
  <c r="M897" i="627"/>
  <c r="N897" i="627"/>
  <c r="O897" i="627"/>
  <c r="AC897" i="627" s="1"/>
  <c r="P897" i="627"/>
  <c r="Q897" i="627"/>
  <c r="R897" i="627"/>
  <c r="S897" i="627"/>
  <c r="M898" i="627"/>
  <c r="N898" i="627"/>
  <c r="O898" i="627"/>
  <c r="P898" i="627"/>
  <c r="AC898" i="627" s="1"/>
  <c r="Q898" i="627"/>
  <c r="R898" i="627"/>
  <c r="S898" i="627"/>
  <c r="M899" i="627"/>
  <c r="N899" i="627"/>
  <c r="O899" i="627"/>
  <c r="P899" i="627"/>
  <c r="Q899" i="627"/>
  <c r="AC899" i="627" s="1"/>
  <c r="R899" i="627"/>
  <c r="S899" i="627"/>
  <c r="M900" i="627"/>
  <c r="N900" i="627"/>
  <c r="O900" i="627"/>
  <c r="P900" i="627"/>
  <c r="Q900" i="627"/>
  <c r="R900" i="627"/>
  <c r="AC900" i="627" s="1"/>
  <c r="S900" i="627"/>
  <c r="M901" i="627"/>
  <c r="N901" i="627"/>
  <c r="O901" i="627"/>
  <c r="P901" i="627"/>
  <c r="Q901" i="627"/>
  <c r="R901" i="627"/>
  <c r="S901" i="627"/>
  <c r="AC901" i="627" s="1"/>
  <c r="M902" i="627"/>
  <c r="N902" i="627"/>
  <c r="O902" i="627"/>
  <c r="P902" i="627"/>
  <c r="Q902" i="627"/>
  <c r="R902" i="627"/>
  <c r="S902" i="627"/>
  <c r="M903" i="627"/>
  <c r="AC903" i="627" s="1"/>
  <c r="N903" i="627"/>
  <c r="O903" i="627"/>
  <c r="P903" i="627"/>
  <c r="Q903" i="627"/>
  <c r="R903" i="627"/>
  <c r="S903" i="627"/>
  <c r="M904" i="627"/>
  <c r="N904" i="627"/>
  <c r="AC904" i="627" s="1"/>
  <c r="O904" i="627"/>
  <c r="P904" i="627"/>
  <c r="Q904" i="627"/>
  <c r="R904" i="627"/>
  <c r="S904" i="627"/>
  <c r="M905" i="627"/>
  <c r="N905" i="627"/>
  <c r="O905" i="627"/>
  <c r="AC905" i="627" s="1"/>
  <c r="P905" i="627"/>
  <c r="Q905" i="627"/>
  <c r="R905" i="627"/>
  <c r="S905" i="627"/>
  <c r="M906" i="627"/>
  <c r="N906" i="627"/>
  <c r="O906" i="627"/>
  <c r="P906" i="627"/>
  <c r="AC906" i="627" s="1"/>
  <c r="Q906" i="627"/>
  <c r="R906" i="627"/>
  <c r="S906" i="627"/>
  <c r="M907" i="627"/>
  <c r="N907" i="627"/>
  <c r="O907" i="627"/>
  <c r="P907" i="627"/>
  <c r="Q907" i="627"/>
  <c r="AC907" i="627" s="1"/>
  <c r="R907" i="627"/>
  <c r="S907" i="627"/>
  <c r="M908" i="627"/>
  <c r="N908" i="627"/>
  <c r="O908" i="627"/>
  <c r="P908" i="627"/>
  <c r="Q908" i="627"/>
  <c r="R908" i="627"/>
  <c r="AC908" i="627" s="1"/>
  <c r="S908" i="627"/>
  <c r="M909" i="627"/>
  <c r="N909" i="627"/>
  <c r="O909" i="627"/>
  <c r="P909" i="627"/>
  <c r="Q909" i="627"/>
  <c r="R909" i="627"/>
  <c r="S909" i="627"/>
  <c r="AC909" i="627" s="1"/>
  <c r="M910" i="627"/>
  <c r="N910" i="627"/>
  <c r="O910" i="627"/>
  <c r="P910" i="627"/>
  <c r="Q910" i="627"/>
  <c r="R910" i="627"/>
  <c r="S910" i="627"/>
  <c r="M911" i="627"/>
  <c r="AC911" i="627" s="1"/>
  <c r="N911" i="627"/>
  <c r="O911" i="627"/>
  <c r="P911" i="627"/>
  <c r="Q911" i="627"/>
  <c r="R911" i="627"/>
  <c r="S911" i="627"/>
  <c r="M912" i="627"/>
  <c r="N912" i="627"/>
  <c r="AC912" i="627" s="1"/>
  <c r="O912" i="627"/>
  <c r="P912" i="627"/>
  <c r="Q912" i="627"/>
  <c r="R912" i="627"/>
  <c r="S912" i="627"/>
  <c r="M913" i="627"/>
  <c r="N913" i="627"/>
  <c r="O913" i="627"/>
  <c r="AC913" i="627" s="1"/>
  <c r="P913" i="627"/>
  <c r="Q913" i="627"/>
  <c r="R913" i="627"/>
  <c r="S913" i="627"/>
  <c r="M914" i="627"/>
  <c r="N914" i="627"/>
  <c r="O914" i="627"/>
  <c r="P914" i="627"/>
  <c r="AC914" i="627" s="1"/>
  <c r="Q914" i="627"/>
  <c r="R914" i="627"/>
  <c r="S914" i="627"/>
  <c r="M915" i="627"/>
  <c r="N915" i="627"/>
  <c r="O915" i="627"/>
  <c r="P915" i="627"/>
  <c r="Q915" i="627"/>
  <c r="AC915" i="627" s="1"/>
  <c r="R915" i="627"/>
  <c r="S915" i="627"/>
  <c r="M916" i="627"/>
  <c r="N916" i="627"/>
  <c r="O916" i="627"/>
  <c r="P916" i="627"/>
  <c r="Q916" i="627"/>
  <c r="R916" i="627"/>
  <c r="AC916" i="627" s="1"/>
  <c r="S916" i="627"/>
  <c r="M917" i="627"/>
  <c r="N917" i="627"/>
  <c r="O917" i="627"/>
  <c r="P917" i="627"/>
  <c r="Q917" i="627"/>
  <c r="R917" i="627"/>
  <c r="S917" i="627"/>
  <c r="AC917" i="627" s="1"/>
  <c r="M918" i="627"/>
  <c r="N918" i="627"/>
  <c r="O918" i="627"/>
  <c r="P918" i="627"/>
  <c r="Q918" i="627"/>
  <c r="R918" i="627"/>
  <c r="S918" i="627"/>
  <c r="M919" i="627"/>
  <c r="AC919" i="627" s="1"/>
  <c r="N919" i="627"/>
  <c r="O919" i="627"/>
  <c r="P919" i="627"/>
  <c r="Q919" i="627"/>
  <c r="R919" i="627"/>
  <c r="S919" i="627"/>
  <c r="M920" i="627"/>
  <c r="N920" i="627"/>
  <c r="AC920" i="627" s="1"/>
  <c r="O920" i="627"/>
  <c r="P920" i="627"/>
  <c r="Q920" i="627"/>
  <c r="R920" i="627"/>
  <c r="S920" i="627"/>
  <c r="M921" i="627"/>
  <c r="N921" i="627"/>
  <c r="O921" i="627"/>
  <c r="AC921" i="627" s="1"/>
  <c r="P921" i="627"/>
  <c r="Q921" i="627"/>
  <c r="R921" i="627"/>
  <c r="S921" i="627"/>
  <c r="M922" i="627"/>
  <c r="N922" i="627"/>
  <c r="O922" i="627"/>
  <c r="P922" i="627"/>
  <c r="AC922" i="627" s="1"/>
  <c r="Q922" i="627"/>
  <c r="R922" i="627"/>
  <c r="S922" i="627"/>
  <c r="M923" i="627"/>
  <c r="N923" i="627"/>
  <c r="O923" i="627"/>
  <c r="P923" i="627"/>
  <c r="Q923" i="627"/>
  <c r="AC923" i="627" s="1"/>
  <c r="R923" i="627"/>
  <c r="S923" i="627"/>
  <c r="M924" i="627"/>
  <c r="N924" i="627"/>
  <c r="O924" i="627"/>
  <c r="P924" i="627"/>
  <c r="Q924" i="627"/>
  <c r="R924" i="627"/>
  <c r="AC924" i="627" s="1"/>
  <c r="S924" i="627"/>
  <c r="M925" i="627"/>
  <c r="N925" i="627"/>
  <c r="O925" i="627"/>
  <c r="P925" i="627"/>
  <c r="Q925" i="627"/>
  <c r="R925" i="627"/>
  <c r="S925" i="627"/>
  <c r="AC925" i="627" s="1"/>
  <c r="M926" i="627"/>
  <c r="N926" i="627"/>
  <c r="O926" i="627"/>
  <c r="P926" i="627"/>
  <c r="Q926" i="627"/>
  <c r="R926" i="627"/>
  <c r="S926" i="627"/>
  <c r="M927" i="627"/>
  <c r="AC927" i="627" s="1"/>
  <c r="N927" i="627"/>
  <c r="O927" i="627"/>
  <c r="P927" i="627"/>
  <c r="Q927" i="627"/>
  <c r="R927" i="627"/>
  <c r="S927" i="627"/>
  <c r="M928" i="627"/>
  <c r="N928" i="627"/>
  <c r="AC928" i="627" s="1"/>
  <c r="O928" i="627"/>
  <c r="P928" i="627"/>
  <c r="Q928" i="627"/>
  <c r="R928" i="627"/>
  <c r="S928" i="627"/>
  <c r="M929" i="627"/>
  <c r="N929" i="627"/>
  <c r="O929" i="627"/>
  <c r="AC929" i="627" s="1"/>
  <c r="P929" i="627"/>
  <c r="Q929" i="627"/>
  <c r="R929" i="627"/>
  <c r="S929" i="627"/>
  <c r="M930" i="627"/>
  <c r="N930" i="627"/>
  <c r="O930" i="627"/>
  <c r="P930" i="627"/>
  <c r="AC930" i="627" s="1"/>
  <c r="Q930" i="627"/>
  <c r="R930" i="627"/>
  <c r="S930" i="627"/>
  <c r="M931" i="627"/>
  <c r="N931" i="627"/>
  <c r="O931" i="627"/>
  <c r="P931" i="627"/>
  <c r="Q931" i="627"/>
  <c r="AC931" i="627" s="1"/>
  <c r="R931" i="627"/>
  <c r="S931" i="627"/>
  <c r="M932" i="627"/>
  <c r="N932" i="627"/>
  <c r="O932" i="627"/>
  <c r="P932" i="627"/>
  <c r="Q932" i="627"/>
  <c r="R932" i="627"/>
  <c r="AC932" i="627" s="1"/>
  <c r="S932" i="627"/>
  <c r="M933" i="627"/>
  <c r="N933" i="627"/>
  <c r="O933" i="627"/>
  <c r="P933" i="627"/>
  <c r="Q933" i="627"/>
  <c r="R933" i="627"/>
  <c r="S933" i="627"/>
  <c r="AC933" i="627" s="1"/>
  <c r="M934" i="627"/>
  <c r="N934" i="627"/>
  <c r="O934" i="627"/>
  <c r="P934" i="627"/>
  <c r="Q934" i="627"/>
  <c r="R934" i="627"/>
  <c r="S934" i="627"/>
  <c r="M935" i="627"/>
  <c r="AC935" i="627" s="1"/>
  <c r="N935" i="627"/>
  <c r="O935" i="627"/>
  <c r="P935" i="627"/>
  <c r="Q935" i="627"/>
  <c r="R935" i="627"/>
  <c r="S935" i="627"/>
  <c r="M936" i="627"/>
  <c r="N936" i="627"/>
  <c r="AC936" i="627" s="1"/>
  <c r="O936" i="627"/>
  <c r="P936" i="627"/>
  <c r="Q936" i="627"/>
  <c r="R936" i="627"/>
  <c r="S936" i="627"/>
  <c r="M937" i="627"/>
  <c r="N937" i="627"/>
  <c r="O937" i="627"/>
  <c r="AC937" i="627" s="1"/>
  <c r="P937" i="627"/>
  <c r="Q937" i="627"/>
  <c r="R937" i="627"/>
  <c r="S937" i="627"/>
  <c r="M938" i="627"/>
  <c r="N938" i="627"/>
  <c r="O938" i="627"/>
  <c r="P938" i="627"/>
  <c r="AC938" i="627" s="1"/>
  <c r="Q938" i="627"/>
  <c r="R938" i="627"/>
  <c r="S938" i="627"/>
  <c r="M939" i="627"/>
  <c r="N939" i="627"/>
  <c r="O939" i="627"/>
  <c r="P939" i="627"/>
  <c r="Q939" i="627"/>
  <c r="AC939" i="627" s="1"/>
  <c r="R939" i="627"/>
  <c r="S939" i="627"/>
  <c r="M940" i="627"/>
  <c r="N940" i="627"/>
  <c r="O940" i="627"/>
  <c r="P940" i="627"/>
  <c r="Q940" i="627"/>
  <c r="R940" i="627"/>
  <c r="AC940" i="627" s="1"/>
  <c r="S940" i="627"/>
  <c r="M941" i="627"/>
  <c r="N941" i="627"/>
  <c r="O941" i="627"/>
  <c r="P941" i="627"/>
  <c r="Q941" i="627"/>
  <c r="R941" i="627"/>
  <c r="S941" i="627"/>
  <c r="AC941" i="627" s="1"/>
  <c r="M942" i="627"/>
  <c r="N942" i="627"/>
  <c r="O942" i="627"/>
  <c r="P942" i="627"/>
  <c r="Q942" i="627"/>
  <c r="R942" i="627"/>
  <c r="S942" i="627"/>
  <c r="M943" i="627"/>
  <c r="AC943" i="627" s="1"/>
  <c r="N943" i="627"/>
  <c r="O943" i="627"/>
  <c r="P943" i="627"/>
  <c r="Q943" i="627"/>
  <c r="R943" i="627"/>
  <c r="S943" i="627"/>
  <c r="M944" i="627"/>
  <c r="N944" i="627"/>
  <c r="AC944" i="627" s="1"/>
  <c r="O944" i="627"/>
  <c r="P944" i="627"/>
  <c r="Q944" i="627"/>
  <c r="R944" i="627"/>
  <c r="S944" i="627"/>
  <c r="M945" i="627"/>
  <c r="N945" i="627"/>
  <c r="O945" i="627"/>
  <c r="AC945" i="627" s="1"/>
  <c r="P945" i="627"/>
  <c r="Q945" i="627"/>
  <c r="R945" i="627"/>
  <c r="S945" i="627"/>
  <c r="M946" i="627"/>
  <c r="N946" i="627"/>
  <c r="O946" i="627"/>
  <c r="P946" i="627"/>
  <c r="AC946" i="627" s="1"/>
  <c r="Q946" i="627"/>
  <c r="R946" i="627"/>
  <c r="S946" i="627"/>
  <c r="M947" i="627"/>
  <c r="N947" i="627"/>
  <c r="O947" i="627"/>
  <c r="P947" i="627"/>
  <c r="Q947" i="627"/>
  <c r="AC947" i="627" s="1"/>
  <c r="R947" i="627"/>
  <c r="S947" i="627"/>
  <c r="M948" i="627"/>
  <c r="N948" i="627"/>
  <c r="O948" i="627"/>
  <c r="P948" i="627"/>
  <c r="Q948" i="627"/>
  <c r="R948" i="627"/>
  <c r="AC948" i="627" s="1"/>
  <c r="S948" i="627"/>
  <c r="M949" i="627"/>
  <c r="N949" i="627"/>
  <c r="O949" i="627"/>
  <c r="P949" i="627"/>
  <c r="Q949" i="627"/>
  <c r="R949" i="627"/>
  <c r="S949" i="627"/>
  <c r="AC949" i="627" s="1"/>
  <c r="M950" i="627"/>
  <c r="N950" i="627"/>
  <c r="O950" i="627"/>
  <c r="P950" i="627"/>
  <c r="Q950" i="627"/>
  <c r="R950" i="627"/>
  <c r="S950" i="627"/>
  <c r="M951" i="627"/>
  <c r="AC951" i="627" s="1"/>
  <c r="N951" i="627"/>
  <c r="O951" i="627"/>
  <c r="P951" i="627"/>
  <c r="Q951" i="627"/>
  <c r="R951" i="627"/>
  <c r="S951" i="627"/>
  <c r="M952" i="627"/>
  <c r="N952" i="627"/>
  <c r="AC952" i="627" s="1"/>
  <c r="O952" i="627"/>
  <c r="P952" i="627"/>
  <c r="Q952" i="627"/>
  <c r="R952" i="627"/>
  <c r="S952" i="627"/>
  <c r="M953" i="627"/>
  <c r="N953" i="627"/>
  <c r="O953" i="627"/>
  <c r="AC953" i="627" s="1"/>
  <c r="P953" i="627"/>
  <c r="Q953" i="627"/>
  <c r="R953" i="627"/>
  <c r="S953" i="627"/>
  <c r="M954" i="627"/>
  <c r="N954" i="627"/>
  <c r="O954" i="627"/>
  <c r="P954" i="627"/>
  <c r="AC954" i="627" s="1"/>
  <c r="Q954" i="627"/>
  <c r="R954" i="627"/>
  <c r="S954" i="627"/>
  <c r="M955" i="627"/>
  <c r="N955" i="627"/>
  <c r="O955" i="627"/>
  <c r="P955" i="627"/>
  <c r="Q955" i="627"/>
  <c r="AC955" i="627" s="1"/>
  <c r="R955" i="627"/>
  <c r="S955" i="627"/>
  <c r="M956" i="627"/>
  <c r="N956" i="627"/>
  <c r="O956" i="627"/>
  <c r="P956" i="627"/>
  <c r="Q956" i="627"/>
  <c r="R956" i="627"/>
  <c r="AC956" i="627" s="1"/>
  <c r="S956" i="627"/>
  <c r="M957" i="627"/>
  <c r="N957" i="627"/>
  <c r="O957" i="627"/>
  <c r="P957" i="627"/>
  <c r="Q957" i="627"/>
  <c r="R957" i="627"/>
  <c r="S957" i="627"/>
  <c r="AC957" i="627" s="1"/>
  <c r="M958" i="627"/>
  <c r="N958" i="627"/>
  <c r="O958" i="627"/>
  <c r="P958" i="627"/>
  <c r="Q958" i="627"/>
  <c r="R958" i="627"/>
  <c r="S958" i="627"/>
  <c r="M959" i="627"/>
  <c r="AC959" i="627" s="1"/>
  <c r="N959" i="627"/>
  <c r="O959" i="627"/>
  <c r="P959" i="627"/>
  <c r="Q959" i="627"/>
  <c r="R959" i="627"/>
  <c r="S959" i="627"/>
  <c r="M960" i="627"/>
  <c r="N960" i="627"/>
  <c r="AC960" i="627" s="1"/>
  <c r="O960" i="627"/>
  <c r="P960" i="627"/>
  <c r="Q960" i="627"/>
  <c r="R960" i="627"/>
  <c r="S960" i="627"/>
  <c r="M961" i="627"/>
  <c r="N961" i="627"/>
  <c r="O961" i="627"/>
  <c r="AC961" i="627" s="1"/>
  <c r="P961" i="627"/>
  <c r="Q961" i="627"/>
  <c r="R961" i="627"/>
  <c r="S961" i="627"/>
  <c r="M962" i="627"/>
  <c r="N962" i="627"/>
  <c r="O962" i="627"/>
  <c r="P962" i="627"/>
  <c r="AC962" i="627" s="1"/>
  <c r="Q962" i="627"/>
  <c r="R962" i="627"/>
  <c r="S962" i="627"/>
  <c r="M963" i="627"/>
  <c r="N963" i="627"/>
  <c r="O963" i="627"/>
  <c r="P963" i="627"/>
  <c r="Q963" i="627"/>
  <c r="AC963" i="627" s="1"/>
  <c r="R963" i="627"/>
  <c r="S963" i="627"/>
  <c r="M964" i="627"/>
  <c r="N964" i="627"/>
  <c r="O964" i="627"/>
  <c r="P964" i="627"/>
  <c r="Q964" i="627"/>
  <c r="R964" i="627"/>
  <c r="AC964" i="627" s="1"/>
  <c r="S964" i="627"/>
  <c r="M965" i="627"/>
  <c r="N965" i="627"/>
  <c r="O965" i="627"/>
  <c r="P965" i="627"/>
  <c r="Q965" i="627"/>
  <c r="R965" i="627"/>
  <c r="S965" i="627"/>
  <c r="AC965" i="627" s="1"/>
  <c r="M966" i="627"/>
  <c r="N966" i="627"/>
  <c r="O966" i="627"/>
  <c r="P966" i="627"/>
  <c r="Q966" i="627"/>
  <c r="R966" i="627"/>
  <c r="S966" i="627"/>
  <c r="M967" i="627"/>
  <c r="AC967" i="627" s="1"/>
  <c r="N967" i="627"/>
  <c r="O967" i="627"/>
  <c r="P967" i="627"/>
  <c r="Q967" i="627"/>
  <c r="R967" i="627"/>
  <c r="S967" i="627"/>
  <c r="M968" i="627"/>
  <c r="N968" i="627"/>
  <c r="AC968" i="627" s="1"/>
  <c r="O968" i="627"/>
  <c r="P968" i="627"/>
  <c r="Q968" i="627"/>
  <c r="R968" i="627"/>
  <c r="S968" i="627"/>
  <c r="M969" i="627"/>
  <c r="N969" i="627"/>
  <c r="O969" i="627"/>
  <c r="AC969" i="627" s="1"/>
  <c r="P969" i="627"/>
  <c r="Q969" i="627"/>
  <c r="R969" i="627"/>
  <c r="S969" i="627"/>
  <c r="M970" i="627"/>
  <c r="N970" i="627"/>
  <c r="O970" i="627"/>
  <c r="P970" i="627"/>
  <c r="AC970" i="627" s="1"/>
  <c r="Q970" i="627"/>
  <c r="R970" i="627"/>
  <c r="S970" i="627"/>
  <c r="M971" i="627"/>
  <c r="N971" i="627"/>
  <c r="O971" i="627"/>
  <c r="P971" i="627"/>
  <c r="Q971" i="627"/>
  <c r="AC971" i="627" s="1"/>
  <c r="R971" i="627"/>
  <c r="S971" i="627"/>
  <c r="M972" i="627"/>
  <c r="N972" i="627"/>
  <c r="O972" i="627"/>
  <c r="P972" i="627"/>
  <c r="Q972" i="627"/>
  <c r="R972" i="627"/>
  <c r="AC972" i="627" s="1"/>
  <c r="S972" i="627"/>
  <c r="M973" i="627"/>
  <c r="N973" i="627"/>
  <c r="O973" i="627"/>
  <c r="P973" i="627"/>
  <c r="Q973" i="627"/>
  <c r="R973" i="627"/>
  <c r="S973" i="627"/>
  <c r="AC973" i="627" s="1"/>
  <c r="M974" i="627"/>
  <c r="N974" i="627"/>
  <c r="O974" i="627"/>
  <c r="P974" i="627"/>
  <c r="Q974" i="627"/>
  <c r="R974" i="627"/>
  <c r="S974" i="627"/>
  <c r="M975" i="627"/>
  <c r="AC975" i="627" s="1"/>
  <c r="N975" i="627"/>
  <c r="O975" i="627"/>
  <c r="P975" i="627"/>
  <c r="Q975" i="627"/>
  <c r="R975" i="627"/>
  <c r="S975" i="627"/>
  <c r="M976" i="627"/>
  <c r="N976" i="627"/>
  <c r="AC976" i="627" s="1"/>
  <c r="O976" i="627"/>
  <c r="P976" i="627"/>
  <c r="Q976" i="627"/>
  <c r="R976" i="627"/>
  <c r="S976" i="627"/>
  <c r="M977" i="627"/>
  <c r="N977" i="627"/>
  <c r="O977" i="627"/>
  <c r="AC977" i="627" s="1"/>
  <c r="P977" i="627"/>
  <c r="Q977" i="627"/>
  <c r="R977" i="627"/>
  <c r="S977" i="627"/>
  <c r="M978" i="627"/>
  <c r="N978" i="627"/>
  <c r="O978" i="627"/>
  <c r="P978" i="627"/>
  <c r="AC978" i="627" s="1"/>
  <c r="Q978" i="627"/>
  <c r="R978" i="627"/>
  <c r="S978" i="627"/>
  <c r="M979" i="627"/>
  <c r="N979" i="627"/>
  <c r="O979" i="627"/>
  <c r="P979" i="627"/>
  <c r="Q979" i="627"/>
  <c r="AC979" i="627" s="1"/>
  <c r="R979" i="627"/>
  <c r="S979" i="627"/>
  <c r="M980" i="627"/>
  <c r="N980" i="627"/>
  <c r="O980" i="627"/>
  <c r="P980" i="627"/>
  <c r="Q980" i="627"/>
  <c r="R980" i="627"/>
  <c r="AC980" i="627" s="1"/>
  <c r="S980" i="627"/>
  <c r="M981" i="627"/>
  <c r="N981" i="627"/>
  <c r="O981" i="627"/>
  <c r="P981" i="627"/>
  <c r="Q981" i="627"/>
  <c r="R981" i="627"/>
  <c r="S981" i="627"/>
  <c r="AC981" i="627" s="1"/>
  <c r="M982" i="627"/>
  <c r="N982" i="627"/>
  <c r="O982" i="627"/>
  <c r="P982" i="627"/>
  <c r="Q982" i="627"/>
  <c r="R982" i="627"/>
  <c r="S982" i="627"/>
  <c r="M983" i="627"/>
  <c r="AC983" i="627" s="1"/>
  <c r="N983" i="627"/>
  <c r="O983" i="627"/>
  <c r="P983" i="627"/>
  <c r="Q983" i="627"/>
  <c r="R983" i="627"/>
  <c r="S983" i="627"/>
  <c r="M984" i="627"/>
  <c r="N984" i="627"/>
  <c r="AC984" i="627" s="1"/>
  <c r="O984" i="627"/>
  <c r="P984" i="627"/>
  <c r="Q984" i="627"/>
  <c r="R984" i="627"/>
  <c r="S984" i="627"/>
  <c r="M985" i="627"/>
  <c r="N985" i="627"/>
  <c r="O985" i="627"/>
  <c r="AC985" i="627" s="1"/>
  <c r="P985" i="627"/>
  <c r="Q985" i="627"/>
  <c r="R985" i="627"/>
  <c r="S985" i="627"/>
  <c r="M986" i="627"/>
  <c r="N986" i="627"/>
  <c r="O986" i="627"/>
  <c r="P986" i="627"/>
  <c r="AC986" i="627" s="1"/>
  <c r="Q986" i="627"/>
  <c r="R986" i="627"/>
  <c r="S986" i="627"/>
  <c r="M987" i="627"/>
  <c r="N987" i="627"/>
  <c r="O987" i="627"/>
  <c r="P987" i="627"/>
  <c r="Q987" i="627"/>
  <c r="AC987" i="627" s="1"/>
  <c r="R987" i="627"/>
  <c r="S987" i="627"/>
  <c r="M988" i="627"/>
  <c r="N988" i="627"/>
  <c r="O988" i="627"/>
  <c r="P988" i="627"/>
  <c r="Q988" i="627"/>
  <c r="R988" i="627"/>
  <c r="AC988" i="627" s="1"/>
  <c r="S988" i="627"/>
  <c r="M989" i="627"/>
  <c r="N989" i="627"/>
  <c r="O989" i="627"/>
  <c r="P989" i="627"/>
  <c r="Q989" i="627"/>
  <c r="R989" i="627"/>
  <c r="S989" i="627"/>
  <c r="AC989" i="627" s="1"/>
  <c r="M990" i="627"/>
  <c r="N990" i="627"/>
  <c r="O990" i="627"/>
  <c r="P990" i="627"/>
  <c r="Q990" i="627"/>
  <c r="R990" i="627"/>
  <c r="S990" i="627"/>
  <c r="M991" i="627"/>
  <c r="AC991" i="627" s="1"/>
  <c r="N991" i="627"/>
  <c r="O991" i="627"/>
  <c r="P991" i="627"/>
  <c r="Q991" i="627"/>
  <c r="R991" i="627"/>
  <c r="S991" i="627"/>
  <c r="M992" i="627"/>
  <c r="N992" i="627"/>
  <c r="AC992" i="627" s="1"/>
  <c r="O992" i="627"/>
  <c r="P992" i="627"/>
  <c r="Q992" i="627"/>
  <c r="R992" i="627"/>
  <c r="S992" i="627"/>
  <c r="M993" i="627"/>
  <c r="N993" i="627"/>
  <c r="O993" i="627"/>
  <c r="AC993" i="627" s="1"/>
  <c r="P993" i="627"/>
  <c r="Q993" i="627"/>
  <c r="R993" i="627"/>
  <c r="S993" i="627"/>
  <c r="M994" i="627"/>
  <c r="N994" i="627"/>
  <c r="O994" i="627"/>
  <c r="P994" i="627"/>
  <c r="AC994" i="627" s="1"/>
  <c r="Q994" i="627"/>
  <c r="R994" i="627"/>
  <c r="S994" i="627"/>
  <c r="M995" i="627"/>
  <c r="N995" i="627"/>
  <c r="O995" i="627"/>
  <c r="P995" i="627"/>
  <c r="Q995" i="627"/>
  <c r="AC995" i="627" s="1"/>
  <c r="R995" i="627"/>
  <c r="S995" i="627"/>
  <c r="M996" i="627"/>
  <c r="N996" i="627"/>
  <c r="O996" i="627"/>
  <c r="P996" i="627"/>
  <c r="Q996" i="627"/>
  <c r="R996" i="627"/>
  <c r="AC996" i="627" s="1"/>
  <c r="S996" i="627"/>
  <c r="M997" i="627"/>
  <c r="N997" i="627"/>
  <c r="O997" i="627"/>
  <c r="P997" i="627"/>
  <c r="Q997" i="627"/>
  <c r="R997" i="627"/>
  <c r="S997" i="627"/>
  <c r="AC997" i="627" s="1"/>
  <c r="M998" i="627"/>
  <c r="N998" i="627"/>
  <c r="O998" i="627"/>
  <c r="P998" i="627"/>
  <c r="Q998" i="627"/>
  <c r="R998" i="627"/>
  <c r="S998" i="627"/>
  <c r="M999" i="627"/>
  <c r="AC999" i="627" s="1"/>
  <c r="N999" i="627"/>
  <c r="O999" i="627"/>
  <c r="P999" i="627"/>
  <c r="Q999" i="627"/>
  <c r="R999" i="627"/>
  <c r="S999" i="627"/>
  <c r="M1000" i="627"/>
  <c r="N1000" i="627"/>
  <c r="AC1000" i="627" s="1"/>
  <c r="O1000" i="627"/>
  <c r="P1000" i="627"/>
  <c r="Q1000" i="627"/>
  <c r="R1000" i="627"/>
  <c r="S1000" i="627"/>
  <c r="M1001" i="627"/>
  <c r="N1001" i="627"/>
  <c r="O1001" i="627"/>
  <c r="AC1001" i="627" s="1"/>
  <c r="P1001" i="627"/>
  <c r="Q1001" i="627"/>
  <c r="R1001" i="627"/>
  <c r="S1001" i="627"/>
  <c r="M1002" i="627"/>
  <c r="N1002" i="627"/>
  <c r="O1002" i="627"/>
  <c r="P1002" i="627"/>
  <c r="AC1002" i="627" s="1"/>
  <c r="Q1002" i="627"/>
  <c r="R1002" i="627"/>
  <c r="S1002" i="627"/>
  <c r="M1003" i="627"/>
  <c r="N1003" i="627"/>
  <c r="O1003" i="627"/>
  <c r="P1003" i="627"/>
  <c r="Q1003" i="627"/>
  <c r="AC1003" i="627" s="1"/>
  <c r="R1003" i="627"/>
  <c r="S1003" i="627"/>
  <c r="M1004" i="627"/>
  <c r="N1004" i="627"/>
  <c r="O1004" i="627"/>
  <c r="P1004" i="627"/>
  <c r="Q1004" i="627"/>
  <c r="R1004" i="627"/>
  <c r="AC1004" i="627" s="1"/>
  <c r="S1004" i="627"/>
  <c r="M1005" i="627"/>
  <c r="N1005" i="627"/>
  <c r="O1005" i="627"/>
  <c r="P1005" i="627"/>
  <c r="Q1005" i="627"/>
  <c r="R1005" i="627"/>
  <c r="S1005" i="627"/>
  <c r="AC1005" i="627" s="1"/>
  <c r="M1006" i="627"/>
  <c r="N1006" i="627"/>
  <c r="O1006" i="627"/>
  <c r="P1006" i="627"/>
  <c r="Q1006" i="627"/>
  <c r="R1006" i="627"/>
  <c r="S1006" i="627"/>
  <c r="M1007" i="627"/>
  <c r="AC1007" i="627" s="1"/>
  <c r="N1007" i="627"/>
  <c r="O1007" i="627"/>
  <c r="P1007" i="627"/>
  <c r="Q1007" i="627"/>
  <c r="R1007" i="627"/>
  <c r="S1007" i="627"/>
  <c r="M1008" i="627"/>
  <c r="N1008" i="627"/>
  <c r="AC1008" i="627" s="1"/>
  <c r="O1008" i="627"/>
  <c r="P1008" i="627"/>
  <c r="Q1008" i="627"/>
  <c r="R1008" i="627"/>
  <c r="S1008" i="627"/>
  <c r="M1009" i="627"/>
  <c r="N1009" i="627"/>
  <c r="O1009" i="627"/>
  <c r="AC1009" i="627" s="1"/>
  <c r="P1009" i="627"/>
  <c r="Q1009" i="627"/>
  <c r="R1009" i="627"/>
  <c r="S1009" i="627"/>
  <c r="M1010" i="627"/>
  <c r="N1010" i="627"/>
  <c r="O1010" i="627"/>
  <c r="P1010" i="627"/>
  <c r="AC1010" i="627" s="1"/>
  <c r="Q1010" i="627"/>
  <c r="R1010" i="627"/>
  <c r="S1010" i="627"/>
  <c r="M1011" i="627"/>
  <c r="N1011" i="627"/>
  <c r="O1011" i="627"/>
  <c r="P1011" i="627"/>
  <c r="Q1011" i="627"/>
  <c r="AC1011" i="627" s="1"/>
  <c r="R1011" i="627"/>
  <c r="S1011" i="627"/>
  <c r="M1012" i="627"/>
  <c r="N1012" i="627"/>
  <c r="O1012" i="627"/>
  <c r="P1012" i="627"/>
  <c r="Q1012" i="627"/>
  <c r="R1012" i="627"/>
  <c r="AC1012" i="627" s="1"/>
  <c r="S1012" i="627"/>
  <c r="M1013" i="627"/>
  <c r="N1013" i="627"/>
  <c r="O1013" i="627"/>
  <c r="P1013" i="627"/>
  <c r="Q1013" i="627"/>
  <c r="R1013" i="627"/>
  <c r="S1013" i="627"/>
  <c r="AC1013" i="627" s="1"/>
  <c r="M1014" i="627"/>
  <c r="N1014" i="627"/>
  <c r="O1014" i="627"/>
  <c r="P1014" i="627"/>
  <c r="Q1014" i="627"/>
  <c r="R1014" i="627"/>
  <c r="S1014" i="627"/>
  <c r="M1015" i="627"/>
  <c r="AC1015" i="627" s="1"/>
  <c r="N1015" i="627"/>
  <c r="O1015" i="627"/>
  <c r="P1015" i="627"/>
  <c r="Q1015" i="627"/>
  <c r="R1015" i="627"/>
  <c r="S1015" i="627"/>
  <c r="M1016" i="627"/>
  <c r="N1016" i="627"/>
  <c r="AC1016" i="627" s="1"/>
  <c r="O1016" i="627"/>
  <c r="P1016" i="627"/>
  <c r="Q1016" i="627"/>
  <c r="R1016" i="627"/>
  <c r="S1016" i="627"/>
  <c r="M1017" i="627"/>
  <c r="N1017" i="627"/>
  <c r="O1017" i="627"/>
  <c r="AC1017" i="627" s="1"/>
  <c r="P1017" i="627"/>
  <c r="Q1017" i="627"/>
  <c r="R1017" i="627"/>
  <c r="S1017" i="627"/>
  <c r="M1018" i="627"/>
  <c r="N1018" i="627"/>
  <c r="O1018" i="627"/>
  <c r="P1018" i="627"/>
  <c r="AC1018" i="627" s="1"/>
  <c r="Q1018" i="627"/>
  <c r="R1018" i="627"/>
  <c r="S1018" i="627"/>
  <c r="M1019" i="627"/>
  <c r="N1019" i="627"/>
  <c r="O1019" i="627"/>
  <c r="P1019" i="627"/>
  <c r="Q1019" i="627"/>
  <c r="AC1019" i="627" s="1"/>
  <c r="R1019" i="627"/>
  <c r="S1019" i="627"/>
  <c r="M1020" i="627"/>
  <c r="N1020" i="627"/>
  <c r="O1020" i="627"/>
  <c r="P1020" i="627"/>
  <c r="Q1020" i="627"/>
  <c r="R1020" i="627"/>
  <c r="AC1020" i="627" s="1"/>
  <c r="S1020" i="627"/>
  <c r="M1021" i="627"/>
  <c r="N1021" i="627"/>
  <c r="O1021" i="627"/>
  <c r="P1021" i="627"/>
  <c r="Q1021" i="627"/>
  <c r="R1021" i="627"/>
  <c r="S1021" i="627"/>
  <c r="AC1021" i="627" s="1"/>
  <c r="M1022" i="627"/>
  <c r="N1022" i="627"/>
  <c r="O1022" i="627"/>
  <c r="P1022" i="627"/>
  <c r="Q1022" i="627"/>
  <c r="R1022" i="627"/>
  <c r="S1022" i="627"/>
  <c r="M1023" i="627"/>
  <c r="AC1023" i="627" s="1"/>
  <c r="N1023" i="627"/>
  <c r="O1023" i="627"/>
  <c r="P1023" i="627"/>
  <c r="Q1023" i="627"/>
  <c r="R1023" i="627"/>
  <c r="S1023" i="627"/>
  <c r="M1024" i="627"/>
  <c r="N1024" i="627"/>
  <c r="AC1024" i="627" s="1"/>
  <c r="O1024" i="627"/>
  <c r="P1024" i="627"/>
  <c r="Q1024" i="627"/>
  <c r="R1024" i="627"/>
  <c r="S1024" i="627"/>
  <c r="M1025" i="627"/>
  <c r="N1025" i="627"/>
  <c r="O1025" i="627"/>
  <c r="AC1025" i="627" s="1"/>
  <c r="P1025" i="627"/>
  <c r="Q1025" i="627"/>
  <c r="R1025" i="627"/>
  <c r="S1025" i="627"/>
  <c r="M1026" i="627"/>
  <c r="N1026" i="627"/>
  <c r="O1026" i="627"/>
  <c r="P1026" i="627"/>
  <c r="AC1026" i="627" s="1"/>
  <c r="Q1026" i="627"/>
  <c r="R1026" i="627"/>
  <c r="S1026" i="627"/>
  <c r="M1027" i="627"/>
  <c r="N1027" i="627"/>
  <c r="O1027" i="627"/>
  <c r="P1027" i="627"/>
  <c r="Q1027" i="627"/>
  <c r="AC1027" i="627" s="1"/>
  <c r="R1027" i="627"/>
  <c r="S1027" i="627"/>
  <c r="M1028" i="627"/>
  <c r="N1028" i="627"/>
  <c r="O1028" i="627"/>
  <c r="P1028" i="627"/>
  <c r="Q1028" i="627"/>
  <c r="R1028" i="627"/>
  <c r="AC1028" i="627" s="1"/>
  <c r="S1028" i="627"/>
  <c r="M1029" i="627"/>
  <c r="N1029" i="627"/>
  <c r="O1029" i="627"/>
  <c r="P1029" i="627"/>
  <c r="Q1029" i="627"/>
  <c r="R1029" i="627"/>
  <c r="S1029" i="627"/>
  <c r="AC1029" i="627" s="1"/>
  <c r="M1030" i="627"/>
  <c r="N1030" i="627"/>
  <c r="O1030" i="627"/>
  <c r="P1030" i="627"/>
  <c r="Q1030" i="627"/>
  <c r="R1030" i="627"/>
  <c r="S1030" i="627"/>
  <c r="M1031" i="627"/>
  <c r="AC1031" i="627" s="1"/>
  <c r="N1031" i="627"/>
  <c r="O1031" i="627"/>
  <c r="P1031" i="627"/>
  <c r="Q1031" i="627"/>
  <c r="R1031" i="627"/>
  <c r="S1031" i="627"/>
  <c r="M1032" i="627"/>
  <c r="N1032" i="627"/>
  <c r="AC1032" i="627" s="1"/>
  <c r="O1032" i="627"/>
  <c r="P1032" i="627"/>
  <c r="Q1032" i="627"/>
  <c r="R1032" i="627"/>
  <c r="S1032" i="627"/>
  <c r="M1033" i="627"/>
  <c r="N1033" i="627"/>
  <c r="O1033" i="627"/>
  <c r="AC1033" i="627" s="1"/>
  <c r="P1033" i="627"/>
  <c r="Q1033" i="627"/>
  <c r="R1033" i="627"/>
  <c r="S1033" i="627"/>
  <c r="M1034" i="627"/>
  <c r="N1034" i="627"/>
  <c r="O1034" i="627"/>
  <c r="P1034" i="627"/>
  <c r="AC1034" i="627" s="1"/>
  <c r="Q1034" i="627"/>
  <c r="R1034" i="627"/>
  <c r="S1034" i="627"/>
  <c r="M1035" i="627"/>
  <c r="N1035" i="627"/>
  <c r="O1035" i="627"/>
  <c r="P1035" i="627"/>
  <c r="Q1035" i="627"/>
  <c r="AC1035" i="627" s="1"/>
  <c r="R1035" i="627"/>
  <c r="S1035" i="627"/>
  <c r="M1036" i="627"/>
  <c r="N1036" i="627"/>
  <c r="O1036" i="627"/>
  <c r="P1036" i="627"/>
  <c r="Q1036" i="627"/>
  <c r="R1036" i="627"/>
  <c r="AC1036" i="627" s="1"/>
  <c r="S1036" i="627"/>
  <c r="M1037" i="627"/>
  <c r="N1037" i="627"/>
  <c r="O1037" i="627"/>
  <c r="P1037" i="627"/>
  <c r="Q1037" i="627"/>
  <c r="R1037" i="627"/>
  <c r="S1037" i="627"/>
  <c r="AC1037" i="627" s="1"/>
  <c r="M1038" i="627"/>
  <c r="N1038" i="627"/>
  <c r="O1038" i="627"/>
  <c r="P1038" i="627"/>
  <c r="Q1038" i="627"/>
  <c r="R1038" i="627"/>
  <c r="S1038" i="627"/>
  <c r="M1039" i="627"/>
  <c r="AC1039" i="627" s="1"/>
  <c r="N1039" i="627"/>
  <c r="O1039" i="627"/>
  <c r="P1039" i="627"/>
  <c r="Q1039" i="627"/>
  <c r="R1039" i="627"/>
  <c r="S1039" i="627"/>
  <c r="M1040" i="627"/>
  <c r="N1040" i="627"/>
  <c r="AC1040" i="627" s="1"/>
  <c r="O1040" i="627"/>
  <c r="P1040" i="627"/>
  <c r="Q1040" i="627"/>
  <c r="R1040" i="627"/>
  <c r="S1040" i="627"/>
  <c r="M1041" i="627"/>
  <c r="N1041" i="627"/>
  <c r="O1041" i="627"/>
  <c r="AC1041" i="627" s="1"/>
  <c r="P1041" i="627"/>
  <c r="Q1041" i="627"/>
  <c r="R1041" i="627"/>
  <c r="S1041" i="627"/>
  <c r="M1042" i="627"/>
  <c r="N1042" i="627"/>
  <c r="O1042" i="627"/>
  <c r="P1042" i="627"/>
  <c r="AC1042" i="627" s="1"/>
  <c r="Q1042" i="627"/>
  <c r="R1042" i="627"/>
  <c r="S1042" i="627"/>
  <c r="M1043" i="627"/>
  <c r="N1043" i="627"/>
  <c r="O1043" i="627"/>
  <c r="P1043" i="627"/>
  <c r="Q1043" i="627"/>
  <c r="AC1043" i="627" s="1"/>
  <c r="R1043" i="627"/>
  <c r="S1043" i="627"/>
  <c r="M1044" i="627"/>
  <c r="N1044" i="627"/>
  <c r="O1044" i="627"/>
  <c r="P1044" i="627"/>
  <c r="Q1044" i="627"/>
  <c r="R1044" i="627"/>
  <c r="AC1044" i="627" s="1"/>
  <c r="S1044" i="627"/>
  <c r="M1045" i="627"/>
  <c r="N1045" i="627"/>
  <c r="O1045" i="627"/>
  <c r="P1045" i="627"/>
  <c r="Q1045" i="627"/>
  <c r="R1045" i="627"/>
  <c r="S1045" i="627"/>
  <c r="AC1045" i="627" s="1"/>
  <c r="M1046" i="627"/>
  <c r="N1046" i="627"/>
  <c r="O1046" i="627"/>
  <c r="P1046" i="627"/>
  <c r="Q1046" i="627"/>
  <c r="R1046" i="627"/>
  <c r="S1046" i="627"/>
  <c r="M1047" i="627"/>
  <c r="AC1047" i="627" s="1"/>
  <c r="N1047" i="627"/>
  <c r="O1047" i="627"/>
  <c r="P1047" i="627"/>
  <c r="Q1047" i="627"/>
  <c r="R1047" i="627"/>
  <c r="S1047" i="627"/>
  <c r="M1048" i="627"/>
  <c r="N1048" i="627"/>
  <c r="AC1048" i="627" s="1"/>
  <c r="O1048" i="627"/>
  <c r="P1048" i="627"/>
  <c r="Q1048" i="627"/>
  <c r="R1048" i="627"/>
  <c r="S1048" i="627"/>
  <c r="M1049" i="627"/>
  <c r="N1049" i="627"/>
  <c r="O1049" i="627"/>
  <c r="AC1049" i="627" s="1"/>
  <c r="P1049" i="627"/>
  <c r="Q1049" i="627"/>
  <c r="R1049" i="627"/>
  <c r="S1049" i="627"/>
  <c r="M1050" i="627"/>
  <c r="N1050" i="627"/>
  <c r="O1050" i="627"/>
  <c r="P1050" i="627"/>
  <c r="AC1050" i="627" s="1"/>
  <c r="Q1050" i="627"/>
  <c r="R1050" i="627"/>
  <c r="S1050" i="627"/>
  <c r="M1051" i="627"/>
  <c r="N1051" i="627"/>
  <c r="O1051" i="627"/>
  <c r="P1051" i="627"/>
  <c r="Q1051" i="627"/>
  <c r="AC1051" i="627" s="1"/>
  <c r="R1051" i="627"/>
  <c r="S1051" i="627"/>
  <c r="M1052" i="627"/>
  <c r="N1052" i="627"/>
  <c r="O1052" i="627"/>
  <c r="P1052" i="627"/>
  <c r="Q1052" i="627"/>
  <c r="R1052" i="627"/>
  <c r="AC1052" i="627" s="1"/>
  <c r="S1052" i="627"/>
  <c r="M1053" i="627"/>
  <c r="N1053" i="627"/>
  <c r="O1053" i="627"/>
  <c r="P1053" i="627"/>
  <c r="Q1053" i="627"/>
  <c r="R1053" i="627"/>
  <c r="S1053" i="627"/>
  <c r="AC1053" i="627" s="1"/>
  <c r="M1054" i="627"/>
  <c r="N1054" i="627"/>
  <c r="O1054" i="627"/>
  <c r="P1054" i="627"/>
  <c r="Q1054" i="627"/>
  <c r="R1054" i="627"/>
  <c r="S1054" i="627"/>
  <c r="M1055" i="627"/>
  <c r="AC1055" i="627" s="1"/>
  <c r="N1055" i="627"/>
  <c r="O1055" i="627"/>
  <c r="P1055" i="627"/>
  <c r="Q1055" i="627"/>
  <c r="R1055" i="627"/>
  <c r="S1055" i="627"/>
  <c r="M1056" i="627"/>
  <c r="N1056" i="627"/>
  <c r="AC1056" i="627" s="1"/>
  <c r="O1056" i="627"/>
  <c r="P1056" i="627"/>
  <c r="Q1056" i="627"/>
  <c r="R1056" i="627"/>
  <c r="S1056" i="627"/>
  <c r="M1057" i="627"/>
  <c r="N1057" i="627"/>
  <c r="O1057" i="627"/>
  <c r="AC1057" i="627" s="1"/>
  <c r="P1057" i="627"/>
  <c r="Q1057" i="627"/>
  <c r="R1057" i="627"/>
  <c r="S1057" i="627"/>
  <c r="M1058" i="627"/>
  <c r="N1058" i="627"/>
  <c r="O1058" i="627"/>
  <c r="P1058" i="627"/>
  <c r="AC1058" i="627" s="1"/>
  <c r="Q1058" i="627"/>
  <c r="R1058" i="627"/>
  <c r="S1058" i="627"/>
  <c r="M1059" i="627"/>
  <c r="N1059" i="627"/>
  <c r="O1059" i="627"/>
  <c r="P1059" i="627"/>
  <c r="Q1059" i="627"/>
  <c r="AC1059" i="627" s="1"/>
  <c r="R1059" i="627"/>
  <c r="S1059" i="627"/>
  <c r="M1060" i="627"/>
  <c r="N1060" i="627"/>
  <c r="O1060" i="627"/>
  <c r="P1060" i="627"/>
  <c r="Q1060" i="627"/>
  <c r="R1060" i="627"/>
  <c r="AC1060" i="627" s="1"/>
  <c r="S1060" i="627"/>
  <c r="M1061" i="627"/>
  <c r="N1061" i="627"/>
  <c r="O1061" i="627"/>
  <c r="P1061" i="627"/>
  <c r="Q1061" i="627"/>
  <c r="R1061" i="627"/>
  <c r="S1061" i="627"/>
  <c r="AC1061" i="627" s="1"/>
  <c r="M1062" i="627"/>
  <c r="N1062" i="627"/>
  <c r="O1062" i="627"/>
  <c r="P1062" i="627"/>
  <c r="Q1062" i="627"/>
  <c r="R1062" i="627"/>
  <c r="S1062" i="627"/>
  <c r="M1063" i="627"/>
  <c r="AC1063" i="627" s="1"/>
  <c r="N1063" i="627"/>
  <c r="O1063" i="627"/>
  <c r="P1063" i="627"/>
  <c r="Q1063" i="627"/>
  <c r="R1063" i="627"/>
  <c r="S1063" i="627"/>
  <c r="M1064" i="627"/>
  <c r="N1064" i="627"/>
  <c r="AC1064" i="627" s="1"/>
  <c r="O1064" i="627"/>
  <c r="P1064" i="627"/>
  <c r="Q1064" i="627"/>
  <c r="R1064" i="627"/>
  <c r="S1064" i="627"/>
  <c r="M1065" i="627"/>
  <c r="N1065" i="627"/>
  <c r="O1065" i="627"/>
  <c r="AC1065" i="627" s="1"/>
  <c r="P1065" i="627"/>
  <c r="Q1065" i="627"/>
  <c r="R1065" i="627"/>
  <c r="S1065" i="627"/>
  <c r="M1066" i="627"/>
  <c r="N1066" i="627"/>
  <c r="O1066" i="627"/>
  <c r="P1066" i="627"/>
  <c r="AC1066" i="627" s="1"/>
  <c r="Q1066" i="627"/>
  <c r="R1066" i="627"/>
  <c r="S1066" i="627"/>
  <c r="M1067" i="627"/>
  <c r="N1067" i="627"/>
  <c r="O1067" i="627"/>
  <c r="P1067" i="627"/>
  <c r="Q1067" i="627"/>
  <c r="AC1067" i="627" s="1"/>
  <c r="R1067" i="627"/>
  <c r="S1067" i="627"/>
  <c r="M1068" i="627"/>
  <c r="N1068" i="627"/>
  <c r="O1068" i="627"/>
  <c r="P1068" i="627"/>
  <c r="Q1068" i="627"/>
  <c r="R1068" i="627"/>
  <c r="AC1068" i="627" s="1"/>
  <c r="S1068" i="627"/>
  <c r="M1069" i="627"/>
  <c r="N1069" i="627"/>
  <c r="O1069" i="627"/>
  <c r="P1069" i="627"/>
  <c r="Q1069" i="627"/>
  <c r="R1069" i="627"/>
  <c r="S1069" i="627"/>
  <c r="AC1069" i="627" s="1"/>
  <c r="M1070" i="627"/>
  <c r="N1070" i="627"/>
  <c r="O1070" i="627"/>
  <c r="P1070" i="627"/>
  <c r="Q1070" i="627"/>
  <c r="R1070" i="627"/>
  <c r="S1070" i="627"/>
  <c r="M1071" i="627"/>
  <c r="AC1071" i="627" s="1"/>
  <c r="N1071" i="627"/>
  <c r="O1071" i="627"/>
  <c r="P1071" i="627"/>
  <c r="Q1071" i="627"/>
  <c r="R1071" i="627"/>
  <c r="S1071" i="627"/>
  <c r="M1072" i="627"/>
  <c r="N1072" i="627"/>
  <c r="AC1072" i="627" s="1"/>
  <c r="O1072" i="627"/>
  <c r="P1072" i="627"/>
  <c r="Q1072" i="627"/>
  <c r="R1072" i="627"/>
  <c r="S1072" i="627"/>
  <c r="M1073" i="627"/>
  <c r="N1073" i="627"/>
  <c r="O1073" i="627"/>
  <c r="AC1073" i="627" s="1"/>
  <c r="P1073" i="627"/>
  <c r="Q1073" i="627"/>
  <c r="R1073" i="627"/>
  <c r="S1073" i="627"/>
  <c r="M1074" i="627"/>
  <c r="N1074" i="627"/>
  <c r="O1074" i="627"/>
  <c r="P1074" i="627"/>
  <c r="AC1074" i="627" s="1"/>
  <c r="Q1074" i="627"/>
  <c r="R1074" i="627"/>
  <c r="S1074" i="627"/>
  <c r="M1075" i="627"/>
  <c r="N1075" i="627"/>
  <c r="O1075" i="627"/>
  <c r="P1075" i="627"/>
  <c r="Q1075" i="627"/>
  <c r="AC1075" i="627" s="1"/>
  <c r="R1075" i="627"/>
  <c r="S1075" i="627"/>
  <c r="M1076" i="627"/>
  <c r="N1076" i="627"/>
  <c r="O1076" i="627"/>
  <c r="P1076" i="627"/>
  <c r="Q1076" i="627"/>
  <c r="R1076" i="627"/>
  <c r="AC1076" i="627" s="1"/>
  <c r="S1076" i="627"/>
  <c r="M1077" i="627"/>
  <c r="N1077" i="627"/>
  <c r="O1077" i="627"/>
  <c r="P1077" i="627"/>
  <c r="Q1077" i="627"/>
  <c r="R1077" i="627"/>
  <c r="S1077" i="627"/>
  <c r="AC1077" i="627" s="1"/>
  <c r="M1078" i="627"/>
  <c r="N1078" i="627"/>
  <c r="O1078" i="627"/>
  <c r="P1078" i="627"/>
  <c r="Q1078" i="627"/>
  <c r="R1078" i="627"/>
  <c r="S1078" i="627"/>
  <c r="M1079" i="627"/>
  <c r="AC1079" i="627" s="1"/>
  <c r="N1079" i="627"/>
  <c r="O1079" i="627"/>
  <c r="P1079" i="627"/>
  <c r="Q1079" i="627"/>
  <c r="R1079" i="627"/>
  <c r="S1079" i="627"/>
  <c r="M1080" i="627"/>
  <c r="N1080" i="627"/>
  <c r="AC1080" i="627" s="1"/>
  <c r="O1080" i="627"/>
  <c r="P1080" i="627"/>
  <c r="Q1080" i="627"/>
  <c r="R1080" i="627"/>
  <c r="S1080" i="627"/>
  <c r="M1081" i="627"/>
  <c r="N1081" i="627"/>
  <c r="O1081" i="627"/>
  <c r="AC1081" i="627" s="1"/>
  <c r="P1081" i="627"/>
  <c r="Q1081" i="627"/>
  <c r="R1081" i="627"/>
  <c r="S1081" i="627"/>
  <c r="M1082" i="627"/>
  <c r="N1082" i="627"/>
  <c r="O1082" i="627"/>
  <c r="P1082" i="627"/>
  <c r="AC1082" i="627" s="1"/>
  <c r="Q1082" i="627"/>
  <c r="R1082" i="627"/>
  <c r="S1082" i="627"/>
  <c r="M1083" i="627"/>
  <c r="N1083" i="627"/>
  <c r="O1083" i="627"/>
  <c r="P1083" i="627"/>
  <c r="Q1083" i="627"/>
  <c r="AC1083" i="627" s="1"/>
  <c r="R1083" i="627"/>
  <c r="S1083" i="627"/>
  <c r="M1084" i="627"/>
  <c r="N1084" i="627"/>
  <c r="O1084" i="627"/>
  <c r="P1084" i="627"/>
  <c r="Q1084" i="627"/>
  <c r="R1084" i="627"/>
  <c r="AC1084" i="627" s="1"/>
  <c r="S1084" i="627"/>
  <c r="M1085" i="627"/>
  <c r="N1085" i="627"/>
  <c r="O1085" i="627"/>
  <c r="P1085" i="627"/>
  <c r="Q1085" i="627"/>
  <c r="R1085" i="627"/>
  <c r="S1085" i="627"/>
  <c r="AC1085" i="627" s="1"/>
  <c r="M1086" i="627"/>
  <c r="N1086" i="627"/>
  <c r="O1086" i="627"/>
  <c r="P1086" i="627"/>
  <c r="Q1086" i="627"/>
  <c r="R1086" i="627"/>
  <c r="S1086" i="627"/>
  <c r="M1087" i="627"/>
  <c r="AC1087" i="627" s="1"/>
  <c r="N1087" i="627"/>
  <c r="O1087" i="627"/>
  <c r="P1087" i="627"/>
  <c r="Q1087" i="627"/>
  <c r="R1087" i="627"/>
  <c r="S1087" i="627"/>
  <c r="M1088" i="627"/>
  <c r="N1088" i="627"/>
  <c r="AC1088" i="627" s="1"/>
  <c r="O1088" i="627"/>
  <c r="P1088" i="627"/>
  <c r="Q1088" i="627"/>
  <c r="R1088" i="627"/>
  <c r="S1088" i="627"/>
  <c r="M1089" i="627"/>
  <c r="N1089" i="627"/>
  <c r="O1089" i="627"/>
  <c r="AC1089" i="627" s="1"/>
  <c r="P1089" i="627"/>
  <c r="Q1089" i="627"/>
  <c r="R1089" i="627"/>
  <c r="S1089" i="627"/>
  <c r="M1090" i="627"/>
  <c r="N1090" i="627"/>
  <c r="O1090" i="627"/>
  <c r="P1090" i="627"/>
  <c r="AC1090" i="627" s="1"/>
  <c r="Q1090" i="627"/>
  <c r="R1090" i="627"/>
  <c r="S1090" i="627"/>
  <c r="M1091" i="627"/>
  <c r="N1091" i="627"/>
  <c r="O1091" i="627"/>
  <c r="P1091" i="627"/>
  <c r="Q1091" i="627"/>
  <c r="AC1091" i="627" s="1"/>
  <c r="R1091" i="627"/>
  <c r="S1091" i="627"/>
  <c r="M1092" i="627"/>
  <c r="N1092" i="627"/>
  <c r="O1092" i="627"/>
  <c r="P1092" i="627"/>
  <c r="Q1092" i="627"/>
  <c r="R1092" i="627"/>
  <c r="AC1092" i="627" s="1"/>
  <c r="S1092" i="627"/>
  <c r="M1093" i="627"/>
  <c r="N1093" i="627"/>
  <c r="O1093" i="627"/>
  <c r="P1093" i="627"/>
  <c r="Q1093" i="627"/>
  <c r="R1093" i="627"/>
  <c r="S1093" i="627"/>
  <c r="AC1093" i="627" s="1"/>
  <c r="M1094" i="627"/>
  <c r="N1094" i="627"/>
  <c r="O1094" i="627"/>
  <c r="P1094" i="627"/>
  <c r="Q1094" i="627"/>
  <c r="R1094" i="627"/>
  <c r="S1094" i="627"/>
  <c r="M1095" i="627"/>
  <c r="AC1095" i="627" s="1"/>
  <c r="N1095" i="627"/>
  <c r="O1095" i="627"/>
  <c r="P1095" i="627"/>
  <c r="Q1095" i="627"/>
  <c r="R1095" i="627"/>
  <c r="S1095" i="627"/>
  <c r="M1096" i="627"/>
  <c r="N1096" i="627"/>
  <c r="AC1096" i="627" s="1"/>
  <c r="O1096" i="627"/>
  <c r="P1096" i="627"/>
  <c r="Q1096" i="627"/>
  <c r="R1096" i="627"/>
  <c r="S1096" i="627"/>
  <c r="M1097" i="627"/>
  <c r="N1097" i="627"/>
  <c r="O1097" i="627"/>
  <c r="AC1097" i="627" s="1"/>
  <c r="P1097" i="627"/>
  <c r="Q1097" i="627"/>
  <c r="R1097" i="627"/>
  <c r="S1097" i="627"/>
  <c r="M1098" i="627"/>
  <c r="N1098" i="627"/>
  <c r="O1098" i="627"/>
  <c r="P1098" i="627"/>
  <c r="AC1098" i="627" s="1"/>
  <c r="Q1098" i="627"/>
  <c r="R1098" i="627"/>
  <c r="S1098" i="627"/>
  <c r="M1099" i="627"/>
  <c r="N1099" i="627"/>
  <c r="O1099" i="627"/>
  <c r="P1099" i="627"/>
  <c r="Q1099" i="627"/>
  <c r="AC1099" i="627" s="1"/>
  <c r="R1099" i="627"/>
  <c r="S1099" i="627"/>
  <c r="M1100" i="627"/>
  <c r="N1100" i="627"/>
  <c r="O1100" i="627"/>
  <c r="P1100" i="627"/>
  <c r="Q1100" i="627"/>
  <c r="R1100" i="627"/>
  <c r="AC1100" i="627" s="1"/>
  <c r="S1100" i="627"/>
  <c r="M1101" i="627"/>
  <c r="N1101" i="627"/>
  <c r="O1101" i="627"/>
  <c r="P1101" i="627"/>
  <c r="Q1101" i="627"/>
  <c r="R1101" i="627"/>
  <c r="S1101" i="627"/>
  <c r="AC1101" i="627" s="1"/>
  <c r="M1102" i="627"/>
  <c r="N1102" i="627"/>
  <c r="O1102" i="627"/>
  <c r="P1102" i="627"/>
  <c r="Q1102" i="627"/>
  <c r="R1102" i="627"/>
  <c r="S1102" i="627"/>
  <c r="M1103" i="627"/>
  <c r="AC1103" i="627" s="1"/>
  <c r="N1103" i="627"/>
  <c r="O1103" i="627"/>
  <c r="P1103" i="627"/>
  <c r="Q1103" i="627"/>
  <c r="R1103" i="627"/>
  <c r="S1103" i="627"/>
  <c r="M1104" i="627"/>
  <c r="N1104" i="627"/>
  <c r="AC1104" i="627" s="1"/>
  <c r="O1104" i="627"/>
  <c r="P1104" i="627"/>
  <c r="Q1104" i="627"/>
  <c r="R1104" i="627"/>
  <c r="S1104" i="627"/>
  <c r="M1105" i="627"/>
  <c r="N1105" i="627"/>
  <c r="O1105" i="627"/>
  <c r="AC1105" i="627" s="1"/>
  <c r="P1105" i="627"/>
  <c r="Q1105" i="627"/>
  <c r="R1105" i="627"/>
  <c r="S1105" i="627"/>
  <c r="M1106" i="627"/>
  <c r="N1106" i="627"/>
  <c r="O1106" i="627"/>
  <c r="P1106" i="627"/>
  <c r="AC1106" i="627" s="1"/>
  <c r="Q1106" i="627"/>
  <c r="R1106" i="627"/>
  <c r="S1106" i="627"/>
  <c r="M1107" i="627"/>
  <c r="N1107" i="627"/>
  <c r="O1107" i="627"/>
  <c r="P1107" i="627"/>
  <c r="Q1107" i="627"/>
  <c r="AC1107" i="627" s="1"/>
  <c r="R1107" i="627"/>
  <c r="S1107" i="627"/>
  <c r="M1108" i="627"/>
  <c r="N1108" i="627"/>
  <c r="O1108" i="627"/>
  <c r="P1108" i="627"/>
  <c r="Q1108" i="627"/>
  <c r="R1108" i="627"/>
  <c r="AC1108" i="627" s="1"/>
  <c r="S1108" i="627"/>
  <c r="M1109" i="627"/>
  <c r="N1109" i="627"/>
  <c r="O1109" i="627"/>
  <c r="P1109" i="627"/>
  <c r="Q1109" i="627"/>
  <c r="R1109" i="627"/>
  <c r="S1109" i="627"/>
  <c r="AC1109" i="627" s="1"/>
  <c r="M1110" i="627"/>
  <c r="N1110" i="627"/>
  <c r="O1110" i="627"/>
  <c r="P1110" i="627"/>
  <c r="Q1110" i="627"/>
  <c r="R1110" i="627"/>
  <c r="S1110" i="627"/>
  <c r="M1111" i="627"/>
  <c r="AC1111" i="627" s="1"/>
  <c r="N1111" i="627"/>
  <c r="O1111" i="627"/>
  <c r="P1111" i="627"/>
  <c r="Q1111" i="627"/>
  <c r="R1111" i="627"/>
  <c r="S1111" i="627"/>
  <c r="M1112" i="627"/>
  <c r="N1112" i="627"/>
  <c r="AC1112" i="627" s="1"/>
  <c r="O1112" i="627"/>
  <c r="P1112" i="627"/>
  <c r="Q1112" i="627"/>
  <c r="R1112" i="627"/>
  <c r="S1112" i="627"/>
  <c r="M1113" i="627"/>
  <c r="N1113" i="627"/>
  <c r="O1113" i="627"/>
  <c r="AC1113" i="627" s="1"/>
  <c r="P1113" i="627"/>
  <c r="Q1113" i="627"/>
  <c r="R1113" i="627"/>
  <c r="S1113" i="627"/>
  <c r="M1114" i="627"/>
  <c r="N1114" i="627"/>
  <c r="O1114" i="627"/>
  <c r="P1114" i="627"/>
  <c r="AC1114" i="627" s="1"/>
  <c r="Q1114" i="627"/>
  <c r="R1114" i="627"/>
  <c r="S1114" i="627"/>
  <c r="M1115" i="627"/>
  <c r="N1115" i="627"/>
  <c r="O1115" i="627"/>
  <c r="P1115" i="627"/>
  <c r="Q1115" i="627"/>
  <c r="AC1115" i="627" s="1"/>
  <c r="R1115" i="627"/>
  <c r="S1115" i="627"/>
  <c r="M1116" i="627"/>
  <c r="N1116" i="627"/>
  <c r="O1116" i="627"/>
  <c r="P1116" i="627"/>
  <c r="Q1116" i="627"/>
  <c r="R1116" i="627"/>
  <c r="AC1116" i="627" s="1"/>
  <c r="S1116" i="627"/>
  <c r="M1117" i="627"/>
  <c r="N1117" i="627"/>
  <c r="O1117" i="627"/>
  <c r="P1117" i="627"/>
  <c r="Q1117" i="627"/>
  <c r="R1117" i="627"/>
  <c r="S1117" i="627"/>
  <c r="AC1117" i="627" s="1"/>
  <c r="M1118" i="627"/>
  <c r="N1118" i="627"/>
  <c r="O1118" i="627"/>
  <c r="P1118" i="627"/>
  <c r="Q1118" i="627"/>
  <c r="R1118" i="627"/>
  <c r="S1118" i="627"/>
  <c r="M1119" i="627"/>
  <c r="AC1119" i="627" s="1"/>
  <c r="N1119" i="627"/>
  <c r="O1119" i="627"/>
  <c r="P1119" i="627"/>
  <c r="Q1119" i="627"/>
  <c r="R1119" i="627"/>
  <c r="S1119" i="627"/>
  <c r="M1120" i="627"/>
  <c r="N1120" i="627"/>
  <c r="AC1120" i="627" s="1"/>
  <c r="O1120" i="627"/>
  <c r="P1120" i="627"/>
  <c r="Q1120" i="627"/>
  <c r="R1120" i="627"/>
  <c r="S1120" i="627"/>
  <c r="M1121" i="627"/>
  <c r="N1121" i="627"/>
  <c r="O1121" i="627"/>
  <c r="AC1121" i="627" s="1"/>
  <c r="P1121" i="627"/>
  <c r="Q1121" i="627"/>
  <c r="R1121" i="627"/>
  <c r="S1121" i="627"/>
  <c r="M1122" i="627"/>
  <c r="N1122" i="627"/>
  <c r="O1122" i="627"/>
  <c r="P1122" i="627"/>
  <c r="AC1122" i="627" s="1"/>
  <c r="Q1122" i="627"/>
  <c r="R1122" i="627"/>
  <c r="S1122" i="627"/>
  <c r="M1123" i="627"/>
  <c r="N1123" i="627"/>
  <c r="O1123" i="627"/>
  <c r="P1123" i="627"/>
  <c r="Q1123" i="627"/>
  <c r="AC1123" i="627" s="1"/>
  <c r="R1123" i="627"/>
  <c r="S1123" i="627"/>
  <c r="M1124" i="627"/>
  <c r="N1124" i="627"/>
  <c r="O1124" i="627"/>
  <c r="P1124" i="627"/>
  <c r="Q1124" i="627"/>
  <c r="R1124" i="627"/>
  <c r="AC1124" i="627" s="1"/>
  <c r="S1124" i="627"/>
  <c r="M1125" i="627"/>
  <c r="N1125" i="627"/>
  <c r="O1125" i="627"/>
  <c r="P1125" i="627"/>
  <c r="Q1125" i="627"/>
  <c r="R1125" i="627"/>
  <c r="S1125" i="627"/>
  <c r="AC1125" i="627" s="1"/>
  <c r="M1126" i="627"/>
  <c r="N1126" i="627"/>
  <c r="O1126" i="627"/>
  <c r="P1126" i="627"/>
  <c r="Q1126" i="627"/>
  <c r="R1126" i="627"/>
  <c r="S1126" i="627"/>
  <c r="M1127" i="627"/>
  <c r="AC1127" i="627" s="1"/>
  <c r="N1127" i="627"/>
  <c r="O1127" i="627"/>
  <c r="P1127" i="627"/>
  <c r="Q1127" i="627"/>
  <c r="R1127" i="627"/>
  <c r="S1127" i="627"/>
  <c r="M1128" i="627"/>
  <c r="N1128" i="627"/>
  <c r="AC1128" i="627" s="1"/>
  <c r="O1128" i="627"/>
  <c r="P1128" i="627"/>
  <c r="Q1128" i="627"/>
  <c r="R1128" i="627"/>
  <c r="S1128" i="627"/>
  <c r="M1129" i="627"/>
  <c r="N1129" i="627"/>
  <c r="O1129" i="627"/>
  <c r="AC1129" i="627" s="1"/>
  <c r="P1129" i="627"/>
  <c r="Q1129" i="627"/>
  <c r="R1129" i="627"/>
  <c r="S1129" i="627"/>
  <c r="M1130" i="627"/>
  <c r="N1130" i="627"/>
  <c r="O1130" i="627"/>
  <c r="P1130" i="627"/>
  <c r="AC1130" i="627" s="1"/>
  <c r="Q1130" i="627"/>
  <c r="R1130" i="627"/>
  <c r="S1130" i="627"/>
  <c r="M1131" i="627"/>
  <c r="N1131" i="627"/>
  <c r="O1131" i="627"/>
  <c r="P1131" i="627"/>
  <c r="Q1131" i="627"/>
  <c r="AC1131" i="627" s="1"/>
  <c r="R1131" i="627"/>
  <c r="S1131" i="627"/>
  <c r="M1132" i="627"/>
  <c r="N1132" i="627"/>
  <c r="O1132" i="627"/>
  <c r="P1132" i="627"/>
  <c r="Q1132" i="627"/>
  <c r="R1132" i="627"/>
  <c r="AC1132" i="627" s="1"/>
  <c r="S1132" i="627"/>
  <c r="M1133" i="627"/>
  <c r="N1133" i="627"/>
  <c r="O1133" i="627"/>
  <c r="P1133" i="627"/>
  <c r="Q1133" i="627"/>
  <c r="R1133" i="627"/>
  <c r="S1133" i="627"/>
  <c r="AC1133" i="627" s="1"/>
  <c r="M1134" i="627"/>
  <c r="N1134" i="627"/>
  <c r="O1134" i="627"/>
  <c r="P1134" i="627"/>
  <c r="Q1134" i="627"/>
  <c r="R1134" i="627"/>
  <c r="S1134" i="627"/>
  <c r="M1135" i="627"/>
  <c r="AC1135" i="627" s="1"/>
  <c r="N1135" i="627"/>
  <c r="O1135" i="627"/>
  <c r="P1135" i="627"/>
  <c r="Q1135" i="627"/>
  <c r="R1135" i="627"/>
  <c r="S1135" i="627"/>
  <c r="M1136" i="627"/>
  <c r="N1136" i="627"/>
  <c r="AC1136" i="627" s="1"/>
  <c r="O1136" i="627"/>
  <c r="P1136" i="627"/>
  <c r="Q1136" i="627"/>
  <c r="R1136" i="627"/>
  <c r="S1136" i="627"/>
  <c r="M1137" i="627"/>
  <c r="N1137" i="627"/>
  <c r="O1137" i="627"/>
  <c r="AC1137" i="627" s="1"/>
  <c r="P1137" i="627"/>
  <c r="Q1137" i="627"/>
  <c r="R1137" i="627"/>
  <c r="S1137" i="627"/>
  <c r="M1138" i="627"/>
  <c r="N1138" i="627"/>
  <c r="O1138" i="627"/>
  <c r="P1138" i="627"/>
  <c r="AC1138" i="627" s="1"/>
  <c r="Q1138" i="627"/>
  <c r="R1138" i="627"/>
  <c r="S1138" i="627"/>
  <c r="M1139" i="627"/>
  <c r="N1139" i="627"/>
  <c r="O1139" i="627"/>
  <c r="P1139" i="627"/>
  <c r="Q1139" i="627"/>
  <c r="AC1139" i="627" s="1"/>
  <c r="R1139" i="627"/>
  <c r="S1139" i="627"/>
  <c r="M1140" i="627"/>
  <c r="N1140" i="627"/>
  <c r="O1140" i="627"/>
  <c r="P1140" i="627"/>
  <c r="Q1140" i="627"/>
  <c r="R1140" i="627"/>
  <c r="AC1140" i="627" s="1"/>
  <c r="S1140" i="627"/>
  <c r="M1141" i="627"/>
  <c r="N1141" i="627"/>
  <c r="O1141" i="627"/>
  <c r="P1141" i="627"/>
  <c r="Q1141" i="627"/>
  <c r="R1141" i="627"/>
  <c r="S1141" i="627"/>
  <c r="AC1141" i="627" s="1"/>
  <c r="M1142" i="627"/>
  <c r="N1142" i="627"/>
  <c r="O1142" i="627"/>
  <c r="P1142" i="627"/>
  <c r="Q1142" i="627"/>
  <c r="R1142" i="627"/>
  <c r="S1142" i="627"/>
  <c r="M1143" i="627"/>
  <c r="AC1143" i="627" s="1"/>
  <c r="N1143" i="627"/>
  <c r="O1143" i="627"/>
  <c r="P1143" i="627"/>
  <c r="Q1143" i="627"/>
  <c r="R1143" i="627"/>
  <c r="S1143" i="627"/>
  <c r="M1144" i="627"/>
  <c r="N1144" i="627"/>
  <c r="AC1144" i="627" s="1"/>
  <c r="O1144" i="627"/>
  <c r="P1144" i="627"/>
  <c r="Q1144" i="627"/>
  <c r="R1144" i="627"/>
  <c r="S1144" i="627"/>
  <c r="M1145" i="627"/>
  <c r="N1145" i="627"/>
  <c r="O1145" i="627"/>
  <c r="AC1145" i="627" s="1"/>
  <c r="P1145" i="627"/>
  <c r="Q1145" i="627"/>
  <c r="R1145" i="627"/>
  <c r="S1145" i="627"/>
  <c r="M1146" i="627"/>
  <c r="N1146" i="627"/>
  <c r="O1146" i="627"/>
  <c r="P1146" i="627"/>
  <c r="AC1146" i="627" s="1"/>
  <c r="Q1146" i="627"/>
  <c r="R1146" i="627"/>
  <c r="S1146" i="627"/>
  <c r="M1147" i="627"/>
  <c r="N1147" i="627"/>
  <c r="O1147" i="627"/>
  <c r="P1147" i="627"/>
  <c r="Q1147" i="627"/>
  <c r="AC1147" i="627" s="1"/>
  <c r="R1147" i="627"/>
  <c r="S1147" i="627"/>
  <c r="M1148" i="627"/>
  <c r="N1148" i="627"/>
  <c r="O1148" i="627"/>
  <c r="P1148" i="627"/>
  <c r="Q1148" i="627"/>
  <c r="R1148" i="627"/>
  <c r="AC1148" i="627" s="1"/>
  <c r="S1148" i="627"/>
  <c r="M1149" i="627"/>
  <c r="N1149" i="627"/>
  <c r="O1149" i="627"/>
  <c r="P1149" i="627"/>
  <c r="Q1149" i="627"/>
  <c r="R1149" i="627"/>
  <c r="S1149" i="627"/>
  <c r="AC1149" i="627" s="1"/>
  <c r="M1150" i="627"/>
  <c r="N1150" i="627"/>
  <c r="O1150" i="627"/>
  <c r="P1150" i="627"/>
  <c r="Q1150" i="627"/>
  <c r="R1150" i="627"/>
  <c r="S1150" i="627"/>
  <c r="M1151" i="627"/>
  <c r="AC1151" i="627" s="1"/>
  <c r="N1151" i="627"/>
  <c r="O1151" i="627"/>
  <c r="P1151" i="627"/>
  <c r="Q1151" i="627"/>
  <c r="R1151" i="627"/>
  <c r="S1151" i="627"/>
  <c r="M1152" i="627"/>
  <c r="N1152" i="627"/>
  <c r="AC1152" i="627" s="1"/>
  <c r="O1152" i="627"/>
  <c r="P1152" i="627"/>
  <c r="Q1152" i="627"/>
  <c r="R1152" i="627"/>
  <c r="S1152" i="627"/>
  <c r="M1153" i="627"/>
  <c r="N1153" i="627"/>
  <c r="O1153" i="627"/>
  <c r="AC1153" i="627" s="1"/>
  <c r="P1153" i="627"/>
  <c r="Q1153" i="627"/>
  <c r="R1153" i="627"/>
  <c r="S1153" i="627"/>
  <c r="M1154" i="627"/>
  <c r="N1154" i="627"/>
  <c r="O1154" i="627"/>
  <c r="P1154" i="627"/>
  <c r="AC1154" i="627" s="1"/>
  <c r="Q1154" i="627"/>
  <c r="R1154" i="627"/>
  <c r="S1154" i="627"/>
  <c r="M1155" i="627"/>
  <c r="N1155" i="627"/>
  <c r="O1155" i="627"/>
  <c r="P1155" i="627"/>
  <c r="Q1155" i="627"/>
  <c r="AC1155" i="627" s="1"/>
  <c r="R1155" i="627"/>
  <c r="S1155" i="627"/>
  <c r="M1156" i="627"/>
  <c r="N1156" i="627"/>
  <c r="O1156" i="627"/>
  <c r="P1156" i="627"/>
  <c r="Q1156" i="627"/>
  <c r="R1156" i="627"/>
  <c r="AC1156" i="627" s="1"/>
  <c r="S1156" i="627"/>
  <c r="M1157" i="627"/>
  <c r="N1157" i="627"/>
  <c r="O1157" i="627"/>
  <c r="P1157" i="627"/>
  <c r="Q1157" i="627"/>
  <c r="R1157" i="627"/>
  <c r="S1157" i="627"/>
  <c r="AC1157" i="627" s="1"/>
  <c r="M1158" i="627"/>
  <c r="N1158" i="627"/>
  <c r="O1158" i="627"/>
  <c r="P1158" i="627"/>
  <c r="Q1158" i="627"/>
  <c r="R1158" i="627"/>
  <c r="S1158" i="627"/>
  <c r="M1159" i="627"/>
  <c r="AC1159" i="627" s="1"/>
  <c r="N1159" i="627"/>
  <c r="O1159" i="627"/>
  <c r="P1159" i="627"/>
  <c r="Q1159" i="627"/>
  <c r="R1159" i="627"/>
  <c r="S1159" i="627"/>
  <c r="M1160" i="627"/>
  <c r="N1160" i="627"/>
  <c r="AC1160" i="627" s="1"/>
  <c r="O1160" i="627"/>
  <c r="P1160" i="627"/>
  <c r="Q1160" i="627"/>
  <c r="R1160" i="627"/>
  <c r="S1160" i="627"/>
  <c r="M1161" i="627"/>
  <c r="N1161" i="627"/>
  <c r="O1161" i="627"/>
  <c r="AC1161" i="627" s="1"/>
  <c r="P1161" i="627"/>
  <c r="Q1161" i="627"/>
  <c r="R1161" i="627"/>
  <c r="S1161" i="627"/>
  <c r="M1162" i="627"/>
  <c r="N1162" i="627"/>
  <c r="O1162" i="627"/>
  <c r="P1162" i="627"/>
  <c r="AC1162" i="627" s="1"/>
  <c r="Q1162" i="627"/>
  <c r="R1162" i="627"/>
  <c r="S1162" i="627"/>
  <c r="M1163" i="627"/>
  <c r="N1163" i="627"/>
  <c r="O1163" i="627"/>
  <c r="P1163" i="627"/>
  <c r="Q1163" i="627"/>
  <c r="AC1163" i="627" s="1"/>
  <c r="R1163" i="627"/>
  <c r="S1163" i="627"/>
  <c r="M1164" i="627"/>
  <c r="N1164" i="627"/>
  <c r="O1164" i="627"/>
  <c r="P1164" i="627"/>
  <c r="Q1164" i="627"/>
  <c r="R1164" i="627"/>
  <c r="AC1164" i="627" s="1"/>
  <c r="S1164" i="627"/>
  <c r="M1165" i="627"/>
  <c r="N1165" i="627"/>
  <c r="O1165" i="627"/>
  <c r="P1165" i="627"/>
  <c r="Q1165" i="627"/>
  <c r="R1165" i="627"/>
  <c r="S1165" i="627"/>
  <c r="AC1165" i="627" s="1"/>
  <c r="M1166" i="627"/>
  <c r="N1166" i="627"/>
  <c r="O1166" i="627"/>
  <c r="P1166" i="627"/>
  <c r="Q1166" i="627"/>
  <c r="R1166" i="627"/>
  <c r="S1166" i="627"/>
  <c r="M1167" i="627"/>
  <c r="AC1167" i="627" s="1"/>
  <c r="N1167" i="627"/>
  <c r="O1167" i="627"/>
  <c r="P1167" i="627"/>
  <c r="Q1167" i="627"/>
  <c r="R1167" i="627"/>
  <c r="S1167" i="627"/>
  <c r="M1168" i="627"/>
  <c r="N1168" i="627"/>
  <c r="AC1168" i="627" s="1"/>
  <c r="O1168" i="627"/>
  <c r="P1168" i="627"/>
  <c r="Q1168" i="627"/>
  <c r="R1168" i="627"/>
  <c r="S1168" i="627"/>
  <c r="M1169" i="627"/>
  <c r="N1169" i="627"/>
  <c r="O1169" i="627"/>
  <c r="AC1169" i="627" s="1"/>
  <c r="P1169" i="627"/>
  <c r="Q1169" i="627"/>
  <c r="R1169" i="627"/>
  <c r="S1169" i="627"/>
  <c r="M1170" i="627"/>
  <c r="N1170" i="627"/>
  <c r="O1170" i="627"/>
  <c r="P1170" i="627"/>
  <c r="AC1170" i="627" s="1"/>
  <c r="Q1170" i="627"/>
  <c r="R1170" i="627"/>
  <c r="S1170" i="627"/>
  <c r="M1171" i="627"/>
  <c r="N1171" i="627"/>
  <c r="O1171" i="627"/>
  <c r="P1171" i="627"/>
  <c r="Q1171" i="627"/>
  <c r="AC1171" i="627" s="1"/>
  <c r="R1171" i="627"/>
  <c r="S1171" i="627"/>
  <c r="M1172" i="627"/>
  <c r="N1172" i="627"/>
  <c r="O1172" i="627"/>
  <c r="P1172" i="627"/>
  <c r="Q1172" i="627"/>
  <c r="R1172" i="627"/>
  <c r="AC1172" i="627" s="1"/>
  <c r="S1172" i="627"/>
  <c r="M1173" i="627"/>
  <c r="N1173" i="627"/>
  <c r="O1173" i="627"/>
  <c r="P1173" i="627"/>
  <c r="Q1173" i="627"/>
  <c r="R1173" i="627"/>
  <c r="S1173" i="627"/>
  <c r="AC1173" i="627" s="1"/>
  <c r="M1174" i="627"/>
  <c r="N1174" i="627"/>
  <c r="O1174" i="627"/>
  <c r="P1174" i="627"/>
  <c r="Q1174" i="627"/>
  <c r="R1174" i="627"/>
  <c r="S1174" i="627"/>
  <c r="M1175" i="627"/>
  <c r="AC1175" i="627" s="1"/>
  <c r="N1175" i="627"/>
  <c r="O1175" i="627"/>
  <c r="P1175" i="627"/>
  <c r="Q1175" i="627"/>
  <c r="R1175" i="627"/>
  <c r="S1175" i="627"/>
  <c r="M1176" i="627"/>
  <c r="N1176" i="627"/>
  <c r="AC1176" i="627" s="1"/>
  <c r="O1176" i="627"/>
  <c r="P1176" i="627"/>
  <c r="Q1176" i="627"/>
  <c r="R1176" i="627"/>
  <c r="S1176" i="627"/>
  <c r="M1177" i="627"/>
  <c r="N1177" i="627"/>
  <c r="O1177" i="627"/>
  <c r="AC1177" i="627" s="1"/>
  <c r="P1177" i="627"/>
  <c r="Q1177" i="627"/>
  <c r="R1177" i="627"/>
  <c r="S1177" i="627"/>
  <c r="M1178" i="627"/>
  <c r="N1178" i="627"/>
  <c r="O1178" i="627"/>
  <c r="P1178" i="627"/>
  <c r="AC1178" i="627" s="1"/>
  <c r="Q1178" i="627"/>
  <c r="R1178" i="627"/>
  <c r="S1178" i="627"/>
  <c r="M1179" i="627"/>
  <c r="N1179" i="627"/>
  <c r="O1179" i="627"/>
  <c r="P1179" i="627"/>
  <c r="Q1179" i="627"/>
  <c r="AC1179" i="627" s="1"/>
  <c r="R1179" i="627"/>
  <c r="S1179" i="627"/>
  <c r="M1180" i="627"/>
  <c r="N1180" i="627"/>
  <c r="O1180" i="627"/>
  <c r="P1180" i="627"/>
  <c r="Q1180" i="627"/>
  <c r="R1180" i="627"/>
  <c r="AC1180" i="627" s="1"/>
  <c r="S1180" i="627"/>
  <c r="M1181" i="627"/>
  <c r="N1181" i="627"/>
  <c r="O1181" i="627"/>
  <c r="P1181" i="627"/>
  <c r="Q1181" i="627"/>
  <c r="R1181" i="627"/>
  <c r="S1181" i="627"/>
  <c r="AC1181" i="627" s="1"/>
  <c r="M1182" i="627"/>
  <c r="N1182" i="627"/>
  <c r="O1182" i="627"/>
  <c r="P1182" i="627"/>
  <c r="Q1182" i="627"/>
  <c r="R1182" i="627"/>
  <c r="S1182" i="627"/>
  <c r="M1183" i="627"/>
  <c r="AC1183" i="627" s="1"/>
  <c r="N1183" i="627"/>
  <c r="O1183" i="627"/>
  <c r="P1183" i="627"/>
  <c r="Q1183" i="627"/>
  <c r="R1183" i="627"/>
  <c r="S1183" i="627"/>
  <c r="M1184" i="627"/>
  <c r="N1184" i="627"/>
  <c r="AC1184" i="627" s="1"/>
  <c r="O1184" i="627"/>
  <c r="P1184" i="627"/>
  <c r="Q1184" i="627"/>
  <c r="R1184" i="627"/>
  <c r="S1184" i="627"/>
  <c r="M1185" i="627"/>
  <c r="N1185" i="627"/>
  <c r="O1185" i="627"/>
  <c r="AC1185" i="627" s="1"/>
  <c r="P1185" i="627"/>
  <c r="Q1185" i="627"/>
  <c r="R1185" i="627"/>
  <c r="S1185" i="627"/>
  <c r="M1186" i="627"/>
  <c r="N1186" i="627"/>
  <c r="O1186" i="627"/>
  <c r="P1186" i="627"/>
  <c r="AC1186" i="627" s="1"/>
  <c r="Q1186" i="627"/>
  <c r="R1186" i="627"/>
  <c r="S1186" i="627"/>
  <c r="M1187" i="627"/>
  <c r="N1187" i="627"/>
  <c r="O1187" i="627"/>
  <c r="P1187" i="627"/>
  <c r="Q1187" i="627"/>
  <c r="AC1187" i="627" s="1"/>
  <c r="R1187" i="627"/>
  <c r="S1187" i="627"/>
  <c r="M1188" i="627"/>
  <c r="N1188" i="627"/>
  <c r="O1188" i="627"/>
  <c r="P1188" i="627"/>
  <c r="Q1188" i="627"/>
  <c r="R1188" i="627"/>
  <c r="AC1188" i="627" s="1"/>
  <c r="S1188" i="627"/>
  <c r="M1189" i="627"/>
  <c r="N1189" i="627"/>
  <c r="O1189" i="627"/>
  <c r="P1189" i="627"/>
  <c r="Q1189" i="627"/>
  <c r="R1189" i="627"/>
  <c r="S1189" i="627"/>
  <c r="AC1189" i="627" s="1"/>
  <c r="M1190" i="627"/>
  <c r="N1190" i="627"/>
  <c r="O1190" i="627"/>
  <c r="P1190" i="627"/>
  <c r="Q1190" i="627"/>
  <c r="R1190" i="627"/>
  <c r="S1190" i="627"/>
  <c r="M1191" i="627"/>
  <c r="AC1191" i="627" s="1"/>
  <c r="N1191" i="627"/>
  <c r="O1191" i="627"/>
  <c r="P1191" i="627"/>
  <c r="Q1191" i="627"/>
  <c r="R1191" i="627"/>
  <c r="S1191" i="627"/>
  <c r="M1192" i="627"/>
  <c r="N1192" i="627"/>
  <c r="AC1192" i="627" s="1"/>
  <c r="O1192" i="627"/>
  <c r="P1192" i="627"/>
  <c r="Q1192" i="627"/>
  <c r="R1192" i="627"/>
  <c r="S1192" i="627"/>
  <c r="M1193" i="627"/>
  <c r="N1193" i="627"/>
  <c r="O1193" i="627"/>
  <c r="AC1193" i="627" s="1"/>
  <c r="P1193" i="627"/>
  <c r="Q1193" i="627"/>
  <c r="R1193" i="627"/>
  <c r="S1193" i="627"/>
  <c r="M1194" i="627"/>
  <c r="N1194" i="627"/>
  <c r="O1194" i="627"/>
  <c r="P1194" i="627"/>
  <c r="AC1194" i="627" s="1"/>
  <c r="Q1194" i="627"/>
  <c r="R1194" i="627"/>
  <c r="S1194" i="627"/>
  <c r="M1195" i="627"/>
  <c r="N1195" i="627"/>
  <c r="O1195" i="627"/>
  <c r="P1195" i="627"/>
  <c r="Q1195" i="627"/>
  <c r="AC1195" i="627" s="1"/>
  <c r="R1195" i="627"/>
  <c r="S1195" i="627"/>
  <c r="M1196" i="627"/>
  <c r="N1196" i="627"/>
  <c r="O1196" i="627"/>
  <c r="P1196" i="627"/>
  <c r="Q1196" i="627"/>
  <c r="R1196" i="627"/>
  <c r="AC1196" i="627" s="1"/>
  <c r="S1196" i="627"/>
  <c r="M1197" i="627"/>
  <c r="N1197" i="627"/>
  <c r="O1197" i="627"/>
  <c r="P1197" i="627"/>
  <c r="Q1197" i="627"/>
  <c r="R1197" i="627"/>
  <c r="S1197" i="627"/>
  <c r="AC1197" i="627" s="1"/>
  <c r="M1198" i="627"/>
  <c r="N1198" i="627"/>
  <c r="O1198" i="627"/>
  <c r="P1198" i="627"/>
  <c r="Q1198" i="627"/>
  <c r="R1198" i="627"/>
  <c r="S1198" i="627"/>
  <c r="M1199" i="627"/>
  <c r="AC1199" i="627" s="1"/>
  <c r="N1199" i="627"/>
  <c r="O1199" i="627"/>
  <c r="P1199" i="627"/>
  <c r="Q1199" i="627"/>
  <c r="R1199" i="627"/>
  <c r="S1199" i="627"/>
  <c r="M1200" i="627"/>
  <c r="N1200" i="627"/>
  <c r="AC1200" i="627" s="1"/>
  <c r="O1200" i="627"/>
  <c r="P1200" i="627"/>
  <c r="Q1200" i="627"/>
  <c r="R1200" i="627"/>
  <c r="S1200" i="627"/>
  <c r="M1201" i="627"/>
  <c r="N1201" i="627"/>
  <c r="O1201" i="627"/>
  <c r="AC1201" i="627" s="1"/>
  <c r="P1201" i="627"/>
  <c r="Q1201" i="627"/>
  <c r="R1201" i="627"/>
  <c r="S1201" i="627"/>
  <c r="M1202" i="627"/>
  <c r="N1202" i="627"/>
  <c r="O1202" i="627"/>
  <c r="P1202" i="627"/>
  <c r="AC1202" i="627" s="1"/>
  <c r="Q1202" i="627"/>
  <c r="R1202" i="627"/>
  <c r="S1202" i="627"/>
  <c r="M1203" i="627"/>
  <c r="N1203" i="627"/>
  <c r="O1203" i="627"/>
  <c r="P1203" i="627"/>
  <c r="Q1203" i="627"/>
  <c r="AC1203" i="627" s="1"/>
  <c r="R1203" i="627"/>
  <c r="S1203" i="627"/>
  <c r="M1204" i="627"/>
  <c r="N1204" i="627"/>
  <c r="O1204" i="627"/>
  <c r="P1204" i="627"/>
  <c r="Q1204" i="627"/>
  <c r="R1204" i="627"/>
  <c r="AC1204" i="627" s="1"/>
  <c r="S1204" i="627"/>
  <c r="M1205" i="627"/>
  <c r="N1205" i="627"/>
  <c r="O1205" i="627"/>
  <c r="P1205" i="627"/>
  <c r="Q1205" i="627"/>
  <c r="R1205" i="627"/>
  <c r="S1205" i="627"/>
  <c r="AC1205" i="627" s="1"/>
  <c r="M1206" i="627"/>
  <c r="N1206" i="627"/>
  <c r="O1206" i="627"/>
  <c r="P1206" i="627"/>
  <c r="Q1206" i="627"/>
  <c r="R1206" i="627"/>
  <c r="S1206" i="627"/>
  <c r="M1207" i="627"/>
  <c r="AC1207" i="627" s="1"/>
  <c r="N1207" i="627"/>
  <c r="O1207" i="627"/>
  <c r="P1207" i="627"/>
  <c r="Q1207" i="627"/>
  <c r="R1207" i="627"/>
  <c r="S1207" i="627"/>
  <c r="M1208" i="627"/>
  <c r="N1208" i="627"/>
  <c r="AC1208" i="627" s="1"/>
  <c r="O1208" i="627"/>
  <c r="P1208" i="627"/>
  <c r="Q1208" i="627"/>
  <c r="R1208" i="627"/>
  <c r="S1208" i="627"/>
  <c r="M1209" i="627"/>
  <c r="N1209" i="627"/>
  <c r="O1209" i="627"/>
  <c r="AC1209" i="627" s="1"/>
  <c r="P1209" i="627"/>
  <c r="Q1209" i="627"/>
  <c r="R1209" i="627"/>
  <c r="S1209" i="627"/>
  <c r="M1210" i="627"/>
  <c r="N1210" i="627"/>
  <c r="O1210" i="627"/>
  <c r="P1210" i="627"/>
  <c r="AC1210" i="627" s="1"/>
  <c r="Q1210" i="627"/>
  <c r="R1210" i="627"/>
  <c r="S1210" i="627"/>
  <c r="M1211" i="627"/>
  <c r="N1211" i="627"/>
  <c r="O1211" i="627"/>
  <c r="P1211" i="627"/>
  <c r="Q1211" i="627"/>
  <c r="AC1211" i="627" s="1"/>
  <c r="R1211" i="627"/>
  <c r="S1211" i="627"/>
  <c r="M1212" i="627"/>
  <c r="N1212" i="627"/>
  <c r="O1212" i="627"/>
  <c r="P1212" i="627"/>
  <c r="Q1212" i="627"/>
  <c r="R1212" i="627"/>
  <c r="AC1212" i="627" s="1"/>
  <c r="S1212" i="627"/>
  <c r="M1213" i="627"/>
  <c r="N1213" i="627"/>
  <c r="O1213" i="627"/>
  <c r="P1213" i="627"/>
  <c r="Q1213" i="627"/>
  <c r="R1213" i="627"/>
  <c r="S1213" i="627"/>
  <c r="AC1213" i="627" s="1"/>
  <c r="M1214" i="627"/>
  <c r="N1214" i="627"/>
  <c r="O1214" i="627"/>
  <c r="P1214" i="627"/>
  <c r="Q1214" i="627"/>
  <c r="R1214" i="627"/>
  <c r="S1214" i="627"/>
  <c r="M1215" i="627"/>
  <c r="AC1215" i="627" s="1"/>
  <c r="N1215" i="627"/>
  <c r="O1215" i="627"/>
  <c r="P1215" i="627"/>
  <c r="Q1215" i="627"/>
  <c r="R1215" i="627"/>
  <c r="S1215" i="627"/>
  <c r="M1216" i="627"/>
  <c r="N1216" i="627"/>
  <c r="AC1216" i="627" s="1"/>
  <c r="O1216" i="627"/>
  <c r="P1216" i="627"/>
  <c r="Q1216" i="627"/>
  <c r="R1216" i="627"/>
  <c r="S1216" i="627"/>
  <c r="M1217" i="627"/>
  <c r="N1217" i="627"/>
  <c r="O1217" i="627"/>
  <c r="AC1217" i="627" s="1"/>
  <c r="P1217" i="627"/>
  <c r="Q1217" i="627"/>
  <c r="R1217" i="627"/>
  <c r="S1217" i="627"/>
  <c r="M1218" i="627"/>
  <c r="N1218" i="627"/>
  <c r="O1218" i="627"/>
  <c r="P1218" i="627"/>
  <c r="AC1218" i="627" s="1"/>
  <c r="Q1218" i="627"/>
  <c r="R1218" i="627"/>
  <c r="S1218" i="627"/>
  <c r="M1219" i="627"/>
  <c r="N1219" i="627"/>
  <c r="O1219" i="627"/>
  <c r="P1219" i="627"/>
  <c r="Q1219" i="627"/>
  <c r="AC1219" i="627" s="1"/>
  <c r="R1219" i="627"/>
  <c r="S1219" i="627"/>
  <c r="M1220" i="627"/>
  <c r="N1220" i="627"/>
  <c r="O1220" i="627"/>
  <c r="P1220" i="627"/>
  <c r="Q1220" i="627"/>
  <c r="R1220" i="627"/>
  <c r="AC1220" i="627" s="1"/>
  <c r="S1220" i="627"/>
  <c r="M1221" i="627"/>
  <c r="N1221" i="627"/>
  <c r="O1221" i="627"/>
  <c r="P1221" i="627"/>
  <c r="Q1221" i="627"/>
  <c r="R1221" i="627"/>
  <c r="S1221" i="627"/>
  <c r="AC1221" i="627" s="1"/>
  <c r="M1222" i="627"/>
  <c r="N1222" i="627"/>
  <c r="O1222" i="627"/>
  <c r="P1222" i="627"/>
  <c r="Q1222" i="627"/>
  <c r="R1222" i="627"/>
  <c r="S1222" i="627"/>
  <c r="M1223" i="627"/>
  <c r="AC1223" i="627" s="1"/>
  <c r="N1223" i="627"/>
  <c r="O1223" i="627"/>
  <c r="P1223" i="627"/>
  <c r="Q1223" i="627"/>
  <c r="R1223" i="627"/>
  <c r="S1223" i="627"/>
  <c r="M1224" i="627"/>
  <c r="N1224" i="627"/>
  <c r="AC1224" i="627" s="1"/>
  <c r="O1224" i="627"/>
  <c r="P1224" i="627"/>
  <c r="Q1224" i="627"/>
  <c r="R1224" i="627"/>
  <c r="S1224" i="627"/>
  <c r="M1225" i="627"/>
  <c r="N1225" i="627"/>
  <c r="O1225" i="627"/>
  <c r="AC1225" i="627" s="1"/>
  <c r="P1225" i="627"/>
  <c r="Q1225" i="627"/>
  <c r="R1225" i="627"/>
  <c r="S1225" i="627"/>
  <c r="M1226" i="627"/>
  <c r="N1226" i="627"/>
  <c r="O1226" i="627"/>
  <c r="P1226" i="627"/>
  <c r="AC1226" i="627" s="1"/>
  <c r="Q1226" i="627"/>
  <c r="R1226" i="627"/>
  <c r="S1226" i="627"/>
  <c r="M1227" i="627"/>
  <c r="N1227" i="627"/>
  <c r="O1227" i="627"/>
  <c r="P1227" i="627"/>
  <c r="Q1227" i="627"/>
  <c r="AC1227" i="627" s="1"/>
  <c r="R1227" i="627"/>
  <c r="S1227" i="627"/>
  <c r="M1228" i="627"/>
  <c r="N1228" i="627"/>
  <c r="O1228" i="627"/>
  <c r="P1228" i="627"/>
  <c r="Q1228" i="627"/>
  <c r="R1228" i="627"/>
  <c r="AC1228" i="627" s="1"/>
  <c r="S1228" i="627"/>
  <c r="M1229" i="627"/>
  <c r="N1229" i="627"/>
  <c r="O1229" i="627"/>
  <c r="P1229" i="627"/>
  <c r="Q1229" i="627"/>
  <c r="R1229" i="627"/>
  <c r="S1229" i="627"/>
  <c r="AC1229" i="627" s="1"/>
  <c r="M1230" i="627"/>
  <c r="N1230" i="627"/>
  <c r="O1230" i="627"/>
  <c r="P1230" i="627"/>
  <c r="Q1230" i="627"/>
  <c r="R1230" i="627"/>
  <c r="S1230" i="627"/>
  <c r="M1231" i="627"/>
  <c r="AC1231" i="627" s="1"/>
  <c r="N1231" i="627"/>
  <c r="O1231" i="627"/>
  <c r="P1231" i="627"/>
  <c r="Q1231" i="627"/>
  <c r="R1231" i="627"/>
  <c r="S1231" i="627"/>
  <c r="M1232" i="627"/>
  <c r="N1232" i="627"/>
  <c r="AC1232" i="627" s="1"/>
  <c r="O1232" i="627"/>
  <c r="P1232" i="627"/>
  <c r="Q1232" i="627"/>
  <c r="R1232" i="627"/>
  <c r="S1232" i="627"/>
  <c r="M1233" i="627"/>
  <c r="N1233" i="627"/>
  <c r="O1233" i="627"/>
  <c r="AC1233" i="627" s="1"/>
  <c r="P1233" i="627"/>
  <c r="Q1233" i="627"/>
  <c r="R1233" i="627"/>
  <c r="S1233" i="627"/>
  <c r="M1234" i="627"/>
  <c r="N1234" i="627"/>
  <c r="O1234" i="627"/>
  <c r="P1234" i="627"/>
  <c r="AC1234" i="627" s="1"/>
  <c r="Q1234" i="627"/>
  <c r="R1234" i="627"/>
  <c r="S1234" i="627"/>
  <c r="M1235" i="627"/>
  <c r="N1235" i="627"/>
  <c r="O1235" i="627"/>
  <c r="P1235" i="627"/>
  <c r="Q1235" i="627"/>
  <c r="AC1235" i="627" s="1"/>
  <c r="R1235" i="627"/>
  <c r="S1235" i="627"/>
  <c r="M1236" i="627"/>
  <c r="N1236" i="627"/>
  <c r="O1236" i="627"/>
  <c r="P1236" i="627"/>
  <c r="Q1236" i="627"/>
  <c r="R1236" i="627"/>
  <c r="AC1236" i="627" s="1"/>
  <c r="S1236" i="627"/>
  <c r="M1237" i="627"/>
  <c r="N1237" i="627"/>
  <c r="O1237" i="627"/>
  <c r="P1237" i="627"/>
  <c r="Q1237" i="627"/>
  <c r="R1237" i="627"/>
  <c r="S1237" i="627"/>
  <c r="AC1237" i="627" s="1"/>
  <c r="M1238" i="627"/>
  <c r="N1238" i="627"/>
  <c r="O1238" i="627"/>
  <c r="P1238" i="627"/>
  <c r="Q1238" i="627"/>
  <c r="R1238" i="627"/>
  <c r="S1238" i="627"/>
  <c r="M1239" i="627"/>
  <c r="AC1239" i="627" s="1"/>
  <c r="N1239" i="627"/>
  <c r="O1239" i="627"/>
  <c r="P1239" i="627"/>
  <c r="Q1239" i="627"/>
  <c r="R1239" i="627"/>
  <c r="S1239" i="627"/>
  <c r="M1240" i="627"/>
  <c r="N1240" i="627"/>
  <c r="AC1240" i="627" s="1"/>
  <c r="O1240" i="627"/>
  <c r="P1240" i="627"/>
  <c r="Q1240" i="627"/>
  <c r="R1240" i="627"/>
  <c r="S1240" i="627"/>
  <c r="M1241" i="627"/>
  <c r="N1241" i="627"/>
  <c r="O1241" i="627"/>
  <c r="AC1241" i="627" s="1"/>
  <c r="P1241" i="627"/>
  <c r="Q1241" i="627"/>
  <c r="R1241" i="627"/>
  <c r="S1241" i="627"/>
  <c r="M1242" i="627"/>
  <c r="N1242" i="627"/>
  <c r="O1242" i="627"/>
  <c r="P1242" i="627"/>
  <c r="AC1242" i="627" s="1"/>
  <c r="Q1242" i="627"/>
  <c r="R1242" i="627"/>
  <c r="S1242" i="627"/>
  <c r="M1243" i="627"/>
  <c r="N1243" i="627"/>
  <c r="O1243" i="627"/>
  <c r="P1243" i="627"/>
  <c r="Q1243" i="627"/>
  <c r="AC1243" i="627" s="1"/>
  <c r="R1243" i="627"/>
  <c r="S1243" i="627"/>
  <c r="M1244" i="627"/>
  <c r="N1244" i="627"/>
  <c r="O1244" i="627"/>
  <c r="P1244" i="627"/>
  <c r="Q1244" i="627"/>
  <c r="R1244" i="627"/>
  <c r="AC1244" i="627" s="1"/>
  <c r="S1244" i="627"/>
  <c r="M1245" i="627"/>
  <c r="N1245" i="627"/>
  <c r="O1245" i="627"/>
  <c r="P1245" i="627"/>
  <c r="Q1245" i="627"/>
  <c r="R1245" i="627"/>
  <c r="S1245" i="627"/>
  <c r="AC1245" i="627" s="1"/>
  <c r="M1246" i="627"/>
  <c r="N1246" i="627"/>
  <c r="O1246" i="627"/>
  <c r="P1246" i="627"/>
  <c r="Q1246" i="627"/>
  <c r="R1246" i="627"/>
  <c r="S1246" i="627"/>
  <c r="M1247" i="627"/>
  <c r="AC1247" i="627" s="1"/>
  <c r="N1247" i="627"/>
  <c r="O1247" i="627"/>
  <c r="P1247" i="627"/>
  <c r="Q1247" i="627"/>
  <c r="R1247" i="627"/>
  <c r="S1247" i="627"/>
  <c r="M1248" i="627"/>
  <c r="N1248" i="627"/>
  <c r="AC1248" i="627" s="1"/>
  <c r="O1248" i="627"/>
  <c r="P1248" i="627"/>
  <c r="Q1248" i="627"/>
  <c r="R1248" i="627"/>
  <c r="S1248" i="627"/>
  <c r="M1249" i="627"/>
  <c r="N1249" i="627"/>
  <c r="O1249" i="627"/>
  <c r="AC1249" i="627" s="1"/>
  <c r="P1249" i="627"/>
  <c r="Q1249" i="627"/>
  <c r="R1249" i="627"/>
  <c r="S1249" i="627"/>
  <c r="M1250" i="627"/>
  <c r="N1250" i="627"/>
  <c r="O1250" i="627"/>
  <c r="P1250" i="627"/>
  <c r="AC1250" i="627" s="1"/>
  <c r="Q1250" i="627"/>
  <c r="R1250" i="627"/>
  <c r="S1250" i="627"/>
  <c r="M1251" i="627"/>
  <c r="N1251" i="627"/>
  <c r="O1251" i="627"/>
  <c r="P1251" i="627"/>
  <c r="Q1251" i="627"/>
  <c r="AC1251" i="627" s="1"/>
  <c r="R1251" i="627"/>
  <c r="S1251" i="627"/>
  <c r="M1252" i="627"/>
  <c r="N1252" i="627"/>
  <c r="O1252" i="627"/>
  <c r="P1252" i="627"/>
  <c r="Q1252" i="627"/>
  <c r="R1252" i="627"/>
  <c r="AC1252" i="627" s="1"/>
  <c r="S1252" i="627"/>
  <c r="M1253" i="627"/>
  <c r="N1253" i="627"/>
  <c r="O1253" i="627"/>
  <c r="P1253" i="627"/>
  <c r="Q1253" i="627"/>
  <c r="R1253" i="627"/>
  <c r="S1253" i="627"/>
  <c r="AC1253" i="627" s="1"/>
  <c r="M1254" i="627"/>
  <c r="N1254" i="627"/>
  <c r="O1254" i="627"/>
  <c r="P1254" i="627"/>
  <c r="Q1254" i="627"/>
  <c r="R1254" i="627"/>
  <c r="S1254" i="627"/>
  <c r="M1255" i="627"/>
  <c r="AC1255" i="627" s="1"/>
  <c r="N1255" i="627"/>
  <c r="O1255" i="627"/>
  <c r="P1255" i="627"/>
  <c r="Q1255" i="627"/>
  <c r="R1255" i="627"/>
  <c r="S1255" i="627"/>
  <c r="M1256" i="627"/>
  <c r="N1256" i="627"/>
  <c r="AC1256" i="627" s="1"/>
  <c r="O1256" i="627"/>
  <c r="P1256" i="627"/>
  <c r="Q1256" i="627"/>
  <c r="R1256" i="627"/>
  <c r="S1256" i="627"/>
  <c r="M1257" i="627"/>
  <c r="N1257" i="627"/>
  <c r="O1257" i="627"/>
  <c r="AC1257" i="627" s="1"/>
  <c r="P1257" i="627"/>
  <c r="Q1257" i="627"/>
  <c r="R1257" i="627"/>
  <c r="S1257" i="627"/>
  <c r="M1258" i="627"/>
  <c r="N1258" i="627"/>
  <c r="O1258" i="627"/>
  <c r="P1258" i="627"/>
  <c r="AC1258" i="627" s="1"/>
  <c r="Q1258" i="627"/>
  <c r="R1258" i="627"/>
  <c r="S1258" i="627"/>
  <c r="M1259" i="627"/>
  <c r="N1259" i="627"/>
  <c r="O1259" i="627"/>
  <c r="P1259" i="627"/>
  <c r="Q1259" i="627"/>
  <c r="AC1259" i="627" s="1"/>
  <c r="R1259" i="627"/>
  <c r="S1259" i="627"/>
  <c r="M1260" i="627"/>
  <c r="N1260" i="627"/>
  <c r="O1260" i="627"/>
  <c r="P1260" i="627"/>
  <c r="Q1260" i="627"/>
  <c r="R1260" i="627"/>
  <c r="AC1260" i="627" s="1"/>
  <c r="S1260" i="627"/>
  <c r="M1261" i="627"/>
  <c r="N1261" i="627"/>
  <c r="O1261" i="627"/>
  <c r="P1261" i="627"/>
  <c r="Q1261" i="627"/>
  <c r="R1261" i="627"/>
  <c r="S1261" i="627"/>
  <c r="AC1261" i="627" s="1"/>
  <c r="M1262" i="627"/>
  <c r="N1262" i="627"/>
  <c r="O1262" i="627"/>
  <c r="P1262" i="627"/>
  <c r="Q1262" i="627"/>
  <c r="R1262" i="627"/>
  <c r="S1262" i="627"/>
  <c r="M1263" i="627"/>
  <c r="AC1263" i="627" s="1"/>
  <c r="N1263" i="627"/>
  <c r="O1263" i="627"/>
  <c r="P1263" i="627"/>
  <c r="Q1263" i="627"/>
  <c r="R1263" i="627"/>
  <c r="S1263" i="627"/>
  <c r="M1264" i="627"/>
  <c r="N1264" i="627"/>
  <c r="AC1264" i="627" s="1"/>
  <c r="O1264" i="627"/>
  <c r="P1264" i="627"/>
  <c r="Q1264" i="627"/>
  <c r="R1264" i="627"/>
  <c r="S1264" i="627"/>
  <c r="M1265" i="627"/>
  <c r="N1265" i="627"/>
  <c r="O1265" i="627"/>
  <c r="AC1265" i="627" s="1"/>
  <c r="P1265" i="627"/>
  <c r="Q1265" i="627"/>
  <c r="R1265" i="627"/>
  <c r="S1265" i="627"/>
  <c r="M1266" i="627"/>
  <c r="N1266" i="627"/>
  <c r="O1266" i="627"/>
  <c r="P1266" i="627"/>
  <c r="AC1266" i="627" s="1"/>
  <c r="Q1266" i="627"/>
  <c r="R1266" i="627"/>
  <c r="S1266" i="627"/>
  <c r="M1267" i="627"/>
  <c r="N1267" i="627"/>
  <c r="O1267" i="627"/>
  <c r="P1267" i="627"/>
  <c r="Q1267" i="627"/>
  <c r="AC1267" i="627" s="1"/>
  <c r="R1267" i="627"/>
  <c r="S1267" i="627"/>
  <c r="M1268" i="627"/>
  <c r="N1268" i="627"/>
  <c r="O1268" i="627"/>
  <c r="P1268" i="627"/>
  <c r="Q1268" i="627"/>
  <c r="R1268" i="627"/>
  <c r="AC1268" i="627" s="1"/>
  <c r="S1268" i="627"/>
  <c r="M1269" i="627"/>
  <c r="N1269" i="627"/>
  <c r="O1269" i="627"/>
  <c r="P1269" i="627"/>
  <c r="Q1269" i="627"/>
  <c r="R1269" i="627"/>
  <c r="S1269" i="627"/>
  <c r="AC1269" i="627" s="1"/>
  <c r="M1270" i="627"/>
  <c r="N1270" i="627"/>
  <c r="O1270" i="627"/>
  <c r="P1270" i="627"/>
  <c r="Q1270" i="627"/>
  <c r="R1270" i="627"/>
  <c r="S1270" i="627"/>
  <c r="M1271" i="627"/>
  <c r="AC1271" i="627" s="1"/>
  <c r="N1271" i="627"/>
  <c r="O1271" i="627"/>
  <c r="P1271" i="627"/>
  <c r="Q1271" i="627"/>
  <c r="R1271" i="627"/>
  <c r="S1271" i="627"/>
  <c r="M1272" i="627"/>
  <c r="N1272" i="627"/>
  <c r="AC1272" i="627" s="1"/>
  <c r="O1272" i="627"/>
  <c r="P1272" i="627"/>
  <c r="Q1272" i="627"/>
  <c r="R1272" i="627"/>
  <c r="S1272" i="627"/>
  <c r="M1273" i="627"/>
  <c r="N1273" i="627"/>
  <c r="O1273" i="627"/>
  <c r="AC1273" i="627" s="1"/>
  <c r="P1273" i="627"/>
  <c r="Q1273" i="627"/>
  <c r="R1273" i="627"/>
  <c r="S1273" i="627"/>
  <c r="M1274" i="627"/>
  <c r="N1274" i="627"/>
  <c r="O1274" i="627"/>
  <c r="P1274" i="627"/>
  <c r="AC1274" i="627" s="1"/>
  <c r="Q1274" i="627"/>
  <c r="R1274" i="627"/>
  <c r="S1274" i="627"/>
  <c r="M1275" i="627"/>
  <c r="N1275" i="627"/>
  <c r="O1275" i="627"/>
  <c r="P1275" i="627"/>
  <c r="Q1275" i="627"/>
  <c r="AC1275" i="627" s="1"/>
  <c r="R1275" i="627"/>
  <c r="S1275" i="627"/>
  <c r="M1276" i="627"/>
  <c r="N1276" i="627"/>
  <c r="O1276" i="627"/>
  <c r="P1276" i="627"/>
  <c r="Q1276" i="627"/>
  <c r="R1276" i="627"/>
  <c r="AC1276" i="627" s="1"/>
  <c r="S1276" i="627"/>
  <c r="M1277" i="627"/>
  <c r="N1277" i="627"/>
  <c r="O1277" i="627"/>
  <c r="P1277" i="627"/>
  <c r="Q1277" i="627"/>
  <c r="R1277" i="627"/>
  <c r="S1277" i="627"/>
  <c r="AC1277" i="627" s="1"/>
  <c r="M1278" i="627"/>
  <c r="N1278" i="627"/>
  <c r="O1278" i="627"/>
  <c r="P1278" i="627"/>
  <c r="Q1278" i="627"/>
  <c r="R1278" i="627"/>
  <c r="S1278" i="627"/>
  <c r="M1279" i="627"/>
  <c r="AC1279" i="627" s="1"/>
  <c r="N1279" i="627"/>
  <c r="O1279" i="627"/>
  <c r="P1279" i="627"/>
  <c r="Q1279" i="627"/>
  <c r="R1279" i="627"/>
  <c r="S1279" i="627"/>
  <c r="M1280" i="627"/>
  <c r="N1280" i="627"/>
  <c r="AC1280" i="627" s="1"/>
  <c r="O1280" i="627"/>
  <c r="P1280" i="627"/>
  <c r="Q1280" i="627"/>
  <c r="R1280" i="627"/>
  <c r="S1280" i="627"/>
  <c r="M1281" i="627"/>
  <c r="N1281" i="627"/>
  <c r="O1281" i="627"/>
  <c r="AC1281" i="627" s="1"/>
  <c r="P1281" i="627"/>
  <c r="Q1281" i="627"/>
  <c r="R1281" i="627"/>
  <c r="S1281" i="627"/>
  <c r="M1282" i="627"/>
  <c r="N1282" i="627"/>
  <c r="O1282" i="627"/>
  <c r="P1282" i="627"/>
  <c r="AC1282" i="627" s="1"/>
  <c r="Q1282" i="627"/>
  <c r="R1282" i="627"/>
  <c r="S1282" i="627"/>
  <c r="M1283" i="627"/>
  <c r="N1283" i="627"/>
  <c r="O1283" i="627"/>
  <c r="P1283" i="627"/>
  <c r="Q1283" i="627"/>
  <c r="AC1283" i="627" s="1"/>
  <c r="R1283" i="627"/>
  <c r="S1283" i="627"/>
  <c r="M1284" i="627"/>
  <c r="N1284" i="627"/>
  <c r="O1284" i="627"/>
  <c r="P1284" i="627"/>
  <c r="Q1284" i="627"/>
  <c r="R1284" i="627"/>
  <c r="AC1284" i="627" s="1"/>
  <c r="S1284" i="627"/>
  <c r="M1285" i="627"/>
  <c r="N1285" i="627"/>
  <c r="O1285" i="627"/>
  <c r="P1285" i="627"/>
  <c r="Q1285" i="627"/>
  <c r="R1285" i="627"/>
  <c r="S1285" i="627"/>
  <c r="AC1285" i="627" s="1"/>
  <c r="M1286" i="627"/>
  <c r="N1286" i="627"/>
  <c r="O1286" i="627"/>
  <c r="P1286" i="627"/>
  <c r="Q1286" i="627"/>
  <c r="R1286" i="627"/>
  <c r="S1286" i="627"/>
  <c r="M1287" i="627"/>
  <c r="AC1287" i="627" s="1"/>
  <c r="N1287" i="627"/>
  <c r="O1287" i="627"/>
  <c r="P1287" i="627"/>
  <c r="Q1287" i="627"/>
  <c r="R1287" i="627"/>
  <c r="S1287" i="627"/>
  <c r="M1288" i="627"/>
  <c r="N1288" i="627"/>
  <c r="AC1288" i="627" s="1"/>
  <c r="O1288" i="627"/>
  <c r="P1288" i="627"/>
  <c r="Q1288" i="627"/>
  <c r="R1288" i="627"/>
  <c r="S1288" i="627"/>
  <c r="M1289" i="627"/>
  <c r="N1289" i="627"/>
  <c r="O1289" i="627"/>
  <c r="AC1289" i="627" s="1"/>
  <c r="P1289" i="627"/>
  <c r="Q1289" i="627"/>
  <c r="R1289" i="627"/>
  <c r="S1289" i="627"/>
  <c r="M1290" i="627"/>
  <c r="N1290" i="627"/>
  <c r="O1290" i="627"/>
  <c r="P1290" i="627"/>
  <c r="AC1290" i="627" s="1"/>
  <c r="Q1290" i="627"/>
  <c r="R1290" i="627"/>
  <c r="S1290" i="627"/>
  <c r="M1291" i="627"/>
  <c r="N1291" i="627"/>
  <c r="O1291" i="627"/>
  <c r="P1291" i="627"/>
  <c r="Q1291" i="627"/>
  <c r="AC1291" i="627" s="1"/>
  <c r="R1291" i="627"/>
  <c r="S1291" i="627"/>
  <c r="M1292" i="627"/>
  <c r="N1292" i="627"/>
  <c r="O1292" i="627"/>
  <c r="P1292" i="627"/>
  <c r="Q1292" i="627"/>
  <c r="R1292" i="627"/>
  <c r="AC1292" i="627" s="1"/>
  <c r="S1292" i="627"/>
  <c r="M1293" i="627"/>
  <c r="N1293" i="627"/>
  <c r="O1293" i="627"/>
  <c r="P1293" i="627"/>
  <c r="Q1293" i="627"/>
  <c r="R1293" i="627"/>
  <c r="S1293" i="627"/>
  <c r="AC1293" i="627" s="1"/>
  <c r="M1294" i="627"/>
  <c r="N1294" i="627"/>
  <c r="O1294" i="627"/>
  <c r="P1294" i="627"/>
  <c r="Q1294" i="627"/>
  <c r="R1294" i="627"/>
  <c r="S1294" i="627"/>
  <c r="M1295" i="627"/>
  <c r="AC1295" i="627" s="1"/>
  <c r="N1295" i="627"/>
  <c r="O1295" i="627"/>
  <c r="P1295" i="627"/>
  <c r="Q1295" i="627"/>
  <c r="R1295" i="627"/>
  <c r="S1295" i="627"/>
  <c r="M1296" i="627"/>
  <c r="N1296" i="627"/>
  <c r="AC1296" i="627" s="1"/>
  <c r="O1296" i="627"/>
  <c r="P1296" i="627"/>
  <c r="Q1296" i="627"/>
  <c r="R1296" i="627"/>
  <c r="S1296" i="627"/>
  <c r="M1297" i="627"/>
  <c r="N1297" i="627"/>
  <c r="O1297" i="627"/>
  <c r="AC1297" i="627" s="1"/>
  <c r="P1297" i="627"/>
  <c r="Q1297" i="627"/>
  <c r="R1297" i="627"/>
  <c r="S1297" i="627"/>
  <c r="M1298" i="627"/>
  <c r="N1298" i="627"/>
  <c r="O1298" i="627"/>
  <c r="P1298" i="627"/>
  <c r="AC1298" i="627" s="1"/>
  <c r="Q1298" i="627"/>
  <c r="R1298" i="627"/>
  <c r="S1298" i="627"/>
  <c r="M1299" i="627"/>
  <c r="N1299" i="627"/>
  <c r="O1299" i="627"/>
  <c r="P1299" i="627"/>
  <c r="Q1299" i="627"/>
  <c r="AC1299" i="627" s="1"/>
  <c r="R1299" i="627"/>
  <c r="S1299" i="627"/>
  <c r="M1300" i="627"/>
  <c r="N1300" i="627"/>
  <c r="O1300" i="627"/>
  <c r="P1300" i="627"/>
  <c r="Q1300" i="627"/>
  <c r="R1300" i="627"/>
  <c r="AC1300" i="627" s="1"/>
  <c r="S1300" i="627"/>
  <c r="M1301" i="627"/>
  <c r="N1301" i="627"/>
  <c r="O1301" i="627"/>
  <c r="P1301" i="627"/>
  <c r="Q1301" i="627"/>
  <c r="R1301" i="627"/>
  <c r="S1301" i="627"/>
  <c r="AC1301" i="627" s="1"/>
  <c r="M1302" i="627"/>
  <c r="N1302" i="627"/>
  <c r="O1302" i="627"/>
  <c r="P1302" i="627"/>
  <c r="Q1302" i="627"/>
  <c r="R1302" i="627"/>
  <c r="S1302" i="627"/>
  <c r="M1303" i="627"/>
  <c r="AC1303" i="627" s="1"/>
  <c r="N1303" i="627"/>
  <c r="O1303" i="627"/>
  <c r="P1303" i="627"/>
  <c r="Q1303" i="627"/>
  <c r="R1303" i="627"/>
  <c r="S1303" i="627"/>
  <c r="M1304" i="627"/>
  <c r="N1304" i="627"/>
  <c r="AC1304" i="627" s="1"/>
  <c r="O1304" i="627"/>
  <c r="P1304" i="627"/>
  <c r="Q1304" i="627"/>
  <c r="R1304" i="627"/>
  <c r="S1304" i="627"/>
  <c r="M1305" i="627"/>
  <c r="N1305" i="627"/>
  <c r="O1305" i="627"/>
  <c r="AC1305" i="627" s="1"/>
  <c r="P1305" i="627"/>
  <c r="Q1305" i="627"/>
  <c r="R1305" i="627"/>
  <c r="S1305" i="627"/>
  <c r="M1306" i="627"/>
  <c r="N1306" i="627"/>
  <c r="O1306" i="627"/>
  <c r="P1306" i="627"/>
  <c r="AC1306" i="627" s="1"/>
  <c r="Q1306" i="627"/>
  <c r="R1306" i="627"/>
  <c r="S1306" i="627"/>
  <c r="M1307" i="627"/>
  <c r="N1307" i="627"/>
  <c r="O1307" i="627"/>
  <c r="P1307" i="627"/>
  <c r="Q1307" i="627"/>
  <c r="AC1307" i="627" s="1"/>
  <c r="R1307" i="627"/>
  <c r="S1307" i="627"/>
  <c r="M1308" i="627"/>
  <c r="N1308" i="627"/>
  <c r="O1308" i="627"/>
  <c r="P1308" i="627"/>
  <c r="Q1308" i="627"/>
  <c r="R1308" i="627"/>
  <c r="AC1308" i="627" s="1"/>
  <c r="S1308" i="627"/>
  <c r="M1309" i="627"/>
  <c r="N1309" i="627"/>
  <c r="O1309" i="627"/>
  <c r="P1309" i="627"/>
  <c r="Q1309" i="627"/>
  <c r="R1309" i="627"/>
  <c r="S1309" i="627"/>
  <c r="AC1309" i="627" s="1"/>
  <c r="M1310" i="627"/>
  <c r="N1310" i="627"/>
  <c r="O1310" i="627"/>
  <c r="P1310" i="627"/>
  <c r="Q1310" i="627"/>
  <c r="R1310" i="627"/>
  <c r="S1310" i="627"/>
  <c r="M1311" i="627"/>
  <c r="AC1311" i="627" s="1"/>
  <c r="N1311" i="627"/>
  <c r="O1311" i="627"/>
  <c r="P1311" i="627"/>
  <c r="Q1311" i="627"/>
  <c r="R1311" i="627"/>
  <c r="S1311" i="627"/>
  <c r="M1312" i="627"/>
  <c r="N1312" i="627"/>
  <c r="AC1312" i="627" s="1"/>
  <c r="O1312" i="627"/>
  <c r="P1312" i="627"/>
  <c r="Q1312" i="627"/>
  <c r="R1312" i="627"/>
  <c r="S1312" i="627"/>
  <c r="M1313" i="627"/>
  <c r="N1313" i="627"/>
  <c r="O1313" i="627"/>
  <c r="AC1313" i="627" s="1"/>
  <c r="P1313" i="627"/>
  <c r="Q1313" i="627"/>
  <c r="R1313" i="627"/>
  <c r="S1313" i="627"/>
  <c r="M1314" i="627"/>
  <c r="N1314" i="627"/>
  <c r="O1314" i="627"/>
  <c r="P1314" i="627"/>
  <c r="AC1314" i="627" s="1"/>
  <c r="Q1314" i="627"/>
  <c r="R1314" i="627"/>
  <c r="S1314" i="627"/>
  <c r="M1315" i="627"/>
  <c r="N1315" i="627"/>
  <c r="O1315" i="627"/>
  <c r="P1315" i="627"/>
  <c r="Q1315" i="627"/>
  <c r="AC1315" i="627" s="1"/>
  <c r="R1315" i="627"/>
  <c r="S1315" i="627"/>
  <c r="M1316" i="627"/>
  <c r="N1316" i="627"/>
  <c r="O1316" i="627"/>
  <c r="P1316" i="627"/>
  <c r="Q1316" i="627"/>
  <c r="R1316" i="627"/>
  <c r="AC1316" i="627" s="1"/>
  <c r="S1316" i="627"/>
  <c r="M1317" i="627"/>
  <c r="N1317" i="627"/>
  <c r="O1317" i="627"/>
  <c r="P1317" i="627"/>
  <c r="Q1317" i="627"/>
  <c r="R1317" i="627"/>
  <c r="S1317" i="627"/>
  <c r="AC1317" i="627" s="1"/>
  <c r="M1318" i="627"/>
  <c r="N1318" i="627"/>
  <c r="O1318" i="627"/>
  <c r="P1318" i="627"/>
  <c r="Q1318" i="627"/>
  <c r="R1318" i="627"/>
  <c r="S1318" i="627"/>
  <c r="M1319" i="627"/>
  <c r="AC1319" i="627" s="1"/>
  <c r="N1319" i="627"/>
  <c r="O1319" i="627"/>
  <c r="P1319" i="627"/>
  <c r="Q1319" i="627"/>
  <c r="R1319" i="627"/>
  <c r="S1319" i="627"/>
  <c r="M1320" i="627"/>
  <c r="N1320" i="627"/>
  <c r="AC1320" i="627" s="1"/>
  <c r="O1320" i="627"/>
  <c r="P1320" i="627"/>
  <c r="Q1320" i="627"/>
  <c r="R1320" i="627"/>
  <c r="S1320" i="627"/>
  <c r="M1321" i="627"/>
  <c r="N1321" i="627"/>
  <c r="O1321" i="627"/>
  <c r="AC1321" i="627" s="1"/>
  <c r="P1321" i="627"/>
  <c r="Q1321" i="627"/>
  <c r="R1321" i="627"/>
  <c r="S1321" i="627"/>
  <c r="M1322" i="627"/>
  <c r="N1322" i="627"/>
  <c r="O1322" i="627"/>
  <c r="P1322" i="627"/>
  <c r="AC1322" i="627" s="1"/>
  <c r="Q1322" i="627"/>
  <c r="R1322" i="627"/>
  <c r="S1322" i="627"/>
  <c r="M1323" i="627"/>
  <c r="N1323" i="627"/>
  <c r="O1323" i="627"/>
  <c r="P1323" i="627"/>
  <c r="Q1323" i="627"/>
  <c r="AC1323" i="627" s="1"/>
  <c r="R1323" i="627"/>
  <c r="S1323" i="627"/>
  <c r="M1324" i="627"/>
  <c r="N1324" i="627"/>
  <c r="O1324" i="627"/>
  <c r="P1324" i="627"/>
  <c r="Q1324" i="627"/>
  <c r="R1324" i="627"/>
  <c r="AC1324" i="627" s="1"/>
  <c r="S1324" i="627"/>
  <c r="M1325" i="627"/>
  <c r="N1325" i="627"/>
  <c r="O1325" i="627"/>
  <c r="P1325" i="627"/>
  <c r="Q1325" i="627"/>
  <c r="R1325" i="627"/>
  <c r="S1325" i="627"/>
  <c r="AC1325" i="627" s="1"/>
  <c r="M1326" i="627"/>
  <c r="N1326" i="627"/>
  <c r="O1326" i="627"/>
  <c r="P1326" i="627"/>
  <c r="Q1326" i="627"/>
  <c r="R1326" i="627"/>
  <c r="S1326" i="627"/>
  <c r="M1327" i="627"/>
  <c r="AC1327" i="627" s="1"/>
  <c r="N1327" i="627"/>
  <c r="O1327" i="627"/>
  <c r="P1327" i="627"/>
  <c r="Q1327" i="627"/>
  <c r="R1327" i="627"/>
  <c r="S1327" i="627"/>
  <c r="M1328" i="627"/>
  <c r="N1328" i="627"/>
  <c r="AC1328" i="627" s="1"/>
  <c r="O1328" i="627"/>
  <c r="P1328" i="627"/>
  <c r="Q1328" i="627"/>
  <c r="R1328" i="627"/>
  <c r="S1328" i="627"/>
  <c r="M1329" i="627"/>
  <c r="N1329" i="627"/>
  <c r="O1329" i="627"/>
  <c r="AC1329" i="627" s="1"/>
  <c r="P1329" i="627"/>
  <c r="Q1329" i="627"/>
  <c r="R1329" i="627"/>
  <c r="S1329" i="627"/>
  <c r="M1330" i="627"/>
  <c r="N1330" i="627"/>
  <c r="O1330" i="627"/>
  <c r="P1330" i="627"/>
  <c r="AC1330" i="627" s="1"/>
  <c r="Q1330" i="627"/>
  <c r="R1330" i="627"/>
  <c r="S1330" i="627"/>
  <c r="M1331" i="627"/>
  <c r="N1331" i="627"/>
  <c r="O1331" i="627"/>
  <c r="P1331" i="627"/>
  <c r="Q1331" i="627"/>
  <c r="AC1331" i="627" s="1"/>
  <c r="R1331" i="627"/>
  <c r="S1331" i="627"/>
  <c r="M1332" i="627"/>
  <c r="N1332" i="627"/>
  <c r="O1332" i="627"/>
  <c r="P1332" i="627"/>
  <c r="Q1332" i="627"/>
  <c r="R1332" i="627"/>
  <c r="AC1332" i="627" s="1"/>
  <c r="S1332" i="627"/>
  <c r="M1333" i="627"/>
  <c r="N1333" i="627"/>
  <c r="O1333" i="627"/>
  <c r="P1333" i="627"/>
  <c r="Q1333" i="627"/>
  <c r="R1333" i="627"/>
  <c r="S1333" i="627"/>
  <c r="AC1333" i="627" s="1"/>
  <c r="M1334" i="627"/>
  <c r="N1334" i="627"/>
  <c r="O1334" i="627"/>
  <c r="P1334" i="627"/>
  <c r="Q1334" i="627"/>
  <c r="R1334" i="627"/>
  <c r="S1334" i="627"/>
  <c r="M1335" i="627"/>
  <c r="AC1335" i="627" s="1"/>
  <c r="N1335" i="627"/>
  <c r="O1335" i="627"/>
  <c r="P1335" i="627"/>
  <c r="Q1335" i="627"/>
  <c r="R1335" i="627"/>
  <c r="S1335" i="627"/>
  <c r="M1336" i="627"/>
  <c r="N1336" i="627"/>
  <c r="AC1336" i="627" s="1"/>
  <c r="O1336" i="627"/>
  <c r="P1336" i="627"/>
  <c r="Q1336" i="627"/>
  <c r="R1336" i="627"/>
  <c r="S1336" i="627"/>
  <c r="M1337" i="627"/>
  <c r="N1337" i="627"/>
  <c r="O1337" i="627"/>
  <c r="AC1337" i="627" s="1"/>
  <c r="P1337" i="627"/>
  <c r="Q1337" i="627"/>
  <c r="R1337" i="627"/>
  <c r="S1337" i="627"/>
  <c r="M1338" i="627"/>
  <c r="N1338" i="627"/>
  <c r="O1338" i="627"/>
  <c r="P1338" i="627"/>
  <c r="AC1338" i="627" s="1"/>
  <c r="Q1338" i="627"/>
  <c r="R1338" i="627"/>
  <c r="S1338" i="627"/>
  <c r="M1339" i="627"/>
  <c r="N1339" i="627"/>
  <c r="O1339" i="627"/>
  <c r="P1339" i="627"/>
  <c r="Q1339" i="627"/>
  <c r="AC1339" i="627" s="1"/>
  <c r="R1339" i="627"/>
  <c r="S1339" i="627"/>
  <c r="M1340" i="627"/>
  <c r="N1340" i="627"/>
  <c r="O1340" i="627"/>
  <c r="P1340" i="627"/>
  <c r="Q1340" i="627"/>
  <c r="R1340" i="627"/>
  <c r="AC1340" i="627" s="1"/>
  <c r="S1340" i="627"/>
  <c r="M1341" i="627"/>
  <c r="N1341" i="627"/>
  <c r="O1341" i="627"/>
  <c r="P1341" i="627"/>
  <c r="Q1341" i="627"/>
  <c r="R1341" i="627"/>
  <c r="S1341" i="627"/>
  <c r="AC1341" i="627" s="1"/>
  <c r="M1342" i="627"/>
  <c r="N1342" i="627"/>
  <c r="O1342" i="627"/>
  <c r="P1342" i="627"/>
  <c r="Q1342" i="627"/>
  <c r="R1342" i="627"/>
  <c r="S1342" i="627"/>
  <c r="M1343" i="627"/>
  <c r="AC1343" i="627" s="1"/>
  <c r="N1343" i="627"/>
  <c r="O1343" i="627"/>
  <c r="P1343" i="627"/>
  <c r="Q1343" i="627"/>
  <c r="R1343" i="627"/>
  <c r="S1343" i="627"/>
  <c r="M1344" i="627"/>
  <c r="N1344" i="627"/>
  <c r="AC1344" i="627" s="1"/>
  <c r="O1344" i="627"/>
  <c r="P1344" i="627"/>
  <c r="Q1344" i="627"/>
  <c r="R1344" i="627"/>
  <c r="S1344" i="627"/>
  <c r="M1345" i="627"/>
  <c r="N1345" i="627"/>
  <c r="O1345" i="627"/>
  <c r="AC1345" i="627" s="1"/>
  <c r="P1345" i="627"/>
  <c r="Q1345" i="627"/>
  <c r="R1345" i="627"/>
  <c r="S1345" i="627"/>
  <c r="M1346" i="627"/>
  <c r="N1346" i="627"/>
  <c r="O1346" i="627"/>
  <c r="P1346" i="627"/>
  <c r="AC1346" i="627" s="1"/>
  <c r="Q1346" i="627"/>
  <c r="R1346" i="627"/>
  <c r="S1346" i="627"/>
  <c r="M1347" i="627"/>
  <c r="N1347" i="627"/>
  <c r="O1347" i="627"/>
  <c r="P1347" i="627"/>
  <c r="Q1347" i="627"/>
  <c r="AC1347" i="627" s="1"/>
  <c r="R1347" i="627"/>
  <c r="S1347" i="627"/>
  <c r="M1348" i="627"/>
  <c r="N1348" i="627"/>
  <c r="O1348" i="627"/>
  <c r="P1348" i="627"/>
  <c r="Q1348" i="627"/>
  <c r="R1348" i="627"/>
  <c r="AC1348" i="627" s="1"/>
  <c r="S1348" i="627"/>
  <c r="M1349" i="627"/>
  <c r="N1349" i="627"/>
  <c r="O1349" i="627"/>
  <c r="P1349" i="627"/>
  <c r="Q1349" i="627"/>
  <c r="R1349" i="627"/>
  <c r="S1349" i="627"/>
  <c r="AC1349" i="627" s="1"/>
  <c r="M1350" i="627"/>
  <c r="N1350" i="627"/>
  <c r="O1350" i="627"/>
  <c r="P1350" i="627"/>
  <c r="Q1350" i="627"/>
  <c r="R1350" i="627"/>
  <c r="S1350" i="627"/>
  <c r="M1351" i="627"/>
  <c r="AC1351" i="627" s="1"/>
  <c r="N1351" i="627"/>
  <c r="O1351" i="627"/>
  <c r="P1351" i="627"/>
  <c r="Q1351" i="627"/>
  <c r="R1351" i="627"/>
  <c r="S1351" i="627"/>
  <c r="M1352" i="627"/>
  <c r="N1352" i="627"/>
  <c r="AC1352" i="627" s="1"/>
  <c r="O1352" i="627"/>
  <c r="P1352" i="627"/>
  <c r="Q1352" i="627"/>
  <c r="R1352" i="627"/>
  <c r="S1352" i="627"/>
  <c r="M1353" i="627"/>
  <c r="N1353" i="627"/>
  <c r="O1353" i="627"/>
  <c r="AC1353" i="627" s="1"/>
  <c r="P1353" i="627"/>
  <c r="Q1353" i="627"/>
  <c r="R1353" i="627"/>
  <c r="S1353" i="627"/>
  <c r="M1354" i="627"/>
  <c r="N1354" i="627"/>
  <c r="O1354" i="627"/>
  <c r="P1354" i="627"/>
  <c r="AC1354" i="627" s="1"/>
  <c r="Q1354" i="627"/>
  <c r="R1354" i="627"/>
  <c r="S1354" i="627"/>
  <c r="M1355" i="627"/>
  <c r="N1355" i="627"/>
  <c r="O1355" i="627"/>
  <c r="P1355" i="627"/>
  <c r="Q1355" i="627"/>
  <c r="AC1355" i="627" s="1"/>
  <c r="R1355" i="627"/>
  <c r="S1355" i="627"/>
  <c r="M1356" i="627"/>
  <c r="N1356" i="627"/>
  <c r="O1356" i="627"/>
  <c r="P1356" i="627"/>
  <c r="Q1356" i="627"/>
  <c r="R1356" i="627"/>
  <c r="AC1356" i="627" s="1"/>
  <c r="S1356" i="627"/>
  <c r="M1357" i="627"/>
  <c r="N1357" i="627"/>
  <c r="O1357" i="627"/>
  <c r="P1357" i="627"/>
  <c r="Q1357" i="627"/>
  <c r="R1357" i="627"/>
  <c r="S1357" i="627"/>
  <c r="AC1357" i="627" s="1"/>
  <c r="M1358" i="627"/>
  <c r="N1358" i="627"/>
  <c r="O1358" i="627"/>
  <c r="P1358" i="627"/>
  <c r="Q1358" i="627"/>
  <c r="R1358" i="627"/>
  <c r="S1358" i="627"/>
  <c r="M1359" i="627"/>
  <c r="AC1359" i="627" s="1"/>
  <c r="N1359" i="627"/>
  <c r="O1359" i="627"/>
  <c r="P1359" i="627"/>
  <c r="Q1359" i="627"/>
  <c r="R1359" i="627"/>
  <c r="S1359" i="627"/>
  <c r="M1360" i="627"/>
  <c r="N1360" i="627"/>
  <c r="AC1360" i="627" s="1"/>
  <c r="O1360" i="627"/>
  <c r="P1360" i="627"/>
  <c r="Q1360" i="627"/>
  <c r="R1360" i="627"/>
  <c r="S1360" i="627"/>
  <c r="M1361" i="627"/>
  <c r="N1361" i="627"/>
  <c r="O1361" i="627"/>
  <c r="AC1361" i="627" s="1"/>
  <c r="P1361" i="627"/>
  <c r="Q1361" i="627"/>
  <c r="R1361" i="627"/>
  <c r="S1361" i="627"/>
  <c r="M1362" i="627"/>
  <c r="N1362" i="627"/>
  <c r="O1362" i="627"/>
  <c r="P1362" i="627"/>
  <c r="AC1362" i="627" s="1"/>
  <c r="Q1362" i="627"/>
  <c r="R1362" i="627"/>
  <c r="S1362" i="627"/>
  <c r="M1363" i="627"/>
  <c r="N1363" i="627"/>
  <c r="O1363" i="627"/>
  <c r="P1363" i="627"/>
  <c r="Q1363" i="627"/>
  <c r="AC1363" i="627" s="1"/>
  <c r="R1363" i="627"/>
  <c r="S1363" i="627"/>
  <c r="M1364" i="627"/>
  <c r="N1364" i="627"/>
  <c r="O1364" i="627"/>
  <c r="P1364" i="627"/>
  <c r="Q1364" i="627"/>
  <c r="R1364" i="627"/>
  <c r="AC1364" i="627" s="1"/>
  <c r="S1364" i="627"/>
  <c r="M1365" i="627"/>
  <c r="N1365" i="627"/>
  <c r="O1365" i="627"/>
  <c r="P1365" i="627"/>
  <c r="Q1365" i="627"/>
  <c r="R1365" i="627"/>
  <c r="S1365" i="627"/>
  <c r="AC1365" i="627" s="1"/>
  <c r="M1366" i="627"/>
  <c r="N1366" i="627"/>
  <c r="O1366" i="627"/>
  <c r="P1366" i="627"/>
  <c r="Q1366" i="627"/>
  <c r="R1366" i="627"/>
  <c r="S1366" i="627"/>
  <c r="M1367" i="627"/>
  <c r="AC1367" i="627" s="1"/>
  <c r="N1367" i="627"/>
  <c r="O1367" i="627"/>
  <c r="P1367" i="627"/>
  <c r="Q1367" i="627"/>
  <c r="R1367" i="627"/>
  <c r="S1367" i="627"/>
  <c r="M1368" i="627"/>
  <c r="N1368" i="627"/>
  <c r="AC1368" i="627" s="1"/>
  <c r="O1368" i="627"/>
  <c r="P1368" i="627"/>
  <c r="Q1368" i="627"/>
  <c r="R1368" i="627"/>
  <c r="S1368" i="627"/>
  <c r="M1369" i="627"/>
  <c r="N1369" i="627"/>
  <c r="O1369" i="627"/>
  <c r="AC1369" i="627" s="1"/>
  <c r="P1369" i="627"/>
  <c r="Q1369" i="627"/>
  <c r="R1369" i="627"/>
  <c r="S1369" i="627"/>
  <c r="M1370" i="627"/>
  <c r="N1370" i="627"/>
  <c r="O1370" i="627"/>
  <c r="P1370" i="627"/>
  <c r="AC1370" i="627" s="1"/>
  <c r="Q1370" i="627"/>
  <c r="R1370" i="627"/>
  <c r="S1370" i="627"/>
  <c r="M1371" i="627"/>
  <c r="N1371" i="627"/>
  <c r="O1371" i="627"/>
  <c r="P1371" i="627"/>
  <c r="Q1371" i="627"/>
  <c r="AC1371" i="627" s="1"/>
  <c r="R1371" i="627"/>
  <c r="S1371" i="627"/>
  <c r="M1372" i="627"/>
  <c r="N1372" i="627"/>
  <c r="O1372" i="627"/>
  <c r="P1372" i="627"/>
  <c r="Q1372" i="627"/>
  <c r="R1372" i="627"/>
  <c r="AC1372" i="627" s="1"/>
  <c r="S1372" i="627"/>
  <c r="M1373" i="627"/>
  <c r="N1373" i="627"/>
  <c r="O1373" i="627"/>
  <c r="P1373" i="627"/>
  <c r="Q1373" i="627"/>
  <c r="R1373" i="627"/>
  <c r="S1373" i="627"/>
  <c r="AC1373" i="627" s="1"/>
  <c r="M1374" i="627"/>
  <c r="N1374" i="627"/>
  <c r="O1374" i="627"/>
  <c r="P1374" i="627"/>
  <c r="Q1374" i="627"/>
  <c r="R1374" i="627"/>
  <c r="S1374" i="627"/>
  <c r="M1375" i="627"/>
  <c r="AC1375" i="627" s="1"/>
  <c r="N1375" i="627"/>
  <c r="O1375" i="627"/>
  <c r="P1375" i="627"/>
  <c r="Q1375" i="627"/>
  <c r="R1375" i="627"/>
  <c r="S1375" i="627"/>
  <c r="M1376" i="627"/>
  <c r="N1376" i="627"/>
  <c r="AC1376" i="627" s="1"/>
  <c r="O1376" i="627"/>
  <c r="P1376" i="627"/>
  <c r="Q1376" i="627"/>
  <c r="R1376" i="627"/>
  <c r="S1376" i="627"/>
  <c r="M1377" i="627"/>
  <c r="N1377" i="627"/>
  <c r="O1377" i="627"/>
  <c r="AC1377" i="627" s="1"/>
  <c r="P1377" i="627"/>
  <c r="Q1377" i="627"/>
  <c r="R1377" i="627"/>
  <c r="S1377" i="627"/>
  <c r="M1378" i="627"/>
  <c r="N1378" i="627"/>
  <c r="O1378" i="627"/>
  <c r="P1378" i="627"/>
  <c r="AC1378" i="627" s="1"/>
  <c r="Q1378" i="627"/>
  <c r="R1378" i="627"/>
  <c r="S1378" i="627"/>
  <c r="M1379" i="627"/>
  <c r="N1379" i="627"/>
  <c r="O1379" i="627"/>
  <c r="P1379" i="627"/>
  <c r="Q1379" i="627"/>
  <c r="AC1379" i="627" s="1"/>
  <c r="R1379" i="627"/>
  <c r="S1379" i="627"/>
  <c r="M1380" i="627"/>
  <c r="N1380" i="627"/>
  <c r="O1380" i="627"/>
  <c r="P1380" i="627"/>
  <c r="Q1380" i="627"/>
  <c r="R1380" i="627"/>
  <c r="AC1380" i="627" s="1"/>
  <c r="S1380" i="627"/>
  <c r="M1381" i="627"/>
  <c r="N1381" i="627"/>
  <c r="O1381" i="627"/>
  <c r="P1381" i="627"/>
  <c r="Q1381" i="627"/>
  <c r="R1381" i="627"/>
  <c r="S1381" i="627"/>
  <c r="AC1381" i="627" s="1"/>
  <c r="M1382" i="627"/>
  <c r="N1382" i="627"/>
  <c r="O1382" i="627"/>
  <c r="P1382" i="627"/>
  <c r="Q1382" i="627"/>
  <c r="R1382" i="627"/>
  <c r="S1382" i="627"/>
  <c r="M1383" i="627"/>
  <c r="AC1383" i="627" s="1"/>
  <c r="N1383" i="627"/>
  <c r="O1383" i="627"/>
  <c r="P1383" i="627"/>
  <c r="Q1383" i="627"/>
  <c r="R1383" i="627"/>
  <c r="S1383" i="627"/>
  <c r="M1384" i="627"/>
  <c r="N1384" i="627"/>
  <c r="AC1384" i="627" s="1"/>
  <c r="O1384" i="627"/>
  <c r="P1384" i="627"/>
  <c r="Q1384" i="627"/>
  <c r="R1384" i="627"/>
  <c r="S1384" i="627"/>
  <c r="M1385" i="627"/>
  <c r="N1385" i="627"/>
  <c r="O1385" i="627"/>
  <c r="AC1385" i="627" s="1"/>
  <c r="P1385" i="627"/>
  <c r="Q1385" i="627"/>
  <c r="R1385" i="627"/>
  <c r="S1385" i="627"/>
  <c r="M1386" i="627"/>
  <c r="N1386" i="627"/>
  <c r="O1386" i="627"/>
  <c r="P1386" i="627"/>
  <c r="AC1386" i="627" s="1"/>
  <c r="Q1386" i="627"/>
  <c r="R1386" i="627"/>
  <c r="S1386" i="627"/>
  <c r="M1387" i="627"/>
  <c r="N1387" i="627"/>
  <c r="O1387" i="627"/>
  <c r="P1387" i="627"/>
  <c r="Q1387" i="627"/>
  <c r="AC1387" i="627" s="1"/>
  <c r="R1387" i="627"/>
  <c r="S1387" i="627"/>
  <c r="M1388" i="627"/>
  <c r="N1388" i="627"/>
  <c r="O1388" i="627"/>
  <c r="P1388" i="627"/>
  <c r="Q1388" i="627"/>
  <c r="R1388" i="627"/>
  <c r="AC1388" i="627" s="1"/>
  <c r="S1388" i="627"/>
  <c r="M1389" i="627"/>
  <c r="N1389" i="627"/>
  <c r="O1389" i="627"/>
  <c r="P1389" i="627"/>
  <c r="Q1389" i="627"/>
  <c r="R1389" i="627"/>
  <c r="S1389" i="627"/>
  <c r="AC1389" i="627" s="1"/>
  <c r="M1390" i="627"/>
  <c r="N1390" i="627"/>
  <c r="O1390" i="627"/>
  <c r="P1390" i="627"/>
  <c r="Q1390" i="627"/>
  <c r="R1390" i="627"/>
  <c r="S1390" i="627"/>
  <c r="M1391" i="627"/>
  <c r="AC1391" i="627" s="1"/>
  <c r="N1391" i="627"/>
  <c r="O1391" i="627"/>
  <c r="P1391" i="627"/>
  <c r="Q1391" i="627"/>
  <c r="R1391" i="627"/>
  <c r="S1391" i="627"/>
  <c r="M1392" i="627"/>
  <c r="N1392" i="627"/>
  <c r="AC1392" i="627" s="1"/>
  <c r="O1392" i="627"/>
  <c r="P1392" i="627"/>
  <c r="Q1392" i="627"/>
  <c r="R1392" i="627"/>
  <c r="S1392" i="627"/>
  <c r="M1393" i="627"/>
  <c r="N1393" i="627"/>
  <c r="O1393" i="627"/>
  <c r="AC1393" i="627" s="1"/>
  <c r="P1393" i="627"/>
  <c r="Q1393" i="627"/>
  <c r="R1393" i="627"/>
  <c r="S1393" i="627"/>
  <c r="M1394" i="627"/>
  <c r="N1394" i="627"/>
  <c r="O1394" i="627"/>
  <c r="P1394" i="627"/>
  <c r="AC1394" i="627" s="1"/>
  <c r="Q1394" i="627"/>
  <c r="R1394" i="627"/>
  <c r="S1394" i="627"/>
  <c r="M1395" i="627"/>
  <c r="N1395" i="627"/>
  <c r="O1395" i="627"/>
  <c r="P1395" i="627"/>
  <c r="Q1395" i="627"/>
  <c r="AC1395" i="627" s="1"/>
  <c r="R1395" i="627"/>
  <c r="S1395" i="627"/>
  <c r="M1396" i="627"/>
  <c r="N1396" i="627"/>
  <c r="O1396" i="627"/>
  <c r="P1396" i="627"/>
  <c r="Q1396" i="627"/>
  <c r="R1396" i="627"/>
  <c r="AC1396" i="627" s="1"/>
  <c r="S1396" i="627"/>
  <c r="M1397" i="627"/>
  <c r="N1397" i="627"/>
  <c r="O1397" i="627"/>
  <c r="P1397" i="627"/>
  <c r="Q1397" i="627"/>
  <c r="R1397" i="627"/>
  <c r="S1397" i="627"/>
  <c r="AC1397" i="627" s="1"/>
  <c r="M1398" i="627"/>
  <c r="N1398" i="627"/>
  <c r="O1398" i="627"/>
  <c r="P1398" i="627"/>
  <c r="Q1398" i="627"/>
  <c r="R1398" i="627"/>
  <c r="S1398" i="627"/>
  <c r="M1399" i="627"/>
  <c r="AC1399" i="627" s="1"/>
  <c r="N1399" i="627"/>
  <c r="O1399" i="627"/>
  <c r="P1399" i="627"/>
  <c r="Q1399" i="627"/>
  <c r="R1399" i="627"/>
  <c r="S1399" i="627"/>
  <c r="M1400" i="627"/>
  <c r="N1400" i="627"/>
  <c r="AC1400" i="627" s="1"/>
  <c r="O1400" i="627"/>
  <c r="P1400" i="627"/>
  <c r="Q1400" i="627"/>
  <c r="R1400" i="627"/>
  <c r="S1400" i="627"/>
  <c r="M1401" i="627"/>
  <c r="N1401" i="627"/>
  <c r="O1401" i="627"/>
  <c r="AC1401" i="627" s="1"/>
  <c r="P1401" i="627"/>
  <c r="Q1401" i="627"/>
  <c r="R1401" i="627"/>
  <c r="S1401" i="627"/>
  <c r="M1402" i="627"/>
  <c r="N1402" i="627"/>
  <c r="O1402" i="627"/>
  <c r="P1402" i="627"/>
  <c r="AC1402" i="627" s="1"/>
  <c r="Q1402" i="627"/>
  <c r="R1402" i="627"/>
  <c r="S1402" i="627"/>
  <c r="M1403" i="627"/>
  <c r="N1403" i="627"/>
  <c r="O1403" i="627"/>
  <c r="P1403" i="627"/>
  <c r="Q1403" i="627"/>
  <c r="AC1403" i="627" s="1"/>
  <c r="R1403" i="627"/>
  <c r="S1403" i="627"/>
  <c r="M1404" i="627"/>
  <c r="N1404" i="627"/>
  <c r="O1404" i="627"/>
  <c r="P1404" i="627"/>
  <c r="Q1404" i="627"/>
  <c r="R1404" i="627"/>
  <c r="AC1404" i="627" s="1"/>
  <c r="S1404" i="627"/>
  <c r="M1405" i="627"/>
  <c r="N1405" i="627"/>
  <c r="O1405" i="627"/>
  <c r="P1405" i="627"/>
  <c r="Q1405" i="627"/>
  <c r="R1405" i="627"/>
  <c r="S1405" i="627"/>
  <c r="AC1405" i="627" s="1"/>
  <c r="M1406" i="627"/>
  <c r="N1406" i="627"/>
  <c r="O1406" i="627"/>
  <c r="P1406" i="627"/>
  <c r="Q1406" i="627"/>
  <c r="R1406" i="627"/>
  <c r="S1406" i="627"/>
  <c r="M1407" i="627"/>
  <c r="AC1407" i="627" s="1"/>
  <c r="N1407" i="627"/>
  <c r="O1407" i="627"/>
  <c r="P1407" i="627"/>
  <c r="Q1407" i="627"/>
  <c r="R1407" i="627"/>
  <c r="S1407" i="627"/>
  <c r="M1408" i="627"/>
  <c r="N1408" i="627"/>
  <c r="AC1408" i="627" s="1"/>
  <c r="O1408" i="627"/>
  <c r="P1408" i="627"/>
  <c r="Q1408" i="627"/>
  <c r="R1408" i="627"/>
  <c r="S1408" i="627"/>
  <c r="M1409" i="627"/>
  <c r="N1409" i="627"/>
  <c r="O1409" i="627"/>
  <c r="AC1409" i="627" s="1"/>
  <c r="P1409" i="627"/>
  <c r="Q1409" i="627"/>
  <c r="R1409" i="627"/>
  <c r="S1409" i="627"/>
  <c r="M1410" i="627"/>
  <c r="N1410" i="627"/>
  <c r="O1410" i="627"/>
  <c r="P1410" i="627"/>
  <c r="AC1410" i="627" s="1"/>
  <c r="Q1410" i="627"/>
  <c r="R1410" i="627"/>
  <c r="S1410" i="627"/>
  <c r="M1411" i="627"/>
  <c r="N1411" i="627"/>
  <c r="O1411" i="627"/>
  <c r="P1411" i="627"/>
  <c r="Q1411" i="627"/>
  <c r="AC1411" i="627" s="1"/>
  <c r="R1411" i="627"/>
  <c r="S1411" i="627"/>
  <c r="M1412" i="627"/>
  <c r="N1412" i="627"/>
  <c r="O1412" i="627"/>
  <c r="P1412" i="627"/>
  <c r="Q1412" i="627"/>
  <c r="R1412" i="627"/>
  <c r="AC1412" i="627" s="1"/>
  <c r="S1412" i="627"/>
  <c r="M1413" i="627"/>
  <c r="N1413" i="627"/>
  <c r="O1413" i="627"/>
  <c r="P1413" i="627"/>
  <c r="Q1413" i="627"/>
  <c r="R1413" i="627"/>
  <c r="S1413" i="627"/>
  <c r="AC1413" i="627" s="1"/>
  <c r="M1414" i="627"/>
  <c r="N1414" i="627"/>
  <c r="O1414" i="627"/>
  <c r="P1414" i="627"/>
  <c r="Q1414" i="627"/>
  <c r="R1414" i="627"/>
  <c r="S1414" i="627"/>
  <c r="M1415" i="627"/>
  <c r="AC1415" i="627" s="1"/>
  <c r="N1415" i="627"/>
  <c r="O1415" i="627"/>
  <c r="P1415" i="627"/>
  <c r="Q1415" i="627"/>
  <c r="R1415" i="627"/>
  <c r="S1415" i="627"/>
  <c r="M1416" i="627"/>
  <c r="N1416" i="627"/>
  <c r="AC1416" i="627" s="1"/>
  <c r="O1416" i="627"/>
  <c r="P1416" i="627"/>
  <c r="Q1416" i="627"/>
  <c r="R1416" i="627"/>
  <c r="S1416" i="627"/>
  <c r="M1417" i="627"/>
  <c r="N1417" i="627"/>
  <c r="O1417" i="627"/>
  <c r="AC1417" i="627" s="1"/>
  <c r="P1417" i="627"/>
  <c r="Q1417" i="627"/>
  <c r="R1417" i="627"/>
  <c r="S1417" i="627"/>
  <c r="M1418" i="627"/>
  <c r="N1418" i="627"/>
  <c r="O1418" i="627"/>
  <c r="P1418" i="627"/>
  <c r="AC1418" i="627" s="1"/>
  <c r="Q1418" i="627"/>
  <c r="R1418" i="627"/>
  <c r="S1418" i="627"/>
  <c r="M1419" i="627"/>
  <c r="N1419" i="627"/>
  <c r="O1419" i="627"/>
  <c r="P1419" i="627"/>
  <c r="Q1419" i="627"/>
  <c r="AC1419" i="627" s="1"/>
  <c r="R1419" i="627"/>
  <c r="S1419" i="627"/>
  <c r="M1420" i="627"/>
  <c r="N1420" i="627"/>
  <c r="O1420" i="627"/>
  <c r="P1420" i="627"/>
  <c r="Q1420" i="627"/>
  <c r="R1420" i="627"/>
  <c r="AC1420" i="627" s="1"/>
  <c r="S1420" i="627"/>
  <c r="M1421" i="627"/>
  <c r="N1421" i="627"/>
  <c r="O1421" i="627"/>
  <c r="P1421" i="627"/>
  <c r="Q1421" i="627"/>
  <c r="R1421" i="627"/>
  <c r="S1421" i="627"/>
  <c r="AC1421" i="627" s="1"/>
  <c r="M1422" i="627"/>
  <c r="N1422" i="627"/>
  <c r="O1422" i="627"/>
  <c r="P1422" i="627"/>
  <c r="Q1422" i="627"/>
  <c r="R1422" i="627"/>
  <c r="S1422" i="627"/>
  <c r="M1423" i="627"/>
  <c r="AC1423" i="627" s="1"/>
  <c r="N1423" i="627"/>
  <c r="O1423" i="627"/>
  <c r="P1423" i="627"/>
  <c r="Q1423" i="627"/>
  <c r="R1423" i="627"/>
  <c r="S1423" i="627"/>
  <c r="M1424" i="627"/>
  <c r="N1424" i="627"/>
  <c r="AC1424" i="627" s="1"/>
  <c r="O1424" i="627"/>
  <c r="P1424" i="627"/>
  <c r="Q1424" i="627"/>
  <c r="R1424" i="627"/>
  <c r="S1424" i="627"/>
  <c r="M1425" i="627"/>
  <c r="N1425" i="627"/>
  <c r="O1425" i="627"/>
  <c r="AC1425" i="627" s="1"/>
  <c r="P1425" i="627"/>
  <c r="Q1425" i="627"/>
  <c r="R1425" i="627"/>
  <c r="S1425" i="627"/>
  <c r="M1426" i="627"/>
  <c r="N1426" i="627"/>
  <c r="O1426" i="627"/>
  <c r="P1426" i="627"/>
  <c r="AC1426" i="627" s="1"/>
  <c r="Q1426" i="627"/>
  <c r="R1426" i="627"/>
  <c r="S1426" i="627"/>
  <c r="M1427" i="627"/>
  <c r="N1427" i="627"/>
  <c r="O1427" i="627"/>
  <c r="P1427" i="627"/>
  <c r="Q1427" i="627"/>
  <c r="AC1427" i="627" s="1"/>
  <c r="R1427" i="627"/>
  <c r="S1427" i="627"/>
  <c r="M1428" i="627"/>
  <c r="N1428" i="627"/>
  <c r="O1428" i="627"/>
  <c r="P1428" i="627"/>
  <c r="Q1428" i="627"/>
  <c r="R1428" i="627"/>
  <c r="AC1428" i="627" s="1"/>
  <c r="S1428" i="627"/>
  <c r="M1429" i="627"/>
  <c r="N1429" i="627"/>
  <c r="O1429" i="627"/>
  <c r="P1429" i="627"/>
  <c r="Q1429" i="627"/>
  <c r="R1429" i="627"/>
  <c r="S1429" i="627"/>
  <c r="AC1429" i="627" s="1"/>
  <c r="M1430" i="627"/>
  <c r="N1430" i="627"/>
  <c r="O1430" i="627"/>
  <c r="P1430" i="627"/>
  <c r="Q1430" i="627"/>
  <c r="R1430" i="627"/>
  <c r="S1430" i="627"/>
  <c r="M1431" i="627"/>
  <c r="AC1431" i="627" s="1"/>
  <c r="N1431" i="627"/>
  <c r="O1431" i="627"/>
  <c r="P1431" i="627"/>
  <c r="Q1431" i="627"/>
  <c r="R1431" i="627"/>
  <c r="S1431" i="627"/>
  <c r="M1432" i="627"/>
  <c r="N1432" i="627"/>
  <c r="AC1432" i="627" s="1"/>
  <c r="O1432" i="627"/>
  <c r="P1432" i="627"/>
  <c r="Q1432" i="627"/>
  <c r="R1432" i="627"/>
  <c r="S1432" i="627"/>
  <c r="M1433" i="627"/>
  <c r="N1433" i="627"/>
  <c r="O1433" i="627"/>
  <c r="AC1433" i="627" s="1"/>
  <c r="P1433" i="627"/>
  <c r="Q1433" i="627"/>
  <c r="R1433" i="627"/>
  <c r="S1433" i="627"/>
  <c r="M1434" i="627"/>
  <c r="N1434" i="627"/>
  <c r="O1434" i="627"/>
  <c r="P1434" i="627"/>
  <c r="AC1434" i="627" s="1"/>
  <c r="Q1434" i="627"/>
  <c r="R1434" i="627"/>
  <c r="S1434" i="627"/>
  <c r="M1435" i="627"/>
  <c r="N1435" i="627"/>
  <c r="O1435" i="627"/>
  <c r="P1435" i="627"/>
  <c r="Q1435" i="627"/>
  <c r="AC1435" i="627" s="1"/>
  <c r="R1435" i="627"/>
  <c r="S1435" i="627"/>
  <c r="M1436" i="627"/>
  <c r="N1436" i="627"/>
  <c r="O1436" i="627"/>
  <c r="P1436" i="627"/>
  <c r="Q1436" i="627"/>
  <c r="R1436" i="627"/>
  <c r="AC1436" i="627" s="1"/>
  <c r="S1436" i="627"/>
  <c r="M1437" i="627"/>
  <c r="N1437" i="627"/>
  <c r="O1437" i="627"/>
  <c r="P1437" i="627"/>
  <c r="Q1437" i="627"/>
  <c r="R1437" i="627"/>
  <c r="S1437" i="627"/>
  <c r="AC1437" i="627" s="1"/>
  <c r="M1438" i="627"/>
  <c r="N1438" i="627"/>
  <c r="O1438" i="627"/>
  <c r="P1438" i="627"/>
  <c r="Q1438" i="627"/>
  <c r="R1438" i="627"/>
  <c r="S1438" i="627"/>
  <c r="M1439" i="627"/>
  <c r="AC1439" i="627" s="1"/>
  <c r="N1439" i="627"/>
  <c r="O1439" i="627"/>
  <c r="P1439" i="627"/>
  <c r="Q1439" i="627"/>
  <c r="R1439" i="627"/>
  <c r="S1439" i="627"/>
  <c r="M1440" i="627"/>
  <c r="N1440" i="627"/>
  <c r="AC1440" i="627" s="1"/>
  <c r="O1440" i="627"/>
  <c r="P1440" i="627"/>
  <c r="Q1440" i="627"/>
  <c r="R1440" i="627"/>
  <c r="S1440" i="627"/>
  <c r="M1441" i="627"/>
  <c r="N1441" i="627"/>
  <c r="O1441" i="627"/>
  <c r="AC1441" i="627" s="1"/>
  <c r="P1441" i="627"/>
  <c r="Q1441" i="627"/>
  <c r="R1441" i="627"/>
  <c r="S1441" i="627"/>
  <c r="M1442" i="627"/>
  <c r="N1442" i="627"/>
  <c r="O1442" i="627"/>
  <c r="P1442" i="627"/>
  <c r="AC1442" i="627" s="1"/>
  <c r="Q1442" i="627"/>
  <c r="R1442" i="627"/>
  <c r="S1442" i="627"/>
  <c r="M1443" i="627"/>
  <c r="N1443" i="627"/>
  <c r="O1443" i="627"/>
  <c r="P1443" i="627"/>
  <c r="Q1443" i="627"/>
  <c r="AC1443" i="627" s="1"/>
  <c r="R1443" i="627"/>
  <c r="S1443" i="627"/>
  <c r="M1444" i="627"/>
  <c r="N1444" i="627"/>
  <c r="O1444" i="627"/>
  <c r="P1444" i="627"/>
  <c r="Q1444" i="627"/>
  <c r="R1444" i="627"/>
  <c r="AC1444" i="627" s="1"/>
  <c r="S1444" i="627"/>
  <c r="M1445" i="627"/>
  <c r="N1445" i="627"/>
  <c r="O1445" i="627"/>
  <c r="P1445" i="627"/>
  <c r="Q1445" i="627"/>
  <c r="R1445" i="627"/>
  <c r="S1445" i="627"/>
  <c r="AC1445" i="627" s="1"/>
  <c r="M1446" i="627"/>
  <c r="N1446" i="627"/>
  <c r="O1446" i="627"/>
  <c r="P1446" i="627"/>
  <c r="Q1446" i="627"/>
  <c r="R1446" i="627"/>
  <c r="S1446" i="627"/>
  <c r="M1447" i="627"/>
  <c r="AC1447" i="627" s="1"/>
  <c r="N1447" i="627"/>
  <c r="O1447" i="627"/>
  <c r="P1447" i="627"/>
  <c r="Q1447" i="627"/>
  <c r="R1447" i="627"/>
  <c r="S1447" i="627"/>
  <c r="M1448" i="627"/>
  <c r="N1448" i="627"/>
  <c r="AC1448" i="627" s="1"/>
  <c r="O1448" i="627"/>
  <c r="P1448" i="627"/>
  <c r="Q1448" i="627"/>
  <c r="R1448" i="627"/>
  <c r="S1448" i="627"/>
  <c r="M1449" i="627"/>
  <c r="N1449" i="627"/>
  <c r="O1449" i="627"/>
  <c r="AC1449" i="627" s="1"/>
  <c r="P1449" i="627"/>
  <c r="Q1449" i="627"/>
  <c r="R1449" i="627"/>
  <c r="S1449" i="627"/>
  <c r="M1450" i="627"/>
  <c r="N1450" i="627"/>
  <c r="O1450" i="627"/>
  <c r="P1450" i="627"/>
  <c r="AC1450" i="627" s="1"/>
  <c r="Q1450" i="627"/>
  <c r="R1450" i="627"/>
  <c r="S1450" i="627"/>
  <c r="M1451" i="627"/>
  <c r="N1451" i="627"/>
  <c r="O1451" i="627"/>
  <c r="P1451" i="627"/>
  <c r="Q1451" i="627"/>
  <c r="AC1451" i="627" s="1"/>
  <c r="R1451" i="627"/>
  <c r="S1451" i="627"/>
  <c r="M1452" i="627"/>
  <c r="N1452" i="627"/>
  <c r="O1452" i="627"/>
  <c r="P1452" i="627"/>
  <c r="Q1452" i="627"/>
  <c r="R1452" i="627"/>
  <c r="AC1452" i="627" s="1"/>
  <c r="S1452" i="627"/>
  <c r="M1453" i="627"/>
  <c r="N1453" i="627"/>
  <c r="O1453" i="627"/>
  <c r="P1453" i="627"/>
  <c r="Q1453" i="627"/>
  <c r="R1453" i="627"/>
  <c r="S1453" i="627"/>
  <c r="AC1453" i="627" s="1"/>
  <c r="M1454" i="627"/>
  <c r="N1454" i="627"/>
  <c r="O1454" i="627"/>
  <c r="P1454" i="627"/>
  <c r="Q1454" i="627"/>
  <c r="R1454" i="627"/>
  <c r="S1454" i="627"/>
  <c r="M1455" i="627"/>
  <c r="AC1455" i="627" s="1"/>
  <c r="N1455" i="627"/>
  <c r="O1455" i="627"/>
  <c r="P1455" i="627"/>
  <c r="Q1455" i="627"/>
  <c r="R1455" i="627"/>
  <c r="S1455" i="627"/>
  <c r="M1456" i="627"/>
  <c r="N1456" i="627"/>
  <c r="AC1456" i="627" s="1"/>
  <c r="O1456" i="627"/>
  <c r="P1456" i="627"/>
  <c r="Q1456" i="627"/>
  <c r="R1456" i="627"/>
  <c r="S1456" i="627"/>
  <c r="M1457" i="627"/>
  <c r="N1457" i="627"/>
  <c r="O1457" i="627"/>
  <c r="AC1457" i="627" s="1"/>
  <c r="P1457" i="627"/>
  <c r="Q1457" i="627"/>
  <c r="R1457" i="627"/>
  <c r="S1457" i="627"/>
  <c r="M1458" i="627"/>
  <c r="N1458" i="627"/>
  <c r="O1458" i="627"/>
  <c r="P1458" i="627"/>
  <c r="AC1458" i="627" s="1"/>
  <c r="Q1458" i="627"/>
  <c r="R1458" i="627"/>
  <c r="S1458" i="627"/>
  <c r="M1459" i="627"/>
  <c r="N1459" i="627"/>
  <c r="O1459" i="627"/>
  <c r="P1459" i="627"/>
  <c r="Q1459" i="627"/>
  <c r="AC1459" i="627" s="1"/>
  <c r="R1459" i="627"/>
  <c r="S1459" i="627"/>
  <c r="M1460" i="627"/>
  <c r="N1460" i="627"/>
  <c r="O1460" i="627"/>
  <c r="P1460" i="627"/>
  <c r="Q1460" i="627"/>
  <c r="R1460" i="627"/>
  <c r="AC1460" i="627" s="1"/>
  <c r="S1460" i="627"/>
  <c r="M1461" i="627"/>
  <c r="N1461" i="627"/>
  <c r="O1461" i="627"/>
  <c r="P1461" i="627"/>
  <c r="Q1461" i="627"/>
  <c r="R1461" i="627"/>
  <c r="S1461" i="627"/>
  <c r="AC1461" i="627" s="1"/>
  <c r="M1462" i="627"/>
  <c r="N1462" i="627"/>
  <c r="O1462" i="627"/>
  <c r="P1462" i="627"/>
  <c r="Q1462" i="627"/>
  <c r="R1462" i="627"/>
  <c r="S1462" i="627"/>
  <c r="M1463" i="627"/>
  <c r="AC1463" i="627" s="1"/>
  <c r="N1463" i="627"/>
  <c r="O1463" i="627"/>
  <c r="P1463" i="627"/>
  <c r="Q1463" i="627"/>
  <c r="R1463" i="627"/>
  <c r="S1463" i="627"/>
  <c r="M1464" i="627"/>
  <c r="N1464" i="627"/>
  <c r="AC1464" i="627" s="1"/>
  <c r="O1464" i="627"/>
  <c r="P1464" i="627"/>
  <c r="Q1464" i="627"/>
  <c r="R1464" i="627"/>
  <c r="S1464" i="627"/>
  <c r="M1465" i="627"/>
  <c r="N1465" i="627"/>
  <c r="O1465" i="627"/>
  <c r="AC1465" i="627" s="1"/>
  <c r="P1465" i="627"/>
  <c r="Q1465" i="627"/>
  <c r="R1465" i="627"/>
  <c r="S1465" i="627"/>
  <c r="M1466" i="627"/>
  <c r="N1466" i="627"/>
  <c r="O1466" i="627"/>
  <c r="P1466" i="627"/>
  <c r="AC1466" i="627" s="1"/>
  <c r="Q1466" i="627"/>
  <c r="R1466" i="627"/>
  <c r="S1466" i="627"/>
  <c r="M1467" i="627"/>
  <c r="N1467" i="627"/>
  <c r="O1467" i="627"/>
  <c r="P1467" i="627"/>
  <c r="Q1467" i="627"/>
  <c r="AC1467" i="627" s="1"/>
  <c r="R1467" i="627"/>
  <c r="S1467" i="627"/>
  <c r="M1468" i="627"/>
  <c r="N1468" i="627"/>
  <c r="O1468" i="627"/>
  <c r="P1468" i="627"/>
  <c r="Q1468" i="627"/>
  <c r="R1468" i="627"/>
  <c r="AC1468" i="627" s="1"/>
  <c r="S1468" i="627"/>
  <c r="M1469" i="627"/>
  <c r="N1469" i="627"/>
  <c r="O1469" i="627"/>
  <c r="P1469" i="627"/>
  <c r="Q1469" i="627"/>
  <c r="R1469" i="627"/>
  <c r="S1469" i="627"/>
  <c r="AC1469" i="627" s="1"/>
  <c r="M1470" i="627"/>
  <c r="N1470" i="627"/>
  <c r="O1470" i="627"/>
  <c r="P1470" i="627"/>
  <c r="Q1470" i="627"/>
  <c r="R1470" i="627"/>
  <c r="S1470" i="627"/>
  <c r="M1471" i="627"/>
  <c r="AC1471" i="627" s="1"/>
  <c r="N1471" i="627"/>
  <c r="O1471" i="627"/>
  <c r="P1471" i="627"/>
  <c r="Q1471" i="627"/>
  <c r="R1471" i="627"/>
  <c r="S1471" i="627"/>
  <c r="M1472" i="627"/>
  <c r="N1472" i="627"/>
  <c r="AC1472" i="627" s="1"/>
  <c r="O1472" i="627"/>
  <c r="P1472" i="627"/>
  <c r="Q1472" i="627"/>
  <c r="R1472" i="627"/>
  <c r="S1472" i="627"/>
  <c r="M1473" i="627"/>
  <c r="N1473" i="627"/>
  <c r="O1473" i="627"/>
  <c r="AC1473" i="627" s="1"/>
  <c r="P1473" i="627"/>
  <c r="Q1473" i="627"/>
  <c r="R1473" i="627"/>
  <c r="S1473" i="627"/>
  <c r="M1474" i="627"/>
  <c r="N1474" i="627"/>
  <c r="O1474" i="627"/>
  <c r="P1474" i="627"/>
  <c r="AC1474" i="627" s="1"/>
  <c r="Q1474" i="627"/>
  <c r="R1474" i="627"/>
  <c r="S1474" i="627"/>
  <c r="M1475" i="627"/>
  <c r="N1475" i="627"/>
  <c r="O1475" i="627"/>
  <c r="P1475" i="627"/>
  <c r="Q1475" i="627"/>
  <c r="AC1475" i="627" s="1"/>
  <c r="R1475" i="627"/>
  <c r="S1475" i="627"/>
  <c r="M1476" i="627"/>
  <c r="N1476" i="627"/>
  <c r="O1476" i="627"/>
  <c r="P1476" i="627"/>
  <c r="Q1476" i="627"/>
  <c r="R1476" i="627"/>
  <c r="AC1476" i="627" s="1"/>
  <c r="S1476" i="627"/>
  <c r="M1477" i="627"/>
  <c r="N1477" i="627"/>
  <c r="O1477" i="627"/>
  <c r="P1477" i="627"/>
  <c r="Q1477" i="627"/>
  <c r="R1477" i="627"/>
  <c r="S1477" i="627"/>
  <c r="AC1477" i="627" s="1"/>
  <c r="M1478" i="627"/>
  <c r="N1478" i="627"/>
  <c r="O1478" i="627"/>
  <c r="P1478" i="627"/>
  <c r="Q1478" i="627"/>
  <c r="R1478" i="627"/>
  <c r="S1478" i="627"/>
  <c r="M1479" i="627"/>
  <c r="AC1479" i="627" s="1"/>
  <c r="N1479" i="627"/>
  <c r="O1479" i="627"/>
  <c r="P1479" i="627"/>
  <c r="Q1479" i="627"/>
  <c r="R1479" i="627"/>
  <c r="S1479" i="627"/>
  <c r="M1480" i="627"/>
  <c r="N1480" i="627"/>
  <c r="AC1480" i="627" s="1"/>
  <c r="O1480" i="627"/>
  <c r="P1480" i="627"/>
  <c r="Q1480" i="627"/>
  <c r="R1480" i="627"/>
  <c r="S1480" i="627"/>
  <c r="M1481" i="627"/>
  <c r="N1481" i="627"/>
  <c r="O1481" i="627"/>
  <c r="AC1481" i="627" s="1"/>
  <c r="P1481" i="627"/>
  <c r="Q1481" i="627"/>
  <c r="R1481" i="627"/>
  <c r="S1481" i="627"/>
  <c r="M1482" i="627"/>
  <c r="N1482" i="627"/>
  <c r="O1482" i="627"/>
  <c r="P1482" i="627"/>
  <c r="AC1482" i="627" s="1"/>
  <c r="Q1482" i="627"/>
  <c r="R1482" i="627"/>
  <c r="S1482" i="627"/>
  <c r="M1483" i="627"/>
  <c r="N1483" i="627"/>
  <c r="O1483" i="627"/>
  <c r="P1483" i="627"/>
  <c r="Q1483" i="627"/>
  <c r="AC1483" i="627" s="1"/>
  <c r="R1483" i="627"/>
  <c r="S1483" i="627"/>
  <c r="M1484" i="627"/>
  <c r="N1484" i="627"/>
  <c r="O1484" i="627"/>
  <c r="P1484" i="627"/>
  <c r="Q1484" i="627"/>
  <c r="R1484" i="627"/>
  <c r="AC1484" i="627" s="1"/>
  <c r="S1484" i="627"/>
  <c r="M1485" i="627"/>
  <c r="N1485" i="627"/>
  <c r="O1485" i="627"/>
  <c r="P1485" i="627"/>
  <c r="Q1485" i="627"/>
  <c r="R1485" i="627"/>
  <c r="S1485" i="627"/>
  <c r="AC1485" i="627" s="1"/>
  <c r="M1486" i="627"/>
  <c r="N1486" i="627"/>
  <c r="O1486" i="627"/>
  <c r="P1486" i="627"/>
  <c r="Q1486" i="627"/>
  <c r="R1486" i="627"/>
  <c r="S1486" i="627"/>
  <c r="M1487" i="627"/>
  <c r="AC1487" i="627" s="1"/>
  <c r="N1487" i="627"/>
  <c r="O1487" i="627"/>
  <c r="P1487" i="627"/>
  <c r="Q1487" i="627"/>
  <c r="R1487" i="627"/>
  <c r="S1487" i="627"/>
  <c r="M1488" i="627"/>
  <c r="N1488" i="627"/>
  <c r="AC1488" i="627" s="1"/>
  <c r="O1488" i="627"/>
  <c r="P1488" i="627"/>
  <c r="Q1488" i="627"/>
  <c r="R1488" i="627"/>
  <c r="S1488" i="627"/>
  <c r="M1489" i="627"/>
  <c r="N1489" i="627"/>
  <c r="O1489" i="627"/>
  <c r="AC1489" i="627" s="1"/>
  <c r="P1489" i="627"/>
  <c r="Q1489" i="627"/>
  <c r="R1489" i="627"/>
  <c r="S1489" i="627"/>
  <c r="M1490" i="627"/>
  <c r="N1490" i="627"/>
  <c r="O1490" i="627"/>
  <c r="P1490" i="627"/>
  <c r="AC1490" i="627" s="1"/>
  <c r="Q1490" i="627"/>
  <c r="R1490" i="627"/>
  <c r="S1490" i="627"/>
  <c r="M1491" i="627"/>
  <c r="N1491" i="627"/>
  <c r="O1491" i="627"/>
  <c r="P1491" i="627"/>
  <c r="Q1491" i="627"/>
  <c r="AC1491" i="627" s="1"/>
  <c r="R1491" i="627"/>
  <c r="S1491" i="627"/>
  <c r="M1492" i="627"/>
  <c r="N1492" i="627"/>
  <c r="O1492" i="627"/>
  <c r="P1492" i="627"/>
  <c r="Q1492" i="627"/>
  <c r="R1492" i="627"/>
  <c r="AC1492" i="627" s="1"/>
  <c r="S1492" i="627"/>
  <c r="M1493" i="627"/>
  <c r="N1493" i="627"/>
  <c r="O1493" i="627"/>
  <c r="P1493" i="627"/>
  <c r="Q1493" i="627"/>
  <c r="R1493" i="627"/>
  <c r="S1493" i="627"/>
  <c r="AC1493" i="627" s="1"/>
  <c r="M1494" i="627"/>
  <c r="N1494" i="627"/>
  <c r="O1494" i="627"/>
  <c r="P1494" i="627"/>
  <c r="Q1494" i="627"/>
  <c r="R1494" i="627"/>
  <c r="S1494" i="627"/>
  <c r="M1495" i="627"/>
  <c r="AC1495" i="627" s="1"/>
  <c r="N1495" i="627"/>
  <c r="O1495" i="627"/>
  <c r="P1495" i="627"/>
  <c r="Q1495" i="627"/>
  <c r="R1495" i="627"/>
  <c r="S1495" i="627"/>
  <c r="M1496" i="627"/>
  <c r="N1496" i="627"/>
  <c r="AC1496" i="627" s="1"/>
  <c r="O1496" i="627"/>
  <c r="P1496" i="627"/>
  <c r="Q1496" i="627"/>
  <c r="R1496" i="627"/>
  <c r="S1496" i="627"/>
  <c r="M1497" i="627"/>
  <c r="N1497" i="627"/>
  <c r="O1497" i="627"/>
  <c r="AC1497" i="627" s="1"/>
  <c r="P1497" i="627"/>
  <c r="Q1497" i="627"/>
  <c r="R1497" i="627"/>
  <c r="S1497" i="627"/>
  <c r="M1498" i="627"/>
  <c r="N1498" i="627"/>
  <c r="O1498" i="627"/>
  <c r="P1498" i="627"/>
  <c r="AC1498" i="627" s="1"/>
  <c r="Q1498" i="627"/>
  <c r="R1498" i="627"/>
  <c r="S1498" i="627"/>
  <c r="M1499" i="627"/>
  <c r="N1499" i="627"/>
  <c r="O1499" i="627"/>
  <c r="P1499" i="627"/>
  <c r="Q1499" i="627"/>
  <c r="AC1499" i="627" s="1"/>
  <c r="R1499" i="627"/>
  <c r="S1499" i="627"/>
  <c r="M1500" i="627"/>
  <c r="N1500" i="627"/>
  <c r="O1500" i="627"/>
  <c r="P1500" i="627"/>
  <c r="Q1500" i="627"/>
  <c r="R1500" i="627"/>
  <c r="AC1500" i="627" s="1"/>
  <c r="S1500" i="627"/>
  <c r="M1501" i="627"/>
  <c r="N1501" i="627"/>
  <c r="O1501" i="627"/>
  <c r="P1501" i="627"/>
  <c r="Q1501" i="627"/>
  <c r="R1501" i="627"/>
  <c r="S1501" i="627"/>
  <c r="AC1501" i="627" s="1"/>
  <c r="M1502" i="627"/>
  <c r="N1502" i="627"/>
  <c r="O1502" i="627"/>
  <c r="P1502" i="627"/>
  <c r="Q1502" i="627"/>
  <c r="R1502" i="627"/>
  <c r="S1502" i="627"/>
  <c r="M1503" i="627"/>
  <c r="AC1503" i="627" s="1"/>
  <c r="N1503" i="627"/>
  <c r="O1503" i="627"/>
  <c r="P1503" i="627"/>
  <c r="Q1503" i="627"/>
  <c r="R1503" i="627"/>
  <c r="S1503" i="627"/>
  <c r="M1504" i="627"/>
  <c r="N1504" i="627"/>
  <c r="AC1504" i="627" s="1"/>
  <c r="O1504" i="627"/>
  <c r="P1504" i="627"/>
  <c r="Q1504" i="627"/>
  <c r="R1504" i="627"/>
  <c r="S1504" i="627"/>
  <c r="M1505" i="627"/>
  <c r="N1505" i="627"/>
  <c r="O1505" i="627"/>
  <c r="AC1505" i="627" s="1"/>
  <c r="P1505" i="627"/>
  <c r="Q1505" i="627"/>
  <c r="R1505" i="627"/>
  <c r="S1505" i="627"/>
  <c r="M1506" i="627"/>
  <c r="N1506" i="627"/>
  <c r="O1506" i="627"/>
  <c r="P1506" i="627"/>
  <c r="AC1506" i="627" s="1"/>
  <c r="Q1506" i="627"/>
  <c r="R1506" i="627"/>
  <c r="S1506" i="627"/>
  <c r="M1507" i="627"/>
  <c r="N1507" i="627"/>
  <c r="O1507" i="627"/>
  <c r="P1507" i="627"/>
  <c r="Q1507" i="627"/>
  <c r="AC1507" i="627" s="1"/>
  <c r="R1507" i="627"/>
  <c r="S1507" i="627"/>
  <c r="M1508" i="627"/>
  <c r="N1508" i="627"/>
  <c r="O1508" i="627"/>
  <c r="P1508" i="627"/>
  <c r="Q1508" i="627"/>
  <c r="R1508" i="627"/>
  <c r="AC1508" i="627" s="1"/>
  <c r="S1508" i="627"/>
  <c r="M1509" i="627"/>
  <c r="N1509" i="627"/>
  <c r="O1509" i="627"/>
  <c r="P1509" i="627"/>
  <c r="Q1509" i="627"/>
  <c r="R1509" i="627"/>
  <c r="S1509" i="627"/>
  <c r="AC1509" i="627" s="1"/>
  <c r="M1510" i="627"/>
  <c r="N1510" i="627"/>
  <c r="O1510" i="627"/>
  <c r="P1510" i="627"/>
  <c r="Q1510" i="627"/>
  <c r="R1510" i="627"/>
  <c r="S1510" i="627"/>
  <c r="M1511" i="627"/>
  <c r="AC1511" i="627" s="1"/>
  <c r="N1511" i="627"/>
  <c r="O1511" i="627"/>
  <c r="P1511" i="627"/>
  <c r="Q1511" i="627"/>
  <c r="R1511" i="627"/>
  <c r="S1511" i="627"/>
  <c r="M1512" i="627"/>
  <c r="N1512" i="627"/>
  <c r="AC1512" i="627" s="1"/>
  <c r="O1512" i="627"/>
  <c r="P1512" i="627"/>
  <c r="Q1512" i="627"/>
  <c r="R1512" i="627"/>
  <c r="S1512" i="627"/>
  <c r="M1513" i="627"/>
  <c r="N1513" i="627"/>
  <c r="O1513" i="627"/>
  <c r="AC1513" i="627" s="1"/>
  <c r="P1513" i="627"/>
  <c r="Q1513" i="627"/>
  <c r="R1513" i="627"/>
  <c r="S1513" i="627"/>
  <c r="M1514" i="627"/>
  <c r="N1514" i="627"/>
  <c r="O1514" i="627"/>
  <c r="P1514" i="627"/>
  <c r="AC1514" i="627" s="1"/>
  <c r="Q1514" i="627"/>
  <c r="R1514" i="627"/>
  <c r="S1514" i="627"/>
  <c r="M1515" i="627"/>
  <c r="N1515" i="627"/>
  <c r="O1515" i="627"/>
  <c r="P1515" i="627"/>
  <c r="Q1515" i="627"/>
  <c r="AC1515" i="627" s="1"/>
  <c r="R1515" i="627"/>
  <c r="S1515" i="627"/>
  <c r="M1516" i="627"/>
  <c r="N1516" i="627"/>
  <c r="O1516" i="627"/>
  <c r="P1516" i="627"/>
  <c r="Q1516" i="627"/>
  <c r="R1516" i="627"/>
  <c r="AC1516" i="627" s="1"/>
  <c r="S1516" i="627"/>
  <c r="M1517" i="627"/>
  <c r="N1517" i="627"/>
  <c r="O1517" i="627"/>
  <c r="P1517" i="627"/>
  <c r="Q1517" i="627"/>
  <c r="R1517" i="627"/>
  <c r="S1517" i="627"/>
  <c r="AC1517" i="627" s="1"/>
  <c r="M1518" i="627"/>
  <c r="N1518" i="627"/>
  <c r="O1518" i="627"/>
  <c r="P1518" i="627"/>
  <c r="Q1518" i="627"/>
  <c r="R1518" i="627"/>
  <c r="S1518" i="627"/>
  <c r="M1519" i="627"/>
  <c r="AC1519" i="627" s="1"/>
  <c r="N1519" i="627"/>
  <c r="O1519" i="627"/>
  <c r="P1519" i="627"/>
  <c r="Q1519" i="627"/>
  <c r="R1519" i="627"/>
  <c r="S1519" i="627"/>
  <c r="M1520" i="627"/>
  <c r="N1520" i="627"/>
  <c r="AC1520" i="627" s="1"/>
  <c r="O1520" i="627"/>
  <c r="P1520" i="627"/>
  <c r="Q1520" i="627"/>
  <c r="R1520" i="627"/>
  <c r="S1520" i="627"/>
  <c r="M1521" i="627"/>
  <c r="N1521" i="627"/>
  <c r="O1521" i="627"/>
  <c r="AC1521" i="627" s="1"/>
  <c r="P1521" i="627"/>
  <c r="Q1521" i="627"/>
  <c r="R1521" i="627"/>
  <c r="S1521" i="627"/>
  <c r="M1522" i="627"/>
  <c r="N1522" i="627"/>
  <c r="O1522" i="627"/>
  <c r="P1522" i="627"/>
  <c r="AC1522" i="627" s="1"/>
  <c r="Q1522" i="627"/>
  <c r="R1522" i="627"/>
  <c r="S1522" i="627"/>
  <c r="M1523" i="627"/>
  <c r="N1523" i="627"/>
  <c r="O1523" i="627"/>
  <c r="P1523" i="627"/>
  <c r="Q1523" i="627"/>
  <c r="AC1523" i="627" s="1"/>
  <c r="R1523" i="627"/>
  <c r="S1523" i="627"/>
  <c r="M1524" i="627"/>
  <c r="N1524" i="627"/>
  <c r="O1524" i="627"/>
  <c r="P1524" i="627"/>
  <c r="Q1524" i="627"/>
  <c r="R1524" i="627"/>
  <c r="AC1524" i="627" s="1"/>
  <c r="S1524" i="627"/>
  <c r="M1525" i="627"/>
  <c r="N1525" i="627"/>
  <c r="O1525" i="627"/>
  <c r="P1525" i="627"/>
  <c r="Q1525" i="627"/>
  <c r="R1525" i="627"/>
  <c r="S1525" i="627"/>
  <c r="AC1525" i="627" s="1"/>
  <c r="M1526" i="627"/>
  <c r="N1526" i="627"/>
  <c r="O1526" i="627"/>
  <c r="P1526" i="627"/>
  <c r="Q1526" i="627"/>
  <c r="R1526" i="627"/>
  <c r="S1526" i="627"/>
  <c r="M1527" i="627"/>
  <c r="AC1527" i="627" s="1"/>
  <c r="N1527" i="627"/>
  <c r="O1527" i="627"/>
  <c r="P1527" i="627"/>
  <c r="Q1527" i="627"/>
  <c r="R1527" i="627"/>
  <c r="S1527" i="627"/>
  <c r="M1528" i="627"/>
  <c r="N1528" i="627"/>
  <c r="AC1528" i="627" s="1"/>
  <c r="O1528" i="627"/>
  <c r="P1528" i="627"/>
  <c r="Q1528" i="627"/>
  <c r="R1528" i="627"/>
  <c r="S1528" i="627"/>
  <c r="M1529" i="627"/>
  <c r="N1529" i="627"/>
  <c r="O1529" i="627"/>
  <c r="AC1529" i="627" s="1"/>
  <c r="P1529" i="627"/>
  <c r="Q1529" i="627"/>
  <c r="R1529" i="627"/>
  <c r="S1529" i="627"/>
  <c r="M1530" i="627"/>
  <c r="N1530" i="627"/>
  <c r="O1530" i="627"/>
  <c r="P1530" i="627"/>
  <c r="AC1530" i="627" s="1"/>
  <c r="Q1530" i="627"/>
  <c r="R1530" i="627"/>
  <c r="S1530" i="627"/>
  <c r="M1531" i="627"/>
  <c r="N1531" i="627"/>
  <c r="O1531" i="627"/>
  <c r="P1531" i="627"/>
  <c r="Q1531" i="627"/>
  <c r="AC1531" i="627" s="1"/>
  <c r="R1531" i="627"/>
  <c r="S1531" i="627"/>
  <c r="M1532" i="627"/>
  <c r="N1532" i="627"/>
  <c r="O1532" i="627"/>
  <c r="P1532" i="627"/>
  <c r="Q1532" i="627"/>
  <c r="R1532" i="627"/>
  <c r="AC1532" i="627" s="1"/>
  <c r="S1532" i="627"/>
  <c r="M1533" i="627"/>
  <c r="N1533" i="627"/>
  <c r="O1533" i="627"/>
  <c r="P1533" i="627"/>
  <c r="Q1533" i="627"/>
  <c r="R1533" i="627"/>
  <c r="S1533" i="627"/>
  <c r="AC1533" i="627" s="1"/>
  <c r="M1534" i="627"/>
  <c r="N1534" i="627"/>
  <c r="O1534" i="627"/>
  <c r="P1534" i="627"/>
  <c r="Q1534" i="627"/>
  <c r="R1534" i="627"/>
  <c r="S1534" i="627"/>
  <c r="M1535" i="627"/>
  <c r="AC1535" i="627" s="1"/>
  <c r="N1535" i="627"/>
  <c r="O1535" i="627"/>
  <c r="P1535" i="627"/>
  <c r="Q1535" i="627"/>
  <c r="R1535" i="627"/>
  <c r="S1535" i="627"/>
  <c r="M1536" i="627"/>
  <c r="N1536" i="627"/>
  <c r="AC1536" i="627" s="1"/>
  <c r="O1536" i="627"/>
  <c r="P1536" i="627"/>
  <c r="Q1536" i="627"/>
  <c r="R1536" i="627"/>
  <c r="S1536" i="627"/>
  <c r="M1537" i="627"/>
  <c r="N1537" i="627"/>
  <c r="O1537" i="627"/>
  <c r="AC1537" i="627" s="1"/>
  <c r="P1537" i="627"/>
  <c r="Q1537" i="627"/>
  <c r="R1537" i="627"/>
  <c r="S1537" i="627"/>
  <c r="M1538" i="627"/>
  <c r="N1538" i="627"/>
  <c r="O1538" i="627"/>
  <c r="P1538" i="627"/>
  <c r="AC1538" i="627" s="1"/>
  <c r="Q1538" i="627"/>
  <c r="R1538" i="627"/>
  <c r="S1538" i="627"/>
  <c r="M1539" i="627"/>
  <c r="N1539" i="627"/>
  <c r="O1539" i="627"/>
  <c r="P1539" i="627"/>
  <c r="Q1539" i="627"/>
  <c r="AC1539" i="627" s="1"/>
  <c r="R1539" i="627"/>
  <c r="S1539" i="627"/>
  <c r="M1540" i="627"/>
  <c r="N1540" i="627"/>
  <c r="O1540" i="627"/>
  <c r="P1540" i="627"/>
  <c r="Q1540" i="627"/>
  <c r="R1540" i="627"/>
  <c r="AC1540" i="627" s="1"/>
  <c r="S1540" i="627"/>
  <c r="M1541" i="627"/>
  <c r="N1541" i="627"/>
  <c r="O1541" i="627"/>
  <c r="P1541" i="627"/>
  <c r="Q1541" i="627"/>
  <c r="R1541" i="627"/>
  <c r="S1541" i="627"/>
  <c r="AC1541" i="627" s="1"/>
  <c r="M1542" i="627"/>
  <c r="N1542" i="627"/>
  <c r="O1542" i="627"/>
  <c r="P1542" i="627"/>
  <c r="Q1542" i="627"/>
  <c r="R1542" i="627"/>
  <c r="S1542" i="627"/>
  <c r="M1543" i="627"/>
  <c r="AC1543" i="627" s="1"/>
  <c r="N1543" i="627"/>
  <c r="O1543" i="627"/>
  <c r="P1543" i="627"/>
  <c r="Q1543" i="627"/>
  <c r="R1543" i="627"/>
  <c r="S1543" i="627"/>
  <c r="M1544" i="627"/>
  <c r="N1544" i="627"/>
  <c r="AC1544" i="627" s="1"/>
  <c r="O1544" i="627"/>
  <c r="P1544" i="627"/>
  <c r="Q1544" i="627"/>
  <c r="R1544" i="627"/>
  <c r="S1544" i="627"/>
  <c r="M1545" i="627"/>
  <c r="N1545" i="627"/>
  <c r="O1545" i="627"/>
  <c r="AC1545" i="627" s="1"/>
  <c r="P1545" i="627"/>
  <c r="Q1545" i="627"/>
  <c r="R1545" i="627"/>
  <c r="S1545" i="627"/>
  <c r="M1546" i="627"/>
  <c r="N1546" i="627"/>
  <c r="O1546" i="627"/>
  <c r="P1546" i="627"/>
  <c r="AC1546" i="627" s="1"/>
  <c r="Q1546" i="627"/>
  <c r="R1546" i="627"/>
  <c r="S1546" i="627"/>
  <c r="M1547" i="627"/>
  <c r="N1547" i="627"/>
  <c r="O1547" i="627"/>
  <c r="P1547" i="627"/>
  <c r="Q1547" i="627"/>
  <c r="AC1547" i="627" s="1"/>
  <c r="R1547" i="627"/>
  <c r="S1547" i="627"/>
  <c r="M1548" i="627"/>
  <c r="N1548" i="627"/>
  <c r="O1548" i="627"/>
  <c r="P1548" i="627"/>
  <c r="Q1548" i="627"/>
  <c r="R1548" i="627"/>
  <c r="AC1548" i="627" s="1"/>
  <c r="S1548" i="627"/>
  <c r="M1549" i="627"/>
  <c r="N1549" i="627"/>
  <c r="O1549" i="627"/>
  <c r="P1549" i="627"/>
  <c r="Q1549" i="627"/>
  <c r="R1549" i="627"/>
  <c r="S1549" i="627"/>
  <c r="AC1549" i="627" s="1"/>
  <c r="M1550" i="627"/>
  <c r="N1550" i="627"/>
  <c r="O1550" i="627"/>
  <c r="P1550" i="627"/>
  <c r="Q1550" i="627"/>
  <c r="R1550" i="627"/>
  <c r="S1550" i="627"/>
  <c r="M1551" i="627"/>
  <c r="AC1551" i="627" s="1"/>
  <c r="N1551" i="627"/>
  <c r="O1551" i="627"/>
  <c r="P1551" i="627"/>
  <c r="Q1551" i="627"/>
  <c r="R1551" i="627"/>
  <c r="S1551" i="627"/>
  <c r="M1552" i="627"/>
  <c r="N1552" i="627"/>
  <c r="AC1552" i="627" s="1"/>
  <c r="O1552" i="627"/>
  <c r="P1552" i="627"/>
  <c r="Q1552" i="627"/>
  <c r="R1552" i="627"/>
  <c r="S1552" i="627"/>
  <c r="M1553" i="627"/>
  <c r="N1553" i="627"/>
  <c r="O1553" i="627"/>
  <c r="AC1553" i="627" s="1"/>
  <c r="P1553" i="627"/>
  <c r="Q1553" i="627"/>
  <c r="R1553" i="627"/>
  <c r="S1553" i="627"/>
  <c r="M1554" i="627"/>
  <c r="N1554" i="627"/>
  <c r="O1554" i="627"/>
  <c r="P1554" i="627"/>
  <c r="AC1554" i="627" s="1"/>
  <c r="Q1554" i="627"/>
  <c r="R1554" i="627"/>
  <c r="S1554" i="627"/>
  <c r="M1555" i="627"/>
  <c r="N1555" i="627"/>
  <c r="O1555" i="627"/>
  <c r="P1555" i="627"/>
  <c r="Q1555" i="627"/>
  <c r="AC1555" i="627" s="1"/>
  <c r="R1555" i="627"/>
  <c r="S1555" i="627"/>
  <c r="M1556" i="627"/>
  <c r="N1556" i="627"/>
  <c r="O1556" i="627"/>
  <c r="P1556" i="627"/>
  <c r="Q1556" i="627"/>
  <c r="R1556" i="627"/>
  <c r="AC1556" i="627" s="1"/>
  <c r="S1556" i="627"/>
  <c r="M1557" i="627"/>
  <c r="N1557" i="627"/>
  <c r="O1557" i="627"/>
  <c r="P1557" i="627"/>
  <c r="Q1557" i="627"/>
  <c r="R1557" i="627"/>
  <c r="S1557" i="627"/>
  <c r="AC1557" i="627" s="1"/>
  <c r="M1558" i="627"/>
  <c r="N1558" i="627"/>
  <c r="O1558" i="627"/>
  <c r="P1558" i="627"/>
  <c r="Q1558" i="627"/>
  <c r="R1558" i="627"/>
  <c r="S1558" i="627"/>
  <c r="M1559" i="627"/>
  <c r="AC1559" i="627" s="1"/>
  <c r="N1559" i="627"/>
  <c r="O1559" i="627"/>
  <c r="P1559" i="627"/>
  <c r="Q1559" i="627"/>
  <c r="R1559" i="627"/>
  <c r="S1559" i="627"/>
  <c r="M1560" i="627"/>
  <c r="N1560" i="627"/>
  <c r="AC1560" i="627" s="1"/>
  <c r="O1560" i="627"/>
  <c r="P1560" i="627"/>
  <c r="Q1560" i="627"/>
  <c r="R1560" i="627"/>
  <c r="S1560" i="627"/>
  <c r="M1561" i="627"/>
  <c r="N1561" i="627"/>
  <c r="O1561" i="627"/>
  <c r="AC1561" i="627" s="1"/>
  <c r="P1561" i="627"/>
  <c r="Q1561" i="627"/>
  <c r="R1561" i="627"/>
  <c r="S1561" i="627"/>
  <c r="M1562" i="627"/>
  <c r="N1562" i="627"/>
  <c r="O1562" i="627"/>
  <c r="P1562" i="627"/>
  <c r="AC1562" i="627" s="1"/>
  <c r="Q1562" i="627"/>
  <c r="R1562" i="627"/>
  <c r="S1562" i="627"/>
  <c r="M1563" i="627"/>
  <c r="N1563" i="627"/>
  <c r="O1563" i="627"/>
  <c r="P1563" i="627"/>
  <c r="Q1563" i="627"/>
  <c r="AC1563" i="627" s="1"/>
  <c r="R1563" i="627"/>
  <c r="S1563" i="627"/>
  <c r="M1564" i="627"/>
  <c r="N1564" i="627"/>
  <c r="O1564" i="627"/>
  <c r="P1564" i="627"/>
  <c r="Q1564" i="627"/>
  <c r="R1564" i="627"/>
  <c r="AC1564" i="627" s="1"/>
  <c r="S1564" i="627"/>
  <c r="M1565" i="627"/>
  <c r="N1565" i="627"/>
  <c r="O1565" i="627"/>
  <c r="P1565" i="627"/>
  <c r="Q1565" i="627"/>
  <c r="R1565" i="627"/>
  <c r="S1565" i="627"/>
  <c r="AC1565" i="627" s="1"/>
  <c r="M1566" i="627"/>
  <c r="N1566" i="627"/>
  <c r="O1566" i="627"/>
  <c r="P1566" i="627"/>
  <c r="Q1566" i="627"/>
  <c r="R1566" i="627"/>
  <c r="S1566" i="627"/>
  <c r="M1567" i="627"/>
  <c r="AC1567" i="627" s="1"/>
  <c r="N1567" i="627"/>
  <c r="O1567" i="627"/>
  <c r="P1567" i="627"/>
  <c r="Q1567" i="627"/>
  <c r="R1567" i="627"/>
  <c r="S1567" i="627"/>
  <c r="M1568" i="627"/>
  <c r="N1568" i="627"/>
  <c r="AC1568" i="627" s="1"/>
  <c r="O1568" i="627"/>
  <c r="P1568" i="627"/>
  <c r="Q1568" i="627"/>
  <c r="R1568" i="627"/>
  <c r="S1568" i="627"/>
  <c r="M1569" i="627"/>
  <c r="N1569" i="627"/>
  <c r="O1569" i="627"/>
  <c r="AC1569" i="627" s="1"/>
  <c r="P1569" i="627"/>
  <c r="Q1569" i="627"/>
  <c r="R1569" i="627"/>
  <c r="S1569" i="627"/>
  <c r="M1570" i="627"/>
  <c r="N1570" i="627"/>
  <c r="O1570" i="627"/>
  <c r="P1570" i="627"/>
  <c r="AC1570" i="627" s="1"/>
  <c r="Q1570" i="627"/>
  <c r="R1570" i="627"/>
  <c r="S1570" i="627"/>
  <c r="M1571" i="627"/>
  <c r="N1571" i="627"/>
  <c r="O1571" i="627"/>
  <c r="P1571" i="627"/>
  <c r="Q1571" i="627"/>
  <c r="AC1571" i="627" s="1"/>
  <c r="R1571" i="627"/>
  <c r="S1571" i="627"/>
  <c r="M1572" i="627"/>
  <c r="N1572" i="627"/>
  <c r="O1572" i="627"/>
  <c r="P1572" i="627"/>
  <c r="Q1572" i="627"/>
  <c r="R1572" i="627"/>
  <c r="AC1572" i="627" s="1"/>
  <c r="S1572" i="627"/>
  <c r="M1573" i="627"/>
  <c r="N1573" i="627"/>
  <c r="O1573" i="627"/>
  <c r="P1573" i="627"/>
  <c r="Q1573" i="627"/>
  <c r="R1573" i="627"/>
  <c r="S1573" i="627"/>
  <c r="AC1573" i="627" s="1"/>
  <c r="M1574" i="627"/>
  <c r="N1574" i="627"/>
  <c r="O1574" i="627"/>
  <c r="P1574" i="627"/>
  <c r="Q1574" i="627"/>
  <c r="R1574" i="627"/>
  <c r="S1574" i="627"/>
  <c r="M1575" i="627"/>
  <c r="AC1575" i="627" s="1"/>
  <c r="N1575" i="627"/>
  <c r="O1575" i="627"/>
  <c r="P1575" i="627"/>
  <c r="Q1575" i="627"/>
  <c r="R1575" i="627"/>
  <c r="S1575" i="627"/>
  <c r="M1576" i="627"/>
  <c r="N1576" i="627"/>
  <c r="AC1576" i="627" s="1"/>
  <c r="O1576" i="627"/>
  <c r="P1576" i="627"/>
  <c r="Q1576" i="627"/>
  <c r="R1576" i="627"/>
  <c r="S1576" i="627"/>
  <c r="M1577" i="627"/>
  <c r="N1577" i="627"/>
  <c r="O1577" i="627"/>
  <c r="AC1577" i="627" s="1"/>
  <c r="P1577" i="627"/>
  <c r="Q1577" i="627"/>
  <c r="R1577" i="627"/>
  <c r="S1577" i="627"/>
  <c r="M1578" i="627"/>
  <c r="N1578" i="627"/>
  <c r="O1578" i="627"/>
  <c r="P1578" i="627"/>
  <c r="AC1578" i="627" s="1"/>
  <c r="Q1578" i="627"/>
  <c r="R1578" i="627"/>
  <c r="S1578" i="627"/>
  <c r="M1579" i="627"/>
  <c r="N1579" i="627"/>
  <c r="O1579" i="627"/>
  <c r="P1579" i="627"/>
  <c r="Q1579" i="627"/>
  <c r="AC1579" i="627" s="1"/>
  <c r="R1579" i="627"/>
  <c r="S1579" i="627"/>
  <c r="M1580" i="627"/>
  <c r="N1580" i="627"/>
  <c r="O1580" i="627"/>
  <c r="P1580" i="627"/>
  <c r="Q1580" i="627"/>
  <c r="R1580" i="627"/>
  <c r="AC1580" i="627" s="1"/>
  <c r="S1580" i="627"/>
  <c r="M1581" i="627"/>
  <c r="N1581" i="627"/>
  <c r="O1581" i="627"/>
  <c r="P1581" i="627"/>
  <c r="Q1581" i="627"/>
  <c r="R1581" i="627"/>
  <c r="S1581" i="627"/>
  <c r="AC1581" i="627" s="1"/>
  <c r="M1582" i="627"/>
  <c r="N1582" i="627"/>
  <c r="O1582" i="627"/>
  <c r="P1582" i="627"/>
  <c r="Q1582" i="627"/>
  <c r="R1582" i="627"/>
  <c r="S1582" i="627"/>
  <c r="M1583" i="627"/>
  <c r="AC1583" i="627" s="1"/>
  <c r="N1583" i="627"/>
  <c r="O1583" i="627"/>
  <c r="P1583" i="627"/>
  <c r="Q1583" i="627"/>
  <c r="R1583" i="627"/>
  <c r="S1583" i="627"/>
  <c r="M1584" i="627"/>
  <c r="N1584" i="627"/>
  <c r="AC1584" i="627" s="1"/>
  <c r="O1584" i="627"/>
  <c r="P1584" i="627"/>
  <c r="Q1584" i="627"/>
  <c r="R1584" i="627"/>
  <c r="S1584" i="627"/>
  <c r="M1585" i="627"/>
  <c r="N1585" i="627"/>
  <c r="O1585" i="627"/>
  <c r="AC1585" i="627" s="1"/>
  <c r="P1585" i="627"/>
  <c r="Q1585" i="627"/>
  <c r="R1585" i="627"/>
  <c r="S1585" i="627"/>
  <c r="M1586" i="627"/>
  <c r="N1586" i="627"/>
  <c r="O1586" i="627"/>
  <c r="P1586" i="627"/>
  <c r="AC1586" i="627" s="1"/>
  <c r="Q1586" i="627"/>
  <c r="R1586" i="627"/>
  <c r="S1586" i="627"/>
  <c r="M1587" i="627"/>
  <c r="N1587" i="627"/>
  <c r="O1587" i="627"/>
  <c r="P1587" i="627"/>
  <c r="Q1587" i="627"/>
  <c r="AC1587" i="627" s="1"/>
  <c r="R1587" i="627"/>
  <c r="S1587" i="627"/>
  <c r="M1588" i="627"/>
  <c r="N1588" i="627"/>
  <c r="O1588" i="627"/>
  <c r="P1588" i="627"/>
  <c r="Q1588" i="627"/>
  <c r="R1588" i="627"/>
  <c r="AC1588" i="627" s="1"/>
  <c r="S1588" i="627"/>
  <c r="M1589" i="627"/>
  <c r="N1589" i="627"/>
  <c r="O1589" i="627"/>
  <c r="P1589" i="627"/>
  <c r="Q1589" i="627"/>
  <c r="R1589" i="627"/>
  <c r="S1589" i="627"/>
  <c r="AC1589" i="627" s="1"/>
  <c r="M1590" i="627"/>
  <c r="N1590" i="627"/>
  <c r="O1590" i="627"/>
  <c r="P1590" i="627"/>
  <c r="Q1590" i="627"/>
  <c r="R1590" i="627"/>
  <c r="S1590" i="627"/>
  <c r="M1591" i="627"/>
  <c r="AC1591" i="627" s="1"/>
  <c r="N1591" i="627"/>
  <c r="O1591" i="627"/>
  <c r="P1591" i="627"/>
  <c r="Q1591" i="627"/>
  <c r="R1591" i="627"/>
  <c r="S1591" i="627"/>
  <c r="M1592" i="627"/>
  <c r="N1592" i="627"/>
  <c r="AC1592" i="627" s="1"/>
  <c r="O1592" i="627"/>
  <c r="P1592" i="627"/>
  <c r="Q1592" i="627"/>
  <c r="R1592" i="627"/>
  <c r="S1592" i="627"/>
  <c r="M1593" i="627"/>
  <c r="N1593" i="627"/>
  <c r="O1593" i="627"/>
  <c r="AC1593" i="627" s="1"/>
  <c r="P1593" i="627"/>
  <c r="Q1593" i="627"/>
  <c r="R1593" i="627"/>
  <c r="S1593" i="627"/>
  <c r="M1594" i="627"/>
  <c r="N1594" i="627"/>
  <c r="O1594" i="627"/>
  <c r="P1594" i="627"/>
  <c r="AC1594" i="627" s="1"/>
  <c r="Q1594" i="627"/>
  <c r="R1594" i="627"/>
  <c r="S1594" i="627"/>
  <c r="M1595" i="627"/>
  <c r="N1595" i="627"/>
  <c r="O1595" i="627"/>
  <c r="P1595" i="627"/>
  <c r="Q1595" i="627"/>
  <c r="AC1595" i="627" s="1"/>
  <c r="R1595" i="627"/>
  <c r="S1595" i="627"/>
  <c r="M1596" i="627"/>
  <c r="N1596" i="627"/>
  <c r="O1596" i="627"/>
  <c r="P1596" i="627"/>
  <c r="Q1596" i="627"/>
  <c r="R1596" i="627"/>
  <c r="AC1596" i="627" s="1"/>
  <c r="S1596" i="627"/>
  <c r="M1597" i="627"/>
  <c r="N1597" i="627"/>
  <c r="O1597" i="627"/>
  <c r="P1597" i="627"/>
  <c r="Q1597" i="627"/>
  <c r="R1597" i="627"/>
  <c r="S1597" i="627"/>
  <c r="AC1597" i="627" s="1"/>
  <c r="M1598" i="627"/>
  <c r="N1598" i="627"/>
  <c r="O1598" i="627"/>
  <c r="P1598" i="627"/>
  <c r="Q1598" i="627"/>
  <c r="R1598" i="627"/>
  <c r="S1598" i="627"/>
  <c r="M1599" i="627"/>
  <c r="AC1599" i="627" s="1"/>
  <c r="N1599" i="627"/>
  <c r="O1599" i="627"/>
  <c r="P1599" i="627"/>
  <c r="Q1599" i="627"/>
  <c r="R1599" i="627"/>
  <c r="S1599" i="627"/>
  <c r="M1600" i="627"/>
  <c r="N1600" i="627"/>
  <c r="AC1600" i="627" s="1"/>
  <c r="O1600" i="627"/>
  <c r="P1600" i="627"/>
  <c r="Q1600" i="627"/>
  <c r="R1600" i="627"/>
  <c r="S1600" i="627"/>
  <c r="M1601" i="627"/>
  <c r="N1601" i="627"/>
  <c r="O1601" i="627"/>
  <c r="AC1601" i="627" s="1"/>
  <c r="P1601" i="627"/>
  <c r="Q1601" i="627"/>
  <c r="R1601" i="627"/>
  <c r="S1601" i="627"/>
  <c r="M1602" i="627"/>
  <c r="N1602" i="627"/>
  <c r="O1602" i="627"/>
  <c r="P1602" i="627"/>
  <c r="AC1602" i="627" s="1"/>
  <c r="Q1602" i="627"/>
  <c r="R1602" i="627"/>
  <c r="S1602" i="627"/>
  <c r="M1603" i="627"/>
  <c r="N1603" i="627"/>
  <c r="O1603" i="627"/>
  <c r="P1603" i="627"/>
  <c r="Q1603" i="627"/>
  <c r="AC1603" i="627" s="1"/>
  <c r="R1603" i="627"/>
  <c r="S1603" i="627"/>
  <c r="M1604" i="627"/>
  <c r="N1604" i="627"/>
  <c r="O1604" i="627"/>
  <c r="P1604" i="627"/>
  <c r="Q1604" i="627"/>
  <c r="R1604" i="627"/>
  <c r="AC1604" i="627" s="1"/>
  <c r="S1604" i="627"/>
  <c r="M1605" i="627"/>
  <c r="N1605" i="627"/>
  <c r="O1605" i="627"/>
  <c r="P1605" i="627"/>
  <c r="Q1605" i="627"/>
  <c r="R1605" i="627"/>
  <c r="S1605" i="627"/>
  <c r="AC1605" i="627" s="1"/>
  <c r="M1606" i="627"/>
  <c r="N1606" i="627"/>
  <c r="O1606" i="627"/>
  <c r="P1606" i="627"/>
  <c r="Q1606" i="627"/>
  <c r="R1606" i="627"/>
  <c r="S1606" i="627"/>
  <c r="M1607" i="627"/>
  <c r="AC1607" i="627" s="1"/>
  <c r="N1607" i="627"/>
  <c r="O1607" i="627"/>
  <c r="P1607" i="627"/>
  <c r="Q1607" i="627"/>
  <c r="R1607" i="627"/>
  <c r="S1607" i="627"/>
  <c r="M1608" i="627"/>
  <c r="N1608" i="627"/>
  <c r="AC1608" i="627" s="1"/>
  <c r="O1608" i="627"/>
  <c r="P1608" i="627"/>
  <c r="Q1608" i="627"/>
  <c r="R1608" i="627"/>
  <c r="S1608" i="627"/>
  <c r="M1609" i="627"/>
  <c r="N1609" i="627"/>
  <c r="O1609" i="627"/>
  <c r="AC1609" i="627" s="1"/>
  <c r="P1609" i="627"/>
  <c r="Q1609" i="627"/>
  <c r="R1609" i="627"/>
  <c r="S1609" i="627"/>
  <c r="M1610" i="627"/>
  <c r="N1610" i="627"/>
  <c r="O1610" i="627"/>
  <c r="P1610" i="627"/>
  <c r="AC1610" i="627" s="1"/>
  <c r="Q1610" i="627"/>
  <c r="R1610" i="627"/>
  <c r="S1610" i="627"/>
  <c r="M1611" i="627"/>
  <c r="N1611" i="627"/>
  <c r="O1611" i="627"/>
  <c r="P1611" i="627"/>
  <c r="Q1611" i="627"/>
  <c r="AC1611" i="627" s="1"/>
  <c r="R1611" i="627"/>
  <c r="S1611" i="627"/>
  <c r="M1612" i="627"/>
  <c r="N1612" i="627"/>
  <c r="O1612" i="627"/>
  <c r="P1612" i="627"/>
  <c r="Q1612" i="627"/>
  <c r="R1612" i="627"/>
  <c r="AC1612" i="627" s="1"/>
  <c r="S1612" i="627"/>
  <c r="M1613" i="627"/>
  <c r="N1613" i="627"/>
  <c r="O1613" i="627"/>
  <c r="P1613" i="627"/>
  <c r="Q1613" i="627"/>
  <c r="R1613" i="627"/>
  <c r="S1613" i="627"/>
  <c r="AC1613" i="627" s="1"/>
  <c r="M1614" i="627"/>
  <c r="N1614" i="627"/>
  <c r="O1614" i="627"/>
  <c r="P1614" i="627"/>
  <c r="Q1614" i="627"/>
  <c r="R1614" i="627"/>
  <c r="S1614" i="627"/>
  <c r="M1615" i="627"/>
  <c r="AC1615" i="627" s="1"/>
  <c r="N1615" i="627"/>
  <c r="O1615" i="627"/>
  <c r="P1615" i="627"/>
  <c r="Q1615" i="627"/>
  <c r="R1615" i="627"/>
  <c r="S1615" i="627"/>
  <c r="M1616" i="627"/>
  <c r="N1616" i="627"/>
  <c r="AC1616" i="627" s="1"/>
  <c r="O1616" i="627"/>
  <c r="P1616" i="627"/>
  <c r="Q1616" i="627"/>
  <c r="R1616" i="627"/>
  <c r="S1616" i="627"/>
  <c r="M1617" i="627"/>
  <c r="N1617" i="627"/>
  <c r="O1617" i="627"/>
  <c r="AC1617" i="627" s="1"/>
  <c r="P1617" i="627"/>
  <c r="Q1617" i="627"/>
  <c r="R1617" i="627"/>
  <c r="S1617" i="627"/>
  <c r="M1618" i="627"/>
  <c r="N1618" i="627"/>
  <c r="O1618" i="627"/>
  <c r="P1618" i="627"/>
  <c r="AC1618" i="627" s="1"/>
  <c r="Q1618" i="627"/>
  <c r="R1618" i="627"/>
  <c r="S1618" i="627"/>
  <c r="M1619" i="627"/>
  <c r="N1619" i="627"/>
  <c r="O1619" i="627"/>
  <c r="P1619" i="627"/>
  <c r="Q1619" i="627"/>
  <c r="AC1619" i="627" s="1"/>
  <c r="R1619" i="627"/>
  <c r="S1619" i="627"/>
  <c r="M1620" i="627"/>
  <c r="N1620" i="627"/>
  <c r="O1620" i="627"/>
  <c r="P1620" i="627"/>
  <c r="Q1620" i="627"/>
  <c r="R1620" i="627"/>
  <c r="AC1620" i="627" s="1"/>
  <c r="S1620" i="627"/>
  <c r="M1621" i="627"/>
  <c r="N1621" i="627"/>
  <c r="O1621" i="627"/>
  <c r="P1621" i="627"/>
  <c r="Q1621" i="627"/>
  <c r="R1621" i="627"/>
  <c r="S1621" i="627"/>
  <c r="AC1621" i="627" s="1"/>
  <c r="M1622" i="627"/>
  <c r="N1622" i="627"/>
  <c r="O1622" i="627"/>
  <c r="P1622" i="627"/>
  <c r="Q1622" i="627"/>
  <c r="R1622" i="627"/>
  <c r="S1622" i="627"/>
  <c r="M1623" i="627"/>
  <c r="AC1623" i="627" s="1"/>
  <c r="N1623" i="627"/>
  <c r="O1623" i="627"/>
  <c r="P1623" i="627"/>
  <c r="Q1623" i="627"/>
  <c r="R1623" i="627"/>
  <c r="S1623" i="627"/>
  <c r="M1624" i="627"/>
  <c r="N1624" i="627"/>
  <c r="AC1624" i="627" s="1"/>
  <c r="O1624" i="627"/>
  <c r="P1624" i="627"/>
  <c r="Q1624" i="627"/>
  <c r="R1624" i="627"/>
  <c r="S1624" i="627"/>
  <c r="M1625" i="627"/>
  <c r="N1625" i="627"/>
  <c r="O1625" i="627"/>
  <c r="AC1625" i="627" s="1"/>
  <c r="P1625" i="627"/>
  <c r="Q1625" i="627"/>
  <c r="R1625" i="627"/>
  <c r="S1625" i="627"/>
  <c r="M1626" i="627"/>
  <c r="N1626" i="627"/>
  <c r="O1626" i="627"/>
  <c r="P1626" i="627"/>
  <c r="AC1626" i="627" s="1"/>
  <c r="Q1626" i="627"/>
  <c r="R1626" i="627"/>
  <c r="S1626" i="627"/>
  <c r="M1627" i="627"/>
  <c r="N1627" i="627"/>
  <c r="O1627" i="627"/>
  <c r="P1627" i="627"/>
  <c r="Q1627" i="627"/>
  <c r="AC1627" i="627" s="1"/>
  <c r="R1627" i="627"/>
  <c r="S1627" i="627"/>
  <c r="M1628" i="627"/>
  <c r="N1628" i="627"/>
  <c r="O1628" i="627"/>
  <c r="P1628" i="627"/>
  <c r="Q1628" i="627"/>
  <c r="R1628" i="627"/>
  <c r="AC1628" i="627" s="1"/>
  <c r="S1628" i="627"/>
  <c r="M1629" i="627"/>
  <c r="N1629" i="627"/>
  <c r="O1629" i="627"/>
  <c r="P1629" i="627"/>
  <c r="Q1629" i="627"/>
  <c r="R1629" i="627"/>
  <c r="S1629" i="627"/>
  <c r="AC1629" i="627" s="1"/>
  <c r="M1630" i="627"/>
  <c r="N1630" i="627"/>
  <c r="O1630" i="627"/>
  <c r="P1630" i="627"/>
  <c r="Q1630" i="627"/>
  <c r="R1630" i="627"/>
  <c r="S1630" i="627"/>
  <c r="M1631" i="627"/>
  <c r="AC1631" i="627" s="1"/>
  <c r="N1631" i="627"/>
  <c r="O1631" i="627"/>
  <c r="P1631" i="627"/>
  <c r="Q1631" i="627"/>
  <c r="R1631" i="627"/>
  <c r="S1631" i="627"/>
  <c r="M1632" i="627"/>
  <c r="N1632" i="627"/>
  <c r="AC1632" i="627" s="1"/>
  <c r="O1632" i="627"/>
  <c r="P1632" i="627"/>
  <c r="Q1632" i="627"/>
  <c r="R1632" i="627"/>
  <c r="S1632" i="627"/>
  <c r="M1633" i="627"/>
  <c r="N1633" i="627"/>
  <c r="O1633" i="627"/>
  <c r="AC1633" i="627" s="1"/>
  <c r="P1633" i="627"/>
  <c r="Q1633" i="627"/>
  <c r="R1633" i="627"/>
  <c r="S1633" i="627"/>
  <c r="M1634" i="627"/>
  <c r="N1634" i="627"/>
  <c r="O1634" i="627"/>
  <c r="P1634" i="627"/>
  <c r="AC1634" i="627" s="1"/>
  <c r="Q1634" i="627"/>
  <c r="R1634" i="627"/>
  <c r="S1634" i="627"/>
  <c r="M1635" i="627"/>
  <c r="N1635" i="627"/>
  <c r="O1635" i="627"/>
  <c r="P1635" i="627"/>
  <c r="Q1635" i="627"/>
  <c r="AC1635" i="627" s="1"/>
  <c r="R1635" i="627"/>
  <c r="S1635" i="627"/>
  <c r="M1636" i="627"/>
  <c r="N1636" i="627"/>
  <c r="O1636" i="627"/>
  <c r="P1636" i="627"/>
  <c r="Q1636" i="627"/>
  <c r="R1636" i="627"/>
  <c r="AC1636" i="627" s="1"/>
  <c r="S1636" i="627"/>
  <c r="M1637" i="627"/>
  <c r="N1637" i="627"/>
  <c r="O1637" i="627"/>
  <c r="P1637" i="627"/>
  <c r="Q1637" i="627"/>
  <c r="R1637" i="627"/>
  <c r="S1637" i="627"/>
  <c r="AC1637" i="627" s="1"/>
  <c r="M1638" i="627"/>
  <c r="N1638" i="627"/>
  <c r="O1638" i="627"/>
  <c r="P1638" i="627"/>
  <c r="Q1638" i="627"/>
  <c r="R1638" i="627"/>
  <c r="S1638" i="627"/>
  <c r="M1639" i="627"/>
  <c r="AC1639" i="627" s="1"/>
  <c r="N1639" i="627"/>
  <c r="O1639" i="627"/>
  <c r="P1639" i="627"/>
  <c r="Q1639" i="627"/>
  <c r="R1639" i="627"/>
  <c r="S1639" i="627"/>
  <c r="M1640" i="627"/>
  <c r="N1640" i="627"/>
  <c r="AC1640" i="627" s="1"/>
  <c r="O1640" i="627"/>
  <c r="P1640" i="627"/>
  <c r="Q1640" i="627"/>
  <c r="R1640" i="627"/>
  <c r="S1640" i="627"/>
  <c r="M1641" i="627"/>
  <c r="N1641" i="627"/>
  <c r="O1641" i="627"/>
  <c r="AC1641" i="627" s="1"/>
  <c r="P1641" i="627"/>
  <c r="Q1641" i="627"/>
  <c r="R1641" i="627"/>
  <c r="S1641" i="627"/>
  <c r="M1642" i="627"/>
  <c r="N1642" i="627"/>
  <c r="O1642" i="627"/>
  <c r="P1642" i="627"/>
  <c r="AC1642" i="627" s="1"/>
  <c r="Q1642" i="627"/>
  <c r="R1642" i="627"/>
  <c r="S1642" i="627"/>
  <c r="M1643" i="627"/>
  <c r="N1643" i="627"/>
  <c r="O1643" i="627"/>
  <c r="P1643" i="627"/>
  <c r="Q1643" i="627"/>
  <c r="AC1643" i="627" s="1"/>
  <c r="R1643" i="627"/>
  <c r="S1643" i="627"/>
  <c r="M1644" i="627"/>
  <c r="N1644" i="627"/>
  <c r="O1644" i="627"/>
  <c r="P1644" i="627"/>
  <c r="Q1644" i="627"/>
  <c r="R1644" i="627"/>
  <c r="AC1644" i="627" s="1"/>
  <c r="S1644" i="627"/>
  <c r="M1645" i="627"/>
  <c r="N1645" i="627"/>
  <c r="O1645" i="627"/>
  <c r="P1645" i="627"/>
  <c r="Q1645" i="627"/>
  <c r="R1645" i="627"/>
  <c r="S1645" i="627"/>
  <c r="AC1645" i="627" s="1"/>
  <c r="M1646" i="627"/>
  <c r="N1646" i="627"/>
  <c r="O1646" i="627"/>
  <c r="P1646" i="627"/>
  <c r="Q1646" i="627"/>
  <c r="R1646" i="627"/>
  <c r="S1646" i="627"/>
  <c r="M1647" i="627"/>
  <c r="AC1647" i="627" s="1"/>
  <c r="N1647" i="627"/>
  <c r="O1647" i="627"/>
  <c r="P1647" i="627"/>
  <c r="Q1647" i="627"/>
  <c r="R1647" i="627"/>
  <c r="S1647" i="627"/>
  <c r="M1648" i="627"/>
  <c r="N1648" i="627"/>
  <c r="AC1648" i="627" s="1"/>
  <c r="O1648" i="627"/>
  <c r="P1648" i="627"/>
  <c r="Q1648" i="627"/>
  <c r="R1648" i="627"/>
  <c r="S1648" i="627"/>
  <c r="M1649" i="627"/>
  <c r="N1649" i="627"/>
  <c r="O1649" i="627"/>
  <c r="AC1649" i="627" s="1"/>
  <c r="P1649" i="627"/>
  <c r="Q1649" i="627"/>
  <c r="R1649" i="627"/>
  <c r="S1649" i="627"/>
  <c r="M1650" i="627"/>
  <c r="N1650" i="627"/>
  <c r="O1650" i="627"/>
  <c r="P1650" i="627"/>
  <c r="AC1650" i="627" s="1"/>
  <c r="Q1650" i="627"/>
  <c r="R1650" i="627"/>
  <c r="S1650" i="627"/>
  <c r="M1651" i="627"/>
  <c r="N1651" i="627"/>
  <c r="O1651" i="627"/>
  <c r="P1651" i="627"/>
  <c r="Q1651" i="627"/>
  <c r="AC1651" i="627" s="1"/>
  <c r="R1651" i="627"/>
  <c r="S1651" i="627"/>
  <c r="M1652" i="627"/>
  <c r="N1652" i="627"/>
  <c r="O1652" i="627"/>
  <c r="P1652" i="627"/>
  <c r="Q1652" i="627"/>
  <c r="R1652" i="627"/>
  <c r="AC1652" i="627" s="1"/>
  <c r="S1652" i="627"/>
  <c r="M1653" i="627"/>
  <c r="N1653" i="627"/>
  <c r="O1653" i="627"/>
  <c r="P1653" i="627"/>
  <c r="Q1653" i="627"/>
  <c r="R1653" i="627"/>
  <c r="S1653" i="627"/>
  <c r="AC1653" i="627" s="1"/>
  <c r="M1654" i="627"/>
  <c r="N1654" i="627"/>
  <c r="O1654" i="627"/>
  <c r="P1654" i="627"/>
  <c r="Q1654" i="627"/>
  <c r="R1654" i="627"/>
  <c r="S1654" i="627"/>
  <c r="M1655" i="627"/>
  <c r="AC1655" i="627" s="1"/>
  <c r="N1655" i="627"/>
  <c r="O1655" i="627"/>
  <c r="P1655" i="627"/>
  <c r="Q1655" i="627"/>
  <c r="R1655" i="627"/>
  <c r="S1655" i="627"/>
  <c r="M1656" i="627"/>
  <c r="N1656" i="627"/>
  <c r="AC1656" i="627" s="1"/>
  <c r="O1656" i="627"/>
  <c r="P1656" i="627"/>
  <c r="Q1656" i="627"/>
  <c r="R1656" i="627"/>
  <c r="S1656" i="627"/>
  <c r="M1657" i="627"/>
  <c r="N1657" i="627"/>
  <c r="O1657" i="627"/>
  <c r="AC1657" i="627" s="1"/>
  <c r="P1657" i="627"/>
  <c r="Q1657" i="627"/>
  <c r="R1657" i="627"/>
  <c r="S1657" i="627"/>
  <c r="M1658" i="627"/>
  <c r="N1658" i="627"/>
  <c r="O1658" i="627"/>
  <c r="P1658" i="627"/>
  <c r="AC1658" i="627" s="1"/>
  <c r="Q1658" i="627"/>
  <c r="R1658" i="627"/>
  <c r="S1658" i="627"/>
  <c r="M1659" i="627"/>
  <c r="N1659" i="627"/>
  <c r="O1659" i="627"/>
  <c r="P1659" i="627"/>
  <c r="Q1659" i="627"/>
  <c r="AC1659" i="627" s="1"/>
  <c r="R1659" i="627"/>
  <c r="S1659" i="627"/>
  <c r="M1660" i="627"/>
  <c r="N1660" i="627"/>
  <c r="O1660" i="627"/>
  <c r="P1660" i="627"/>
  <c r="Q1660" i="627"/>
  <c r="R1660" i="627"/>
  <c r="AC1660" i="627" s="1"/>
  <c r="S1660" i="627"/>
  <c r="M1661" i="627"/>
  <c r="N1661" i="627"/>
  <c r="O1661" i="627"/>
  <c r="P1661" i="627"/>
  <c r="Q1661" i="627"/>
  <c r="R1661" i="627"/>
  <c r="S1661" i="627"/>
  <c r="AC1661" i="627" s="1"/>
  <c r="M1662" i="627"/>
  <c r="N1662" i="627"/>
  <c r="O1662" i="627"/>
  <c r="P1662" i="627"/>
  <c r="Q1662" i="627"/>
  <c r="R1662" i="627"/>
  <c r="S1662" i="627"/>
  <c r="M1663" i="627"/>
  <c r="AC1663" i="627" s="1"/>
  <c r="N1663" i="627"/>
  <c r="O1663" i="627"/>
  <c r="P1663" i="627"/>
  <c r="Q1663" i="627"/>
  <c r="R1663" i="627"/>
  <c r="S1663" i="627"/>
  <c r="M1664" i="627"/>
  <c r="N1664" i="627"/>
  <c r="AC1664" i="627" s="1"/>
  <c r="O1664" i="627"/>
  <c r="P1664" i="627"/>
  <c r="Q1664" i="627"/>
  <c r="R1664" i="627"/>
  <c r="S1664" i="627"/>
  <c r="M1665" i="627"/>
  <c r="N1665" i="627"/>
  <c r="O1665" i="627"/>
  <c r="AC1665" i="627" s="1"/>
  <c r="P1665" i="627"/>
  <c r="Q1665" i="627"/>
  <c r="R1665" i="627"/>
  <c r="S1665" i="627"/>
  <c r="M1666" i="627"/>
  <c r="N1666" i="627"/>
  <c r="O1666" i="627"/>
  <c r="P1666" i="627"/>
  <c r="AC1666" i="627" s="1"/>
  <c r="Q1666" i="627"/>
  <c r="R1666" i="627"/>
  <c r="S1666" i="627"/>
  <c r="M1667" i="627"/>
  <c r="N1667" i="627"/>
  <c r="O1667" i="627"/>
  <c r="P1667" i="627"/>
  <c r="Q1667" i="627"/>
  <c r="AC1667" i="627" s="1"/>
  <c r="R1667" i="627"/>
  <c r="S1667" i="627"/>
  <c r="M1668" i="627"/>
  <c r="N1668" i="627"/>
  <c r="O1668" i="627"/>
  <c r="P1668" i="627"/>
  <c r="Q1668" i="627"/>
  <c r="R1668" i="627"/>
  <c r="AC1668" i="627" s="1"/>
  <c r="S1668" i="627"/>
  <c r="M1669" i="627"/>
  <c r="N1669" i="627"/>
  <c r="O1669" i="627"/>
  <c r="P1669" i="627"/>
  <c r="Q1669" i="627"/>
  <c r="R1669" i="627"/>
  <c r="S1669" i="627"/>
  <c r="AC1669" i="627" s="1"/>
  <c r="M1670" i="627"/>
  <c r="N1670" i="627"/>
  <c r="O1670" i="627"/>
  <c r="P1670" i="627"/>
  <c r="Q1670" i="627"/>
  <c r="R1670" i="627"/>
  <c r="S1670" i="627"/>
  <c r="M1671" i="627"/>
  <c r="AC1671" i="627" s="1"/>
  <c r="N1671" i="627"/>
  <c r="O1671" i="627"/>
  <c r="P1671" i="627"/>
  <c r="Q1671" i="627"/>
  <c r="R1671" i="627"/>
  <c r="S1671" i="627"/>
  <c r="M1672" i="627"/>
  <c r="N1672" i="627"/>
  <c r="AC1672" i="627" s="1"/>
  <c r="O1672" i="627"/>
  <c r="P1672" i="627"/>
  <c r="Q1672" i="627"/>
  <c r="R1672" i="627"/>
  <c r="S1672" i="627"/>
  <c r="M1673" i="627"/>
  <c r="N1673" i="627"/>
  <c r="O1673" i="627"/>
  <c r="AC1673" i="627" s="1"/>
  <c r="P1673" i="627"/>
  <c r="Q1673" i="627"/>
  <c r="R1673" i="627"/>
  <c r="S1673" i="627"/>
  <c r="M1674" i="627"/>
  <c r="N1674" i="627"/>
  <c r="O1674" i="627"/>
  <c r="P1674" i="627"/>
  <c r="AC1674" i="627" s="1"/>
  <c r="Q1674" i="627"/>
  <c r="R1674" i="627"/>
  <c r="S1674" i="627"/>
  <c r="M1675" i="627"/>
  <c r="N1675" i="627"/>
  <c r="O1675" i="627"/>
  <c r="P1675" i="627"/>
  <c r="Q1675" i="627"/>
  <c r="AC1675" i="627" s="1"/>
  <c r="R1675" i="627"/>
  <c r="S1675" i="627"/>
  <c r="M1676" i="627"/>
  <c r="N1676" i="627"/>
  <c r="O1676" i="627"/>
  <c r="P1676" i="627"/>
  <c r="Q1676" i="627"/>
  <c r="R1676" i="627"/>
  <c r="AC1676" i="627" s="1"/>
  <c r="S1676" i="627"/>
  <c r="M1677" i="627"/>
  <c r="N1677" i="627"/>
  <c r="O1677" i="627"/>
  <c r="P1677" i="627"/>
  <c r="Q1677" i="627"/>
  <c r="R1677" i="627"/>
  <c r="S1677" i="627"/>
  <c r="AC1677" i="627" s="1"/>
  <c r="M1678" i="627"/>
  <c r="N1678" i="627"/>
  <c r="O1678" i="627"/>
  <c r="P1678" i="627"/>
  <c r="Q1678" i="627"/>
  <c r="R1678" i="627"/>
  <c r="S1678" i="627"/>
  <c r="M1679" i="627"/>
  <c r="AC1679" i="627" s="1"/>
  <c r="N1679" i="627"/>
  <c r="O1679" i="627"/>
  <c r="P1679" i="627"/>
  <c r="Q1679" i="627"/>
  <c r="R1679" i="627"/>
  <c r="S1679" i="627"/>
  <c r="M1680" i="627"/>
  <c r="N1680" i="627"/>
  <c r="AC1680" i="627" s="1"/>
  <c r="O1680" i="627"/>
  <c r="P1680" i="627"/>
  <c r="Q1680" i="627"/>
  <c r="R1680" i="627"/>
  <c r="S1680" i="627"/>
  <c r="M1681" i="627"/>
  <c r="N1681" i="627"/>
  <c r="O1681" i="627"/>
  <c r="AC1681" i="627" s="1"/>
  <c r="P1681" i="627"/>
  <c r="Q1681" i="627"/>
  <c r="R1681" i="627"/>
  <c r="S1681" i="627"/>
  <c r="M1682" i="627"/>
  <c r="N1682" i="627"/>
  <c r="O1682" i="627"/>
  <c r="P1682" i="627"/>
  <c r="AC1682" i="627" s="1"/>
  <c r="Q1682" i="627"/>
  <c r="R1682" i="627"/>
  <c r="S1682" i="627"/>
  <c r="M1683" i="627"/>
  <c r="N1683" i="627"/>
  <c r="O1683" i="627"/>
  <c r="P1683" i="627"/>
  <c r="Q1683" i="627"/>
  <c r="AC1683" i="627" s="1"/>
  <c r="R1683" i="627"/>
  <c r="S1683" i="627"/>
  <c r="M1684" i="627"/>
  <c r="N1684" i="627"/>
  <c r="O1684" i="627"/>
  <c r="P1684" i="627"/>
  <c r="Q1684" i="627"/>
  <c r="R1684" i="627"/>
  <c r="AC1684" i="627" s="1"/>
  <c r="S1684" i="627"/>
  <c r="M1685" i="627"/>
  <c r="N1685" i="627"/>
  <c r="O1685" i="627"/>
  <c r="P1685" i="627"/>
  <c r="Q1685" i="627"/>
  <c r="R1685" i="627"/>
  <c r="S1685" i="627"/>
  <c r="AC1685" i="627" s="1"/>
  <c r="M1686" i="627"/>
  <c r="N1686" i="627"/>
  <c r="O1686" i="627"/>
  <c r="P1686" i="627"/>
  <c r="Q1686" i="627"/>
  <c r="R1686" i="627"/>
  <c r="S1686" i="627"/>
  <c r="M1687" i="627"/>
  <c r="AC1687" i="627" s="1"/>
  <c r="N1687" i="627"/>
  <c r="O1687" i="627"/>
  <c r="P1687" i="627"/>
  <c r="Q1687" i="627"/>
  <c r="R1687" i="627"/>
  <c r="S1687" i="627"/>
  <c r="M1688" i="627"/>
  <c r="N1688" i="627"/>
  <c r="AC1688" i="627" s="1"/>
  <c r="O1688" i="627"/>
  <c r="P1688" i="627"/>
  <c r="Q1688" i="627"/>
  <c r="R1688" i="627"/>
  <c r="S1688" i="627"/>
  <c r="M1689" i="627"/>
  <c r="N1689" i="627"/>
  <c r="O1689" i="627"/>
  <c r="AC1689" i="627" s="1"/>
  <c r="P1689" i="627"/>
  <c r="Q1689" i="627"/>
  <c r="R1689" i="627"/>
  <c r="S1689" i="627"/>
  <c r="M1690" i="627"/>
  <c r="N1690" i="627"/>
  <c r="O1690" i="627"/>
  <c r="P1690" i="627"/>
  <c r="AC1690" i="627" s="1"/>
  <c r="Q1690" i="627"/>
  <c r="R1690" i="627"/>
  <c r="S1690" i="627"/>
  <c r="M1691" i="627"/>
  <c r="N1691" i="627"/>
  <c r="O1691" i="627"/>
  <c r="P1691" i="627"/>
  <c r="Q1691" i="627"/>
  <c r="AC1691" i="627" s="1"/>
  <c r="R1691" i="627"/>
  <c r="S1691" i="627"/>
  <c r="M1692" i="627"/>
  <c r="N1692" i="627"/>
  <c r="O1692" i="627"/>
  <c r="P1692" i="627"/>
  <c r="Q1692" i="627"/>
  <c r="R1692" i="627"/>
  <c r="AC1692" i="627" s="1"/>
  <c r="S1692" i="627"/>
  <c r="M1693" i="627"/>
  <c r="N1693" i="627"/>
  <c r="O1693" i="627"/>
  <c r="P1693" i="627"/>
  <c r="Q1693" i="627"/>
  <c r="R1693" i="627"/>
  <c r="S1693" i="627"/>
  <c r="AC1693" i="627" s="1"/>
  <c r="M1694" i="627"/>
  <c r="N1694" i="627"/>
  <c r="O1694" i="627"/>
  <c r="P1694" i="627"/>
  <c r="Q1694" i="627"/>
  <c r="R1694" i="627"/>
  <c r="S1694" i="627"/>
  <c r="M1695" i="627"/>
  <c r="AC1695" i="627" s="1"/>
  <c r="N1695" i="627"/>
  <c r="O1695" i="627"/>
  <c r="P1695" i="627"/>
  <c r="Q1695" i="627"/>
  <c r="R1695" i="627"/>
  <c r="S1695" i="627"/>
  <c r="M1696" i="627"/>
  <c r="N1696" i="627"/>
  <c r="AC1696" i="627" s="1"/>
  <c r="O1696" i="627"/>
  <c r="P1696" i="627"/>
  <c r="Q1696" i="627"/>
  <c r="R1696" i="627"/>
  <c r="S1696" i="627"/>
  <c r="M1697" i="627"/>
  <c r="N1697" i="627"/>
  <c r="O1697" i="627"/>
  <c r="AC1697" i="627" s="1"/>
  <c r="P1697" i="627"/>
  <c r="Q1697" i="627"/>
  <c r="R1697" i="627"/>
  <c r="S1697" i="627"/>
  <c r="M1698" i="627"/>
  <c r="N1698" i="627"/>
  <c r="O1698" i="627"/>
  <c r="P1698" i="627"/>
  <c r="AC1698" i="627" s="1"/>
  <c r="Q1698" i="627"/>
  <c r="R1698" i="627"/>
  <c r="S1698" i="627"/>
  <c r="M1699" i="627"/>
  <c r="N1699" i="627"/>
  <c r="O1699" i="627"/>
  <c r="P1699" i="627"/>
  <c r="Q1699" i="627"/>
  <c r="AC1699" i="627" s="1"/>
  <c r="R1699" i="627"/>
  <c r="S1699" i="627"/>
  <c r="M1700" i="627"/>
  <c r="N1700" i="627"/>
  <c r="O1700" i="627"/>
  <c r="P1700" i="627"/>
  <c r="Q1700" i="627"/>
  <c r="R1700" i="627"/>
  <c r="AC1700" i="627" s="1"/>
  <c r="S1700" i="627"/>
  <c r="M1701" i="627"/>
  <c r="N1701" i="627"/>
  <c r="O1701" i="627"/>
  <c r="P1701" i="627"/>
  <c r="Q1701" i="627"/>
  <c r="R1701" i="627"/>
  <c r="S1701" i="627"/>
  <c r="AC1701" i="627" s="1"/>
  <c r="M1702" i="627"/>
  <c r="N1702" i="627"/>
  <c r="O1702" i="627"/>
  <c r="P1702" i="627"/>
  <c r="Q1702" i="627"/>
  <c r="R1702" i="627"/>
  <c r="S1702" i="627"/>
  <c r="M1703" i="627"/>
  <c r="AC1703" i="627" s="1"/>
  <c r="N1703" i="627"/>
  <c r="O1703" i="627"/>
  <c r="P1703" i="627"/>
  <c r="Q1703" i="627"/>
  <c r="R1703" i="627"/>
  <c r="S1703" i="627"/>
  <c r="M1704" i="627"/>
  <c r="N1704" i="627"/>
  <c r="AC1704" i="627" s="1"/>
  <c r="O1704" i="627"/>
  <c r="P1704" i="627"/>
  <c r="Q1704" i="627"/>
  <c r="R1704" i="627"/>
  <c r="S1704" i="627"/>
  <c r="M1705" i="627"/>
  <c r="N1705" i="627"/>
  <c r="O1705" i="627"/>
  <c r="AC1705" i="627" s="1"/>
  <c r="P1705" i="627"/>
  <c r="Q1705" i="627"/>
  <c r="R1705" i="627"/>
  <c r="S1705" i="627"/>
  <c r="M1706" i="627"/>
  <c r="N1706" i="627"/>
  <c r="O1706" i="627"/>
  <c r="P1706" i="627"/>
  <c r="AC1706" i="627" s="1"/>
  <c r="Q1706" i="627"/>
  <c r="R1706" i="627"/>
  <c r="S1706" i="627"/>
  <c r="M1707" i="627"/>
  <c r="N1707" i="627"/>
  <c r="O1707" i="627"/>
  <c r="P1707" i="627"/>
  <c r="Q1707" i="627"/>
  <c r="AC1707" i="627" s="1"/>
  <c r="R1707" i="627"/>
  <c r="S1707" i="627"/>
  <c r="M1708" i="627"/>
  <c r="N1708" i="627"/>
  <c r="O1708" i="627"/>
  <c r="P1708" i="627"/>
  <c r="Q1708" i="627"/>
  <c r="R1708" i="627"/>
  <c r="AC1708" i="627" s="1"/>
  <c r="S1708" i="627"/>
  <c r="M1709" i="627"/>
  <c r="N1709" i="627"/>
  <c r="O1709" i="627"/>
  <c r="P1709" i="627"/>
  <c r="Q1709" i="627"/>
  <c r="R1709" i="627"/>
  <c r="S1709" i="627"/>
  <c r="AC1709" i="627" s="1"/>
  <c r="M1710" i="627"/>
  <c r="N1710" i="627"/>
  <c r="O1710" i="627"/>
  <c r="P1710" i="627"/>
  <c r="Q1710" i="627"/>
  <c r="R1710" i="627"/>
  <c r="S1710" i="627"/>
  <c r="M1711" i="627"/>
  <c r="AC1711" i="627" s="1"/>
  <c r="N1711" i="627"/>
  <c r="O1711" i="627"/>
  <c r="P1711" i="627"/>
  <c r="Q1711" i="627"/>
  <c r="R1711" i="627"/>
  <c r="S1711" i="627"/>
  <c r="M1712" i="627"/>
  <c r="N1712" i="627"/>
  <c r="AC1712" i="627" s="1"/>
  <c r="O1712" i="627"/>
  <c r="P1712" i="627"/>
  <c r="Q1712" i="627"/>
  <c r="R1712" i="627"/>
  <c r="S1712" i="627"/>
  <c r="M1713" i="627"/>
  <c r="N1713" i="627"/>
  <c r="O1713" i="627"/>
  <c r="AC1713" i="627" s="1"/>
  <c r="P1713" i="627"/>
  <c r="Q1713" i="627"/>
  <c r="R1713" i="627"/>
  <c r="S1713" i="627"/>
  <c r="M1714" i="627"/>
  <c r="N1714" i="627"/>
  <c r="O1714" i="627"/>
  <c r="P1714" i="627"/>
  <c r="AC1714" i="627" s="1"/>
  <c r="Q1714" i="627"/>
  <c r="R1714" i="627"/>
  <c r="S1714" i="627"/>
  <c r="M1715" i="627"/>
  <c r="N1715" i="627"/>
  <c r="O1715" i="627"/>
  <c r="P1715" i="627"/>
  <c r="Q1715" i="627"/>
  <c r="AC1715" i="627" s="1"/>
  <c r="R1715" i="627"/>
  <c r="S1715" i="627"/>
  <c r="M1716" i="627"/>
  <c r="N1716" i="627"/>
  <c r="O1716" i="627"/>
  <c r="P1716" i="627"/>
  <c r="Q1716" i="627"/>
  <c r="R1716" i="627"/>
  <c r="AC1716" i="627" s="1"/>
  <c r="S1716" i="627"/>
  <c r="M1717" i="627"/>
  <c r="N1717" i="627"/>
  <c r="O1717" i="627"/>
  <c r="P1717" i="627"/>
  <c r="Q1717" i="627"/>
  <c r="R1717" i="627"/>
  <c r="S1717" i="627"/>
  <c r="AC1717" i="627" s="1"/>
  <c r="M1718" i="627"/>
  <c r="N1718" i="627"/>
  <c r="O1718" i="627"/>
  <c r="P1718" i="627"/>
  <c r="Q1718" i="627"/>
  <c r="R1718" i="627"/>
  <c r="S1718" i="627"/>
  <c r="M1719" i="627"/>
  <c r="AC1719" i="627" s="1"/>
  <c r="N1719" i="627"/>
  <c r="O1719" i="627"/>
  <c r="P1719" i="627"/>
  <c r="Q1719" i="627"/>
  <c r="R1719" i="627"/>
  <c r="S1719" i="627"/>
  <c r="M1720" i="627"/>
  <c r="N1720" i="627"/>
  <c r="AC1720" i="627" s="1"/>
  <c r="O1720" i="627"/>
  <c r="P1720" i="627"/>
  <c r="Q1720" i="627"/>
  <c r="R1720" i="627"/>
  <c r="S1720" i="627"/>
  <c r="M1721" i="627"/>
  <c r="N1721" i="627"/>
  <c r="O1721" i="627"/>
  <c r="AC1721" i="627" s="1"/>
  <c r="P1721" i="627"/>
  <c r="Q1721" i="627"/>
  <c r="R1721" i="627"/>
  <c r="S1721" i="627"/>
  <c r="M1722" i="627"/>
  <c r="N1722" i="627"/>
  <c r="O1722" i="627"/>
  <c r="P1722" i="627"/>
  <c r="AC1722" i="627" s="1"/>
  <c r="Q1722" i="627"/>
  <c r="R1722" i="627"/>
  <c r="S1722" i="627"/>
  <c r="M1723" i="627"/>
  <c r="N1723" i="627"/>
  <c r="O1723" i="627"/>
  <c r="P1723" i="627"/>
  <c r="Q1723" i="627"/>
  <c r="AC1723" i="627" s="1"/>
  <c r="R1723" i="627"/>
  <c r="S1723" i="627"/>
  <c r="M1724" i="627"/>
  <c r="N1724" i="627"/>
  <c r="O1724" i="627"/>
  <c r="P1724" i="627"/>
  <c r="Q1724" i="627"/>
  <c r="R1724" i="627"/>
  <c r="AC1724" i="627" s="1"/>
  <c r="S1724" i="627"/>
  <c r="M1725" i="627"/>
  <c r="N1725" i="627"/>
  <c r="O1725" i="627"/>
  <c r="P1725" i="627"/>
  <c r="Q1725" i="627"/>
  <c r="R1725" i="627"/>
  <c r="S1725" i="627"/>
  <c r="AC1725" i="627" s="1"/>
  <c r="M1726" i="627"/>
  <c r="N1726" i="627"/>
  <c r="O1726" i="627"/>
  <c r="P1726" i="627"/>
  <c r="Q1726" i="627"/>
  <c r="R1726" i="627"/>
  <c r="S1726" i="627"/>
  <c r="M1727" i="627"/>
  <c r="AC1727" i="627" s="1"/>
  <c r="N1727" i="627"/>
  <c r="O1727" i="627"/>
  <c r="P1727" i="627"/>
  <c r="Q1727" i="627"/>
  <c r="R1727" i="627"/>
  <c r="S1727" i="627"/>
  <c r="M1728" i="627"/>
  <c r="N1728" i="627"/>
  <c r="AC1728" i="627" s="1"/>
  <c r="O1728" i="627"/>
  <c r="P1728" i="627"/>
  <c r="Q1728" i="627"/>
  <c r="R1728" i="627"/>
  <c r="S1728" i="627"/>
  <c r="M1729" i="627"/>
  <c r="N1729" i="627"/>
  <c r="O1729" i="627"/>
  <c r="AC1729" i="627" s="1"/>
  <c r="P1729" i="627"/>
  <c r="Q1729" i="627"/>
  <c r="R1729" i="627"/>
  <c r="S1729" i="627"/>
  <c r="M1730" i="627"/>
  <c r="N1730" i="627"/>
  <c r="O1730" i="627"/>
  <c r="P1730" i="627"/>
  <c r="AC1730" i="627" s="1"/>
  <c r="Q1730" i="627"/>
  <c r="R1730" i="627"/>
  <c r="S1730" i="627"/>
  <c r="M1731" i="627"/>
  <c r="N1731" i="627"/>
  <c r="O1731" i="627"/>
  <c r="P1731" i="627"/>
  <c r="Q1731" i="627"/>
  <c r="AC1731" i="627" s="1"/>
  <c r="R1731" i="627"/>
  <c r="S1731" i="627"/>
  <c r="M1732" i="627"/>
  <c r="N1732" i="627"/>
  <c r="O1732" i="627"/>
  <c r="P1732" i="627"/>
  <c r="Q1732" i="627"/>
  <c r="R1732" i="627"/>
  <c r="AC1732" i="627" s="1"/>
  <c r="S1732" i="627"/>
  <c r="M1733" i="627"/>
  <c r="N1733" i="627"/>
  <c r="O1733" i="627"/>
  <c r="P1733" i="627"/>
  <c r="Q1733" i="627"/>
  <c r="R1733" i="627"/>
  <c r="S1733" i="627"/>
  <c r="AC1733" i="627" s="1"/>
  <c r="M1734" i="627"/>
  <c r="N1734" i="627"/>
  <c r="O1734" i="627"/>
  <c r="P1734" i="627"/>
  <c r="Q1734" i="627"/>
  <c r="R1734" i="627"/>
  <c r="S1734" i="627"/>
  <c r="M1735" i="627"/>
  <c r="AC1735" i="627" s="1"/>
  <c r="N1735" i="627"/>
  <c r="O1735" i="627"/>
  <c r="P1735" i="627"/>
  <c r="Q1735" i="627"/>
  <c r="R1735" i="627"/>
  <c r="S1735" i="627"/>
  <c r="M1736" i="627"/>
  <c r="N1736" i="627"/>
  <c r="AC1736" i="627" s="1"/>
  <c r="O1736" i="627"/>
  <c r="P1736" i="627"/>
  <c r="Q1736" i="627"/>
  <c r="R1736" i="627"/>
  <c r="S1736" i="627"/>
  <c r="M1737" i="627"/>
  <c r="N1737" i="627"/>
  <c r="O1737" i="627"/>
  <c r="AC1737" i="627" s="1"/>
  <c r="P1737" i="627"/>
  <c r="Q1737" i="627"/>
  <c r="R1737" i="627"/>
  <c r="S1737" i="627"/>
  <c r="M1738" i="627"/>
  <c r="N1738" i="627"/>
  <c r="O1738" i="627"/>
  <c r="P1738" i="627"/>
  <c r="AC1738" i="627" s="1"/>
  <c r="Q1738" i="627"/>
  <c r="R1738" i="627"/>
  <c r="S1738" i="627"/>
  <c r="M1739" i="627"/>
  <c r="N1739" i="627"/>
  <c r="O1739" i="627"/>
  <c r="P1739" i="627"/>
  <c r="Q1739" i="627"/>
  <c r="AC1739" i="627" s="1"/>
  <c r="R1739" i="627"/>
  <c r="S1739" i="627"/>
  <c r="M1740" i="627"/>
  <c r="N1740" i="627"/>
  <c r="O1740" i="627"/>
  <c r="P1740" i="627"/>
  <c r="Q1740" i="627"/>
  <c r="R1740" i="627"/>
  <c r="AC1740" i="627" s="1"/>
  <c r="S1740" i="627"/>
  <c r="M1741" i="627"/>
  <c r="N1741" i="627"/>
  <c r="O1741" i="627"/>
  <c r="P1741" i="627"/>
  <c r="Q1741" i="627"/>
  <c r="R1741" i="627"/>
  <c r="S1741" i="627"/>
  <c r="AC1741" i="627" s="1"/>
  <c r="M1742" i="627"/>
  <c r="N1742" i="627"/>
  <c r="O1742" i="627"/>
  <c r="P1742" i="627"/>
  <c r="Q1742" i="627"/>
  <c r="R1742" i="627"/>
  <c r="S1742" i="627"/>
  <c r="M1743" i="627"/>
  <c r="AC1743" i="627" s="1"/>
  <c r="N1743" i="627"/>
  <c r="O1743" i="627"/>
  <c r="P1743" i="627"/>
  <c r="Q1743" i="627"/>
  <c r="R1743" i="627"/>
  <c r="S1743" i="627"/>
  <c r="M1744" i="627"/>
  <c r="N1744" i="627"/>
  <c r="AC1744" i="627" s="1"/>
  <c r="O1744" i="627"/>
  <c r="P1744" i="627"/>
  <c r="Q1744" i="627"/>
  <c r="R1744" i="627"/>
  <c r="S1744" i="627"/>
  <c r="M1745" i="627"/>
  <c r="N1745" i="627"/>
  <c r="O1745" i="627"/>
  <c r="AC1745" i="627" s="1"/>
  <c r="P1745" i="627"/>
  <c r="Q1745" i="627"/>
  <c r="R1745" i="627"/>
  <c r="S1745" i="627"/>
  <c r="M1746" i="627"/>
  <c r="N1746" i="627"/>
  <c r="O1746" i="627"/>
  <c r="P1746" i="627"/>
  <c r="AC1746" i="627" s="1"/>
  <c r="Q1746" i="627"/>
  <c r="R1746" i="627"/>
  <c r="S1746" i="627"/>
  <c r="M1747" i="627"/>
  <c r="N1747" i="627"/>
  <c r="O1747" i="627"/>
  <c r="P1747" i="627"/>
  <c r="Q1747" i="627"/>
  <c r="AC1747" i="627" s="1"/>
  <c r="R1747" i="627"/>
  <c r="S1747" i="627"/>
  <c r="M1748" i="627"/>
  <c r="N1748" i="627"/>
  <c r="O1748" i="627"/>
  <c r="P1748" i="627"/>
  <c r="Q1748" i="627"/>
  <c r="R1748" i="627"/>
  <c r="AC1748" i="627" s="1"/>
  <c r="S1748" i="627"/>
  <c r="M1749" i="627"/>
  <c r="N1749" i="627"/>
  <c r="O1749" i="627"/>
  <c r="P1749" i="627"/>
  <c r="Q1749" i="627"/>
  <c r="R1749" i="627"/>
  <c r="S1749" i="627"/>
  <c r="AC1749" i="627" s="1"/>
  <c r="M1750" i="627"/>
  <c r="N1750" i="627"/>
  <c r="O1750" i="627"/>
  <c r="P1750" i="627"/>
  <c r="Q1750" i="627"/>
  <c r="R1750" i="627"/>
  <c r="S1750" i="627"/>
  <c r="M1751" i="627"/>
  <c r="AC1751" i="627" s="1"/>
  <c r="N1751" i="627"/>
  <c r="O1751" i="627"/>
  <c r="P1751" i="627"/>
  <c r="Q1751" i="627"/>
  <c r="R1751" i="627"/>
  <c r="S1751" i="627"/>
  <c r="M1752" i="627"/>
  <c r="N1752" i="627"/>
  <c r="AC1752" i="627" s="1"/>
  <c r="O1752" i="627"/>
  <c r="P1752" i="627"/>
  <c r="Q1752" i="627"/>
  <c r="R1752" i="627"/>
  <c r="S1752" i="627"/>
  <c r="M1753" i="627"/>
  <c r="N1753" i="627"/>
  <c r="O1753" i="627"/>
  <c r="AC1753" i="627" s="1"/>
  <c r="P1753" i="627"/>
  <c r="Q1753" i="627"/>
  <c r="R1753" i="627"/>
  <c r="S1753" i="627"/>
  <c r="M1754" i="627"/>
  <c r="N1754" i="627"/>
  <c r="O1754" i="627"/>
  <c r="P1754" i="627"/>
  <c r="AC1754" i="627" s="1"/>
  <c r="Q1754" i="627"/>
  <c r="R1754" i="627"/>
  <c r="S1754" i="627"/>
  <c r="M1755" i="627"/>
  <c r="N1755" i="627"/>
  <c r="O1755" i="627"/>
  <c r="P1755" i="627"/>
  <c r="Q1755" i="627"/>
  <c r="AC1755" i="627" s="1"/>
  <c r="R1755" i="627"/>
  <c r="S1755" i="627"/>
  <c r="M1756" i="627"/>
  <c r="N1756" i="627"/>
  <c r="O1756" i="627"/>
  <c r="P1756" i="627"/>
  <c r="Q1756" i="627"/>
  <c r="R1756" i="627"/>
  <c r="AC1756" i="627" s="1"/>
  <c r="S1756" i="627"/>
  <c r="M1757" i="627"/>
  <c r="N1757" i="627"/>
  <c r="O1757" i="627"/>
  <c r="P1757" i="627"/>
  <c r="Q1757" i="627"/>
  <c r="R1757" i="627"/>
  <c r="S1757" i="627"/>
  <c r="AC1757" i="627" s="1"/>
  <c r="M1758" i="627"/>
  <c r="N1758" i="627"/>
  <c r="O1758" i="627"/>
  <c r="P1758" i="627"/>
  <c r="Q1758" i="627"/>
  <c r="R1758" i="627"/>
  <c r="S1758" i="627"/>
  <c r="M1759" i="627"/>
  <c r="AC1759" i="627" s="1"/>
  <c r="N1759" i="627"/>
  <c r="O1759" i="627"/>
  <c r="P1759" i="627"/>
  <c r="Q1759" i="627"/>
  <c r="R1759" i="627"/>
  <c r="S1759" i="627"/>
  <c r="M1760" i="627"/>
  <c r="N1760" i="627"/>
  <c r="AC1760" i="627" s="1"/>
  <c r="O1760" i="627"/>
  <c r="P1760" i="627"/>
  <c r="Q1760" i="627"/>
  <c r="R1760" i="627"/>
  <c r="S1760" i="627"/>
  <c r="M1761" i="627"/>
  <c r="N1761" i="627"/>
  <c r="O1761" i="627"/>
  <c r="AC1761" i="627" s="1"/>
  <c r="P1761" i="627"/>
  <c r="Q1761" i="627"/>
  <c r="R1761" i="627"/>
  <c r="S1761" i="627"/>
  <c r="M1762" i="627"/>
  <c r="N1762" i="627"/>
  <c r="O1762" i="627"/>
  <c r="P1762" i="627"/>
  <c r="AC1762" i="627" s="1"/>
  <c r="Q1762" i="627"/>
  <c r="R1762" i="627"/>
  <c r="S1762" i="627"/>
  <c r="M1763" i="627"/>
  <c r="N1763" i="627"/>
  <c r="O1763" i="627"/>
  <c r="P1763" i="627"/>
  <c r="Q1763" i="627"/>
  <c r="AC1763" i="627" s="1"/>
  <c r="R1763" i="627"/>
  <c r="S1763" i="627"/>
  <c r="M1764" i="627"/>
  <c r="N1764" i="627"/>
  <c r="O1764" i="627"/>
  <c r="P1764" i="627"/>
  <c r="Q1764" i="627"/>
  <c r="R1764" i="627"/>
  <c r="AC1764" i="627" s="1"/>
  <c r="S1764" i="627"/>
  <c r="M1765" i="627"/>
  <c r="N1765" i="627"/>
  <c r="O1765" i="627"/>
  <c r="P1765" i="627"/>
  <c r="Q1765" i="627"/>
  <c r="R1765" i="627"/>
  <c r="S1765" i="627"/>
  <c r="AC1765" i="627" s="1"/>
  <c r="M1766" i="627"/>
  <c r="N1766" i="627"/>
  <c r="O1766" i="627"/>
  <c r="P1766" i="627"/>
  <c r="Q1766" i="627"/>
  <c r="R1766" i="627"/>
  <c r="S1766" i="627"/>
  <c r="M1767" i="627"/>
  <c r="AC1767" i="627" s="1"/>
  <c r="N1767" i="627"/>
  <c r="O1767" i="627"/>
  <c r="P1767" i="627"/>
  <c r="Q1767" i="627"/>
  <c r="R1767" i="627"/>
  <c r="S1767" i="627"/>
  <c r="M1768" i="627"/>
  <c r="N1768" i="627"/>
  <c r="AC1768" i="627" s="1"/>
  <c r="O1768" i="627"/>
  <c r="P1768" i="627"/>
  <c r="Q1768" i="627"/>
  <c r="R1768" i="627"/>
  <c r="S1768" i="627"/>
  <c r="M1769" i="627"/>
  <c r="N1769" i="627"/>
  <c r="O1769" i="627"/>
  <c r="AC1769" i="627" s="1"/>
  <c r="P1769" i="627"/>
  <c r="Q1769" i="627"/>
  <c r="R1769" i="627"/>
  <c r="S1769" i="627"/>
  <c r="M1770" i="627"/>
  <c r="N1770" i="627"/>
  <c r="O1770" i="627"/>
  <c r="P1770" i="627"/>
  <c r="AC1770" i="627" s="1"/>
  <c r="Q1770" i="627"/>
  <c r="R1770" i="627"/>
  <c r="S1770" i="627"/>
  <c r="M1771" i="627"/>
  <c r="N1771" i="627"/>
  <c r="O1771" i="627"/>
  <c r="P1771" i="627"/>
  <c r="Q1771" i="627"/>
  <c r="AC1771" i="627" s="1"/>
  <c r="R1771" i="627"/>
  <c r="S1771" i="627"/>
  <c r="M1772" i="627"/>
  <c r="N1772" i="627"/>
  <c r="O1772" i="627"/>
  <c r="P1772" i="627"/>
  <c r="Q1772" i="627"/>
  <c r="R1772" i="627"/>
  <c r="AC1772" i="627" s="1"/>
  <c r="S1772" i="627"/>
  <c r="M1773" i="627"/>
  <c r="N1773" i="627"/>
  <c r="O1773" i="627"/>
  <c r="P1773" i="627"/>
  <c r="Q1773" i="627"/>
  <c r="R1773" i="627"/>
  <c r="S1773" i="627"/>
  <c r="AC1773" i="627" s="1"/>
  <c r="M1774" i="627"/>
  <c r="N1774" i="627"/>
  <c r="O1774" i="627"/>
  <c r="P1774" i="627"/>
  <c r="Q1774" i="627"/>
  <c r="R1774" i="627"/>
  <c r="S1774" i="627"/>
  <c r="M1775" i="627"/>
  <c r="AC1775" i="627" s="1"/>
  <c r="N1775" i="627"/>
  <c r="O1775" i="627"/>
  <c r="P1775" i="627"/>
  <c r="Q1775" i="627"/>
  <c r="R1775" i="627"/>
  <c r="S1775" i="627"/>
  <c r="M1776" i="627"/>
  <c r="N1776" i="627"/>
  <c r="AC1776" i="627" s="1"/>
  <c r="O1776" i="627"/>
  <c r="P1776" i="627"/>
  <c r="Q1776" i="627"/>
  <c r="R1776" i="627"/>
  <c r="S1776" i="627"/>
  <c r="M1777" i="627"/>
  <c r="N1777" i="627"/>
  <c r="O1777" i="627"/>
  <c r="AC1777" i="627" s="1"/>
  <c r="P1777" i="627"/>
  <c r="Q1777" i="627"/>
  <c r="R1777" i="627"/>
  <c r="S1777" i="627"/>
  <c r="M1778" i="627"/>
  <c r="N1778" i="627"/>
  <c r="O1778" i="627"/>
  <c r="P1778" i="627"/>
  <c r="AC1778" i="627" s="1"/>
  <c r="Q1778" i="627"/>
  <c r="R1778" i="627"/>
  <c r="S1778" i="627"/>
  <c r="M1779" i="627"/>
  <c r="N1779" i="627"/>
  <c r="O1779" i="627"/>
  <c r="P1779" i="627"/>
  <c r="Q1779" i="627"/>
  <c r="AC1779" i="627" s="1"/>
  <c r="R1779" i="627"/>
  <c r="S1779" i="627"/>
  <c r="M1780" i="627"/>
  <c r="N1780" i="627"/>
  <c r="O1780" i="627"/>
  <c r="P1780" i="627"/>
  <c r="Q1780" i="627"/>
  <c r="R1780" i="627"/>
  <c r="AC1780" i="627" s="1"/>
  <c r="S1780" i="627"/>
  <c r="M1781" i="627"/>
  <c r="N1781" i="627"/>
  <c r="O1781" i="627"/>
  <c r="P1781" i="627"/>
  <c r="Q1781" i="627"/>
  <c r="R1781" i="627"/>
  <c r="S1781" i="627"/>
  <c r="AC1781" i="627" s="1"/>
  <c r="M1782" i="627"/>
  <c r="N1782" i="627"/>
  <c r="O1782" i="627"/>
  <c r="P1782" i="627"/>
  <c r="Q1782" i="627"/>
  <c r="R1782" i="627"/>
  <c r="S1782" i="627"/>
  <c r="M1783" i="627"/>
  <c r="AC1783" i="627" s="1"/>
  <c r="N1783" i="627"/>
  <c r="O1783" i="627"/>
  <c r="P1783" i="627"/>
  <c r="Q1783" i="627"/>
  <c r="R1783" i="627"/>
  <c r="S1783" i="627"/>
  <c r="M1784" i="627"/>
  <c r="N1784" i="627"/>
  <c r="AC1784" i="627" s="1"/>
  <c r="O1784" i="627"/>
  <c r="P1784" i="627"/>
  <c r="Q1784" i="627"/>
  <c r="R1784" i="627"/>
  <c r="S1784" i="627"/>
  <c r="M1785" i="627"/>
  <c r="N1785" i="627"/>
  <c r="O1785" i="627"/>
  <c r="AC1785" i="627" s="1"/>
  <c r="P1785" i="627"/>
  <c r="Q1785" i="627"/>
  <c r="R1785" i="627"/>
  <c r="S1785" i="627"/>
  <c r="M1786" i="627"/>
  <c r="N1786" i="627"/>
  <c r="O1786" i="627"/>
  <c r="P1786" i="627"/>
  <c r="AC1786" i="627" s="1"/>
  <c r="Q1786" i="627"/>
  <c r="R1786" i="627"/>
  <c r="S1786" i="627"/>
  <c r="M1787" i="627"/>
  <c r="N1787" i="627"/>
  <c r="O1787" i="627"/>
  <c r="P1787" i="627"/>
  <c r="Q1787" i="627"/>
  <c r="AC1787" i="627" s="1"/>
  <c r="R1787" i="627"/>
  <c r="S1787" i="627"/>
  <c r="M1788" i="627"/>
  <c r="N1788" i="627"/>
  <c r="O1788" i="627"/>
  <c r="P1788" i="627"/>
  <c r="Q1788" i="627"/>
  <c r="R1788" i="627"/>
  <c r="AC1788" i="627" s="1"/>
  <c r="S1788" i="627"/>
  <c r="M1789" i="627"/>
  <c r="N1789" i="627"/>
  <c r="O1789" i="627"/>
  <c r="P1789" i="627"/>
  <c r="Q1789" i="627"/>
  <c r="R1789" i="627"/>
  <c r="S1789" i="627"/>
  <c r="AC1789" i="627" s="1"/>
  <c r="M1790" i="627"/>
  <c r="N1790" i="627"/>
  <c r="O1790" i="627"/>
  <c r="P1790" i="627"/>
  <c r="Q1790" i="627"/>
  <c r="R1790" i="627"/>
  <c r="S1790" i="627"/>
  <c r="M1791" i="627"/>
  <c r="AC1791" i="627" s="1"/>
  <c r="N1791" i="627"/>
  <c r="O1791" i="627"/>
  <c r="P1791" i="627"/>
  <c r="Q1791" i="627"/>
  <c r="R1791" i="627"/>
  <c r="S1791" i="627"/>
  <c r="M1792" i="627"/>
  <c r="N1792" i="627"/>
  <c r="AC1792" i="627" s="1"/>
  <c r="O1792" i="627"/>
  <c r="P1792" i="627"/>
  <c r="Q1792" i="627"/>
  <c r="R1792" i="627"/>
  <c r="S1792" i="627"/>
  <c r="M1793" i="627"/>
  <c r="N1793" i="627"/>
  <c r="O1793" i="627"/>
  <c r="AC1793" i="627" s="1"/>
  <c r="P1793" i="627"/>
  <c r="Q1793" i="627"/>
  <c r="R1793" i="627"/>
  <c r="S1793" i="627"/>
  <c r="M1794" i="627"/>
  <c r="N1794" i="627"/>
  <c r="O1794" i="627"/>
  <c r="P1794" i="627"/>
  <c r="AC1794" i="627" s="1"/>
  <c r="Q1794" i="627"/>
  <c r="R1794" i="627"/>
  <c r="S1794" i="627"/>
  <c r="M1795" i="627"/>
  <c r="N1795" i="627"/>
  <c r="O1795" i="627"/>
  <c r="P1795" i="627"/>
  <c r="Q1795" i="627"/>
  <c r="AC1795" i="627" s="1"/>
  <c r="R1795" i="627"/>
  <c r="S1795" i="627"/>
  <c r="M1796" i="627"/>
  <c r="N1796" i="627"/>
  <c r="O1796" i="627"/>
  <c r="P1796" i="627"/>
  <c r="Q1796" i="627"/>
  <c r="R1796" i="627"/>
  <c r="AC1796" i="627" s="1"/>
  <c r="S1796" i="627"/>
  <c r="M1797" i="627"/>
  <c r="N1797" i="627"/>
  <c r="O1797" i="627"/>
  <c r="P1797" i="627"/>
  <c r="Q1797" i="627"/>
  <c r="R1797" i="627"/>
  <c r="S1797" i="627"/>
  <c r="AC1797" i="627" s="1"/>
  <c r="M1798" i="627"/>
  <c r="N1798" i="627"/>
  <c r="O1798" i="627"/>
  <c r="P1798" i="627"/>
  <c r="Q1798" i="627"/>
  <c r="R1798" i="627"/>
  <c r="S1798" i="627"/>
  <c r="M1799" i="627"/>
  <c r="AC1799" i="627" s="1"/>
  <c r="N1799" i="627"/>
  <c r="O1799" i="627"/>
  <c r="P1799" i="627"/>
  <c r="Q1799" i="627"/>
  <c r="R1799" i="627"/>
  <c r="S1799" i="627"/>
  <c r="M1800" i="627"/>
  <c r="N1800" i="627"/>
  <c r="AC1800" i="627" s="1"/>
  <c r="O1800" i="627"/>
  <c r="P1800" i="627"/>
  <c r="Q1800" i="627"/>
  <c r="R1800" i="627"/>
  <c r="S1800" i="627"/>
  <c r="M1801" i="627"/>
  <c r="N1801" i="627"/>
  <c r="O1801" i="627"/>
  <c r="AC1801" i="627" s="1"/>
  <c r="P1801" i="627"/>
  <c r="Q1801" i="627"/>
  <c r="R1801" i="627"/>
  <c r="S1801" i="627"/>
  <c r="M1802" i="627"/>
  <c r="N1802" i="627"/>
  <c r="O1802" i="627"/>
  <c r="P1802" i="627"/>
  <c r="AC1802" i="627" s="1"/>
  <c r="Q1802" i="627"/>
  <c r="R1802" i="627"/>
  <c r="S1802" i="627"/>
  <c r="M1803" i="627"/>
  <c r="N1803" i="627"/>
  <c r="O1803" i="627"/>
  <c r="P1803" i="627"/>
  <c r="Q1803" i="627"/>
  <c r="AC1803" i="627" s="1"/>
  <c r="R1803" i="627"/>
  <c r="S1803" i="627"/>
  <c r="M1804" i="627"/>
  <c r="N1804" i="627"/>
  <c r="O1804" i="627"/>
  <c r="P1804" i="627"/>
  <c r="Q1804" i="627"/>
  <c r="R1804" i="627"/>
  <c r="AC1804" i="627" s="1"/>
  <c r="S1804" i="627"/>
  <c r="M1805" i="627"/>
  <c r="N1805" i="627"/>
  <c r="O1805" i="627"/>
  <c r="P1805" i="627"/>
  <c r="Q1805" i="627"/>
  <c r="R1805" i="627"/>
  <c r="S1805" i="627"/>
  <c r="AC1805" i="627" s="1"/>
  <c r="M1806" i="627"/>
  <c r="N1806" i="627"/>
  <c r="O1806" i="627"/>
  <c r="P1806" i="627"/>
  <c r="Q1806" i="627"/>
  <c r="R1806" i="627"/>
  <c r="S1806" i="627"/>
  <c r="M1807" i="627"/>
  <c r="AC1807" i="627" s="1"/>
  <c r="N1807" i="627"/>
  <c r="O1807" i="627"/>
  <c r="P1807" i="627"/>
  <c r="Q1807" i="627"/>
  <c r="R1807" i="627"/>
  <c r="S1807" i="627"/>
  <c r="M1808" i="627"/>
  <c r="N1808" i="627"/>
  <c r="AC1808" i="627" s="1"/>
  <c r="O1808" i="627"/>
  <c r="P1808" i="627"/>
  <c r="Q1808" i="627"/>
  <c r="R1808" i="627"/>
  <c r="S1808" i="627"/>
  <c r="M1809" i="627"/>
  <c r="N1809" i="627"/>
  <c r="O1809" i="627"/>
  <c r="AC1809" i="627" s="1"/>
  <c r="P1809" i="627"/>
  <c r="Q1809" i="627"/>
  <c r="R1809" i="627"/>
  <c r="S1809" i="627"/>
  <c r="M1810" i="627"/>
  <c r="N1810" i="627"/>
  <c r="O1810" i="627"/>
  <c r="P1810" i="627"/>
  <c r="AC1810" i="627" s="1"/>
  <c r="Q1810" i="627"/>
  <c r="R1810" i="627"/>
  <c r="S1810" i="627"/>
  <c r="M1811" i="627"/>
  <c r="N1811" i="627"/>
  <c r="O1811" i="627"/>
  <c r="P1811" i="627"/>
  <c r="Q1811" i="627"/>
  <c r="AC1811" i="627" s="1"/>
  <c r="R1811" i="627"/>
  <c r="S1811" i="627"/>
  <c r="M1812" i="627"/>
  <c r="N1812" i="627"/>
  <c r="O1812" i="627"/>
  <c r="P1812" i="627"/>
  <c r="Q1812" i="627"/>
  <c r="R1812" i="627"/>
  <c r="AC1812" i="627" s="1"/>
  <c r="S1812" i="627"/>
  <c r="M1813" i="627"/>
  <c r="N1813" i="627"/>
  <c r="O1813" i="627"/>
  <c r="P1813" i="627"/>
  <c r="Q1813" i="627"/>
  <c r="R1813" i="627"/>
  <c r="S1813" i="627"/>
  <c r="AC1813" i="627" s="1"/>
  <c r="M1814" i="627"/>
  <c r="N1814" i="627"/>
  <c r="O1814" i="627"/>
  <c r="P1814" i="627"/>
  <c r="Q1814" i="627"/>
  <c r="R1814" i="627"/>
  <c r="S1814" i="627"/>
  <c r="M1815" i="627"/>
  <c r="AC1815" i="627" s="1"/>
  <c r="N1815" i="627"/>
  <c r="O1815" i="627"/>
  <c r="P1815" i="627"/>
  <c r="Q1815" i="627"/>
  <c r="R1815" i="627"/>
  <c r="S1815" i="627"/>
  <c r="M1816" i="627"/>
  <c r="N1816" i="627"/>
  <c r="AC1816" i="627" s="1"/>
  <c r="O1816" i="627"/>
  <c r="P1816" i="627"/>
  <c r="Q1816" i="627"/>
  <c r="R1816" i="627"/>
  <c r="S1816" i="627"/>
  <c r="M1817" i="627"/>
  <c r="N1817" i="627"/>
  <c r="O1817" i="627"/>
  <c r="AC1817" i="627" s="1"/>
  <c r="P1817" i="627"/>
  <c r="Q1817" i="627"/>
  <c r="R1817" i="627"/>
  <c r="S1817" i="627"/>
  <c r="M1818" i="627"/>
  <c r="N1818" i="627"/>
  <c r="O1818" i="627"/>
  <c r="P1818" i="627"/>
  <c r="AC1818" i="627" s="1"/>
  <c r="Q1818" i="627"/>
  <c r="R1818" i="627"/>
  <c r="S1818" i="627"/>
  <c r="M1819" i="627"/>
  <c r="N1819" i="627"/>
  <c r="O1819" i="627"/>
  <c r="P1819" i="627"/>
  <c r="Q1819" i="627"/>
  <c r="AC1819" i="627" s="1"/>
  <c r="R1819" i="627"/>
  <c r="S1819" i="627"/>
  <c r="M1820" i="627"/>
  <c r="N1820" i="627"/>
  <c r="O1820" i="627"/>
  <c r="P1820" i="627"/>
  <c r="Q1820" i="627"/>
  <c r="R1820" i="627"/>
  <c r="AC1820" i="627" s="1"/>
  <c r="S1820" i="627"/>
  <c r="M1821" i="627"/>
  <c r="N1821" i="627"/>
  <c r="O1821" i="627"/>
  <c r="P1821" i="627"/>
  <c r="Q1821" i="627"/>
  <c r="R1821" i="627"/>
  <c r="S1821" i="627"/>
  <c r="AC1821" i="627" s="1"/>
  <c r="M1822" i="627"/>
  <c r="N1822" i="627"/>
  <c r="O1822" i="627"/>
  <c r="P1822" i="627"/>
  <c r="Q1822" i="627"/>
  <c r="R1822" i="627"/>
  <c r="S1822" i="627"/>
  <c r="M1823" i="627"/>
  <c r="AC1823" i="627" s="1"/>
  <c r="N1823" i="627"/>
  <c r="O1823" i="627"/>
  <c r="P1823" i="627"/>
  <c r="Q1823" i="627"/>
  <c r="R1823" i="627"/>
  <c r="S1823" i="627"/>
  <c r="M1824" i="627"/>
  <c r="N1824" i="627"/>
  <c r="AC1824" i="627" s="1"/>
  <c r="O1824" i="627"/>
  <c r="P1824" i="627"/>
  <c r="Q1824" i="627"/>
  <c r="R1824" i="627"/>
  <c r="S1824" i="627"/>
  <c r="M1825" i="627"/>
  <c r="N1825" i="627"/>
  <c r="O1825" i="627"/>
  <c r="AC1825" i="627" s="1"/>
  <c r="P1825" i="627"/>
  <c r="Q1825" i="627"/>
  <c r="R1825" i="627"/>
  <c r="S1825" i="627"/>
  <c r="M1826" i="627"/>
  <c r="N1826" i="627"/>
  <c r="O1826" i="627"/>
  <c r="P1826" i="627"/>
  <c r="AC1826" i="627" s="1"/>
  <c r="Q1826" i="627"/>
  <c r="R1826" i="627"/>
  <c r="S1826" i="627"/>
  <c r="M1827" i="627"/>
  <c r="N1827" i="627"/>
  <c r="O1827" i="627"/>
  <c r="P1827" i="627"/>
  <c r="Q1827" i="627"/>
  <c r="AC1827" i="627" s="1"/>
  <c r="R1827" i="627"/>
  <c r="S1827" i="627"/>
  <c r="M1828" i="627"/>
  <c r="N1828" i="627"/>
  <c r="O1828" i="627"/>
  <c r="P1828" i="627"/>
  <c r="Q1828" i="627"/>
  <c r="R1828" i="627"/>
  <c r="AC1828" i="627" s="1"/>
  <c r="S1828" i="627"/>
  <c r="M1829" i="627"/>
  <c r="N1829" i="627"/>
  <c r="O1829" i="627"/>
  <c r="P1829" i="627"/>
  <c r="Q1829" i="627"/>
  <c r="R1829" i="627"/>
  <c r="S1829" i="627"/>
  <c r="AC1829" i="627" s="1"/>
  <c r="M1830" i="627"/>
  <c r="N1830" i="627"/>
  <c r="O1830" i="627"/>
  <c r="P1830" i="627"/>
  <c r="Q1830" i="627"/>
  <c r="R1830" i="627"/>
  <c r="S1830" i="627"/>
  <c r="M1831" i="627"/>
  <c r="AC1831" i="627" s="1"/>
  <c r="N1831" i="627"/>
  <c r="O1831" i="627"/>
  <c r="P1831" i="627"/>
  <c r="Q1831" i="627"/>
  <c r="R1831" i="627"/>
  <c r="S1831" i="627"/>
  <c r="M1832" i="627"/>
  <c r="N1832" i="627"/>
  <c r="AC1832" i="627" s="1"/>
  <c r="O1832" i="627"/>
  <c r="P1832" i="627"/>
  <c r="Q1832" i="627"/>
  <c r="R1832" i="627"/>
  <c r="S1832" i="627"/>
  <c r="M1833" i="627"/>
  <c r="N1833" i="627"/>
  <c r="O1833" i="627"/>
  <c r="AC1833" i="627" s="1"/>
  <c r="P1833" i="627"/>
  <c r="Q1833" i="627"/>
  <c r="R1833" i="627"/>
  <c r="S1833" i="627"/>
  <c r="M1834" i="627"/>
  <c r="N1834" i="627"/>
  <c r="O1834" i="627"/>
  <c r="P1834" i="627"/>
  <c r="AC1834" i="627" s="1"/>
  <c r="Q1834" i="627"/>
  <c r="R1834" i="627"/>
  <c r="S1834" i="627"/>
  <c r="M1835" i="627"/>
  <c r="N1835" i="627"/>
  <c r="O1835" i="627"/>
  <c r="P1835" i="627"/>
  <c r="Q1835" i="627"/>
  <c r="AC1835" i="627" s="1"/>
  <c r="R1835" i="627"/>
  <c r="S1835" i="627"/>
  <c r="M1836" i="627"/>
  <c r="N1836" i="627"/>
  <c r="O1836" i="627"/>
  <c r="P1836" i="627"/>
  <c r="Q1836" i="627"/>
  <c r="R1836" i="627"/>
  <c r="AC1836" i="627" s="1"/>
  <c r="S1836" i="627"/>
  <c r="M1837" i="627"/>
  <c r="N1837" i="627"/>
  <c r="O1837" i="627"/>
  <c r="P1837" i="627"/>
  <c r="Q1837" i="627"/>
  <c r="R1837" i="627"/>
  <c r="S1837" i="627"/>
  <c r="AC1837" i="627" s="1"/>
  <c r="M1838" i="627"/>
  <c r="N1838" i="627"/>
  <c r="O1838" i="627"/>
  <c r="P1838" i="627"/>
  <c r="Q1838" i="627"/>
  <c r="R1838" i="627"/>
  <c r="S1838" i="627"/>
  <c r="M1839" i="627"/>
  <c r="AC1839" i="627" s="1"/>
  <c r="N1839" i="627"/>
  <c r="O1839" i="627"/>
  <c r="P1839" i="627"/>
  <c r="Q1839" i="627"/>
  <c r="R1839" i="627"/>
  <c r="S1839" i="627"/>
  <c r="M1840" i="627"/>
  <c r="N1840" i="627"/>
  <c r="AC1840" i="627" s="1"/>
  <c r="O1840" i="627"/>
  <c r="P1840" i="627"/>
  <c r="Q1840" i="627"/>
  <c r="R1840" i="627"/>
  <c r="S1840" i="627"/>
  <c r="M1841" i="627"/>
  <c r="N1841" i="627"/>
  <c r="O1841" i="627"/>
  <c r="AC1841" i="627" s="1"/>
  <c r="P1841" i="627"/>
  <c r="Q1841" i="627"/>
  <c r="R1841" i="627"/>
  <c r="S1841" i="627"/>
  <c r="M1842" i="627"/>
  <c r="N1842" i="627"/>
  <c r="O1842" i="627"/>
  <c r="P1842" i="627"/>
  <c r="AC1842" i="627" s="1"/>
  <c r="Q1842" i="627"/>
  <c r="R1842" i="627"/>
  <c r="S1842" i="627"/>
  <c r="M1843" i="627"/>
  <c r="N1843" i="627"/>
  <c r="O1843" i="627"/>
  <c r="P1843" i="627"/>
  <c r="Q1843" i="627"/>
  <c r="AC1843" i="627" s="1"/>
  <c r="R1843" i="627"/>
  <c r="S1843" i="627"/>
  <c r="M1844" i="627"/>
  <c r="N1844" i="627"/>
  <c r="O1844" i="627"/>
  <c r="P1844" i="627"/>
  <c r="Q1844" i="627"/>
  <c r="R1844" i="627"/>
  <c r="AC1844" i="627" s="1"/>
  <c r="S1844" i="627"/>
  <c r="M1845" i="627"/>
  <c r="N1845" i="627"/>
  <c r="O1845" i="627"/>
  <c r="P1845" i="627"/>
  <c r="Q1845" i="627"/>
  <c r="R1845" i="627"/>
  <c r="S1845" i="627"/>
  <c r="AC1845" i="627" s="1"/>
  <c r="M1846" i="627"/>
  <c r="N1846" i="627"/>
  <c r="O1846" i="627"/>
  <c r="P1846" i="627"/>
  <c r="Q1846" i="627"/>
  <c r="R1846" i="627"/>
  <c r="S1846" i="627"/>
  <c r="M1847" i="627"/>
  <c r="AC1847" i="627" s="1"/>
  <c r="N1847" i="627"/>
  <c r="O1847" i="627"/>
  <c r="P1847" i="627"/>
  <c r="Q1847" i="627"/>
  <c r="R1847" i="627"/>
  <c r="S1847" i="627"/>
  <c r="M1848" i="627"/>
  <c r="N1848" i="627"/>
  <c r="AC1848" i="627" s="1"/>
  <c r="O1848" i="627"/>
  <c r="P1848" i="627"/>
  <c r="Q1848" i="627"/>
  <c r="R1848" i="627"/>
  <c r="S1848" i="627"/>
  <c r="M1849" i="627"/>
  <c r="N1849" i="627"/>
  <c r="O1849" i="627"/>
  <c r="AC1849" i="627" s="1"/>
  <c r="P1849" i="627"/>
  <c r="Q1849" i="627"/>
  <c r="R1849" i="627"/>
  <c r="S1849" i="627"/>
  <c r="M1850" i="627"/>
  <c r="N1850" i="627"/>
  <c r="O1850" i="627"/>
  <c r="P1850" i="627"/>
  <c r="AC1850" i="627" s="1"/>
  <c r="Q1850" i="627"/>
  <c r="R1850" i="627"/>
  <c r="S1850" i="627"/>
  <c r="M1851" i="627"/>
  <c r="N1851" i="627"/>
  <c r="O1851" i="627"/>
  <c r="P1851" i="627"/>
  <c r="Q1851" i="627"/>
  <c r="AC1851" i="627" s="1"/>
  <c r="R1851" i="627"/>
  <c r="S1851" i="627"/>
  <c r="M1852" i="627"/>
  <c r="N1852" i="627"/>
  <c r="O1852" i="627"/>
  <c r="P1852" i="627"/>
  <c r="Q1852" i="627"/>
  <c r="R1852" i="627"/>
  <c r="AC1852" i="627" s="1"/>
  <c r="S1852" i="627"/>
  <c r="M1853" i="627"/>
  <c r="N1853" i="627"/>
  <c r="O1853" i="627"/>
  <c r="P1853" i="627"/>
  <c r="Q1853" i="627"/>
  <c r="R1853" i="627"/>
  <c r="S1853" i="627"/>
  <c r="AC1853" i="627" s="1"/>
  <c r="M1854" i="627"/>
  <c r="N1854" i="627"/>
  <c r="O1854" i="627"/>
  <c r="P1854" i="627"/>
  <c r="Q1854" i="627"/>
  <c r="R1854" i="627"/>
  <c r="S1854" i="627"/>
  <c r="M1855" i="627"/>
  <c r="AC1855" i="627" s="1"/>
  <c r="N1855" i="627"/>
  <c r="O1855" i="627"/>
  <c r="P1855" i="627"/>
  <c r="Q1855" i="627"/>
  <c r="R1855" i="627"/>
  <c r="S1855" i="627"/>
  <c r="M1856" i="627"/>
  <c r="N1856" i="627"/>
  <c r="AC1856" i="627" s="1"/>
  <c r="O1856" i="627"/>
  <c r="P1856" i="627"/>
  <c r="Q1856" i="627"/>
  <c r="R1856" i="627"/>
  <c r="S1856" i="627"/>
  <c r="M1857" i="627"/>
  <c r="N1857" i="627"/>
  <c r="O1857" i="627"/>
  <c r="AC1857" i="627" s="1"/>
  <c r="P1857" i="627"/>
  <c r="Q1857" i="627"/>
  <c r="R1857" i="627"/>
  <c r="S1857" i="627"/>
  <c r="M1858" i="627"/>
  <c r="N1858" i="627"/>
  <c r="O1858" i="627"/>
  <c r="P1858" i="627"/>
  <c r="AC1858" i="627" s="1"/>
  <c r="Q1858" i="627"/>
  <c r="R1858" i="627"/>
  <c r="S1858" i="627"/>
  <c r="M1859" i="627"/>
  <c r="N1859" i="627"/>
  <c r="O1859" i="627"/>
  <c r="P1859" i="627"/>
  <c r="Q1859" i="627"/>
  <c r="AC1859" i="627" s="1"/>
  <c r="R1859" i="627"/>
  <c r="S1859" i="627"/>
  <c r="M1860" i="627"/>
  <c r="N1860" i="627"/>
  <c r="O1860" i="627"/>
  <c r="P1860" i="627"/>
  <c r="Q1860" i="627"/>
  <c r="R1860" i="627"/>
  <c r="AC1860" i="627" s="1"/>
  <c r="S1860" i="627"/>
  <c r="M1861" i="627"/>
  <c r="N1861" i="627"/>
  <c r="O1861" i="627"/>
  <c r="P1861" i="627"/>
  <c r="Q1861" i="627"/>
  <c r="R1861" i="627"/>
  <c r="S1861" i="627"/>
  <c r="AC1861" i="627" s="1"/>
  <c r="M1862" i="627"/>
  <c r="N1862" i="627"/>
  <c r="O1862" i="627"/>
  <c r="P1862" i="627"/>
  <c r="Q1862" i="627"/>
  <c r="R1862" i="627"/>
  <c r="S1862" i="627"/>
  <c r="M1863" i="627"/>
  <c r="AC1863" i="627" s="1"/>
  <c r="N1863" i="627"/>
  <c r="O1863" i="627"/>
  <c r="P1863" i="627"/>
  <c r="Q1863" i="627"/>
  <c r="R1863" i="627"/>
  <c r="S1863" i="627"/>
  <c r="M1864" i="627"/>
  <c r="N1864" i="627"/>
  <c r="AC1864" i="627" s="1"/>
  <c r="O1864" i="627"/>
  <c r="P1864" i="627"/>
  <c r="Q1864" i="627"/>
  <c r="R1864" i="627"/>
  <c r="S1864" i="627"/>
  <c r="M1865" i="627"/>
  <c r="N1865" i="627"/>
  <c r="O1865" i="627"/>
  <c r="AC1865" i="627" s="1"/>
  <c r="P1865" i="627"/>
  <c r="Q1865" i="627"/>
  <c r="R1865" i="627"/>
  <c r="S1865" i="627"/>
  <c r="M1866" i="627"/>
  <c r="N1866" i="627"/>
  <c r="O1866" i="627"/>
  <c r="P1866" i="627"/>
  <c r="AC1866" i="627" s="1"/>
  <c r="Q1866" i="627"/>
  <c r="R1866" i="627"/>
  <c r="S1866" i="627"/>
  <c r="M1867" i="627"/>
  <c r="N1867" i="627"/>
  <c r="O1867" i="627"/>
  <c r="P1867" i="627"/>
  <c r="Q1867" i="627"/>
  <c r="AC1867" i="627" s="1"/>
  <c r="R1867" i="627"/>
  <c r="S1867" i="627"/>
  <c r="M1868" i="627"/>
  <c r="N1868" i="627"/>
  <c r="O1868" i="627"/>
  <c r="P1868" i="627"/>
  <c r="Q1868" i="627"/>
  <c r="R1868" i="627"/>
  <c r="AC1868" i="627" s="1"/>
  <c r="S1868" i="627"/>
  <c r="M1869" i="627"/>
  <c r="N1869" i="627"/>
  <c r="O1869" i="627"/>
  <c r="P1869" i="627"/>
  <c r="Q1869" i="627"/>
  <c r="R1869" i="627"/>
  <c r="S1869" i="627"/>
  <c r="AC1869" i="627" s="1"/>
  <c r="M1870" i="627"/>
  <c r="N1870" i="627"/>
  <c r="O1870" i="627"/>
  <c r="P1870" i="627"/>
  <c r="Q1870" i="627"/>
  <c r="R1870" i="627"/>
  <c r="S1870" i="627"/>
  <c r="M1871" i="627"/>
  <c r="AC1871" i="627" s="1"/>
  <c r="N1871" i="627"/>
  <c r="O1871" i="627"/>
  <c r="P1871" i="627"/>
  <c r="Q1871" i="627"/>
  <c r="R1871" i="627"/>
  <c r="S1871" i="627"/>
  <c r="M1872" i="627"/>
  <c r="N1872" i="627"/>
  <c r="AC1872" i="627" s="1"/>
  <c r="O1872" i="627"/>
  <c r="P1872" i="627"/>
  <c r="Q1872" i="627"/>
  <c r="R1872" i="627"/>
  <c r="S1872" i="627"/>
  <c r="M1873" i="627"/>
  <c r="N1873" i="627"/>
  <c r="O1873" i="627"/>
  <c r="AC1873" i="627" s="1"/>
  <c r="P1873" i="627"/>
  <c r="Q1873" i="627"/>
  <c r="R1873" i="627"/>
  <c r="S1873" i="627"/>
  <c r="M1874" i="627"/>
  <c r="N1874" i="627"/>
  <c r="O1874" i="627"/>
  <c r="P1874" i="627"/>
  <c r="AC1874" i="627" s="1"/>
  <c r="Q1874" i="627"/>
  <c r="R1874" i="627"/>
  <c r="S1874" i="627"/>
  <c r="M1875" i="627"/>
  <c r="N1875" i="627"/>
  <c r="O1875" i="627"/>
  <c r="P1875" i="627"/>
  <c r="Q1875" i="627"/>
  <c r="AC1875" i="627" s="1"/>
  <c r="R1875" i="627"/>
  <c r="S1875" i="627"/>
  <c r="M1876" i="627"/>
  <c r="N1876" i="627"/>
  <c r="O1876" i="627"/>
  <c r="P1876" i="627"/>
  <c r="Q1876" i="627"/>
  <c r="R1876" i="627"/>
  <c r="AC1876" i="627" s="1"/>
  <c r="S1876" i="627"/>
  <c r="M1877" i="627"/>
  <c r="N1877" i="627"/>
  <c r="O1877" i="627"/>
  <c r="P1877" i="627"/>
  <c r="Q1877" i="627"/>
  <c r="R1877" i="627"/>
  <c r="S1877" i="627"/>
  <c r="AC1877" i="627" s="1"/>
  <c r="M1878" i="627"/>
  <c r="N1878" i="627"/>
  <c r="O1878" i="627"/>
  <c r="P1878" i="627"/>
  <c r="Q1878" i="627"/>
  <c r="R1878" i="627"/>
  <c r="S1878" i="627"/>
  <c r="M1879" i="627"/>
  <c r="AC1879" i="627" s="1"/>
  <c r="N1879" i="627"/>
  <c r="O1879" i="627"/>
  <c r="P1879" i="627"/>
  <c r="Q1879" i="627"/>
  <c r="R1879" i="627"/>
  <c r="S1879" i="627"/>
  <c r="M1880" i="627"/>
  <c r="N1880" i="627"/>
  <c r="AC1880" i="627" s="1"/>
  <c r="O1880" i="627"/>
  <c r="P1880" i="627"/>
  <c r="Q1880" i="627"/>
  <c r="R1880" i="627"/>
  <c r="S1880" i="627"/>
  <c r="M1881" i="627"/>
  <c r="N1881" i="627"/>
  <c r="O1881" i="627"/>
  <c r="AC1881" i="627" s="1"/>
  <c r="P1881" i="627"/>
  <c r="Q1881" i="627"/>
  <c r="R1881" i="627"/>
  <c r="S1881" i="627"/>
  <c r="M1882" i="627"/>
  <c r="N1882" i="627"/>
  <c r="O1882" i="627"/>
  <c r="P1882" i="627"/>
  <c r="AC1882" i="627" s="1"/>
  <c r="Q1882" i="627"/>
  <c r="R1882" i="627"/>
  <c r="S1882" i="627"/>
  <c r="M1883" i="627"/>
  <c r="N1883" i="627"/>
  <c r="O1883" i="627"/>
  <c r="P1883" i="627"/>
  <c r="Q1883" i="627"/>
  <c r="AC1883" i="627" s="1"/>
  <c r="R1883" i="627"/>
  <c r="S1883" i="627"/>
  <c r="M1884" i="627"/>
  <c r="N1884" i="627"/>
  <c r="O1884" i="627"/>
  <c r="P1884" i="627"/>
  <c r="Q1884" i="627"/>
  <c r="R1884" i="627"/>
  <c r="AC1884" i="627" s="1"/>
  <c r="S1884" i="627"/>
  <c r="M1885" i="627"/>
  <c r="N1885" i="627"/>
  <c r="O1885" i="627"/>
  <c r="P1885" i="627"/>
  <c r="Q1885" i="627"/>
  <c r="R1885" i="627"/>
  <c r="S1885" i="627"/>
  <c r="AC1885" i="627" s="1"/>
  <c r="M1886" i="627"/>
  <c r="N1886" i="627"/>
  <c r="O1886" i="627"/>
  <c r="P1886" i="627"/>
  <c r="Q1886" i="627"/>
  <c r="R1886" i="627"/>
  <c r="S1886" i="627"/>
  <c r="M1887" i="627"/>
  <c r="AC1887" i="627" s="1"/>
  <c r="N1887" i="627"/>
  <c r="O1887" i="627"/>
  <c r="P1887" i="627"/>
  <c r="Q1887" i="627"/>
  <c r="R1887" i="627"/>
  <c r="S1887" i="627"/>
  <c r="M1888" i="627"/>
  <c r="N1888" i="627"/>
  <c r="AC1888" i="627" s="1"/>
  <c r="O1888" i="627"/>
  <c r="P1888" i="627"/>
  <c r="Q1888" i="627"/>
  <c r="R1888" i="627"/>
  <c r="S1888" i="627"/>
  <c r="M1889" i="627"/>
  <c r="N1889" i="627"/>
  <c r="O1889" i="627"/>
  <c r="AC1889" i="627" s="1"/>
  <c r="P1889" i="627"/>
  <c r="Q1889" i="627"/>
  <c r="R1889" i="627"/>
  <c r="S1889" i="627"/>
  <c r="M1890" i="627"/>
  <c r="N1890" i="627"/>
  <c r="O1890" i="627"/>
  <c r="P1890" i="627"/>
  <c r="AC1890" i="627" s="1"/>
  <c r="Q1890" i="627"/>
  <c r="R1890" i="627"/>
  <c r="S1890" i="627"/>
  <c r="M1891" i="627"/>
  <c r="N1891" i="627"/>
  <c r="O1891" i="627"/>
  <c r="P1891" i="627"/>
  <c r="Q1891" i="627"/>
  <c r="AC1891" i="627" s="1"/>
  <c r="R1891" i="627"/>
  <c r="S1891" i="627"/>
  <c r="M1892" i="627"/>
  <c r="N1892" i="627"/>
  <c r="O1892" i="627"/>
  <c r="P1892" i="627"/>
  <c r="Q1892" i="627"/>
  <c r="R1892" i="627"/>
  <c r="AC1892" i="627" s="1"/>
  <c r="S1892" i="627"/>
  <c r="M1893" i="627"/>
  <c r="N1893" i="627"/>
  <c r="O1893" i="627"/>
  <c r="P1893" i="627"/>
  <c r="Q1893" i="627"/>
  <c r="R1893" i="627"/>
  <c r="S1893" i="627"/>
  <c r="AC1893" i="627" s="1"/>
  <c r="M1894" i="627"/>
  <c r="N1894" i="627"/>
  <c r="O1894" i="627"/>
  <c r="P1894" i="627"/>
  <c r="Q1894" i="627"/>
  <c r="R1894" i="627"/>
  <c r="S1894" i="627"/>
  <c r="M1895" i="627"/>
  <c r="AC1895" i="627" s="1"/>
  <c r="N1895" i="627"/>
  <c r="O1895" i="627"/>
  <c r="P1895" i="627"/>
  <c r="Q1895" i="627"/>
  <c r="R1895" i="627"/>
  <c r="S1895" i="627"/>
  <c r="M1896" i="627"/>
  <c r="N1896" i="627"/>
  <c r="AC1896" i="627" s="1"/>
  <c r="O1896" i="627"/>
  <c r="P1896" i="627"/>
  <c r="Q1896" i="627"/>
  <c r="R1896" i="627"/>
  <c r="S1896" i="627"/>
  <c r="M1897" i="627"/>
  <c r="N1897" i="627"/>
  <c r="O1897" i="627"/>
  <c r="AC1897" i="627" s="1"/>
  <c r="P1897" i="627"/>
  <c r="Q1897" i="627"/>
  <c r="R1897" i="627"/>
  <c r="S1897" i="627"/>
  <c r="M1898" i="627"/>
  <c r="N1898" i="627"/>
  <c r="O1898" i="627"/>
  <c r="P1898" i="627"/>
  <c r="AC1898" i="627" s="1"/>
  <c r="Q1898" i="627"/>
  <c r="R1898" i="627"/>
  <c r="S1898" i="627"/>
  <c r="M1899" i="627"/>
  <c r="N1899" i="627"/>
  <c r="O1899" i="627"/>
  <c r="P1899" i="627"/>
  <c r="Q1899" i="627"/>
  <c r="AC1899" i="627" s="1"/>
  <c r="R1899" i="627"/>
  <c r="S1899" i="627"/>
  <c r="M1900" i="627"/>
  <c r="N1900" i="627"/>
  <c r="O1900" i="627"/>
  <c r="P1900" i="627"/>
  <c r="Q1900" i="627"/>
  <c r="R1900" i="627"/>
  <c r="AC1900" i="627" s="1"/>
  <c r="S1900" i="627"/>
  <c r="M1901" i="627"/>
  <c r="N1901" i="627"/>
  <c r="O1901" i="627"/>
  <c r="P1901" i="627"/>
  <c r="Q1901" i="627"/>
  <c r="R1901" i="627"/>
  <c r="S1901" i="627"/>
  <c r="AC1901" i="627" s="1"/>
  <c r="M1902" i="627"/>
  <c r="N1902" i="627"/>
  <c r="O1902" i="627"/>
  <c r="P1902" i="627"/>
  <c r="Q1902" i="627"/>
  <c r="R1902" i="627"/>
  <c r="S1902" i="627"/>
  <c r="M1903" i="627"/>
  <c r="AC1903" i="627" s="1"/>
  <c r="N1903" i="627"/>
  <c r="O1903" i="627"/>
  <c r="P1903" i="627"/>
  <c r="Q1903" i="627"/>
  <c r="R1903" i="627"/>
  <c r="S1903" i="627"/>
  <c r="M1904" i="627"/>
  <c r="N1904" i="627"/>
  <c r="AC1904" i="627" s="1"/>
  <c r="O1904" i="627"/>
  <c r="P1904" i="627"/>
  <c r="Q1904" i="627"/>
  <c r="R1904" i="627"/>
  <c r="S1904" i="627"/>
  <c r="M1905" i="627"/>
  <c r="N1905" i="627"/>
  <c r="O1905" i="627"/>
  <c r="AC1905" i="627" s="1"/>
  <c r="P1905" i="627"/>
  <c r="Q1905" i="627"/>
  <c r="R1905" i="627"/>
  <c r="S1905" i="627"/>
  <c r="M1906" i="627"/>
  <c r="N1906" i="627"/>
  <c r="O1906" i="627"/>
  <c r="P1906" i="627"/>
  <c r="AC1906" i="627" s="1"/>
  <c r="Q1906" i="627"/>
  <c r="R1906" i="627"/>
  <c r="S1906" i="627"/>
  <c r="M1907" i="627"/>
  <c r="N1907" i="627"/>
  <c r="O1907" i="627"/>
  <c r="P1907" i="627"/>
  <c r="Q1907" i="627"/>
  <c r="AC1907" i="627" s="1"/>
  <c r="R1907" i="627"/>
  <c r="S1907" i="627"/>
  <c r="M1908" i="627"/>
  <c r="N1908" i="627"/>
  <c r="O1908" i="627"/>
  <c r="P1908" i="627"/>
  <c r="Q1908" i="627"/>
  <c r="R1908" i="627"/>
  <c r="AC1908" i="627" s="1"/>
  <c r="S1908" i="627"/>
  <c r="M1909" i="627"/>
  <c r="N1909" i="627"/>
  <c r="O1909" i="627"/>
  <c r="P1909" i="627"/>
  <c r="Q1909" i="627"/>
  <c r="R1909" i="627"/>
  <c r="S1909" i="627"/>
  <c r="AC1909" i="627" s="1"/>
  <c r="M1910" i="627"/>
  <c r="N1910" i="627"/>
  <c r="O1910" i="627"/>
  <c r="P1910" i="627"/>
  <c r="Q1910" i="627"/>
  <c r="R1910" i="627"/>
  <c r="S1910" i="627"/>
  <c r="M1911" i="627"/>
  <c r="AC1911" i="627" s="1"/>
  <c r="N1911" i="627"/>
  <c r="O1911" i="627"/>
  <c r="P1911" i="627"/>
  <c r="Q1911" i="627"/>
  <c r="R1911" i="627"/>
  <c r="S1911" i="627"/>
  <c r="M1912" i="627"/>
  <c r="N1912" i="627"/>
  <c r="AC1912" i="627" s="1"/>
  <c r="O1912" i="627"/>
  <c r="P1912" i="627"/>
  <c r="Q1912" i="627"/>
  <c r="R1912" i="627"/>
  <c r="S1912" i="627"/>
  <c r="M1913" i="627"/>
  <c r="N1913" i="627"/>
  <c r="O1913" i="627"/>
  <c r="AC1913" i="627" s="1"/>
  <c r="P1913" i="627"/>
  <c r="Q1913" i="627"/>
  <c r="R1913" i="627"/>
  <c r="S1913" i="627"/>
  <c r="M1914" i="627"/>
  <c r="N1914" i="627"/>
  <c r="O1914" i="627"/>
  <c r="P1914" i="627"/>
  <c r="AC1914" i="627" s="1"/>
  <c r="Q1914" i="627"/>
  <c r="R1914" i="627"/>
  <c r="S1914" i="627"/>
  <c r="M1915" i="627"/>
  <c r="N1915" i="627"/>
  <c r="O1915" i="627"/>
  <c r="P1915" i="627"/>
  <c r="Q1915" i="627"/>
  <c r="AC1915" i="627" s="1"/>
  <c r="R1915" i="627"/>
  <c r="S1915" i="627"/>
  <c r="M1916" i="627"/>
  <c r="N1916" i="627"/>
  <c r="O1916" i="627"/>
  <c r="P1916" i="627"/>
  <c r="Q1916" i="627"/>
  <c r="R1916" i="627"/>
  <c r="AC1916" i="627" s="1"/>
  <c r="S1916" i="627"/>
  <c r="M1917" i="627"/>
  <c r="N1917" i="627"/>
  <c r="O1917" i="627"/>
  <c r="P1917" i="627"/>
  <c r="Q1917" i="627"/>
  <c r="R1917" i="627"/>
  <c r="S1917" i="627"/>
  <c r="AC1917" i="627" s="1"/>
  <c r="M1918" i="627"/>
  <c r="N1918" i="627"/>
  <c r="O1918" i="627"/>
  <c r="P1918" i="627"/>
  <c r="Q1918" i="627"/>
  <c r="R1918" i="627"/>
  <c r="S1918" i="627"/>
  <c r="M1919" i="627"/>
  <c r="AC1919" i="627" s="1"/>
  <c r="N1919" i="627"/>
  <c r="O1919" i="627"/>
  <c r="P1919" i="627"/>
  <c r="Q1919" i="627"/>
  <c r="R1919" i="627"/>
  <c r="S1919" i="627"/>
  <c r="M1920" i="627"/>
  <c r="N1920" i="627"/>
  <c r="AC1920" i="627" s="1"/>
  <c r="O1920" i="627"/>
  <c r="P1920" i="627"/>
  <c r="Q1920" i="627"/>
  <c r="R1920" i="627"/>
  <c r="S1920" i="627"/>
  <c r="M1921" i="627"/>
  <c r="N1921" i="627"/>
  <c r="O1921" i="627"/>
  <c r="AC1921" i="627" s="1"/>
  <c r="P1921" i="627"/>
  <c r="Q1921" i="627"/>
  <c r="R1921" i="627"/>
  <c r="S1921" i="627"/>
  <c r="M1922" i="627"/>
  <c r="N1922" i="627"/>
  <c r="O1922" i="627"/>
  <c r="P1922" i="627"/>
  <c r="AC1922" i="627" s="1"/>
  <c r="Q1922" i="627"/>
  <c r="R1922" i="627"/>
  <c r="S1922" i="627"/>
  <c r="M1923" i="627"/>
  <c r="N1923" i="627"/>
  <c r="O1923" i="627"/>
  <c r="P1923" i="627"/>
  <c r="Q1923" i="627"/>
  <c r="AC1923" i="627" s="1"/>
  <c r="R1923" i="627"/>
  <c r="S1923" i="627"/>
  <c r="M1924" i="627"/>
  <c r="N1924" i="627"/>
  <c r="O1924" i="627"/>
  <c r="P1924" i="627"/>
  <c r="Q1924" i="627"/>
  <c r="R1924" i="627"/>
  <c r="AC1924" i="627" s="1"/>
  <c r="S1924" i="627"/>
  <c r="M1925" i="627"/>
  <c r="N1925" i="627"/>
  <c r="O1925" i="627"/>
  <c r="P1925" i="627"/>
  <c r="Q1925" i="627"/>
  <c r="R1925" i="627"/>
  <c r="S1925" i="627"/>
  <c r="AC1925" i="627" s="1"/>
  <c r="M1926" i="627"/>
  <c r="N1926" i="627"/>
  <c r="O1926" i="627"/>
  <c r="P1926" i="627"/>
  <c r="Q1926" i="627"/>
  <c r="R1926" i="627"/>
  <c r="S1926" i="627"/>
  <c r="M1927" i="627"/>
  <c r="AC1927" i="627" s="1"/>
  <c r="N1927" i="627"/>
  <c r="O1927" i="627"/>
  <c r="P1927" i="627"/>
  <c r="Q1927" i="627"/>
  <c r="R1927" i="627"/>
  <c r="S1927" i="627"/>
  <c r="M1928" i="627"/>
  <c r="N1928" i="627"/>
  <c r="AC1928" i="627" s="1"/>
  <c r="O1928" i="627"/>
  <c r="P1928" i="627"/>
  <c r="Q1928" i="627"/>
  <c r="R1928" i="627"/>
  <c r="S1928" i="627"/>
  <c r="M1929" i="627"/>
  <c r="N1929" i="627"/>
  <c r="O1929" i="627"/>
  <c r="AC1929" i="627" s="1"/>
  <c r="P1929" i="627"/>
  <c r="Q1929" i="627"/>
  <c r="R1929" i="627"/>
  <c r="S1929" i="627"/>
  <c r="M1930" i="627"/>
  <c r="N1930" i="627"/>
  <c r="O1930" i="627"/>
  <c r="P1930" i="627"/>
  <c r="AC1930" i="627" s="1"/>
  <c r="Q1930" i="627"/>
  <c r="R1930" i="627"/>
  <c r="S1930" i="627"/>
  <c r="M1931" i="627"/>
  <c r="N1931" i="627"/>
  <c r="O1931" i="627"/>
  <c r="P1931" i="627"/>
  <c r="Q1931" i="627"/>
  <c r="AC1931" i="627" s="1"/>
  <c r="R1931" i="627"/>
  <c r="S1931" i="627"/>
  <c r="M1932" i="627"/>
  <c r="N1932" i="627"/>
  <c r="O1932" i="627"/>
  <c r="P1932" i="627"/>
  <c r="Q1932" i="627"/>
  <c r="R1932" i="627"/>
  <c r="AC1932" i="627" s="1"/>
  <c r="S1932" i="627"/>
  <c r="M1933" i="627"/>
  <c r="N1933" i="627"/>
  <c r="O1933" i="627"/>
  <c r="P1933" i="627"/>
  <c r="Q1933" i="627"/>
  <c r="R1933" i="627"/>
  <c r="S1933" i="627"/>
  <c r="AC1933" i="627" s="1"/>
  <c r="M1934" i="627"/>
  <c r="N1934" i="627"/>
  <c r="O1934" i="627"/>
  <c r="P1934" i="627"/>
  <c r="Q1934" i="627"/>
  <c r="R1934" i="627"/>
  <c r="S1934" i="627"/>
  <c r="M1935" i="627"/>
  <c r="AC1935" i="627" s="1"/>
  <c r="N1935" i="627"/>
  <c r="O1935" i="627"/>
  <c r="P1935" i="627"/>
  <c r="Q1935" i="627"/>
  <c r="R1935" i="627"/>
  <c r="S1935" i="627"/>
  <c r="M1936" i="627"/>
  <c r="N1936" i="627"/>
  <c r="AC1936" i="627" s="1"/>
  <c r="O1936" i="627"/>
  <c r="P1936" i="627"/>
  <c r="Q1936" i="627"/>
  <c r="R1936" i="627"/>
  <c r="S1936" i="627"/>
  <c r="M1937" i="627"/>
  <c r="N1937" i="627"/>
  <c r="O1937" i="627"/>
  <c r="AC1937" i="627" s="1"/>
  <c r="P1937" i="627"/>
  <c r="Q1937" i="627"/>
  <c r="R1937" i="627"/>
  <c r="S1937" i="627"/>
  <c r="M1938" i="627"/>
  <c r="N1938" i="627"/>
  <c r="O1938" i="627"/>
  <c r="P1938" i="627"/>
  <c r="AC1938" i="627" s="1"/>
  <c r="Q1938" i="627"/>
  <c r="R1938" i="627"/>
  <c r="S1938" i="627"/>
  <c r="M1939" i="627"/>
  <c r="N1939" i="627"/>
  <c r="O1939" i="627"/>
  <c r="P1939" i="627"/>
  <c r="Q1939" i="627"/>
  <c r="AC1939" i="627" s="1"/>
  <c r="R1939" i="627"/>
  <c r="S1939" i="627"/>
  <c r="M1940" i="627"/>
  <c r="N1940" i="627"/>
  <c r="O1940" i="627"/>
  <c r="P1940" i="627"/>
  <c r="Q1940" i="627"/>
  <c r="R1940" i="627"/>
  <c r="AC1940" i="627" s="1"/>
  <c r="S1940" i="627"/>
  <c r="M1941" i="627"/>
  <c r="N1941" i="627"/>
  <c r="O1941" i="627"/>
  <c r="P1941" i="627"/>
  <c r="Q1941" i="627"/>
  <c r="R1941" i="627"/>
  <c r="S1941" i="627"/>
  <c r="AC1941" i="627" s="1"/>
  <c r="M1942" i="627"/>
  <c r="N1942" i="627"/>
  <c r="O1942" i="627"/>
  <c r="P1942" i="627"/>
  <c r="Q1942" i="627"/>
  <c r="R1942" i="627"/>
  <c r="S1942" i="627"/>
  <c r="M1943" i="627"/>
  <c r="AC1943" i="627" s="1"/>
  <c r="N1943" i="627"/>
  <c r="O1943" i="627"/>
  <c r="P1943" i="627"/>
  <c r="Q1943" i="627"/>
  <c r="R1943" i="627"/>
  <c r="S1943" i="627"/>
  <c r="M1944" i="627"/>
  <c r="N1944" i="627"/>
  <c r="AC1944" i="627" s="1"/>
  <c r="O1944" i="627"/>
  <c r="P1944" i="627"/>
  <c r="Q1944" i="627"/>
  <c r="R1944" i="627"/>
  <c r="S1944" i="627"/>
  <c r="M1945" i="627"/>
  <c r="N1945" i="627"/>
  <c r="O1945" i="627"/>
  <c r="AC1945" i="627" s="1"/>
  <c r="P1945" i="627"/>
  <c r="Q1945" i="627"/>
  <c r="R1945" i="627"/>
  <c r="S1945" i="627"/>
  <c r="M1946" i="627"/>
  <c r="N1946" i="627"/>
  <c r="O1946" i="627"/>
  <c r="P1946" i="627"/>
  <c r="AC1946" i="627" s="1"/>
  <c r="Q1946" i="627"/>
  <c r="R1946" i="627"/>
  <c r="S1946" i="627"/>
  <c r="M1947" i="627"/>
  <c r="N1947" i="627"/>
  <c r="O1947" i="627"/>
  <c r="P1947" i="627"/>
  <c r="Q1947" i="627"/>
  <c r="AC1947" i="627" s="1"/>
  <c r="R1947" i="627"/>
  <c r="S1947" i="627"/>
  <c r="M1948" i="627"/>
  <c r="N1948" i="627"/>
  <c r="O1948" i="627"/>
  <c r="P1948" i="627"/>
  <c r="Q1948" i="627"/>
  <c r="R1948" i="627"/>
  <c r="AC1948" i="627" s="1"/>
  <c r="S1948" i="627"/>
  <c r="M1949" i="627"/>
  <c r="N1949" i="627"/>
  <c r="O1949" i="627"/>
  <c r="P1949" i="627"/>
  <c r="Q1949" i="627"/>
  <c r="R1949" i="627"/>
  <c r="S1949" i="627"/>
  <c r="AC1949" i="627" s="1"/>
  <c r="M1950" i="627"/>
  <c r="N1950" i="627"/>
  <c r="O1950" i="627"/>
  <c r="P1950" i="627"/>
  <c r="Q1950" i="627"/>
  <c r="R1950" i="627"/>
  <c r="S1950" i="627"/>
  <c r="M1951" i="627"/>
  <c r="AC1951" i="627" s="1"/>
  <c r="N1951" i="627"/>
  <c r="O1951" i="627"/>
  <c r="P1951" i="627"/>
  <c r="Q1951" i="627"/>
  <c r="R1951" i="627"/>
  <c r="S1951" i="627"/>
  <c r="M1952" i="627"/>
  <c r="N1952" i="627"/>
  <c r="AC1952" i="627" s="1"/>
  <c r="O1952" i="627"/>
  <c r="P1952" i="627"/>
  <c r="Q1952" i="627"/>
  <c r="R1952" i="627"/>
  <c r="S1952" i="627"/>
  <c r="M1953" i="627"/>
  <c r="N1953" i="627"/>
  <c r="O1953" i="627"/>
  <c r="AC1953" i="627" s="1"/>
  <c r="P1953" i="627"/>
  <c r="Q1953" i="627"/>
  <c r="R1953" i="627"/>
  <c r="S1953" i="627"/>
  <c r="M1954" i="627"/>
  <c r="N1954" i="627"/>
  <c r="O1954" i="627"/>
  <c r="P1954" i="627"/>
  <c r="AC1954" i="627" s="1"/>
  <c r="Q1954" i="627"/>
  <c r="R1954" i="627"/>
  <c r="S1954" i="627"/>
  <c r="M1955" i="627"/>
  <c r="N1955" i="627"/>
  <c r="O1955" i="627"/>
  <c r="P1955" i="627"/>
  <c r="Q1955" i="627"/>
  <c r="AC1955" i="627" s="1"/>
  <c r="R1955" i="627"/>
  <c r="S1955" i="627"/>
  <c r="M1956" i="627"/>
  <c r="N1956" i="627"/>
  <c r="O1956" i="627"/>
  <c r="P1956" i="627"/>
  <c r="Q1956" i="627"/>
  <c r="R1956" i="627"/>
  <c r="AC1956" i="627" s="1"/>
  <c r="S1956" i="627"/>
  <c r="M1957" i="627"/>
  <c r="N1957" i="627"/>
  <c r="O1957" i="627"/>
  <c r="P1957" i="627"/>
  <c r="Q1957" i="627"/>
  <c r="R1957" i="627"/>
  <c r="S1957" i="627"/>
  <c r="AC1957" i="627" s="1"/>
  <c r="M1958" i="627"/>
  <c r="N1958" i="627"/>
  <c r="O1958" i="627"/>
  <c r="P1958" i="627"/>
  <c r="Q1958" i="627"/>
  <c r="R1958" i="627"/>
  <c r="S1958" i="627"/>
  <c r="M1959" i="627"/>
  <c r="AC1959" i="627" s="1"/>
  <c r="N1959" i="627"/>
  <c r="O1959" i="627"/>
  <c r="P1959" i="627"/>
  <c r="Q1959" i="627"/>
  <c r="R1959" i="627"/>
  <c r="S1959" i="627"/>
  <c r="M1960" i="627"/>
  <c r="N1960" i="627"/>
  <c r="AC1960" i="627" s="1"/>
  <c r="O1960" i="627"/>
  <c r="P1960" i="627"/>
  <c r="Q1960" i="627"/>
  <c r="R1960" i="627"/>
  <c r="S1960" i="627"/>
  <c r="M1961" i="627"/>
  <c r="N1961" i="627"/>
  <c r="O1961" i="627"/>
  <c r="AC1961" i="627" s="1"/>
  <c r="P1961" i="627"/>
  <c r="Q1961" i="627"/>
  <c r="R1961" i="627"/>
  <c r="S1961" i="627"/>
  <c r="M1962" i="627"/>
  <c r="N1962" i="627"/>
  <c r="O1962" i="627"/>
  <c r="P1962" i="627"/>
  <c r="AC1962" i="627" s="1"/>
  <c r="Q1962" i="627"/>
  <c r="R1962" i="627"/>
  <c r="S1962" i="627"/>
  <c r="M1963" i="627"/>
  <c r="N1963" i="627"/>
  <c r="O1963" i="627"/>
  <c r="P1963" i="627"/>
  <c r="Q1963" i="627"/>
  <c r="AC1963" i="627" s="1"/>
  <c r="R1963" i="627"/>
  <c r="S1963" i="627"/>
  <c r="M1964" i="627"/>
  <c r="N1964" i="627"/>
  <c r="O1964" i="627"/>
  <c r="P1964" i="627"/>
  <c r="Q1964" i="627"/>
  <c r="R1964" i="627"/>
  <c r="AC1964" i="627" s="1"/>
  <c r="S1964" i="627"/>
  <c r="M1965" i="627"/>
  <c r="N1965" i="627"/>
  <c r="O1965" i="627"/>
  <c r="P1965" i="627"/>
  <c r="Q1965" i="627"/>
  <c r="R1965" i="627"/>
  <c r="S1965" i="627"/>
  <c r="AC1965" i="627" s="1"/>
  <c r="M1966" i="627"/>
  <c r="N1966" i="627"/>
  <c r="O1966" i="627"/>
  <c r="P1966" i="627"/>
  <c r="Q1966" i="627"/>
  <c r="R1966" i="627"/>
  <c r="S1966" i="627"/>
  <c r="M1967" i="627"/>
  <c r="AC1967" i="627" s="1"/>
  <c r="N1967" i="627"/>
  <c r="O1967" i="627"/>
  <c r="P1967" i="627"/>
  <c r="Q1967" i="627"/>
  <c r="R1967" i="627"/>
  <c r="S1967" i="627"/>
  <c r="M1968" i="627"/>
  <c r="N1968" i="627"/>
  <c r="AC1968" i="627" s="1"/>
  <c r="O1968" i="627"/>
  <c r="P1968" i="627"/>
  <c r="Q1968" i="627"/>
  <c r="R1968" i="627"/>
  <c r="S1968" i="627"/>
  <c r="M1969" i="627"/>
  <c r="N1969" i="627"/>
  <c r="O1969" i="627"/>
  <c r="AC1969" i="627" s="1"/>
  <c r="P1969" i="627"/>
  <c r="Q1969" i="627"/>
  <c r="R1969" i="627"/>
  <c r="S1969" i="627"/>
  <c r="M1970" i="627"/>
  <c r="N1970" i="627"/>
  <c r="O1970" i="627"/>
  <c r="P1970" i="627"/>
  <c r="AC1970" i="627" s="1"/>
  <c r="Q1970" i="627"/>
  <c r="R1970" i="627"/>
  <c r="S1970" i="627"/>
  <c r="M1971" i="627"/>
  <c r="N1971" i="627"/>
  <c r="O1971" i="627"/>
  <c r="P1971" i="627"/>
  <c r="Q1971" i="627"/>
  <c r="AC1971" i="627" s="1"/>
  <c r="R1971" i="627"/>
  <c r="S1971" i="627"/>
  <c r="M1972" i="627"/>
  <c r="N1972" i="627"/>
  <c r="O1972" i="627"/>
  <c r="P1972" i="627"/>
  <c r="Q1972" i="627"/>
  <c r="R1972" i="627"/>
  <c r="AC1972" i="627" s="1"/>
  <c r="S1972" i="627"/>
  <c r="M1973" i="627"/>
  <c r="N1973" i="627"/>
  <c r="O1973" i="627"/>
  <c r="P1973" i="627"/>
  <c r="Q1973" i="627"/>
  <c r="R1973" i="627"/>
  <c r="S1973" i="627"/>
  <c r="AC1973" i="627" s="1"/>
  <c r="M1974" i="627"/>
  <c r="N1974" i="627"/>
  <c r="O1974" i="627"/>
  <c r="P1974" i="627"/>
  <c r="Q1974" i="627"/>
  <c r="R1974" i="627"/>
  <c r="S1974" i="627"/>
  <c r="M1975" i="627"/>
  <c r="AC1975" i="627" s="1"/>
  <c r="N1975" i="627"/>
  <c r="O1975" i="627"/>
  <c r="P1975" i="627"/>
  <c r="Q1975" i="627"/>
  <c r="R1975" i="627"/>
  <c r="S1975" i="627"/>
  <c r="M1976" i="627"/>
  <c r="N1976" i="627"/>
  <c r="AC1976" i="627" s="1"/>
  <c r="O1976" i="627"/>
  <c r="P1976" i="627"/>
  <c r="Q1976" i="627"/>
  <c r="R1976" i="627"/>
  <c r="S1976" i="627"/>
  <c r="M1977" i="627"/>
  <c r="N1977" i="627"/>
  <c r="O1977" i="627"/>
  <c r="AC1977" i="627" s="1"/>
  <c r="P1977" i="627"/>
  <c r="Q1977" i="627"/>
  <c r="R1977" i="627"/>
  <c r="S1977" i="627"/>
  <c r="M1978" i="627"/>
  <c r="N1978" i="627"/>
  <c r="O1978" i="627"/>
  <c r="P1978" i="627"/>
  <c r="AC1978" i="627" s="1"/>
  <c r="Q1978" i="627"/>
  <c r="R1978" i="627"/>
  <c r="S1978" i="627"/>
  <c r="M1979" i="627"/>
  <c r="N1979" i="627"/>
  <c r="O1979" i="627"/>
  <c r="P1979" i="627"/>
  <c r="Q1979" i="627"/>
  <c r="AC1979" i="627" s="1"/>
  <c r="R1979" i="627"/>
  <c r="S1979" i="627"/>
  <c r="M1980" i="627"/>
  <c r="N1980" i="627"/>
  <c r="O1980" i="627"/>
  <c r="P1980" i="627"/>
  <c r="Q1980" i="627"/>
  <c r="R1980" i="627"/>
  <c r="AC1980" i="627" s="1"/>
  <c r="S1980" i="627"/>
  <c r="M1981" i="627"/>
  <c r="N1981" i="627"/>
  <c r="O1981" i="627"/>
  <c r="P1981" i="627"/>
  <c r="Q1981" i="627"/>
  <c r="R1981" i="627"/>
  <c r="S1981" i="627"/>
  <c r="AC1981" i="627" s="1"/>
  <c r="M1982" i="627"/>
  <c r="N1982" i="627"/>
  <c r="O1982" i="627"/>
  <c r="P1982" i="627"/>
  <c r="Q1982" i="627"/>
  <c r="R1982" i="627"/>
  <c r="S1982" i="627"/>
  <c r="M1983" i="627"/>
  <c r="AC1983" i="627" s="1"/>
  <c r="N1983" i="627"/>
  <c r="O1983" i="627"/>
  <c r="P1983" i="627"/>
  <c r="Q1983" i="627"/>
  <c r="R1983" i="627"/>
  <c r="S1983" i="627"/>
  <c r="M1984" i="627"/>
  <c r="N1984" i="627"/>
  <c r="AC1984" i="627" s="1"/>
  <c r="O1984" i="627"/>
  <c r="P1984" i="627"/>
  <c r="Q1984" i="627"/>
  <c r="R1984" i="627"/>
  <c r="S1984" i="627"/>
  <c r="M1985" i="627"/>
  <c r="N1985" i="627"/>
  <c r="O1985" i="627"/>
  <c r="AC1985" i="627" s="1"/>
  <c r="P1985" i="627"/>
  <c r="Q1985" i="627"/>
  <c r="R1985" i="627"/>
  <c r="S1985" i="627"/>
  <c r="M1986" i="627"/>
  <c r="N1986" i="627"/>
  <c r="O1986" i="627"/>
  <c r="P1986" i="627"/>
  <c r="AC1986" i="627" s="1"/>
  <c r="Q1986" i="627"/>
  <c r="R1986" i="627"/>
  <c r="S1986" i="627"/>
  <c r="M1987" i="627"/>
  <c r="N1987" i="627"/>
  <c r="O1987" i="627"/>
  <c r="P1987" i="627"/>
  <c r="Q1987" i="627"/>
  <c r="AC1987" i="627" s="1"/>
  <c r="R1987" i="627"/>
  <c r="S1987" i="627"/>
  <c r="M1988" i="627"/>
  <c r="N1988" i="627"/>
  <c r="O1988" i="627"/>
  <c r="P1988" i="627"/>
  <c r="Q1988" i="627"/>
  <c r="R1988" i="627"/>
  <c r="AC1988" i="627" s="1"/>
  <c r="S1988" i="627"/>
  <c r="M1989" i="627"/>
  <c r="N1989" i="627"/>
  <c r="O1989" i="627"/>
  <c r="P1989" i="627"/>
  <c r="Q1989" i="627"/>
  <c r="R1989" i="627"/>
  <c r="S1989" i="627"/>
  <c r="AC1989" i="627" s="1"/>
  <c r="M1990" i="627"/>
  <c r="N1990" i="627"/>
  <c r="O1990" i="627"/>
  <c r="P1990" i="627"/>
  <c r="Q1990" i="627"/>
  <c r="R1990" i="627"/>
  <c r="S1990" i="627"/>
  <c r="M1991" i="627"/>
  <c r="AC1991" i="627" s="1"/>
  <c r="N1991" i="627"/>
  <c r="O1991" i="627"/>
  <c r="P1991" i="627"/>
  <c r="Q1991" i="627"/>
  <c r="R1991" i="627"/>
  <c r="S1991" i="627"/>
  <c r="M1992" i="627"/>
  <c r="N1992" i="627"/>
  <c r="AC1992" i="627" s="1"/>
  <c r="O1992" i="627"/>
  <c r="P1992" i="627"/>
  <c r="Q1992" i="627"/>
  <c r="R1992" i="627"/>
  <c r="S1992" i="627"/>
  <c r="M1993" i="627"/>
  <c r="N1993" i="627"/>
  <c r="O1993" i="627"/>
  <c r="AC1993" i="627" s="1"/>
  <c r="P1993" i="627"/>
  <c r="Q1993" i="627"/>
  <c r="R1993" i="627"/>
  <c r="S1993" i="627"/>
  <c r="M1994" i="627"/>
  <c r="N1994" i="627"/>
  <c r="O1994" i="627"/>
  <c r="P1994" i="627"/>
  <c r="AC1994" i="627" s="1"/>
  <c r="Q1994" i="627"/>
  <c r="R1994" i="627"/>
  <c r="S1994" i="627"/>
  <c r="M1995" i="627"/>
  <c r="N1995" i="627"/>
  <c r="O1995" i="627"/>
  <c r="P1995" i="627"/>
  <c r="Q1995" i="627"/>
  <c r="AC1995" i="627" s="1"/>
  <c r="R1995" i="627"/>
  <c r="S1995" i="627"/>
  <c r="M1996" i="627"/>
  <c r="N1996" i="627"/>
  <c r="O1996" i="627"/>
  <c r="P1996" i="627"/>
  <c r="Q1996" i="627"/>
  <c r="R1996" i="627"/>
  <c r="AC1996" i="627" s="1"/>
  <c r="S1996" i="627"/>
  <c r="M1997" i="627"/>
  <c r="N1997" i="627"/>
  <c r="O1997" i="627"/>
  <c r="P1997" i="627"/>
  <c r="Q1997" i="627"/>
  <c r="R1997" i="627"/>
  <c r="S1997" i="627"/>
  <c r="AC1997" i="627" s="1"/>
  <c r="M1998" i="627"/>
  <c r="N1998" i="627"/>
  <c r="O1998" i="627"/>
  <c r="P1998" i="627"/>
  <c r="Q1998" i="627"/>
  <c r="R1998" i="627"/>
  <c r="S1998" i="627"/>
  <c r="M1999" i="627"/>
  <c r="AC1999" i="627" s="1"/>
  <c r="N1999" i="627"/>
  <c r="O1999" i="627"/>
  <c r="P1999" i="627"/>
  <c r="Q1999" i="627"/>
  <c r="R1999" i="627"/>
  <c r="S1999" i="627"/>
  <c r="M2000" i="627"/>
  <c r="N2000" i="627"/>
  <c r="AC2000" i="627" s="1"/>
  <c r="O2000" i="627"/>
  <c r="P2000" i="627"/>
  <c r="Q2000" i="627"/>
  <c r="R2000" i="627"/>
  <c r="S2000" i="627"/>
  <c r="M2001" i="627"/>
  <c r="N2001" i="627"/>
  <c r="O2001" i="627"/>
  <c r="AC2001" i="627" s="1"/>
  <c r="P2001" i="627"/>
  <c r="Q2001" i="627"/>
  <c r="R2001" i="627"/>
  <c r="S2001" i="627"/>
  <c r="M2002" i="627"/>
  <c r="N2002" i="627"/>
  <c r="O2002" i="627"/>
  <c r="P2002" i="627"/>
  <c r="AC2002" i="627" s="1"/>
  <c r="Q2002" i="627"/>
  <c r="R2002" i="627"/>
  <c r="S2002" i="627"/>
  <c r="M2003" i="627"/>
  <c r="N2003" i="627"/>
  <c r="O2003" i="627"/>
  <c r="P2003" i="627"/>
  <c r="Q2003" i="627"/>
  <c r="AC2003" i="627" s="1"/>
  <c r="R2003" i="627"/>
  <c r="S2003" i="627"/>
  <c r="M2004" i="627"/>
  <c r="N2004" i="627"/>
  <c r="O2004" i="627"/>
  <c r="P2004" i="627"/>
  <c r="Q2004" i="627"/>
  <c r="R2004" i="627"/>
  <c r="AC2004" i="627" s="1"/>
  <c r="S2004" i="627"/>
  <c r="N5" i="627"/>
  <c r="O5" i="627"/>
  <c r="P5" i="627"/>
  <c r="Q5" i="627"/>
  <c r="R5" i="627"/>
  <c r="S5" i="627"/>
  <c r="T9" i="631"/>
  <c r="V8" i="631"/>
  <c r="Z9" i="631"/>
  <c r="AB8" i="631"/>
  <c r="AR8" i="627"/>
  <c r="AT8" i="627" s="1"/>
  <c r="AT7" i="627"/>
  <c r="T10" i="631"/>
  <c r="V9" i="631"/>
  <c r="AB9" i="631"/>
  <c r="Z10" i="631"/>
  <c r="AR9" i="627"/>
  <c r="AR10" i="627" s="1"/>
  <c r="AT10" i="627" s="1"/>
  <c r="T11" i="631"/>
  <c r="V10" i="631"/>
  <c r="AT9" i="627"/>
  <c r="AR11" i="627"/>
  <c r="AL4" i="627"/>
  <c r="AC6" i="627"/>
  <c r="AC9" i="627"/>
  <c r="AC10" i="627"/>
  <c r="AC11" i="627"/>
  <c r="AC12" i="627"/>
  <c r="AC13" i="627"/>
  <c r="AC14" i="627"/>
  <c r="AC15" i="627"/>
  <c r="AC16" i="627"/>
  <c r="AC17" i="627"/>
  <c r="AC18" i="627"/>
  <c r="AC19" i="627"/>
  <c r="AC20" i="627"/>
  <c r="AC21" i="627"/>
  <c r="AC22" i="627"/>
  <c r="AC23" i="627"/>
  <c r="AC24" i="627"/>
  <c r="AC25" i="627"/>
  <c r="AC26" i="627"/>
  <c r="AC27" i="627"/>
  <c r="AC28" i="627"/>
  <c r="AC29" i="627"/>
  <c r="AC30" i="627"/>
  <c r="AC31" i="627"/>
  <c r="AC32" i="627"/>
  <c r="AC33" i="627"/>
  <c r="AC34" i="627"/>
  <c r="AC35" i="627"/>
  <c r="AC36" i="627"/>
  <c r="AC37" i="627"/>
  <c r="AC38" i="627"/>
  <c r="AC39" i="627"/>
  <c r="AC40" i="627"/>
  <c r="AC41" i="627"/>
  <c r="AC42" i="627"/>
  <c r="AC43" i="627"/>
  <c r="AC44" i="627"/>
  <c r="AC45" i="627"/>
  <c r="AC46" i="627"/>
  <c r="AC47" i="627"/>
  <c r="AC48" i="627"/>
  <c r="AC50" i="627"/>
  <c r="AC51" i="627"/>
  <c r="AC52" i="627"/>
  <c r="AC53" i="627"/>
  <c r="AC54" i="627"/>
  <c r="AC56" i="627"/>
  <c r="AC58" i="627"/>
  <c r="AC59" i="627"/>
  <c r="AC60" i="627"/>
  <c r="AC61" i="627"/>
  <c r="AC62" i="627"/>
  <c r="AC64" i="627"/>
  <c r="AC66" i="627"/>
  <c r="AC67" i="627"/>
  <c r="AC68" i="627"/>
  <c r="AC69" i="627"/>
  <c r="AC70" i="627"/>
  <c r="AC72" i="627"/>
  <c r="AC74" i="627"/>
  <c r="AC77" i="627"/>
  <c r="AC78" i="627"/>
  <c r="AC80" i="627"/>
  <c r="AC82" i="627"/>
  <c r="AC85" i="627"/>
  <c r="AC86" i="627"/>
  <c r="AC88" i="627"/>
  <c r="AC90" i="627"/>
  <c r="AC93" i="627"/>
  <c r="AC94" i="627"/>
  <c r="AC96" i="627"/>
  <c r="AC98" i="627"/>
  <c r="AC101" i="627"/>
  <c r="AC102" i="627"/>
  <c r="AC104" i="627"/>
  <c r="AC106" i="627"/>
  <c r="AC109" i="627"/>
  <c r="AC110" i="627"/>
  <c r="AC112" i="627"/>
  <c r="AC114" i="627"/>
  <c r="AC117" i="627"/>
  <c r="AC118" i="627"/>
  <c r="AC122" i="627"/>
  <c r="AC125" i="627"/>
  <c r="AC126" i="627"/>
  <c r="AC130" i="627"/>
  <c r="AC133" i="627"/>
  <c r="AC134" i="627"/>
  <c r="AC138" i="627"/>
  <c r="AC141" i="627"/>
  <c r="AC142" i="627"/>
  <c r="AC146" i="627"/>
  <c r="AC149" i="627"/>
  <c r="AC150" i="627"/>
  <c r="AC154" i="627"/>
  <c r="AC157" i="627"/>
  <c r="AC158" i="627"/>
  <c r="AC162" i="627"/>
  <c r="AC165" i="627"/>
  <c r="AC166" i="627"/>
  <c r="AC170" i="627"/>
  <c r="AC173" i="627"/>
  <c r="AC174" i="627"/>
  <c r="AC178" i="627"/>
  <c r="AC181" i="627"/>
  <c r="AC182" i="627"/>
  <c r="AC186" i="627"/>
  <c r="AC189" i="627"/>
  <c r="AC190" i="627"/>
  <c r="AC194" i="627"/>
  <c r="AC197" i="627"/>
  <c r="AC198" i="627"/>
  <c r="AC202" i="627"/>
  <c r="AC205" i="627"/>
  <c r="AC206" i="627"/>
  <c r="AC210" i="627"/>
  <c r="AC213" i="627"/>
  <c r="AC214" i="627"/>
  <c r="AC218" i="627"/>
  <c r="AC221" i="627"/>
  <c r="AC222" i="627"/>
  <c r="AC226" i="627"/>
  <c r="AC229" i="627"/>
  <c r="AC230" i="627"/>
  <c r="AC234" i="627"/>
  <c r="AC237" i="627"/>
  <c r="AC238" i="627"/>
  <c r="AC242" i="627"/>
  <c r="AC245" i="627"/>
  <c r="AC246" i="627"/>
  <c r="AC250" i="627"/>
  <c r="AC254" i="627"/>
  <c r="AC262" i="627"/>
  <c r="AC269" i="627"/>
  <c r="AC270" i="627"/>
  <c r="AC277" i="627"/>
  <c r="AC278" i="627"/>
  <c r="AC285" i="627"/>
  <c r="AC286" i="627"/>
  <c r="AC290" i="627"/>
  <c r="AC294" i="627"/>
  <c r="AC298" i="627"/>
  <c r="AC302" i="627"/>
  <c r="AC306" i="627"/>
  <c r="AC310" i="627"/>
  <c r="AC318" i="627"/>
  <c r="AC326" i="627"/>
  <c r="AC333" i="627"/>
  <c r="AC334" i="627"/>
  <c r="AC342" i="627"/>
  <c r="AC349" i="627"/>
  <c r="AC350" i="627"/>
  <c r="AC354" i="627"/>
  <c r="AC358" i="627"/>
  <c r="AC366" i="627"/>
  <c r="AC370" i="627"/>
  <c r="AC374" i="627"/>
  <c r="AC382" i="627"/>
  <c r="AC390" i="627"/>
  <c r="AC397" i="627"/>
  <c r="AC398" i="627"/>
  <c r="AC406" i="627"/>
  <c r="AC408" i="627"/>
  <c r="AC413" i="627"/>
  <c r="AC414" i="627"/>
  <c r="AC422" i="627"/>
  <c r="AC424" i="627"/>
  <c r="AC429" i="627"/>
  <c r="AC430" i="627"/>
  <c r="AC438" i="627"/>
  <c r="AC446" i="627"/>
  <c r="AC454" i="627"/>
  <c r="AC456" i="627"/>
  <c r="AC462" i="627"/>
  <c r="AC470" i="627"/>
  <c r="AC478" i="627"/>
  <c r="AC486" i="627"/>
  <c r="AC488" i="627"/>
  <c r="AC494" i="627"/>
  <c r="AC502" i="627"/>
  <c r="AC510" i="627"/>
  <c r="AC518" i="627"/>
  <c r="AC520" i="627"/>
  <c r="AC526" i="627"/>
  <c r="AC534" i="627"/>
  <c r="AC542" i="627"/>
  <c r="AC547" i="627"/>
  <c r="AC550" i="627"/>
  <c r="AC558" i="627"/>
  <c r="AC566" i="627"/>
  <c r="AC574" i="627"/>
  <c r="AC582" i="627"/>
  <c r="AC590" i="627"/>
  <c r="AC598" i="627"/>
  <c r="AC606" i="627"/>
  <c r="AC614" i="627"/>
  <c r="AC619" i="627"/>
  <c r="AC622" i="627"/>
  <c r="AC630" i="627"/>
  <c r="AC638" i="627"/>
  <c r="AC646" i="627"/>
  <c r="AC654" i="627"/>
  <c r="AC662" i="627"/>
  <c r="AC670" i="627"/>
  <c r="AC678" i="627"/>
  <c r="AC686" i="627"/>
  <c r="AC694" i="627"/>
  <c r="AC702" i="627"/>
  <c r="AC710" i="627"/>
  <c r="AC718" i="627"/>
  <c r="AC726" i="627"/>
  <c r="AC734" i="627"/>
  <c r="AC742" i="627"/>
  <c r="AC750" i="627"/>
  <c r="AC758" i="627"/>
  <c r="AC766" i="627"/>
  <c r="AC774" i="627"/>
  <c r="AC782" i="627"/>
  <c r="AC790" i="627"/>
  <c r="AC798" i="627"/>
  <c r="AC806" i="627"/>
  <c r="AC814" i="627"/>
  <c r="AC822" i="627"/>
  <c r="AC830" i="627"/>
  <c r="AC838" i="627"/>
  <c r="AC846" i="627"/>
  <c r="AC854" i="627"/>
  <c r="AC862" i="627"/>
  <c r="AC870" i="627"/>
  <c r="AC878" i="627"/>
  <c r="AC886" i="627"/>
  <c r="AC894" i="627"/>
  <c r="AC902" i="627"/>
  <c r="AC910" i="627"/>
  <c r="AC918" i="627"/>
  <c r="AC926" i="627"/>
  <c r="AC934" i="627"/>
  <c r="AC942" i="627"/>
  <c r="AC950" i="627"/>
  <c r="AC958" i="627"/>
  <c r="AC966" i="627"/>
  <c r="AC974" i="627"/>
  <c r="AC982" i="627"/>
  <c r="AC990" i="627"/>
  <c r="AC998" i="627"/>
  <c r="AC1006" i="627"/>
  <c r="AC1014" i="627"/>
  <c r="AC1022" i="627"/>
  <c r="AC1030" i="627"/>
  <c r="AC1038" i="627"/>
  <c r="AC1046" i="627"/>
  <c r="AC1054" i="627"/>
  <c r="AC1062" i="627"/>
  <c r="AC1070" i="627"/>
  <c r="AC1078" i="627"/>
  <c r="AC1086" i="627"/>
  <c r="AC1094" i="627"/>
  <c r="AC1102" i="627"/>
  <c r="AC1110" i="627"/>
  <c r="AC1118" i="627"/>
  <c r="AC1126" i="627"/>
  <c r="AC1134" i="627"/>
  <c r="AC1142" i="627"/>
  <c r="AC1150" i="627"/>
  <c r="AC1158" i="627"/>
  <c r="AC1166" i="627"/>
  <c r="AC1174" i="627"/>
  <c r="AC1182" i="627"/>
  <c r="AC1190" i="627"/>
  <c r="AC1198" i="627"/>
  <c r="AC1206" i="627"/>
  <c r="AC1214" i="627"/>
  <c r="AC1222" i="627"/>
  <c r="AC1230" i="627"/>
  <c r="AC1238" i="627"/>
  <c r="AC1246" i="627"/>
  <c r="AC1254" i="627"/>
  <c r="AC1262" i="627"/>
  <c r="AC1270" i="627"/>
  <c r="AC1278" i="627"/>
  <c r="AC1286" i="627"/>
  <c r="AC1294" i="627"/>
  <c r="AC1302" i="627"/>
  <c r="AC1310" i="627"/>
  <c r="AC1318" i="627"/>
  <c r="AC1326" i="627"/>
  <c r="AC1334" i="627"/>
  <c r="AC1342" i="627"/>
  <c r="AC1350" i="627"/>
  <c r="AC1358" i="627"/>
  <c r="AC1366" i="627"/>
  <c r="AC1374" i="627"/>
  <c r="AC1382" i="627"/>
  <c r="AC1390" i="627"/>
  <c r="AC1398" i="627"/>
  <c r="AC1406" i="627"/>
  <c r="AC1414" i="627"/>
  <c r="AC1422" i="627"/>
  <c r="AC1430" i="627"/>
  <c r="AC1438" i="627"/>
  <c r="AC1446" i="627"/>
  <c r="AC1454" i="627"/>
  <c r="AC1462" i="627"/>
  <c r="AC1470" i="627"/>
  <c r="AC1478" i="627"/>
  <c r="AC1486" i="627"/>
  <c r="AC1494" i="627"/>
  <c r="AC1502" i="627"/>
  <c r="AC1510" i="627"/>
  <c r="AC1518" i="627"/>
  <c r="AC1526" i="627"/>
  <c r="AC1534" i="627"/>
  <c r="AC1542" i="627"/>
  <c r="AC1550" i="627"/>
  <c r="AC1558" i="627"/>
  <c r="AC1566" i="627"/>
  <c r="AC1574" i="627"/>
  <c r="AC1582" i="627"/>
  <c r="AC1590" i="627"/>
  <c r="AC1598" i="627"/>
  <c r="AC1606" i="627"/>
  <c r="AC1614" i="627"/>
  <c r="AC1622" i="627"/>
  <c r="AC1630" i="627"/>
  <c r="AC1638" i="627"/>
  <c r="AC1646" i="627"/>
  <c r="AC1654" i="627"/>
  <c r="AC1662" i="627"/>
  <c r="AC1670" i="627"/>
  <c r="AC1678" i="627"/>
  <c r="AC1686" i="627"/>
  <c r="AC1694" i="627"/>
  <c r="AC1702" i="627"/>
  <c r="AC1710" i="627"/>
  <c r="AC1718" i="627"/>
  <c r="AC1726" i="627"/>
  <c r="AC1734" i="627"/>
  <c r="AC1742" i="627"/>
  <c r="AC1750" i="627"/>
  <c r="AC1758" i="627"/>
  <c r="AC1766" i="627"/>
  <c r="AC1774" i="627"/>
  <c r="AC1782" i="627"/>
  <c r="AC1790" i="627"/>
  <c r="AC1798" i="627"/>
  <c r="AC1806" i="627"/>
  <c r="AC1814" i="627"/>
  <c r="AC1822" i="627"/>
  <c r="AC1830" i="627"/>
  <c r="AC1838" i="627"/>
  <c r="AC1846" i="627"/>
  <c r="AC1854" i="627"/>
  <c r="AC1862" i="627"/>
  <c r="AC1870" i="627"/>
  <c r="AC1878" i="627"/>
  <c r="AC1886" i="627"/>
  <c r="AC1894" i="627"/>
  <c r="AC1902" i="627"/>
  <c r="AC1910" i="627"/>
  <c r="AC1918" i="627"/>
  <c r="AC1926" i="627"/>
  <c r="AC1934" i="627"/>
  <c r="AC1942" i="627"/>
  <c r="AC1950" i="627"/>
  <c r="AC1958" i="627"/>
  <c r="AC1966" i="627"/>
  <c r="AC1974" i="627"/>
  <c r="AC1982" i="627"/>
  <c r="AC1990" i="627"/>
  <c r="AC1998" i="627"/>
  <c r="D6" i="627"/>
  <c r="D7" i="627"/>
  <c r="D8" i="627" s="1"/>
  <c r="D9" i="627"/>
  <c r="D10" i="627" s="1"/>
  <c r="D11" i="627" s="1"/>
  <c r="D12" i="627"/>
  <c r="D13" i="627" s="1"/>
  <c r="D14" i="627" s="1"/>
  <c r="D15" i="627"/>
  <c r="D16" i="627" s="1"/>
  <c r="D17" i="627" s="1"/>
  <c r="D18" i="627" s="1"/>
  <c r="D19" i="627" s="1"/>
  <c r="D20" i="627" s="1"/>
  <c r="D21" i="627" s="1"/>
  <c r="D22" i="627" s="1"/>
  <c r="D23" i="627" s="1"/>
  <c r="D24" i="627" s="1"/>
  <c r="D25" i="627" s="1"/>
  <c r="D26" i="627" s="1"/>
  <c r="D27" i="627" s="1"/>
  <c r="D28" i="627" s="1"/>
  <c r="D29" i="627" s="1"/>
  <c r="D30" i="627" s="1"/>
  <c r="D31" i="627" s="1"/>
  <c r="D32" i="627" s="1"/>
  <c r="D33" i="627" s="1"/>
  <c r="D34" i="627" s="1"/>
  <c r="D35" i="627" s="1"/>
  <c r="D36" i="627" s="1"/>
  <c r="D37" i="627" s="1"/>
  <c r="D38" i="627" s="1"/>
  <c r="D39" i="627" s="1"/>
  <c r="D40" i="627" s="1"/>
  <c r="D41" i="627" s="1"/>
  <c r="D42" i="627" s="1"/>
  <c r="D43" i="627" s="1"/>
  <c r="D44" i="627" s="1"/>
  <c r="D45" i="627" s="1"/>
  <c r="D46" i="627" s="1"/>
  <c r="D47" i="627" s="1"/>
  <c r="D48" i="627" s="1"/>
  <c r="D49" i="627" s="1"/>
  <c r="D50" i="627" s="1"/>
  <c r="D51" i="627" s="1"/>
  <c r="D52" i="627" s="1"/>
  <c r="D53" i="627" s="1"/>
  <c r="D54" i="627" s="1"/>
  <c r="D55" i="627" s="1"/>
  <c r="D56" i="627" s="1"/>
  <c r="D57" i="627" s="1"/>
  <c r="D58" i="627" s="1"/>
  <c r="D59" i="627" s="1"/>
  <c r="D60" i="627" s="1"/>
  <c r="D61" i="627" s="1"/>
  <c r="D62" i="627" s="1"/>
  <c r="D63" i="627" s="1"/>
  <c r="D64" i="627" s="1"/>
  <c r="D65" i="627" s="1"/>
  <c r="D66" i="627" s="1"/>
  <c r="D67" i="627" s="1"/>
  <c r="D68" i="627" s="1"/>
  <c r="D69" i="627" s="1"/>
  <c r="D70" i="627" s="1"/>
  <c r="D71" i="627" s="1"/>
  <c r="D72" i="627" s="1"/>
  <c r="D73" i="627" s="1"/>
  <c r="D74" i="627" s="1"/>
  <c r="D75" i="627" s="1"/>
  <c r="D76" i="627" s="1"/>
  <c r="D77" i="627" s="1"/>
  <c r="D78" i="627" s="1"/>
  <c r="D79" i="627" s="1"/>
  <c r="D80" i="627" s="1"/>
  <c r="D81" i="627" s="1"/>
  <c r="D82" i="627" s="1"/>
  <c r="D83" i="627" s="1"/>
  <c r="D84" i="627" s="1"/>
  <c r="D85" i="627" s="1"/>
  <c r="D86" i="627" s="1"/>
  <c r="D87" i="627" s="1"/>
  <c r="D88" i="627" s="1"/>
  <c r="D89" i="627" s="1"/>
  <c r="D90" i="627" s="1"/>
  <c r="D91" i="627" s="1"/>
  <c r="D92" i="627" s="1"/>
  <c r="D93" i="627" s="1"/>
  <c r="D94" i="627" s="1"/>
  <c r="D95" i="627" s="1"/>
  <c r="D96" i="627" s="1"/>
  <c r="D97" i="627" s="1"/>
  <c r="D98" i="627" s="1"/>
  <c r="D99" i="627" s="1"/>
  <c r="D100" i="627" s="1"/>
  <c r="D101" i="627" s="1"/>
  <c r="D102" i="627" s="1"/>
  <c r="D103" i="627" s="1"/>
  <c r="D104" i="627" s="1"/>
  <c r="D105" i="627" s="1"/>
  <c r="D106" i="627" s="1"/>
  <c r="D107" i="627" s="1"/>
  <c r="D108" i="627" s="1"/>
  <c r="D109" i="627" s="1"/>
  <c r="D110" i="627" s="1"/>
  <c r="D111" i="627" s="1"/>
  <c r="D112" i="627" s="1"/>
  <c r="D113" i="627" s="1"/>
  <c r="D114" i="627" s="1"/>
  <c r="D115" i="627" s="1"/>
  <c r="D116" i="627" s="1"/>
  <c r="D117" i="627" s="1"/>
  <c r="D118" i="627" s="1"/>
  <c r="D119" i="627" s="1"/>
  <c r="D120" i="627" s="1"/>
  <c r="D121" i="627" s="1"/>
  <c r="D122" i="627" s="1"/>
  <c r="D123" i="627" s="1"/>
  <c r="D124" i="627" s="1"/>
  <c r="D125" i="627" s="1"/>
  <c r="D126" i="627" s="1"/>
  <c r="D127" i="627" s="1"/>
  <c r="D128" i="627" s="1"/>
  <c r="D129" i="627" s="1"/>
  <c r="D130" i="627" s="1"/>
  <c r="D131" i="627" s="1"/>
  <c r="D132" i="627" s="1"/>
  <c r="D133" i="627" s="1"/>
  <c r="D134" i="627" s="1"/>
  <c r="D135" i="627" s="1"/>
  <c r="D136" i="627" s="1"/>
  <c r="D137" i="627" s="1"/>
  <c r="D138" i="627" s="1"/>
  <c r="D139" i="627" s="1"/>
  <c r="D140" i="627" s="1"/>
  <c r="D141" i="627" s="1"/>
  <c r="D142" i="627" s="1"/>
  <c r="D143" i="627" s="1"/>
  <c r="D144" i="627" s="1"/>
  <c r="D145" i="627" s="1"/>
  <c r="D146" i="627" s="1"/>
  <c r="D147" i="627" s="1"/>
  <c r="D148" i="627" s="1"/>
  <c r="D149" i="627" s="1"/>
  <c r="D150" i="627" s="1"/>
  <c r="D151" i="627" s="1"/>
  <c r="D152" i="627" s="1"/>
  <c r="D153" i="627" s="1"/>
  <c r="D154" i="627" s="1"/>
  <c r="D155" i="627" s="1"/>
  <c r="D156" i="627" s="1"/>
  <c r="D157" i="627" s="1"/>
  <c r="D158" i="627" s="1"/>
  <c r="D159" i="627" s="1"/>
  <c r="D160" i="627" s="1"/>
  <c r="D161" i="627" s="1"/>
  <c r="D162" i="627" s="1"/>
  <c r="D163" i="627" s="1"/>
  <c r="D164" i="627" s="1"/>
  <c r="D165" i="627" s="1"/>
  <c r="D166" i="627" s="1"/>
  <c r="D167" i="627" s="1"/>
  <c r="D168" i="627" s="1"/>
  <c r="D169" i="627" s="1"/>
  <c r="D170" i="627" s="1"/>
  <c r="D171" i="627" s="1"/>
  <c r="D172" i="627" s="1"/>
  <c r="D173" i="627" s="1"/>
  <c r="D174" i="627" s="1"/>
  <c r="D175" i="627" s="1"/>
  <c r="D176" i="627" s="1"/>
  <c r="D177" i="627" s="1"/>
  <c r="D178" i="627" s="1"/>
  <c r="D179" i="627" s="1"/>
  <c r="D180" i="627" s="1"/>
  <c r="D181" i="627" s="1"/>
  <c r="D182" i="627" s="1"/>
  <c r="D183" i="627" s="1"/>
  <c r="D184" i="627" s="1"/>
  <c r="D185" i="627" s="1"/>
  <c r="D186" i="627" s="1"/>
  <c r="D187" i="627" s="1"/>
  <c r="D188" i="627" s="1"/>
  <c r="D189" i="627" s="1"/>
  <c r="D190" i="627" s="1"/>
  <c r="D191" i="627" s="1"/>
  <c r="D192" i="627" s="1"/>
  <c r="D193" i="627" s="1"/>
  <c r="D194" i="627" s="1"/>
  <c r="D195" i="627" s="1"/>
  <c r="D196" i="627" s="1"/>
  <c r="D197" i="627" s="1"/>
  <c r="D198" i="627" s="1"/>
  <c r="D199" i="627" s="1"/>
  <c r="D200" i="627" s="1"/>
  <c r="D201" i="627" s="1"/>
  <c r="D202" i="627" s="1"/>
  <c r="D203" i="627" s="1"/>
  <c r="D204" i="627" s="1"/>
  <c r="D205" i="627" s="1"/>
  <c r="D206" i="627" s="1"/>
  <c r="D207" i="627" s="1"/>
  <c r="D208" i="627" s="1"/>
  <c r="D209" i="627" s="1"/>
  <c r="D210" i="627" s="1"/>
  <c r="D211" i="627" s="1"/>
  <c r="D212" i="627" s="1"/>
  <c r="D213" i="627" s="1"/>
  <c r="D214" i="627" s="1"/>
  <c r="D215" i="627" s="1"/>
  <c r="D216" i="627" s="1"/>
  <c r="D217" i="627" s="1"/>
  <c r="D218" i="627" s="1"/>
  <c r="D219" i="627" s="1"/>
  <c r="D220" i="627" s="1"/>
  <c r="D221" i="627" s="1"/>
  <c r="D222" i="627" s="1"/>
  <c r="D223" i="627" s="1"/>
  <c r="D224" i="627" s="1"/>
  <c r="D225" i="627" s="1"/>
  <c r="D226" i="627" s="1"/>
  <c r="D227" i="627" s="1"/>
  <c r="D228" i="627" s="1"/>
  <c r="D229" i="627" s="1"/>
  <c r="D230" i="627" s="1"/>
  <c r="D231" i="627" s="1"/>
  <c r="D232" i="627" s="1"/>
  <c r="D233" i="627" s="1"/>
  <c r="D234" i="627" s="1"/>
  <c r="D235" i="627" s="1"/>
  <c r="D236" i="627" s="1"/>
  <c r="D237" i="627" s="1"/>
  <c r="D238" i="627" s="1"/>
  <c r="D239" i="627" s="1"/>
  <c r="D240" i="627" s="1"/>
  <c r="D241" i="627" s="1"/>
  <c r="D242" i="627" s="1"/>
  <c r="D243" i="627" s="1"/>
  <c r="D244" i="627" s="1"/>
  <c r="D245" i="627" s="1"/>
  <c r="D246" i="627" s="1"/>
  <c r="D247" i="627" s="1"/>
  <c r="D248" i="627" s="1"/>
  <c r="D249" i="627" s="1"/>
  <c r="D250" i="627" s="1"/>
  <c r="D251" i="627" s="1"/>
  <c r="D252" i="627" s="1"/>
  <c r="D253" i="627" s="1"/>
  <c r="D254" i="627" s="1"/>
  <c r="D255" i="627" s="1"/>
  <c r="D256" i="627" s="1"/>
  <c r="D257" i="627" s="1"/>
  <c r="D258" i="627" s="1"/>
  <c r="D259" i="627" s="1"/>
  <c r="D260" i="627" s="1"/>
  <c r="D261" i="627" s="1"/>
  <c r="D262" i="627" s="1"/>
  <c r="D263" i="627" s="1"/>
  <c r="D264" i="627" s="1"/>
  <c r="D265" i="627" s="1"/>
  <c r="D266" i="627" s="1"/>
  <c r="D267" i="627" s="1"/>
  <c r="D268" i="627" s="1"/>
  <c r="D269" i="627" s="1"/>
  <c r="D270" i="627" s="1"/>
  <c r="D271" i="627" s="1"/>
  <c r="D272" i="627" s="1"/>
  <c r="D273" i="627" s="1"/>
  <c r="D274" i="627" s="1"/>
  <c r="D275" i="627" s="1"/>
  <c r="D276" i="627" s="1"/>
  <c r="D277" i="627" s="1"/>
  <c r="D278" i="627" s="1"/>
  <c r="D279" i="627" s="1"/>
  <c r="D280" i="627" s="1"/>
  <c r="D281" i="627" s="1"/>
  <c r="D282" i="627" s="1"/>
  <c r="D283" i="627" s="1"/>
  <c r="D284" i="627" s="1"/>
  <c r="D285" i="627" s="1"/>
  <c r="D286" i="627" s="1"/>
  <c r="D287" i="627" s="1"/>
  <c r="D288" i="627" s="1"/>
  <c r="D289" i="627" s="1"/>
  <c r="D290" i="627" s="1"/>
  <c r="D291" i="627" s="1"/>
  <c r="D292" i="627" s="1"/>
  <c r="D293" i="627" s="1"/>
  <c r="D294" i="627" s="1"/>
  <c r="D295" i="627" s="1"/>
  <c r="D296" i="627" s="1"/>
  <c r="D297" i="627" s="1"/>
  <c r="D298" i="627" s="1"/>
  <c r="D299" i="627" s="1"/>
  <c r="D300" i="627" s="1"/>
  <c r="D301" i="627" s="1"/>
  <c r="D302" i="627" s="1"/>
  <c r="D303" i="627" s="1"/>
  <c r="D304" i="627" s="1"/>
  <c r="D305" i="627" s="1"/>
  <c r="D306" i="627" s="1"/>
  <c r="D307" i="627" s="1"/>
  <c r="D308" i="627" s="1"/>
  <c r="D309" i="627" s="1"/>
  <c r="D310" i="627" s="1"/>
  <c r="D311" i="627" s="1"/>
  <c r="D312" i="627" s="1"/>
  <c r="D313" i="627" s="1"/>
  <c r="D314" i="627" s="1"/>
  <c r="D315" i="627" s="1"/>
  <c r="D316" i="627" s="1"/>
  <c r="D317" i="627" s="1"/>
  <c r="D318" i="627" s="1"/>
  <c r="D319" i="627" s="1"/>
  <c r="D320" i="627" s="1"/>
  <c r="D321" i="627" s="1"/>
  <c r="D322" i="627" s="1"/>
  <c r="D323" i="627" s="1"/>
  <c r="D324" i="627" s="1"/>
  <c r="D325" i="627" s="1"/>
  <c r="D326" i="627" s="1"/>
  <c r="D327" i="627" s="1"/>
  <c r="D328" i="627" s="1"/>
  <c r="D329" i="627" s="1"/>
  <c r="D330" i="627" s="1"/>
  <c r="D331" i="627" s="1"/>
  <c r="D332" i="627" s="1"/>
  <c r="D333" i="627" s="1"/>
  <c r="D334" i="627" s="1"/>
  <c r="D335" i="627" s="1"/>
  <c r="D336" i="627" s="1"/>
  <c r="D337" i="627" s="1"/>
  <c r="D338" i="627" s="1"/>
  <c r="D339" i="627" s="1"/>
  <c r="D340" i="627" s="1"/>
  <c r="D341" i="627" s="1"/>
  <c r="D342" i="627" s="1"/>
  <c r="D343" i="627" s="1"/>
  <c r="D344" i="627" s="1"/>
  <c r="D345" i="627" s="1"/>
  <c r="D346" i="627" s="1"/>
  <c r="D347" i="627" s="1"/>
  <c r="D348" i="627" s="1"/>
  <c r="D349" i="627" s="1"/>
  <c r="D350" i="627" s="1"/>
  <c r="D351" i="627" s="1"/>
  <c r="D352" i="627" s="1"/>
  <c r="D353" i="627" s="1"/>
  <c r="D354" i="627" s="1"/>
  <c r="D355" i="627" s="1"/>
  <c r="D356" i="627" s="1"/>
  <c r="D357" i="627" s="1"/>
  <c r="D358" i="627" s="1"/>
  <c r="D359" i="627" s="1"/>
  <c r="D360" i="627" s="1"/>
  <c r="D361" i="627" s="1"/>
  <c r="D362" i="627" s="1"/>
  <c r="D363" i="627" s="1"/>
  <c r="D364" i="627" s="1"/>
  <c r="D365" i="627" s="1"/>
  <c r="D366" i="627" s="1"/>
  <c r="D367" i="627" s="1"/>
  <c r="D368" i="627" s="1"/>
  <c r="D369" i="627" s="1"/>
  <c r="D370" i="627" s="1"/>
  <c r="D371" i="627" s="1"/>
  <c r="D372" i="627" s="1"/>
  <c r="D373" i="627" s="1"/>
  <c r="D374" i="627" s="1"/>
  <c r="D375" i="627" s="1"/>
  <c r="D376" i="627" s="1"/>
  <c r="D377" i="627" s="1"/>
  <c r="D378" i="627" s="1"/>
  <c r="D379" i="627" s="1"/>
  <c r="D380" i="627" s="1"/>
  <c r="D381" i="627" s="1"/>
  <c r="D382" i="627" s="1"/>
  <c r="D383" i="627" s="1"/>
  <c r="D384" i="627" s="1"/>
  <c r="D385" i="627" s="1"/>
  <c r="D386" i="627" s="1"/>
  <c r="D387" i="627" s="1"/>
  <c r="D388" i="627" s="1"/>
  <c r="D389" i="627" s="1"/>
  <c r="D390" i="627" s="1"/>
  <c r="D391" i="627" s="1"/>
  <c r="D392" i="627" s="1"/>
  <c r="D393" i="627" s="1"/>
  <c r="D394" i="627" s="1"/>
  <c r="D395" i="627" s="1"/>
  <c r="D396" i="627" s="1"/>
  <c r="D397" i="627" s="1"/>
  <c r="D398" i="627" s="1"/>
  <c r="D399" i="627" s="1"/>
  <c r="D400" i="627" s="1"/>
  <c r="D401" i="627" s="1"/>
  <c r="D402" i="627" s="1"/>
  <c r="D403" i="627" s="1"/>
  <c r="D404" i="627" s="1"/>
  <c r="D405" i="627" s="1"/>
  <c r="D406" i="627" s="1"/>
  <c r="D407" i="627" s="1"/>
  <c r="D408" i="627" s="1"/>
  <c r="D409" i="627" s="1"/>
  <c r="D410" i="627" s="1"/>
  <c r="D411" i="627" s="1"/>
  <c r="D412" i="627" s="1"/>
  <c r="D413" i="627" s="1"/>
  <c r="D414" i="627" s="1"/>
  <c r="D415" i="627" s="1"/>
  <c r="D416" i="627" s="1"/>
  <c r="D417" i="627" s="1"/>
  <c r="D418" i="627" s="1"/>
  <c r="D419" i="627" s="1"/>
  <c r="D420" i="627" s="1"/>
  <c r="D421" i="627" s="1"/>
  <c r="D422" i="627" s="1"/>
  <c r="D423" i="627" s="1"/>
  <c r="D424" i="627" s="1"/>
  <c r="D425" i="627" s="1"/>
  <c r="D426" i="627" s="1"/>
  <c r="D427" i="627" s="1"/>
  <c r="D428" i="627" s="1"/>
  <c r="D429" i="627" s="1"/>
  <c r="D430" i="627" s="1"/>
  <c r="D431" i="627" s="1"/>
  <c r="D432" i="627" s="1"/>
  <c r="D433" i="627" s="1"/>
  <c r="D434" i="627" s="1"/>
  <c r="D435" i="627" s="1"/>
  <c r="D436" i="627" s="1"/>
  <c r="D437" i="627" s="1"/>
  <c r="D438" i="627" s="1"/>
  <c r="D439" i="627" s="1"/>
  <c r="D440" i="627" s="1"/>
  <c r="D441" i="627" s="1"/>
  <c r="D442" i="627" s="1"/>
  <c r="D443" i="627" s="1"/>
  <c r="D444" i="627" s="1"/>
  <c r="D445" i="627" s="1"/>
  <c r="D446" i="627" s="1"/>
  <c r="D447" i="627" s="1"/>
  <c r="D448" i="627" s="1"/>
  <c r="D449" i="627" s="1"/>
  <c r="D450" i="627" s="1"/>
  <c r="D451" i="627" s="1"/>
  <c r="D452" i="627" s="1"/>
  <c r="D453" i="627" s="1"/>
  <c r="D454" i="627" s="1"/>
  <c r="D455" i="627" s="1"/>
  <c r="D456" i="627" s="1"/>
  <c r="D457" i="627" s="1"/>
  <c r="D458" i="627" s="1"/>
  <c r="D459" i="627" s="1"/>
  <c r="D460" i="627" s="1"/>
  <c r="D461" i="627" s="1"/>
  <c r="D462" i="627" s="1"/>
  <c r="D463" i="627" s="1"/>
  <c r="D464" i="627" s="1"/>
  <c r="D465" i="627" s="1"/>
  <c r="D466" i="627" s="1"/>
  <c r="D467" i="627" s="1"/>
  <c r="D468" i="627" s="1"/>
  <c r="D469" i="627" s="1"/>
  <c r="D470" i="627" s="1"/>
  <c r="D471" i="627" s="1"/>
  <c r="D472" i="627" s="1"/>
  <c r="D473" i="627" s="1"/>
  <c r="D474" i="627" s="1"/>
  <c r="D475" i="627" s="1"/>
  <c r="D476" i="627" s="1"/>
  <c r="D477" i="627" s="1"/>
  <c r="D478" i="627" s="1"/>
  <c r="D479" i="627" s="1"/>
  <c r="D480" i="627" s="1"/>
  <c r="D481" i="627" s="1"/>
  <c r="D482" i="627" s="1"/>
  <c r="D483" i="627" s="1"/>
  <c r="D484" i="627" s="1"/>
  <c r="D485" i="627" s="1"/>
  <c r="D486" i="627" s="1"/>
  <c r="D487" i="627" s="1"/>
  <c r="D488" i="627" s="1"/>
  <c r="D489" i="627" s="1"/>
  <c r="D490" i="627" s="1"/>
  <c r="D491" i="627" s="1"/>
  <c r="D492" i="627" s="1"/>
  <c r="D493" i="627" s="1"/>
  <c r="D494" i="627" s="1"/>
  <c r="D495" i="627" s="1"/>
  <c r="D496" i="627" s="1"/>
  <c r="D497" i="627" s="1"/>
  <c r="D498" i="627" s="1"/>
  <c r="D499" i="627" s="1"/>
  <c r="D500" i="627" s="1"/>
  <c r="D501" i="627" s="1"/>
  <c r="D502" i="627" s="1"/>
  <c r="D503" i="627" s="1"/>
  <c r="D504" i="627" s="1"/>
  <c r="D505" i="627" s="1"/>
  <c r="D506" i="627" s="1"/>
  <c r="D507" i="627" s="1"/>
  <c r="D508" i="627" s="1"/>
  <c r="D509" i="627" s="1"/>
  <c r="D510" i="627" s="1"/>
  <c r="D511" i="627" s="1"/>
  <c r="D512" i="627" s="1"/>
  <c r="D513" i="627" s="1"/>
  <c r="D514" i="627" s="1"/>
  <c r="D515" i="627" s="1"/>
  <c r="D516" i="627" s="1"/>
  <c r="D517" i="627" s="1"/>
  <c r="D518" i="627" s="1"/>
  <c r="D519" i="627" s="1"/>
  <c r="D520" i="627" s="1"/>
  <c r="D521" i="627" s="1"/>
  <c r="D522" i="627" s="1"/>
  <c r="D523" i="627" s="1"/>
  <c r="D524" i="627" s="1"/>
  <c r="D525" i="627" s="1"/>
  <c r="D526" i="627" s="1"/>
  <c r="D527" i="627" s="1"/>
  <c r="D528" i="627" s="1"/>
  <c r="D529" i="627" s="1"/>
  <c r="D530" i="627" s="1"/>
  <c r="D531" i="627" s="1"/>
  <c r="D532" i="627" s="1"/>
  <c r="D533" i="627" s="1"/>
  <c r="D534" i="627" s="1"/>
  <c r="D535" i="627" s="1"/>
  <c r="D536" i="627" s="1"/>
  <c r="D537" i="627" s="1"/>
  <c r="D538" i="627" s="1"/>
  <c r="D539" i="627" s="1"/>
  <c r="D540" i="627" s="1"/>
  <c r="D541" i="627" s="1"/>
  <c r="D542" i="627" s="1"/>
  <c r="D543" i="627" s="1"/>
  <c r="D544" i="627" s="1"/>
  <c r="D545" i="627" s="1"/>
  <c r="D546" i="627" s="1"/>
  <c r="D547" i="627" s="1"/>
  <c r="D548" i="627" s="1"/>
  <c r="D549" i="627" s="1"/>
  <c r="D550" i="627" s="1"/>
  <c r="D551" i="627" s="1"/>
  <c r="D552" i="627" s="1"/>
  <c r="D553" i="627" s="1"/>
  <c r="D554" i="627" s="1"/>
  <c r="D555" i="627" s="1"/>
  <c r="D556" i="627" s="1"/>
  <c r="D557" i="627" s="1"/>
  <c r="D558" i="627" s="1"/>
  <c r="D559" i="627" s="1"/>
  <c r="D560" i="627" s="1"/>
  <c r="D561" i="627" s="1"/>
  <c r="D562" i="627" s="1"/>
  <c r="D563" i="627" s="1"/>
  <c r="D564" i="627" s="1"/>
  <c r="D565" i="627" s="1"/>
  <c r="D566" i="627" s="1"/>
  <c r="D567" i="627" s="1"/>
  <c r="D568" i="627" s="1"/>
  <c r="D569" i="627" s="1"/>
  <c r="D570" i="627" s="1"/>
  <c r="D571" i="627" s="1"/>
  <c r="D572" i="627" s="1"/>
  <c r="D573" i="627" s="1"/>
  <c r="D574" i="627" s="1"/>
  <c r="D575" i="627" s="1"/>
  <c r="D576" i="627" s="1"/>
  <c r="D577" i="627" s="1"/>
  <c r="D578" i="627" s="1"/>
  <c r="D579" i="627" s="1"/>
  <c r="D580" i="627" s="1"/>
  <c r="D581" i="627" s="1"/>
  <c r="D582" i="627" s="1"/>
  <c r="D583" i="627" s="1"/>
  <c r="D584" i="627" s="1"/>
  <c r="D585" i="627" s="1"/>
  <c r="D586" i="627" s="1"/>
  <c r="D587" i="627" s="1"/>
  <c r="D588" i="627" s="1"/>
  <c r="D589" i="627" s="1"/>
  <c r="D590" i="627" s="1"/>
  <c r="D591" i="627" s="1"/>
  <c r="D592" i="627" s="1"/>
  <c r="D593" i="627" s="1"/>
  <c r="D594" i="627" s="1"/>
  <c r="D595" i="627" s="1"/>
  <c r="D596" i="627" s="1"/>
  <c r="D597" i="627" s="1"/>
  <c r="D598" i="627" s="1"/>
  <c r="D599" i="627" s="1"/>
  <c r="D600" i="627" s="1"/>
  <c r="D601" i="627" s="1"/>
  <c r="D602" i="627" s="1"/>
  <c r="D603" i="627" s="1"/>
  <c r="D604" i="627" s="1"/>
  <c r="D605" i="627" s="1"/>
  <c r="D606" i="627" s="1"/>
  <c r="D607" i="627" s="1"/>
  <c r="D608" i="627" s="1"/>
  <c r="D609" i="627" s="1"/>
  <c r="D610" i="627" s="1"/>
  <c r="D611" i="627" s="1"/>
  <c r="D612" i="627" s="1"/>
  <c r="D613" i="627" s="1"/>
  <c r="D614" i="627" s="1"/>
  <c r="D615" i="627" s="1"/>
  <c r="D616" i="627" s="1"/>
  <c r="D617" i="627" s="1"/>
  <c r="D618" i="627" s="1"/>
  <c r="D619" i="627" s="1"/>
  <c r="D620" i="627" s="1"/>
  <c r="D621" i="627" s="1"/>
  <c r="D622" i="627" s="1"/>
  <c r="D623" i="627" s="1"/>
  <c r="D624" i="627" s="1"/>
  <c r="D625" i="627" s="1"/>
  <c r="D626" i="627" s="1"/>
  <c r="D627" i="627" s="1"/>
  <c r="D628" i="627" s="1"/>
  <c r="D629" i="627" s="1"/>
  <c r="D630" i="627" s="1"/>
  <c r="D631" i="627" s="1"/>
  <c r="D632" i="627" s="1"/>
  <c r="D633" i="627" s="1"/>
  <c r="D634" i="627" s="1"/>
  <c r="D635" i="627" s="1"/>
  <c r="D636" i="627" s="1"/>
  <c r="D637" i="627" s="1"/>
  <c r="D638" i="627" s="1"/>
  <c r="D639" i="627" s="1"/>
  <c r="D640" i="627" s="1"/>
  <c r="D641" i="627" s="1"/>
  <c r="D642" i="627" s="1"/>
  <c r="D643" i="627" s="1"/>
  <c r="D644" i="627" s="1"/>
  <c r="D645" i="627" s="1"/>
  <c r="D646" i="627" s="1"/>
  <c r="D647" i="627" s="1"/>
  <c r="D648" i="627" s="1"/>
  <c r="D649" i="627" s="1"/>
  <c r="D650" i="627" s="1"/>
  <c r="D651" i="627" s="1"/>
  <c r="D652" i="627" s="1"/>
  <c r="D653" i="627" s="1"/>
  <c r="D654" i="627" s="1"/>
  <c r="D655" i="627" s="1"/>
  <c r="D656" i="627" s="1"/>
  <c r="D657" i="627" s="1"/>
  <c r="D658" i="627" s="1"/>
  <c r="D659" i="627" s="1"/>
  <c r="D660" i="627" s="1"/>
  <c r="D661" i="627" s="1"/>
  <c r="D662" i="627" s="1"/>
  <c r="D663" i="627" s="1"/>
  <c r="D664" i="627" s="1"/>
  <c r="D665" i="627" s="1"/>
  <c r="D666" i="627" s="1"/>
  <c r="D667" i="627" s="1"/>
  <c r="D668" i="627" s="1"/>
  <c r="D669" i="627" s="1"/>
  <c r="D670" i="627" s="1"/>
  <c r="D671" i="627" s="1"/>
  <c r="D672" i="627" s="1"/>
  <c r="D673" i="627" s="1"/>
  <c r="D674" i="627" s="1"/>
  <c r="D675" i="627" s="1"/>
  <c r="D676" i="627" s="1"/>
  <c r="D677" i="627" s="1"/>
  <c r="D678" i="627" s="1"/>
  <c r="D679" i="627" s="1"/>
  <c r="D680" i="627" s="1"/>
  <c r="D681" i="627" s="1"/>
  <c r="D682" i="627" s="1"/>
  <c r="D683" i="627" s="1"/>
  <c r="D684" i="627" s="1"/>
  <c r="D685" i="627" s="1"/>
  <c r="D686" i="627" s="1"/>
  <c r="D687" i="627" s="1"/>
  <c r="D688" i="627" s="1"/>
  <c r="D689" i="627" s="1"/>
  <c r="D690" i="627" s="1"/>
  <c r="D691" i="627" s="1"/>
  <c r="D692" i="627" s="1"/>
  <c r="D693" i="627" s="1"/>
  <c r="D694" i="627" s="1"/>
  <c r="D695" i="627" s="1"/>
  <c r="D696" i="627" s="1"/>
  <c r="D697" i="627" s="1"/>
  <c r="D698" i="627" s="1"/>
  <c r="D699" i="627" s="1"/>
  <c r="D700" i="627" s="1"/>
  <c r="D701" i="627" s="1"/>
  <c r="D702" i="627" s="1"/>
  <c r="D703" i="627" s="1"/>
  <c r="D704" i="627" s="1"/>
  <c r="D705" i="627" s="1"/>
  <c r="D706" i="627" s="1"/>
  <c r="D707" i="627" s="1"/>
  <c r="D708" i="627" s="1"/>
  <c r="D709" i="627" s="1"/>
  <c r="D710" i="627" s="1"/>
  <c r="D711" i="627" s="1"/>
  <c r="D712" i="627" s="1"/>
  <c r="D713" i="627" s="1"/>
  <c r="D714" i="627" s="1"/>
  <c r="D715" i="627" s="1"/>
  <c r="D716" i="627" s="1"/>
  <c r="D717" i="627" s="1"/>
  <c r="D718" i="627" s="1"/>
  <c r="D719" i="627" s="1"/>
  <c r="D720" i="627" s="1"/>
  <c r="D721" i="627" s="1"/>
  <c r="D722" i="627" s="1"/>
  <c r="D723" i="627" s="1"/>
  <c r="D724" i="627" s="1"/>
  <c r="D725" i="627" s="1"/>
  <c r="D726" i="627" s="1"/>
  <c r="D727" i="627" s="1"/>
  <c r="D728" i="627" s="1"/>
  <c r="D729" i="627" s="1"/>
  <c r="D730" i="627" s="1"/>
  <c r="D731" i="627" s="1"/>
  <c r="D732" i="627" s="1"/>
  <c r="D733" i="627" s="1"/>
  <c r="D734" i="627" s="1"/>
  <c r="D735" i="627" s="1"/>
  <c r="D736" i="627" s="1"/>
  <c r="D737" i="627" s="1"/>
  <c r="D738" i="627" s="1"/>
  <c r="D739" i="627" s="1"/>
  <c r="D740" i="627" s="1"/>
  <c r="D741" i="627" s="1"/>
  <c r="D742" i="627" s="1"/>
  <c r="D743" i="627" s="1"/>
  <c r="D744" i="627" s="1"/>
  <c r="D745" i="627" s="1"/>
  <c r="D746" i="627" s="1"/>
  <c r="D747" i="627" s="1"/>
  <c r="D748" i="627" s="1"/>
  <c r="D749" i="627" s="1"/>
  <c r="D750" i="627" s="1"/>
  <c r="D751" i="627" s="1"/>
  <c r="D752" i="627" s="1"/>
  <c r="D753" i="627" s="1"/>
  <c r="D754" i="627" s="1"/>
  <c r="D755" i="627" s="1"/>
  <c r="D756" i="627" s="1"/>
  <c r="D757" i="627" s="1"/>
  <c r="D758" i="627" s="1"/>
  <c r="D759" i="627" s="1"/>
  <c r="D760" i="627" s="1"/>
  <c r="D761" i="627" s="1"/>
  <c r="D762" i="627" s="1"/>
  <c r="D763" i="627" s="1"/>
  <c r="D764" i="627" s="1"/>
  <c r="D765" i="627" s="1"/>
  <c r="D766" i="627" s="1"/>
  <c r="D767" i="627" s="1"/>
  <c r="D768" i="627" s="1"/>
  <c r="D769" i="627" s="1"/>
  <c r="D770" i="627" s="1"/>
  <c r="D771" i="627" s="1"/>
  <c r="D772" i="627" s="1"/>
  <c r="D773" i="627" s="1"/>
  <c r="D774" i="627" s="1"/>
  <c r="D775" i="627" s="1"/>
  <c r="D776" i="627" s="1"/>
  <c r="D777" i="627" s="1"/>
  <c r="D778" i="627" s="1"/>
  <c r="D779" i="627" s="1"/>
  <c r="D780" i="627" s="1"/>
  <c r="D781" i="627" s="1"/>
  <c r="D782" i="627" s="1"/>
  <c r="D783" i="627" s="1"/>
  <c r="D784" i="627" s="1"/>
  <c r="D785" i="627" s="1"/>
  <c r="D786" i="627" s="1"/>
  <c r="D787" i="627" s="1"/>
  <c r="D788" i="627" s="1"/>
  <c r="D789" i="627" s="1"/>
  <c r="D790" i="627" s="1"/>
  <c r="D791" i="627" s="1"/>
  <c r="D792" i="627" s="1"/>
  <c r="D793" i="627" s="1"/>
  <c r="D794" i="627" s="1"/>
  <c r="D795" i="627" s="1"/>
  <c r="D796" i="627" s="1"/>
  <c r="D797" i="627" s="1"/>
  <c r="D798" i="627" s="1"/>
  <c r="D799" i="627" s="1"/>
  <c r="D800" i="627" s="1"/>
  <c r="D801" i="627" s="1"/>
  <c r="D802" i="627" s="1"/>
  <c r="D803" i="627" s="1"/>
  <c r="D804" i="627" s="1"/>
  <c r="D805" i="627" s="1"/>
  <c r="D806" i="627" s="1"/>
  <c r="D807" i="627" s="1"/>
  <c r="D808" i="627" s="1"/>
  <c r="D809" i="627" s="1"/>
  <c r="D810" i="627" s="1"/>
  <c r="D811" i="627" s="1"/>
  <c r="D812" i="627" s="1"/>
  <c r="D813" i="627" s="1"/>
  <c r="D814" i="627" s="1"/>
  <c r="D815" i="627" s="1"/>
  <c r="D816" i="627" s="1"/>
  <c r="D817" i="627" s="1"/>
  <c r="D818" i="627" s="1"/>
  <c r="D819" i="627" s="1"/>
  <c r="D820" i="627" s="1"/>
  <c r="D821" i="627" s="1"/>
  <c r="D822" i="627" s="1"/>
  <c r="D823" i="627" s="1"/>
  <c r="D824" i="627" s="1"/>
  <c r="D825" i="627" s="1"/>
  <c r="D826" i="627" s="1"/>
  <c r="D827" i="627" s="1"/>
  <c r="D828" i="627" s="1"/>
  <c r="D829" i="627" s="1"/>
  <c r="D830" i="627" s="1"/>
  <c r="D831" i="627" s="1"/>
  <c r="D832" i="627" s="1"/>
  <c r="D833" i="627" s="1"/>
  <c r="D834" i="627" s="1"/>
  <c r="D835" i="627" s="1"/>
  <c r="D836" i="627" s="1"/>
  <c r="D837" i="627" s="1"/>
  <c r="D838" i="627" s="1"/>
  <c r="D839" i="627" s="1"/>
  <c r="D840" i="627" s="1"/>
  <c r="D841" i="627" s="1"/>
  <c r="D842" i="627" s="1"/>
  <c r="D843" i="627" s="1"/>
  <c r="D844" i="627" s="1"/>
  <c r="D845" i="627" s="1"/>
  <c r="D846" i="627" s="1"/>
  <c r="D847" i="627" s="1"/>
  <c r="D848" i="627" s="1"/>
  <c r="D849" i="627" s="1"/>
  <c r="D850" i="627" s="1"/>
  <c r="D851" i="627" s="1"/>
  <c r="D852" i="627" s="1"/>
  <c r="D853" i="627" s="1"/>
  <c r="D854" i="627" s="1"/>
  <c r="D855" i="627" s="1"/>
  <c r="D856" i="627" s="1"/>
  <c r="D857" i="627" s="1"/>
  <c r="D858" i="627" s="1"/>
  <c r="D859" i="627" s="1"/>
  <c r="D860" i="627" s="1"/>
  <c r="D861" i="627" s="1"/>
  <c r="D862" i="627" s="1"/>
  <c r="D863" i="627" s="1"/>
  <c r="D864" i="627" s="1"/>
  <c r="D865" i="627" s="1"/>
  <c r="D866" i="627" s="1"/>
  <c r="D867" i="627" s="1"/>
  <c r="D868" i="627" s="1"/>
  <c r="D869" i="627" s="1"/>
  <c r="D870" i="627" s="1"/>
  <c r="D871" i="627" s="1"/>
  <c r="D872" i="627" s="1"/>
  <c r="D873" i="627" s="1"/>
  <c r="D874" i="627" s="1"/>
  <c r="D875" i="627" s="1"/>
  <c r="D876" i="627" s="1"/>
  <c r="D877" i="627" s="1"/>
  <c r="D878" i="627" s="1"/>
  <c r="D879" i="627" s="1"/>
  <c r="D880" i="627" s="1"/>
  <c r="D881" i="627" s="1"/>
  <c r="D882" i="627" s="1"/>
  <c r="D883" i="627" s="1"/>
  <c r="D884" i="627" s="1"/>
  <c r="D885" i="627" s="1"/>
  <c r="D886" i="627" s="1"/>
  <c r="D887" i="627" s="1"/>
  <c r="D888" i="627" s="1"/>
  <c r="D889" i="627" s="1"/>
  <c r="D890" i="627" s="1"/>
  <c r="D891" i="627" s="1"/>
  <c r="D892" i="627" s="1"/>
  <c r="D893" i="627" s="1"/>
  <c r="D894" i="627" s="1"/>
  <c r="D895" i="627" s="1"/>
  <c r="D896" i="627" s="1"/>
  <c r="D897" i="627" s="1"/>
  <c r="D898" i="627" s="1"/>
  <c r="D899" i="627" s="1"/>
  <c r="D900" i="627" s="1"/>
  <c r="D901" i="627" s="1"/>
  <c r="D902" i="627" s="1"/>
  <c r="D903" i="627" s="1"/>
  <c r="D904" i="627" s="1"/>
  <c r="D905" i="627" s="1"/>
  <c r="D906" i="627" s="1"/>
  <c r="D907" i="627" s="1"/>
  <c r="D908" i="627" s="1"/>
  <c r="D909" i="627" s="1"/>
  <c r="D910" i="627" s="1"/>
  <c r="D911" i="627" s="1"/>
  <c r="D912" i="627" s="1"/>
  <c r="D913" i="627" s="1"/>
  <c r="D914" i="627" s="1"/>
  <c r="D915" i="627" s="1"/>
  <c r="D916" i="627" s="1"/>
  <c r="D917" i="627" s="1"/>
  <c r="D918" i="627" s="1"/>
  <c r="D919" i="627" s="1"/>
  <c r="D920" i="627" s="1"/>
  <c r="D921" i="627" s="1"/>
  <c r="D922" i="627" s="1"/>
  <c r="D923" i="627" s="1"/>
  <c r="D924" i="627" s="1"/>
  <c r="D925" i="627" s="1"/>
  <c r="D926" i="627" s="1"/>
  <c r="D927" i="627" s="1"/>
  <c r="D928" i="627" s="1"/>
  <c r="D929" i="627" s="1"/>
  <c r="D930" i="627" s="1"/>
  <c r="D931" i="627" s="1"/>
  <c r="D932" i="627" s="1"/>
  <c r="D933" i="627" s="1"/>
  <c r="D934" i="627" s="1"/>
  <c r="D935" i="627" s="1"/>
  <c r="D936" i="627" s="1"/>
  <c r="D937" i="627" s="1"/>
  <c r="D938" i="627" s="1"/>
  <c r="D939" i="627" s="1"/>
  <c r="D940" i="627" s="1"/>
  <c r="D941" i="627" s="1"/>
  <c r="D942" i="627" s="1"/>
  <c r="D943" i="627" s="1"/>
  <c r="D944" i="627" s="1"/>
  <c r="D945" i="627" s="1"/>
  <c r="D946" i="627" s="1"/>
  <c r="D947" i="627" s="1"/>
  <c r="D948" i="627" s="1"/>
  <c r="D949" i="627" s="1"/>
  <c r="D950" i="627" s="1"/>
  <c r="D951" i="627" s="1"/>
  <c r="D952" i="627" s="1"/>
  <c r="D953" i="627" s="1"/>
  <c r="D954" i="627" s="1"/>
  <c r="D955" i="627" s="1"/>
  <c r="D956" i="627" s="1"/>
  <c r="D957" i="627" s="1"/>
  <c r="D958" i="627" s="1"/>
  <c r="D959" i="627" s="1"/>
  <c r="D960" i="627" s="1"/>
  <c r="D961" i="627" s="1"/>
  <c r="D962" i="627" s="1"/>
  <c r="D963" i="627" s="1"/>
  <c r="D964" i="627" s="1"/>
  <c r="D965" i="627" s="1"/>
  <c r="D966" i="627" s="1"/>
  <c r="D967" i="627" s="1"/>
  <c r="D968" i="627" s="1"/>
  <c r="D969" i="627" s="1"/>
  <c r="D970" i="627" s="1"/>
  <c r="D971" i="627" s="1"/>
  <c r="D972" i="627" s="1"/>
  <c r="D973" i="627" s="1"/>
  <c r="D974" i="627" s="1"/>
  <c r="D975" i="627" s="1"/>
  <c r="D976" i="627" s="1"/>
  <c r="D977" i="627" s="1"/>
  <c r="D978" i="627" s="1"/>
  <c r="D979" i="627" s="1"/>
  <c r="D980" i="627" s="1"/>
  <c r="D981" i="627" s="1"/>
  <c r="D982" i="627" s="1"/>
  <c r="D983" i="627" s="1"/>
  <c r="D984" i="627" s="1"/>
  <c r="D985" i="627" s="1"/>
  <c r="D986" i="627" s="1"/>
  <c r="D987" i="627" s="1"/>
  <c r="D988" i="627" s="1"/>
  <c r="D989" i="627" s="1"/>
  <c r="D990" i="627" s="1"/>
  <c r="D991" i="627" s="1"/>
  <c r="D992" i="627" s="1"/>
  <c r="D993" i="627" s="1"/>
  <c r="D994" i="627" s="1"/>
  <c r="D995" i="627" s="1"/>
  <c r="D996" i="627" s="1"/>
  <c r="D997" i="627" s="1"/>
  <c r="D998" i="627" s="1"/>
  <c r="D999" i="627" s="1"/>
  <c r="D1000" i="627" s="1"/>
  <c r="D1001" i="627" s="1"/>
  <c r="D1002" i="627" s="1"/>
  <c r="D1003" i="627" s="1"/>
  <c r="D1004" i="627" s="1"/>
  <c r="D1005" i="627" s="1"/>
  <c r="D1006" i="627" s="1"/>
  <c r="D1007" i="627" s="1"/>
  <c r="D1008" i="627" s="1"/>
  <c r="D1009" i="627" s="1"/>
  <c r="D1010" i="627" s="1"/>
  <c r="D1011" i="627" s="1"/>
  <c r="D1012" i="627" s="1"/>
  <c r="D1013" i="627" s="1"/>
  <c r="D1014" i="627" s="1"/>
  <c r="D1015" i="627" s="1"/>
  <c r="D1016" i="627" s="1"/>
  <c r="D1017" i="627" s="1"/>
  <c r="D1018" i="627" s="1"/>
  <c r="D1019" i="627" s="1"/>
  <c r="D1020" i="627" s="1"/>
  <c r="D1021" i="627" s="1"/>
  <c r="D1022" i="627" s="1"/>
  <c r="D1023" i="627" s="1"/>
  <c r="D1024" i="627" s="1"/>
  <c r="D1025" i="627" s="1"/>
  <c r="D1026" i="627" s="1"/>
  <c r="D1027" i="627" s="1"/>
  <c r="D1028" i="627" s="1"/>
  <c r="D1029" i="627" s="1"/>
  <c r="D1030" i="627" s="1"/>
  <c r="D1031" i="627" s="1"/>
  <c r="D1032" i="627" s="1"/>
  <c r="D1033" i="627" s="1"/>
  <c r="D1034" i="627" s="1"/>
  <c r="D1035" i="627" s="1"/>
  <c r="D1036" i="627" s="1"/>
  <c r="D1037" i="627" s="1"/>
  <c r="D1038" i="627" s="1"/>
  <c r="D1039" i="627" s="1"/>
  <c r="D1040" i="627" s="1"/>
  <c r="D1041" i="627" s="1"/>
  <c r="D1042" i="627" s="1"/>
  <c r="D1043" i="627" s="1"/>
  <c r="D1044" i="627" s="1"/>
  <c r="D1045" i="627" s="1"/>
  <c r="D1046" i="627" s="1"/>
  <c r="D1047" i="627" s="1"/>
  <c r="D1048" i="627" s="1"/>
  <c r="D1049" i="627" s="1"/>
  <c r="D1050" i="627" s="1"/>
  <c r="D1051" i="627" s="1"/>
  <c r="D1052" i="627" s="1"/>
  <c r="D1053" i="627" s="1"/>
  <c r="D1054" i="627" s="1"/>
  <c r="D1055" i="627" s="1"/>
  <c r="D1056" i="627" s="1"/>
  <c r="D1057" i="627" s="1"/>
  <c r="D1058" i="627" s="1"/>
  <c r="D1059" i="627" s="1"/>
  <c r="D1060" i="627" s="1"/>
  <c r="D1061" i="627" s="1"/>
  <c r="D1062" i="627" s="1"/>
  <c r="D1063" i="627" s="1"/>
  <c r="D1064" i="627" s="1"/>
  <c r="D1065" i="627" s="1"/>
  <c r="D1066" i="627" s="1"/>
  <c r="D1067" i="627" s="1"/>
  <c r="D1068" i="627" s="1"/>
  <c r="D1069" i="627" s="1"/>
  <c r="D1070" i="627" s="1"/>
  <c r="D1071" i="627" s="1"/>
  <c r="D1072" i="627" s="1"/>
  <c r="D1073" i="627" s="1"/>
  <c r="D1074" i="627" s="1"/>
  <c r="D1075" i="627" s="1"/>
  <c r="D1076" i="627" s="1"/>
  <c r="D1077" i="627" s="1"/>
  <c r="D1078" i="627" s="1"/>
  <c r="D1079" i="627" s="1"/>
  <c r="D1080" i="627" s="1"/>
  <c r="D1081" i="627" s="1"/>
  <c r="D1082" i="627" s="1"/>
  <c r="D1083" i="627" s="1"/>
  <c r="D1084" i="627" s="1"/>
  <c r="D1085" i="627" s="1"/>
  <c r="D1086" i="627" s="1"/>
  <c r="D1087" i="627" s="1"/>
  <c r="D1088" i="627" s="1"/>
  <c r="D1089" i="627" s="1"/>
  <c r="D1090" i="627" s="1"/>
  <c r="D1091" i="627" s="1"/>
  <c r="D1092" i="627" s="1"/>
  <c r="D1093" i="627" s="1"/>
  <c r="D1094" i="627" s="1"/>
  <c r="D1095" i="627" s="1"/>
  <c r="D1096" i="627" s="1"/>
  <c r="D1097" i="627" s="1"/>
  <c r="D1098" i="627" s="1"/>
  <c r="D1099" i="627" s="1"/>
  <c r="D1100" i="627" s="1"/>
  <c r="D1101" i="627" s="1"/>
  <c r="D1102" i="627" s="1"/>
  <c r="D1103" i="627" s="1"/>
  <c r="D1104" i="627" s="1"/>
  <c r="D1105" i="627" s="1"/>
  <c r="D1106" i="627" s="1"/>
  <c r="D1107" i="627" s="1"/>
  <c r="D1108" i="627" s="1"/>
  <c r="D1109" i="627" s="1"/>
  <c r="D1110" i="627" s="1"/>
  <c r="D1111" i="627" s="1"/>
  <c r="D1112" i="627" s="1"/>
  <c r="D1113" i="627" s="1"/>
  <c r="D1114" i="627" s="1"/>
  <c r="D1115" i="627" s="1"/>
  <c r="D1116" i="627" s="1"/>
  <c r="D1117" i="627" s="1"/>
  <c r="D1118" i="627" s="1"/>
  <c r="D1119" i="627" s="1"/>
  <c r="D1120" i="627" s="1"/>
  <c r="D1121" i="627" s="1"/>
  <c r="D1122" i="627" s="1"/>
  <c r="D1123" i="627" s="1"/>
  <c r="D1124" i="627" s="1"/>
  <c r="D1125" i="627" s="1"/>
  <c r="D1126" i="627" s="1"/>
  <c r="D1127" i="627" s="1"/>
  <c r="D1128" i="627" s="1"/>
  <c r="D1129" i="627" s="1"/>
  <c r="D1130" i="627" s="1"/>
  <c r="D1131" i="627" s="1"/>
  <c r="D1132" i="627" s="1"/>
  <c r="D1133" i="627" s="1"/>
  <c r="D1134" i="627" s="1"/>
  <c r="D1135" i="627" s="1"/>
  <c r="D1136" i="627" s="1"/>
  <c r="D1137" i="627" s="1"/>
  <c r="D1138" i="627" s="1"/>
  <c r="D1139" i="627" s="1"/>
  <c r="D1140" i="627" s="1"/>
  <c r="D1141" i="627" s="1"/>
  <c r="D1142" i="627" s="1"/>
  <c r="D1143" i="627" s="1"/>
  <c r="D1144" i="627" s="1"/>
  <c r="D1145" i="627" s="1"/>
  <c r="D1146" i="627" s="1"/>
  <c r="D1147" i="627" s="1"/>
  <c r="D1148" i="627" s="1"/>
  <c r="D1149" i="627" s="1"/>
  <c r="D1150" i="627" s="1"/>
  <c r="D1151" i="627" s="1"/>
  <c r="D1152" i="627" s="1"/>
  <c r="D1153" i="627" s="1"/>
  <c r="D1154" i="627" s="1"/>
  <c r="D1155" i="627" s="1"/>
  <c r="D1156" i="627" s="1"/>
  <c r="D1157" i="627" s="1"/>
  <c r="D1158" i="627" s="1"/>
  <c r="D1159" i="627" s="1"/>
  <c r="D1160" i="627" s="1"/>
  <c r="D1161" i="627" s="1"/>
  <c r="D1162" i="627" s="1"/>
  <c r="D1163" i="627" s="1"/>
  <c r="D1164" i="627" s="1"/>
  <c r="D1165" i="627" s="1"/>
  <c r="D1166" i="627" s="1"/>
  <c r="D1167" i="627" s="1"/>
  <c r="D1168" i="627" s="1"/>
  <c r="D1169" i="627" s="1"/>
  <c r="D1170" i="627" s="1"/>
  <c r="D1171" i="627" s="1"/>
  <c r="D1172" i="627" s="1"/>
  <c r="D1173" i="627" s="1"/>
  <c r="D1174" i="627" s="1"/>
  <c r="D1175" i="627" s="1"/>
  <c r="D1176" i="627" s="1"/>
  <c r="D1177" i="627" s="1"/>
  <c r="D1178" i="627" s="1"/>
  <c r="D1179" i="627" s="1"/>
  <c r="D1180" i="627" s="1"/>
  <c r="D1181" i="627" s="1"/>
  <c r="D1182" i="627" s="1"/>
  <c r="D1183" i="627" s="1"/>
  <c r="D1184" i="627" s="1"/>
  <c r="D1185" i="627" s="1"/>
  <c r="D1186" i="627" s="1"/>
  <c r="D1187" i="627" s="1"/>
  <c r="D1188" i="627" s="1"/>
  <c r="D1189" i="627" s="1"/>
  <c r="D1190" i="627" s="1"/>
  <c r="D1191" i="627" s="1"/>
  <c r="D1192" i="627" s="1"/>
  <c r="D1193" i="627" s="1"/>
  <c r="D1194" i="627" s="1"/>
  <c r="D1195" i="627" s="1"/>
  <c r="D1196" i="627" s="1"/>
  <c r="D1197" i="627" s="1"/>
  <c r="D1198" i="627" s="1"/>
  <c r="D1199" i="627" s="1"/>
  <c r="D1200" i="627" s="1"/>
  <c r="D1201" i="627" s="1"/>
  <c r="D1202" i="627" s="1"/>
  <c r="D1203" i="627" s="1"/>
  <c r="D1204" i="627" s="1"/>
  <c r="D1205" i="627" s="1"/>
  <c r="D1206" i="627" s="1"/>
  <c r="D1207" i="627" s="1"/>
  <c r="D1208" i="627" s="1"/>
  <c r="D1209" i="627" s="1"/>
  <c r="D1210" i="627" s="1"/>
  <c r="D1211" i="627" s="1"/>
  <c r="D1212" i="627" s="1"/>
  <c r="D1213" i="627" s="1"/>
  <c r="D1214" i="627" s="1"/>
  <c r="D1215" i="627" s="1"/>
  <c r="D1216" i="627" s="1"/>
  <c r="D1217" i="627" s="1"/>
  <c r="D1218" i="627" s="1"/>
  <c r="D1219" i="627" s="1"/>
  <c r="D1220" i="627" s="1"/>
  <c r="D1221" i="627" s="1"/>
  <c r="D1222" i="627" s="1"/>
  <c r="D1223" i="627" s="1"/>
  <c r="D1224" i="627" s="1"/>
  <c r="D1225" i="627" s="1"/>
  <c r="D1226" i="627" s="1"/>
  <c r="D1227" i="627" s="1"/>
  <c r="D1228" i="627" s="1"/>
  <c r="D1229" i="627" s="1"/>
  <c r="D1230" i="627" s="1"/>
  <c r="D1231" i="627" s="1"/>
  <c r="D1232" i="627" s="1"/>
  <c r="D1233" i="627" s="1"/>
  <c r="D1234" i="627" s="1"/>
  <c r="D1235" i="627" s="1"/>
  <c r="D1236" i="627" s="1"/>
  <c r="D1237" i="627" s="1"/>
  <c r="D1238" i="627" s="1"/>
  <c r="D1239" i="627" s="1"/>
  <c r="D1240" i="627" s="1"/>
  <c r="D1241" i="627" s="1"/>
  <c r="D1242" i="627" s="1"/>
  <c r="D1243" i="627" s="1"/>
  <c r="D1244" i="627" s="1"/>
  <c r="D1245" i="627" s="1"/>
  <c r="D1246" i="627" s="1"/>
  <c r="D1247" i="627" s="1"/>
  <c r="D1248" i="627" s="1"/>
  <c r="D1249" i="627" s="1"/>
  <c r="D1250" i="627" s="1"/>
  <c r="D1251" i="627" s="1"/>
  <c r="D1252" i="627" s="1"/>
  <c r="D1253" i="627" s="1"/>
  <c r="D1254" i="627" s="1"/>
  <c r="D1255" i="627" s="1"/>
  <c r="D1256" i="627" s="1"/>
  <c r="D1257" i="627" s="1"/>
  <c r="D1258" i="627" s="1"/>
  <c r="D1259" i="627" s="1"/>
  <c r="D1260" i="627" s="1"/>
  <c r="D1261" i="627" s="1"/>
  <c r="D1262" i="627" s="1"/>
  <c r="D1263" i="627" s="1"/>
  <c r="D1264" i="627" s="1"/>
  <c r="D1265" i="627" s="1"/>
  <c r="D1266" i="627" s="1"/>
  <c r="D1267" i="627" s="1"/>
  <c r="D1268" i="627" s="1"/>
  <c r="D1269" i="627" s="1"/>
  <c r="D1270" i="627" s="1"/>
  <c r="D1271" i="627" s="1"/>
  <c r="D1272" i="627" s="1"/>
  <c r="D1273" i="627" s="1"/>
  <c r="D1274" i="627" s="1"/>
  <c r="D1275" i="627" s="1"/>
  <c r="D1276" i="627" s="1"/>
  <c r="D1277" i="627" s="1"/>
  <c r="D1278" i="627" s="1"/>
  <c r="D1279" i="627" s="1"/>
  <c r="D1280" i="627" s="1"/>
  <c r="D1281" i="627" s="1"/>
  <c r="D1282" i="627" s="1"/>
  <c r="D1283" i="627" s="1"/>
  <c r="D1284" i="627" s="1"/>
  <c r="D1285" i="627" s="1"/>
  <c r="D1286" i="627" s="1"/>
  <c r="D1287" i="627" s="1"/>
  <c r="D1288" i="627" s="1"/>
  <c r="D1289" i="627" s="1"/>
  <c r="D1290" i="627" s="1"/>
  <c r="D1291" i="627" s="1"/>
  <c r="D1292" i="627" s="1"/>
  <c r="D1293" i="627" s="1"/>
  <c r="D1294" i="627" s="1"/>
  <c r="D1295" i="627" s="1"/>
  <c r="D1296" i="627" s="1"/>
  <c r="D1297" i="627" s="1"/>
  <c r="D1298" i="627" s="1"/>
  <c r="D1299" i="627" s="1"/>
  <c r="D1300" i="627" s="1"/>
  <c r="D1301" i="627" s="1"/>
  <c r="D1302" i="627" s="1"/>
  <c r="D1303" i="627" s="1"/>
  <c r="D1304" i="627" s="1"/>
  <c r="D1305" i="627" s="1"/>
  <c r="D1306" i="627" s="1"/>
  <c r="D1307" i="627" s="1"/>
  <c r="D1308" i="627" s="1"/>
  <c r="D1309" i="627" s="1"/>
  <c r="D1310" i="627" s="1"/>
  <c r="D1311" i="627" s="1"/>
  <c r="D1312" i="627" s="1"/>
  <c r="D1313" i="627" s="1"/>
  <c r="D1314" i="627" s="1"/>
  <c r="D1315" i="627" s="1"/>
  <c r="D1316" i="627" s="1"/>
  <c r="D1317" i="627" s="1"/>
  <c r="D1318" i="627" s="1"/>
  <c r="D1319" i="627" s="1"/>
  <c r="D1320" i="627" s="1"/>
  <c r="D1321" i="627" s="1"/>
  <c r="D1322" i="627" s="1"/>
  <c r="D1323" i="627" s="1"/>
  <c r="D1324" i="627" s="1"/>
  <c r="D1325" i="627" s="1"/>
  <c r="D1326" i="627" s="1"/>
  <c r="D1327" i="627" s="1"/>
  <c r="D1328" i="627" s="1"/>
  <c r="D1329" i="627" s="1"/>
  <c r="D1330" i="627" s="1"/>
  <c r="D1331" i="627" s="1"/>
  <c r="D1332" i="627" s="1"/>
  <c r="D1333" i="627" s="1"/>
  <c r="D1334" i="627" s="1"/>
  <c r="D1335" i="627" s="1"/>
  <c r="D1336" i="627" s="1"/>
  <c r="D1337" i="627" s="1"/>
  <c r="D1338" i="627" s="1"/>
  <c r="D1339" i="627" s="1"/>
  <c r="D1340" i="627" s="1"/>
  <c r="D1341" i="627" s="1"/>
  <c r="D1342" i="627" s="1"/>
  <c r="D1343" i="627" s="1"/>
  <c r="D1344" i="627" s="1"/>
  <c r="D1345" i="627" s="1"/>
  <c r="D1346" i="627" s="1"/>
  <c r="D1347" i="627" s="1"/>
  <c r="D1348" i="627" s="1"/>
  <c r="D1349" i="627" s="1"/>
  <c r="D1350" i="627" s="1"/>
  <c r="D1351" i="627" s="1"/>
  <c r="D1352" i="627" s="1"/>
  <c r="D1353" i="627" s="1"/>
  <c r="D1354" i="627" s="1"/>
  <c r="D1355" i="627" s="1"/>
  <c r="D1356" i="627" s="1"/>
  <c r="D1357" i="627" s="1"/>
  <c r="D1358" i="627" s="1"/>
  <c r="D1359" i="627" s="1"/>
  <c r="D1360" i="627" s="1"/>
  <c r="D1361" i="627" s="1"/>
  <c r="D1362" i="627" s="1"/>
  <c r="D1363" i="627" s="1"/>
  <c r="D1364" i="627" s="1"/>
  <c r="D1365" i="627" s="1"/>
  <c r="D1366" i="627" s="1"/>
  <c r="D1367" i="627" s="1"/>
  <c r="D1368" i="627" s="1"/>
  <c r="D1369" i="627" s="1"/>
  <c r="D1370" i="627" s="1"/>
  <c r="D1371" i="627" s="1"/>
  <c r="D1372" i="627" s="1"/>
  <c r="D1373" i="627" s="1"/>
  <c r="D1374" i="627" s="1"/>
  <c r="D1375" i="627" s="1"/>
  <c r="D1376" i="627" s="1"/>
  <c r="D1377" i="627" s="1"/>
  <c r="D1378" i="627" s="1"/>
  <c r="D1379" i="627" s="1"/>
  <c r="D1380" i="627" s="1"/>
  <c r="D1381" i="627" s="1"/>
  <c r="D1382" i="627" s="1"/>
  <c r="D1383" i="627" s="1"/>
  <c r="D1384" i="627" s="1"/>
  <c r="D1385" i="627" s="1"/>
  <c r="D1386" i="627" s="1"/>
  <c r="D1387" i="627" s="1"/>
  <c r="D1388" i="627" s="1"/>
  <c r="D1389" i="627" s="1"/>
  <c r="D1390" i="627" s="1"/>
  <c r="D1391" i="627" s="1"/>
  <c r="D1392" i="627" s="1"/>
  <c r="D1393" i="627" s="1"/>
  <c r="D1394" i="627" s="1"/>
  <c r="D1395" i="627" s="1"/>
  <c r="D1396" i="627" s="1"/>
  <c r="D1397" i="627" s="1"/>
  <c r="D1398" i="627" s="1"/>
  <c r="D1399" i="627" s="1"/>
  <c r="D1400" i="627" s="1"/>
  <c r="D1401" i="627" s="1"/>
  <c r="D1402" i="627" s="1"/>
  <c r="D1403" i="627" s="1"/>
  <c r="D1404" i="627" s="1"/>
  <c r="D1405" i="627" s="1"/>
  <c r="D1406" i="627" s="1"/>
  <c r="D1407" i="627" s="1"/>
  <c r="D1408" i="627" s="1"/>
  <c r="D1409" i="627" s="1"/>
  <c r="D1410" i="627" s="1"/>
  <c r="D1411" i="627" s="1"/>
  <c r="D1412" i="627" s="1"/>
  <c r="D1413" i="627" s="1"/>
  <c r="D1414" i="627" s="1"/>
  <c r="D1415" i="627" s="1"/>
  <c r="D1416" i="627" s="1"/>
  <c r="D1417" i="627" s="1"/>
  <c r="D1418" i="627" s="1"/>
  <c r="D1419" i="627" s="1"/>
  <c r="D1420" i="627" s="1"/>
  <c r="D1421" i="627" s="1"/>
  <c r="D1422" i="627" s="1"/>
  <c r="D1423" i="627" s="1"/>
  <c r="D1424" i="627" s="1"/>
  <c r="D1425" i="627" s="1"/>
  <c r="D1426" i="627" s="1"/>
  <c r="D1427" i="627" s="1"/>
  <c r="D1428" i="627" s="1"/>
  <c r="D1429" i="627" s="1"/>
  <c r="D1430" i="627" s="1"/>
  <c r="D1431" i="627" s="1"/>
  <c r="D1432" i="627" s="1"/>
  <c r="D1433" i="627" s="1"/>
  <c r="D1434" i="627" s="1"/>
  <c r="D1435" i="627" s="1"/>
  <c r="D1436" i="627" s="1"/>
  <c r="D1437" i="627" s="1"/>
  <c r="D1438" i="627" s="1"/>
  <c r="D1439" i="627" s="1"/>
  <c r="D1440" i="627" s="1"/>
  <c r="D1441" i="627" s="1"/>
  <c r="D1442" i="627" s="1"/>
  <c r="D1443" i="627" s="1"/>
  <c r="D1444" i="627" s="1"/>
  <c r="D1445" i="627" s="1"/>
  <c r="D1446" i="627" s="1"/>
  <c r="D1447" i="627" s="1"/>
  <c r="D1448" i="627" s="1"/>
  <c r="D1449" i="627" s="1"/>
  <c r="D1450" i="627" s="1"/>
  <c r="D1451" i="627" s="1"/>
  <c r="D1452" i="627" s="1"/>
  <c r="D1453" i="627" s="1"/>
  <c r="D1454" i="627" s="1"/>
  <c r="D1455" i="627" s="1"/>
  <c r="D1456" i="627" s="1"/>
  <c r="D1457" i="627" s="1"/>
  <c r="D1458" i="627" s="1"/>
  <c r="D1459" i="627" s="1"/>
  <c r="D1460" i="627" s="1"/>
  <c r="D1461" i="627" s="1"/>
  <c r="D1462" i="627" s="1"/>
  <c r="D1463" i="627" s="1"/>
  <c r="D1464" i="627" s="1"/>
  <c r="D1465" i="627" s="1"/>
  <c r="D1466" i="627" s="1"/>
  <c r="D1467" i="627" s="1"/>
  <c r="D1468" i="627" s="1"/>
  <c r="D1469" i="627" s="1"/>
  <c r="D1470" i="627" s="1"/>
  <c r="D1471" i="627" s="1"/>
  <c r="D1472" i="627" s="1"/>
  <c r="D1473" i="627" s="1"/>
  <c r="D1474" i="627" s="1"/>
  <c r="D1475" i="627" s="1"/>
  <c r="D1476" i="627" s="1"/>
  <c r="D1477" i="627" s="1"/>
  <c r="D1478" i="627" s="1"/>
  <c r="D1479" i="627" s="1"/>
  <c r="D1480" i="627" s="1"/>
  <c r="D1481" i="627" s="1"/>
  <c r="D1482" i="627" s="1"/>
  <c r="D1483" i="627" s="1"/>
  <c r="D1484" i="627" s="1"/>
  <c r="D1485" i="627" s="1"/>
  <c r="D1486" i="627" s="1"/>
  <c r="D1487" i="627" s="1"/>
  <c r="D1488" i="627" s="1"/>
  <c r="D1489" i="627" s="1"/>
  <c r="D1490" i="627" s="1"/>
  <c r="D1491" i="627" s="1"/>
  <c r="D1492" i="627" s="1"/>
  <c r="D1493" i="627" s="1"/>
  <c r="D1494" i="627" s="1"/>
  <c r="D1495" i="627" s="1"/>
  <c r="D1496" i="627" s="1"/>
  <c r="D1497" i="627" s="1"/>
  <c r="D1498" i="627" s="1"/>
  <c r="D1499" i="627" s="1"/>
  <c r="D1500" i="627" s="1"/>
  <c r="D1501" i="627" s="1"/>
  <c r="D1502" i="627" s="1"/>
  <c r="D1503" i="627" s="1"/>
  <c r="D1504" i="627" s="1"/>
  <c r="D1505" i="627" s="1"/>
  <c r="D1506" i="627" s="1"/>
  <c r="D1507" i="627" s="1"/>
  <c r="D1508" i="627" s="1"/>
  <c r="D1509" i="627" s="1"/>
  <c r="D1510" i="627" s="1"/>
  <c r="D1511" i="627" s="1"/>
  <c r="D1512" i="627" s="1"/>
  <c r="D1513" i="627" s="1"/>
  <c r="D1514" i="627" s="1"/>
  <c r="D1515" i="627" s="1"/>
  <c r="D1516" i="627" s="1"/>
  <c r="D1517" i="627" s="1"/>
  <c r="D1518" i="627" s="1"/>
  <c r="D1519" i="627" s="1"/>
  <c r="D1520" i="627" s="1"/>
  <c r="D1521" i="627" s="1"/>
  <c r="D1522" i="627" s="1"/>
  <c r="D1523" i="627" s="1"/>
  <c r="D1524" i="627" s="1"/>
  <c r="D1525" i="627" s="1"/>
  <c r="D1526" i="627" s="1"/>
  <c r="D1527" i="627" s="1"/>
  <c r="D1528" i="627" s="1"/>
  <c r="D1529" i="627" s="1"/>
  <c r="D1530" i="627" s="1"/>
  <c r="D1531" i="627" s="1"/>
  <c r="D1532" i="627" s="1"/>
  <c r="D1533" i="627" s="1"/>
  <c r="D1534" i="627" s="1"/>
  <c r="D1535" i="627" s="1"/>
  <c r="D1536" i="627" s="1"/>
  <c r="D1537" i="627" s="1"/>
  <c r="D1538" i="627" s="1"/>
  <c r="D1539" i="627" s="1"/>
  <c r="D1540" i="627" s="1"/>
  <c r="D1541" i="627" s="1"/>
  <c r="D1542" i="627" s="1"/>
  <c r="D1543" i="627" s="1"/>
  <c r="D1544" i="627" s="1"/>
  <c r="D1545" i="627" s="1"/>
  <c r="D1546" i="627" s="1"/>
  <c r="D1547" i="627" s="1"/>
  <c r="D1548" i="627" s="1"/>
  <c r="D1549" i="627" s="1"/>
  <c r="D1550" i="627" s="1"/>
  <c r="D1551" i="627" s="1"/>
  <c r="D1552" i="627" s="1"/>
  <c r="D1553" i="627" s="1"/>
  <c r="D1554" i="627" s="1"/>
  <c r="D1555" i="627" s="1"/>
  <c r="D1556" i="627" s="1"/>
  <c r="D1557" i="627" s="1"/>
  <c r="D1558" i="627" s="1"/>
  <c r="D1559" i="627" s="1"/>
  <c r="D1560" i="627" s="1"/>
  <c r="D1561" i="627" s="1"/>
  <c r="D1562" i="627" s="1"/>
  <c r="D1563" i="627" s="1"/>
  <c r="D1564" i="627" s="1"/>
  <c r="D1565" i="627" s="1"/>
  <c r="D1566" i="627" s="1"/>
  <c r="D1567" i="627" s="1"/>
  <c r="D1568" i="627" s="1"/>
  <c r="D1569" i="627" s="1"/>
  <c r="D1570" i="627" s="1"/>
  <c r="D1571" i="627" s="1"/>
  <c r="D1572" i="627" s="1"/>
  <c r="D1573" i="627" s="1"/>
  <c r="D1574" i="627" s="1"/>
  <c r="D1575" i="627" s="1"/>
  <c r="D1576" i="627" s="1"/>
  <c r="D1577" i="627" s="1"/>
  <c r="D1578" i="627" s="1"/>
  <c r="D1579" i="627" s="1"/>
  <c r="D1580" i="627" s="1"/>
  <c r="D1581" i="627" s="1"/>
  <c r="D1582" i="627" s="1"/>
  <c r="D1583" i="627" s="1"/>
  <c r="D1584" i="627" s="1"/>
  <c r="D1585" i="627" s="1"/>
  <c r="D1586" i="627" s="1"/>
  <c r="D1587" i="627" s="1"/>
  <c r="D1588" i="627" s="1"/>
  <c r="D1589" i="627" s="1"/>
  <c r="D1590" i="627" s="1"/>
  <c r="D1591" i="627" s="1"/>
  <c r="D1592" i="627" s="1"/>
  <c r="D1593" i="627" s="1"/>
  <c r="D1594" i="627" s="1"/>
  <c r="D1595" i="627" s="1"/>
  <c r="D1596" i="627" s="1"/>
  <c r="D1597" i="627" s="1"/>
  <c r="D1598" i="627" s="1"/>
  <c r="D1599" i="627" s="1"/>
  <c r="D1600" i="627" s="1"/>
  <c r="D1601" i="627" s="1"/>
  <c r="D1602" i="627" s="1"/>
  <c r="D1603" i="627" s="1"/>
  <c r="D1604" i="627" s="1"/>
  <c r="D1605" i="627" s="1"/>
  <c r="D1606" i="627" s="1"/>
  <c r="D1607" i="627" s="1"/>
  <c r="D1608" i="627" s="1"/>
  <c r="D1609" i="627" s="1"/>
  <c r="D1610" i="627" s="1"/>
  <c r="D1611" i="627" s="1"/>
  <c r="D1612" i="627" s="1"/>
  <c r="D1613" i="627" s="1"/>
  <c r="D1614" i="627" s="1"/>
  <c r="D1615" i="627" s="1"/>
  <c r="D1616" i="627" s="1"/>
  <c r="D1617" i="627" s="1"/>
  <c r="D1618" i="627" s="1"/>
  <c r="D1619" i="627" s="1"/>
  <c r="D1620" i="627" s="1"/>
  <c r="D1621" i="627" s="1"/>
  <c r="D1622" i="627" s="1"/>
  <c r="D1623" i="627" s="1"/>
  <c r="D1624" i="627" s="1"/>
  <c r="D1625" i="627" s="1"/>
  <c r="D1626" i="627" s="1"/>
  <c r="D1627" i="627" s="1"/>
  <c r="D1628" i="627" s="1"/>
  <c r="D1629" i="627" s="1"/>
  <c r="D1630" i="627" s="1"/>
  <c r="D1631" i="627" s="1"/>
  <c r="D1632" i="627" s="1"/>
  <c r="D1633" i="627" s="1"/>
  <c r="D1634" i="627" s="1"/>
  <c r="D1635" i="627" s="1"/>
  <c r="D1636" i="627" s="1"/>
  <c r="D1637" i="627" s="1"/>
  <c r="D1638" i="627" s="1"/>
  <c r="D1639" i="627" s="1"/>
  <c r="D1640" i="627" s="1"/>
  <c r="D1641" i="627" s="1"/>
  <c r="D1642" i="627" s="1"/>
  <c r="D1643" i="627" s="1"/>
  <c r="D1644" i="627" s="1"/>
  <c r="D1645" i="627" s="1"/>
  <c r="D1646" i="627" s="1"/>
  <c r="D1647" i="627" s="1"/>
  <c r="D1648" i="627" s="1"/>
  <c r="D1649" i="627" s="1"/>
  <c r="D1650" i="627" s="1"/>
  <c r="D1651" i="627" s="1"/>
  <c r="D1652" i="627" s="1"/>
  <c r="D1653" i="627" s="1"/>
  <c r="D1654" i="627" s="1"/>
  <c r="D1655" i="627" s="1"/>
  <c r="D1656" i="627" s="1"/>
  <c r="D1657" i="627" s="1"/>
  <c r="D1658" i="627" s="1"/>
  <c r="D1659" i="627" s="1"/>
  <c r="D1660" i="627" s="1"/>
  <c r="D1661" i="627" s="1"/>
  <c r="D1662" i="627" s="1"/>
  <c r="D1663" i="627" s="1"/>
  <c r="D1664" i="627" s="1"/>
  <c r="D1665" i="627" s="1"/>
  <c r="D1666" i="627" s="1"/>
  <c r="D1667" i="627" s="1"/>
  <c r="D1668" i="627" s="1"/>
  <c r="D1669" i="627" s="1"/>
  <c r="D1670" i="627" s="1"/>
  <c r="D1671" i="627" s="1"/>
  <c r="D1672" i="627" s="1"/>
  <c r="D1673" i="627" s="1"/>
  <c r="D1674" i="627" s="1"/>
  <c r="D1675" i="627" s="1"/>
  <c r="D1676" i="627" s="1"/>
  <c r="D1677" i="627" s="1"/>
  <c r="D1678" i="627" s="1"/>
  <c r="D1679" i="627" s="1"/>
  <c r="D1680" i="627" s="1"/>
  <c r="D1681" i="627" s="1"/>
  <c r="D1682" i="627" s="1"/>
  <c r="D1683" i="627" s="1"/>
  <c r="D1684" i="627" s="1"/>
  <c r="D1685" i="627" s="1"/>
  <c r="D1686" i="627" s="1"/>
  <c r="D1687" i="627" s="1"/>
  <c r="D1688" i="627" s="1"/>
  <c r="D1689" i="627" s="1"/>
  <c r="D1690" i="627" s="1"/>
  <c r="D1691" i="627" s="1"/>
  <c r="D1692" i="627" s="1"/>
  <c r="D1693" i="627" s="1"/>
  <c r="D1694" i="627" s="1"/>
  <c r="D1695" i="627" s="1"/>
  <c r="D1696" i="627" s="1"/>
  <c r="D1697" i="627" s="1"/>
  <c r="D1698" i="627" s="1"/>
  <c r="D1699" i="627" s="1"/>
  <c r="D1700" i="627" s="1"/>
  <c r="D1701" i="627" s="1"/>
  <c r="D1702" i="627" s="1"/>
  <c r="D1703" i="627" s="1"/>
  <c r="D1704" i="627" s="1"/>
  <c r="D1705" i="627" s="1"/>
  <c r="D1706" i="627" s="1"/>
  <c r="D1707" i="627" s="1"/>
  <c r="D1708" i="627" s="1"/>
  <c r="D1709" i="627" s="1"/>
  <c r="D1710" i="627" s="1"/>
  <c r="D1711" i="627" s="1"/>
  <c r="D1712" i="627" s="1"/>
  <c r="D1713" i="627" s="1"/>
  <c r="D1714" i="627" s="1"/>
  <c r="D1715" i="627" s="1"/>
  <c r="D1716" i="627" s="1"/>
  <c r="D1717" i="627" s="1"/>
  <c r="D1718" i="627" s="1"/>
  <c r="D1719" i="627" s="1"/>
  <c r="D1720" i="627" s="1"/>
  <c r="D1721" i="627" s="1"/>
  <c r="D1722" i="627" s="1"/>
  <c r="D1723" i="627" s="1"/>
  <c r="D1724" i="627" s="1"/>
  <c r="D1725" i="627" s="1"/>
  <c r="D1726" i="627" s="1"/>
  <c r="D1727" i="627" s="1"/>
  <c r="D1728" i="627" s="1"/>
  <c r="D1729" i="627" s="1"/>
  <c r="D1730" i="627" s="1"/>
  <c r="D1731" i="627" s="1"/>
  <c r="D1732" i="627" s="1"/>
  <c r="D1733" i="627" s="1"/>
  <c r="D1734" i="627" s="1"/>
  <c r="D1735" i="627" s="1"/>
  <c r="D1736" i="627" s="1"/>
  <c r="D1737" i="627" s="1"/>
  <c r="D1738" i="627" s="1"/>
  <c r="D1739" i="627" s="1"/>
  <c r="D1740" i="627" s="1"/>
  <c r="D1741" i="627" s="1"/>
  <c r="D1742" i="627" s="1"/>
  <c r="D1743" i="627" s="1"/>
  <c r="D1744" i="627" s="1"/>
  <c r="D1745" i="627" s="1"/>
  <c r="D1746" i="627" s="1"/>
  <c r="D1747" i="627" s="1"/>
  <c r="D1748" i="627" s="1"/>
  <c r="D1749" i="627" s="1"/>
  <c r="D1750" i="627" s="1"/>
  <c r="D1751" i="627" s="1"/>
  <c r="D1752" i="627" s="1"/>
  <c r="D1753" i="627" s="1"/>
  <c r="D1754" i="627" s="1"/>
  <c r="D1755" i="627" s="1"/>
  <c r="D1756" i="627" s="1"/>
  <c r="D1757" i="627" s="1"/>
  <c r="D1758" i="627" s="1"/>
  <c r="D1759" i="627" s="1"/>
  <c r="D1760" i="627" s="1"/>
  <c r="D1761" i="627" s="1"/>
  <c r="D1762" i="627" s="1"/>
  <c r="D1763" i="627" s="1"/>
  <c r="D1764" i="627" s="1"/>
  <c r="D1765" i="627" s="1"/>
  <c r="D1766" i="627" s="1"/>
  <c r="D1767" i="627" s="1"/>
  <c r="D1768" i="627" s="1"/>
  <c r="D1769" i="627" s="1"/>
  <c r="D1770" i="627" s="1"/>
  <c r="D1771" i="627" s="1"/>
  <c r="D1772" i="627" s="1"/>
  <c r="D1773" i="627" s="1"/>
  <c r="D1774" i="627" s="1"/>
  <c r="D1775" i="627" s="1"/>
  <c r="D1776" i="627" s="1"/>
  <c r="D1777" i="627" s="1"/>
  <c r="D1778" i="627" s="1"/>
  <c r="D1779" i="627" s="1"/>
  <c r="D1780" i="627" s="1"/>
  <c r="D1781" i="627" s="1"/>
  <c r="D1782" i="627" s="1"/>
  <c r="D1783" i="627" s="1"/>
  <c r="D1784" i="627" s="1"/>
  <c r="D1785" i="627" s="1"/>
  <c r="D1786" i="627" s="1"/>
  <c r="D1787" i="627" s="1"/>
  <c r="D1788" i="627" s="1"/>
  <c r="D1789" i="627" s="1"/>
  <c r="D1790" i="627" s="1"/>
  <c r="D1791" i="627" s="1"/>
  <c r="D1792" i="627" s="1"/>
  <c r="D1793" i="627" s="1"/>
  <c r="D1794" i="627" s="1"/>
  <c r="D1795" i="627" s="1"/>
  <c r="D1796" i="627" s="1"/>
  <c r="D1797" i="627" s="1"/>
  <c r="D1798" i="627" s="1"/>
  <c r="D1799" i="627" s="1"/>
  <c r="D1800" i="627" s="1"/>
  <c r="D1801" i="627" s="1"/>
  <c r="D1802" i="627" s="1"/>
  <c r="D1803" i="627" s="1"/>
  <c r="D1804" i="627" s="1"/>
  <c r="D1805" i="627" s="1"/>
  <c r="D1806" i="627" s="1"/>
  <c r="D1807" i="627" s="1"/>
  <c r="D1808" i="627" s="1"/>
  <c r="D1809" i="627" s="1"/>
  <c r="D1810" i="627" s="1"/>
  <c r="D1811" i="627" s="1"/>
  <c r="D1812" i="627" s="1"/>
  <c r="D1813" i="627" s="1"/>
  <c r="D1814" i="627" s="1"/>
  <c r="D1815" i="627" s="1"/>
  <c r="D1816" i="627" s="1"/>
  <c r="D1817" i="627" s="1"/>
  <c r="D1818" i="627" s="1"/>
  <c r="D1819" i="627" s="1"/>
  <c r="D1820" i="627" s="1"/>
  <c r="D1821" i="627" s="1"/>
  <c r="D1822" i="627" s="1"/>
  <c r="D1823" i="627" s="1"/>
  <c r="D1824" i="627" s="1"/>
  <c r="D1825" i="627" s="1"/>
  <c r="D1826" i="627" s="1"/>
  <c r="D1827" i="627" s="1"/>
  <c r="D1828" i="627" s="1"/>
  <c r="D1829" i="627" s="1"/>
  <c r="D1830" i="627" s="1"/>
  <c r="D1831" i="627" s="1"/>
  <c r="D1832" i="627" s="1"/>
  <c r="D1833" i="627" s="1"/>
  <c r="D1834" i="627" s="1"/>
  <c r="D1835" i="627" s="1"/>
  <c r="D1836" i="627" s="1"/>
  <c r="D1837" i="627" s="1"/>
  <c r="D1838" i="627" s="1"/>
  <c r="D1839" i="627" s="1"/>
  <c r="D1840" i="627" s="1"/>
  <c r="D1841" i="627" s="1"/>
  <c r="D1842" i="627" s="1"/>
  <c r="D1843" i="627" s="1"/>
  <c r="D1844" i="627" s="1"/>
  <c r="D1845" i="627" s="1"/>
  <c r="D1846" i="627" s="1"/>
  <c r="D1847" i="627" s="1"/>
  <c r="D1848" i="627" s="1"/>
  <c r="D1849" i="627" s="1"/>
  <c r="D1850" i="627" s="1"/>
  <c r="D1851" i="627" s="1"/>
  <c r="D1852" i="627" s="1"/>
  <c r="D1853" i="627" s="1"/>
  <c r="D1854" i="627" s="1"/>
  <c r="D1855" i="627" s="1"/>
  <c r="D1856" i="627" s="1"/>
  <c r="D1857" i="627" s="1"/>
  <c r="D1858" i="627" s="1"/>
  <c r="D1859" i="627" s="1"/>
  <c r="D1860" i="627" s="1"/>
  <c r="D1861" i="627" s="1"/>
  <c r="D1862" i="627" s="1"/>
  <c r="D1863" i="627" s="1"/>
  <c r="D1864" i="627" s="1"/>
  <c r="D1865" i="627" s="1"/>
  <c r="D1866" i="627" s="1"/>
  <c r="D1867" i="627" s="1"/>
  <c r="D1868" i="627" s="1"/>
  <c r="D1869" i="627" s="1"/>
  <c r="D1870" i="627" s="1"/>
  <c r="D1871" i="627" s="1"/>
  <c r="D1872" i="627" s="1"/>
  <c r="D1873" i="627" s="1"/>
  <c r="D1874" i="627" s="1"/>
  <c r="D1875" i="627" s="1"/>
  <c r="D1876" i="627" s="1"/>
  <c r="D1877" i="627" s="1"/>
  <c r="D1878" i="627" s="1"/>
  <c r="D1879" i="627" s="1"/>
  <c r="D1880" i="627" s="1"/>
  <c r="D1881" i="627" s="1"/>
  <c r="D1882" i="627" s="1"/>
  <c r="D1883" i="627" s="1"/>
  <c r="D1884" i="627" s="1"/>
  <c r="D1885" i="627" s="1"/>
  <c r="D1886" i="627" s="1"/>
  <c r="D1887" i="627" s="1"/>
  <c r="D1888" i="627" s="1"/>
  <c r="D1889" i="627" s="1"/>
  <c r="D1890" i="627" s="1"/>
  <c r="D1891" i="627" s="1"/>
  <c r="D1892" i="627" s="1"/>
  <c r="D1893" i="627" s="1"/>
  <c r="D1894" i="627" s="1"/>
  <c r="D1895" i="627" s="1"/>
  <c r="D1896" i="627" s="1"/>
  <c r="D1897" i="627" s="1"/>
  <c r="D1898" i="627" s="1"/>
  <c r="D1899" i="627" s="1"/>
  <c r="D1900" i="627" s="1"/>
  <c r="D1901" i="627" s="1"/>
  <c r="D1902" i="627" s="1"/>
  <c r="D1903" i="627" s="1"/>
  <c r="D1904" i="627" s="1"/>
  <c r="D1905" i="627" s="1"/>
  <c r="D1906" i="627" s="1"/>
  <c r="D1907" i="627" s="1"/>
  <c r="D1908" i="627" s="1"/>
  <c r="D1909" i="627" s="1"/>
  <c r="D1910" i="627" s="1"/>
  <c r="D1911" i="627" s="1"/>
  <c r="D1912" i="627" s="1"/>
  <c r="D1913" i="627" s="1"/>
  <c r="D1914" i="627" s="1"/>
  <c r="D1915" i="627" s="1"/>
  <c r="D1916" i="627" s="1"/>
  <c r="D1917" i="627" s="1"/>
  <c r="D1918" i="627" s="1"/>
  <c r="D1919" i="627" s="1"/>
  <c r="D1920" i="627" s="1"/>
  <c r="D1921" i="627" s="1"/>
  <c r="D1922" i="627" s="1"/>
  <c r="D1923" i="627" s="1"/>
  <c r="D1924" i="627" s="1"/>
  <c r="D1925" i="627" s="1"/>
  <c r="D1926" i="627" s="1"/>
  <c r="D1927" i="627" s="1"/>
  <c r="D1928" i="627" s="1"/>
  <c r="D1929" i="627" s="1"/>
  <c r="D1930" i="627" s="1"/>
  <c r="D1931" i="627" s="1"/>
  <c r="D1932" i="627" s="1"/>
  <c r="D1933" i="627" s="1"/>
  <c r="D1934" i="627" s="1"/>
  <c r="D1935" i="627" s="1"/>
  <c r="D1936" i="627" s="1"/>
  <c r="D1937" i="627" s="1"/>
  <c r="D1938" i="627" s="1"/>
  <c r="D1939" i="627" s="1"/>
  <c r="D1940" i="627" s="1"/>
  <c r="D1941" i="627" s="1"/>
  <c r="D1942" i="627" s="1"/>
  <c r="D1943" i="627" s="1"/>
  <c r="D1944" i="627" s="1"/>
  <c r="D1945" i="627" s="1"/>
  <c r="D1946" i="627" s="1"/>
  <c r="D1947" i="627" s="1"/>
  <c r="D1948" i="627" s="1"/>
  <c r="D1949" i="627" s="1"/>
  <c r="D1950" i="627" s="1"/>
  <c r="D1951" i="627" s="1"/>
  <c r="D1952" i="627" s="1"/>
  <c r="D1953" i="627" s="1"/>
  <c r="D1954" i="627" s="1"/>
  <c r="D1955" i="627" s="1"/>
  <c r="D1956" i="627" s="1"/>
  <c r="D1957" i="627" s="1"/>
  <c r="D1958" i="627" s="1"/>
  <c r="D1959" i="627" s="1"/>
  <c r="D1960" i="627" s="1"/>
  <c r="D1961" i="627" s="1"/>
  <c r="D1962" i="627" s="1"/>
  <c r="D1963" i="627" s="1"/>
  <c r="D1964" i="627" s="1"/>
  <c r="D1965" i="627" s="1"/>
  <c r="D1966" i="627" s="1"/>
  <c r="D1967" i="627" s="1"/>
  <c r="D1968" i="627" s="1"/>
  <c r="D1969" i="627" s="1"/>
  <c r="D1970" i="627" s="1"/>
  <c r="D1971" i="627" s="1"/>
  <c r="D1972" i="627" s="1"/>
  <c r="D1973" i="627" s="1"/>
  <c r="D1974" i="627" s="1"/>
  <c r="D1975" i="627" s="1"/>
  <c r="D1976" i="627" s="1"/>
  <c r="D1977" i="627" s="1"/>
  <c r="D1978" i="627" s="1"/>
  <c r="D1979" i="627" s="1"/>
  <c r="D1980" i="627" s="1"/>
  <c r="D1981" i="627" s="1"/>
  <c r="D1982" i="627" s="1"/>
  <c r="D1983" i="627" s="1"/>
  <c r="D1984" i="627" s="1"/>
  <c r="D1985" i="627" s="1"/>
  <c r="D1986" i="627" s="1"/>
  <c r="D1987" i="627" s="1"/>
  <c r="D1988" i="627" s="1"/>
  <c r="D1989" i="627" s="1"/>
  <c r="D1990" i="627" s="1"/>
  <c r="D1991" i="627" s="1"/>
  <c r="D1992" i="627" s="1"/>
  <c r="D1993" i="627" s="1"/>
  <c r="D1994" i="627" s="1"/>
  <c r="D1995" i="627" s="1"/>
  <c r="D1996" i="627" s="1"/>
  <c r="D1997" i="627" s="1"/>
  <c r="D1998" i="627" s="1"/>
  <c r="D1999" i="627" s="1"/>
  <c r="D2000" i="627" s="1"/>
  <c r="D2001" i="627" s="1"/>
  <c r="D2002" i="627" s="1"/>
  <c r="D2003" i="627" s="1"/>
  <c r="D2004" i="627" s="1"/>
  <c r="B13" i="627"/>
  <c r="T5" i="42"/>
  <c r="T6" i="42" s="1"/>
  <c r="T7" i="42" s="1"/>
  <c r="T8" i="42" s="1"/>
  <c r="T9" i="42"/>
  <c r="T10" i="42" s="1"/>
  <c r="T11" i="42" s="1"/>
  <c r="T12" i="42" s="1"/>
  <c r="T13" i="42" s="1"/>
  <c r="T14" i="42" s="1"/>
  <c r="T15" i="42" s="1"/>
  <c r="T16" i="42" s="1"/>
  <c r="L5" i="42"/>
  <c r="L6" i="42" s="1"/>
  <c r="L7" i="42" s="1"/>
  <c r="L8" i="42" s="1"/>
  <c r="L9" i="42" s="1"/>
  <c r="L10" i="42" s="1"/>
  <c r="L11" i="42" s="1"/>
  <c r="L12" i="42" s="1"/>
  <c r="L13" i="42" s="1"/>
  <c r="L14" i="42" s="1"/>
  <c r="L15" i="42" s="1"/>
  <c r="L16" i="42" s="1"/>
  <c r="L17" i="42" s="1"/>
  <c r="S5" i="43"/>
  <c r="S6" i="43" s="1"/>
  <c r="S7" i="43" s="1"/>
  <c r="S8" i="43" s="1"/>
  <c r="S9" i="43" s="1"/>
  <c r="S10" i="43" s="1"/>
  <c r="S11" i="43" s="1"/>
  <c r="S12" i="43" s="1"/>
  <c r="S13" i="43" s="1"/>
  <c r="S14" i="43" s="1"/>
  <c r="S15" i="43" s="1"/>
  <c r="S16" i="43" s="1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G6" i="582"/>
  <c r="G7" i="582"/>
  <c r="G11" i="582"/>
  <c r="R5" i="71"/>
  <c r="N5" i="71"/>
  <c r="L13" i="494"/>
  <c r="M13" i="62"/>
  <c r="I13" i="489"/>
  <c r="W4" i="489"/>
  <c r="T4" i="489"/>
  <c r="K5" i="580"/>
  <c r="E5" i="580"/>
  <c r="H15" i="580"/>
  <c r="E14" i="580"/>
  <c r="E9" i="60"/>
  <c r="J24" i="383"/>
  <c r="J13" i="383"/>
  <c r="J25" i="383"/>
  <c r="J21" i="383"/>
  <c r="J19" i="383"/>
  <c r="J26" i="383" s="1"/>
  <c r="J11" i="383"/>
  <c r="J12" i="383" s="1"/>
  <c r="J8" i="383"/>
  <c r="J6" i="383"/>
  <c r="J14" i="383"/>
  <c r="B19" i="57"/>
  <c r="E11" i="57"/>
  <c r="E14" i="57"/>
  <c r="B21" i="572"/>
  <c r="B25" i="572" s="1"/>
  <c r="B8" i="572"/>
  <c r="B12" i="572"/>
  <c r="B9" i="572"/>
  <c r="B10" i="572" s="1"/>
  <c r="B13" i="572" s="1"/>
  <c r="B14" i="572" s="1"/>
  <c r="B22" i="572"/>
  <c r="B23" i="572" s="1"/>
  <c r="J31" i="64"/>
  <c r="J14" i="64"/>
  <c r="O6" i="64" s="1"/>
  <c r="E24" i="64"/>
  <c r="E25" i="64"/>
  <c r="E26" i="64" s="1"/>
  <c r="E29" i="64"/>
  <c r="E7" i="64"/>
  <c r="E22" i="64"/>
  <c r="E27" i="64" s="1"/>
  <c r="E30" i="64" s="1"/>
  <c r="E31" i="64" s="1"/>
  <c r="J22" i="64"/>
  <c r="J24" i="64"/>
  <c r="E5" i="64"/>
  <c r="J5" i="64" s="1"/>
  <c r="J7" i="64" s="1"/>
  <c r="O5" i="64" s="1"/>
  <c r="J23" i="64"/>
  <c r="J25" i="64"/>
  <c r="J6" i="64"/>
  <c r="J8" i="64" s="1"/>
  <c r="Y29" i="56"/>
  <c r="S22" i="56"/>
  <c r="S23" i="56" s="1"/>
  <c r="S27" i="56" s="1"/>
  <c r="S7" i="56"/>
  <c r="S20" i="56"/>
  <c r="Y20" i="56" s="1"/>
  <c r="Y22" i="56" s="1"/>
  <c r="S5" i="56"/>
  <c r="Y21" i="56"/>
  <c r="Y23" i="56"/>
  <c r="Y14" i="56"/>
  <c r="AD6" i="56" s="1"/>
  <c r="J10" i="64"/>
  <c r="J11" i="64" s="1"/>
  <c r="O7" i="64" s="1"/>
  <c r="Y25" i="56"/>
  <c r="Y26" i="56" s="1"/>
  <c r="B26" i="572"/>
  <c r="B27" i="572" s="1"/>
  <c r="J27" i="64"/>
  <c r="J28" i="64" s="1"/>
  <c r="J29" i="64"/>
  <c r="J32" i="64" s="1"/>
  <c r="J33" i="64" s="1"/>
  <c r="Q12" i="60"/>
  <c r="N12" i="60"/>
  <c r="O12" i="57"/>
  <c r="G10" i="487"/>
  <c r="C12" i="487"/>
  <c r="A5" i="487"/>
  <c r="A6" i="487"/>
  <c r="A7" i="487" s="1"/>
  <c r="A8" i="487" s="1"/>
  <c r="A9" i="487" s="1"/>
  <c r="A10" i="487"/>
  <c r="B19" i="383"/>
  <c r="B6" i="383"/>
  <c r="B11" i="383"/>
  <c r="B8" i="383"/>
  <c r="B21" i="383"/>
  <c r="B25" i="383"/>
  <c r="B26" i="383" s="1"/>
  <c r="B24" i="383"/>
  <c r="B13" i="383"/>
  <c r="B14" i="379"/>
  <c r="B6" i="379"/>
  <c r="B7" i="379"/>
  <c r="B8" i="379"/>
  <c r="B11" i="379" s="1"/>
  <c r="B12" i="379" s="1"/>
  <c r="B12" i="383"/>
  <c r="B14" i="383" s="1"/>
  <c r="B10" i="379"/>
  <c r="S3" i="80"/>
  <c r="L3" i="80"/>
  <c r="C6" i="80"/>
  <c r="B6" i="80"/>
  <c r="G4" i="80" s="1"/>
  <c r="D5" i="80"/>
  <c r="D4" i="80"/>
  <c r="G6" i="80"/>
  <c r="G7" i="80"/>
  <c r="G5" i="80"/>
  <c r="G8" i="80"/>
  <c r="G68" i="64"/>
  <c r="H64" i="64"/>
  <c r="J67" i="64" s="1"/>
  <c r="H63" i="64"/>
  <c r="H62" i="64"/>
  <c r="I62" i="64" s="1"/>
  <c r="I67" i="64" s="1"/>
  <c r="G44" i="64"/>
  <c r="G45" i="64" s="1"/>
  <c r="H40" i="64"/>
  <c r="H39" i="64"/>
  <c r="J53" i="64" s="1"/>
  <c r="H38" i="64"/>
  <c r="I38" i="64" s="1"/>
  <c r="J81" i="64"/>
  <c r="G69" i="64"/>
  <c r="G70" i="64" s="1"/>
  <c r="G71" i="64" s="1"/>
  <c r="G72" i="64" s="1"/>
  <c r="G73" i="64" s="1"/>
  <c r="G74" i="64" s="1"/>
  <c r="G75" i="64" s="1"/>
  <c r="G76" i="64" s="1"/>
  <c r="G77" i="64" s="1"/>
  <c r="G78" i="64" s="1"/>
  <c r="G79" i="64" s="1"/>
  <c r="G80" i="64" s="1"/>
  <c r="J57" i="64"/>
  <c r="J55" i="64"/>
  <c r="J47" i="64"/>
  <c r="J56" i="64"/>
  <c r="J54" i="64"/>
  <c r="J46" i="64"/>
  <c r="I72" i="64"/>
  <c r="I76" i="64"/>
  <c r="G6" i="71"/>
  <c r="G7" i="71"/>
  <c r="G5" i="71"/>
  <c r="G9" i="71" s="1"/>
  <c r="G12" i="71" s="1"/>
  <c r="G13" i="71" s="1"/>
  <c r="H6" i="71"/>
  <c r="H7" i="71" s="1"/>
  <c r="H11" i="71" s="1"/>
  <c r="G11" i="71"/>
  <c r="G8" i="71"/>
  <c r="E8" i="64"/>
  <c r="E12" i="64" s="1"/>
  <c r="E7" i="60"/>
  <c r="E5" i="60"/>
  <c r="E8" i="60" s="1"/>
  <c r="E10" i="60" s="1"/>
  <c r="E11" i="60" s="1"/>
  <c r="E4" i="60"/>
  <c r="K23" i="59"/>
  <c r="K24" i="59"/>
  <c r="K28" i="59" s="1"/>
  <c r="J23" i="59"/>
  <c r="J24" i="59" s="1"/>
  <c r="J25" i="59" s="1"/>
  <c r="C22" i="59"/>
  <c r="D22" i="59"/>
  <c r="C23" i="59"/>
  <c r="D23" i="59"/>
  <c r="E23" i="59" s="1"/>
  <c r="C24" i="59"/>
  <c r="D24" i="59"/>
  <c r="C25" i="59"/>
  <c r="D25" i="59"/>
  <c r="C26" i="59"/>
  <c r="E26" i="59" s="1"/>
  <c r="D26" i="59"/>
  <c r="C27" i="59"/>
  <c r="E27" i="59" s="1"/>
  <c r="D27" i="59"/>
  <c r="C28" i="59"/>
  <c r="D28" i="59"/>
  <c r="C29" i="59"/>
  <c r="D29" i="59"/>
  <c r="E29" i="59" s="1"/>
  <c r="C30" i="59"/>
  <c r="D30" i="59"/>
  <c r="D21" i="59"/>
  <c r="C21" i="59"/>
  <c r="E21" i="59" s="1"/>
  <c r="E31" i="59" s="1"/>
  <c r="G33" i="59" s="1"/>
  <c r="C16" i="59"/>
  <c r="J21" i="59" s="1"/>
  <c r="M23" i="55"/>
  <c r="M17" i="55"/>
  <c r="M21" i="55" s="1"/>
  <c r="P21" i="55" s="1"/>
  <c r="M19" i="55"/>
  <c r="M18" i="55"/>
  <c r="Y6" i="56"/>
  <c r="Y8" i="56" s="1"/>
  <c r="B7" i="57"/>
  <c r="E12" i="57" s="1"/>
  <c r="E13" i="57" s="1"/>
  <c r="E15" i="57" s="1"/>
  <c r="E4" i="57"/>
  <c r="E3" i="57"/>
  <c r="Y10" i="56"/>
  <c r="Y11" i="56" s="1"/>
  <c r="AD7" i="56" s="1"/>
  <c r="Y5" i="56"/>
  <c r="Y7" i="56" s="1"/>
  <c r="C57" i="54"/>
  <c r="B40" i="54"/>
  <c r="C43" i="54"/>
  <c r="C29" i="54"/>
  <c r="B11" i="54"/>
  <c r="B9" i="54"/>
  <c r="B13" i="57"/>
  <c r="B15" i="57" s="1"/>
  <c r="B14" i="57"/>
  <c r="P19" i="55"/>
  <c r="P18" i="55"/>
  <c r="X31" i="55" s="1"/>
  <c r="S8" i="56"/>
  <c r="S12" i="56" s="1"/>
  <c r="E22" i="59"/>
  <c r="E28" i="59"/>
  <c r="E30" i="59"/>
  <c r="E24" i="59"/>
  <c r="E25" i="59"/>
  <c r="B21" i="57"/>
  <c r="E21" i="57"/>
  <c r="B20" i="57"/>
  <c r="E20" i="57"/>
  <c r="C15" i="54"/>
  <c r="M36" i="55"/>
  <c r="P36" i="55" s="1"/>
  <c r="X30" i="55"/>
  <c r="A5" i="43"/>
  <c r="A6" i="43" s="1"/>
  <c r="A7" i="43" s="1"/>
  <c r="A8" i="43" s="1"/>
  <c r="A9" i="43" s="1"/>
  <c r="A10" i="43" s="1"/>
  <c r="A11" i="43" s="1"/>
  <c r="A12" i="43" s="1"/>
  <c r="A13" i="43" s="1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5" i="42"/>
  <c r="A6" i="42" s="1"/>
  <c r="A7" i="42" s="1"/>
  <c r="A8" i="42" s="1"/>
  <c r="A9" i="42"/>
  <c r="A10" i="42" s="1"/>
  <c r="A11" i="42" s="1"/>
  <c r="A12" i="42" s="1"/>
  <c r="A13" i="42" s="1"/>
  <c r="A14" i="42" s="1"/>
  <c r="A15" i="42" s="1"/>
  <c r="A16" i="42" s="1"/>
  <c r="A17" i="42" s="1"/>
  <c r="A18" i="42" s="1"/>
  <c r="A19" i="42" s="1"/>
  <c r="A20" i="42" s="1"/>
  <c r="A21" i="42" s="1"/>
  <c r="A22" i="42" s="1"/>
  <c r="A23" i="42" s="1"/>
  <c r="A24" i="42" s="1"/>
  <c r="A25" i="42" s="1"/>
  <c r="A26" i="42" s="1"/>
  <c r="A27" i="42" s="1"/>
  <c r="A28" i="42" s="1"/>
  <c r="A29" i="42" s="1"/>
  <c r="A30" i="42" s="1"/>
  <c r="O4" i="751" a="1"/>
  <c r="Q11" i="751" s="1"/>
  <c r="O4" i="751"/>
  <c r="U18" i="751"/>
  <c r="R4" i="751"/>
  <c r="Q6" i="751"/>
  <c r="Q4" i="751"/>
  <c r="O12" i="751"/>
  <c r="P10" i="751"/>
  <c r="U10" i="751" s="1"/>
  <c r="Q5" i="751"/>
  <c r="R6" i="751"/>
  <c r="P12" i="751"/>
  <c r="R10" i="751"/>
  <c r="Q10" i="751"/>
  <c r="Q12" i="751"/>
  <c r="O6" i="751"/>
  <c r="R9" i="751"/>
  <c r="O10" i="751"/>
  <c r="P4" i="751"/>
  <c r="Q7" i="751"/>
  <c r="P9" i="751"/>
  <c r="O5" i="751"/>
  <c r="Q9" i="751"/>
  <c r="P5" i="751"/>
  <c r="P8" i="751"/>
  <c r="O8" i="751"/>
  <c r="R11" i="751"/>
  <c r="P7" i="751"/>
  <c r="R12" i="751"/>
  <c r="P6" i="751"/>
  <c r="U6" i="751"/>
  <c r="M25" i="55" l="1"/>
  <c r="M35" i="55"/>
  <c r="X29" i="55"/>
  <c r="X36" i="55" s="1"/>
  <c r="X32" i="55"/>
  <c r="I75" i="64"/>
  <c r="D6" i="80"/>
  <c r="L4" i="80" s="1"/>
  <c r="L5" i="80" s="1"/>
  <c r="L6" i="80" s="1"/>
  <c r="G9" i="80"/>
  <c r="G10" i="80" s="1"/>
  <c r="Y27" i="56"/>
  <c r="Y30" i="56" s="1"/>
  <c r="Y31" i="56" s="1"/>
  <c r="M32" i="55"/>
  <c r="X34" i="55" s="1"/>
  <c r="X38" i="55" s="1"/>
  <c r="X40" i="55" s="1"/>
  <c r="I74" i="64"/>
  <c r="J79" i="64"/>
  <c r="J74" i="64"/>
  <c r="J71" i="64"/>
  <c r="J72" i="64"/>
  <c r="J73" i="64"/>
  <c r="J77" i="64"/>
  <c r="J70" i="64"/>
  <c r="J69" i="64"/>
  <c r="J78" i="64"/>
  <c r="J75" i="64"/>
  <c r="J80" i="64"/>
  <c r="G81" i="64"/>
  <c r="I81" i="64" s="1"/>
  <c r="I80" i="64"/>
  <c r="O9" i="64"/>
  <c r="O11" i="64" s="1"/>
  <c r="N15" i="580"/>
  <c r="K14" i="580"/>
  <c r="J28" i="59"/>
  <c r="I73" i="64"/>
  <c r="I43" i="64"/>
  <c r="I44" i="64"/>
  <c r="I68" i="64"/>
  <c r="I79" i="64"/>
  <c r="I71" i="64"/>
  <c r="O10" i="64"/>
  <c r="O12" i="64" s="1"/>
  <c r="P17" i="55"/>
  <c r="M31" i="55"/>
  <c r="U4" i="751"/>
  <c r="J26" i="59"/>
  <c r="I78" i="64"/>
  <c r="I70" i="64"/>
  <c r="J68" i="64"/>
  <c r="G46" i="64"/>
  <c r="I45" i="64"/>
  <c r="G23" i="80"/>
  <c r="M30" i="55"/>
  <c r="P35" i="55" s="1"/>
  <c r="I77" i="64"/>
  <c r="I69" i="64"/>
  <c r="J76" i="64"/>
  <c r="J12" i="64"/>
  <c r="J15" i="64" s="1"/>
  <c r="J16" i="64" s="1"/>
  <c r="E9" i="64"/>
  <c r="E10" i="64" s="1"/>
  <c r="E13" i="64" s="1"/>
  <c r="E14" i="64" s="1"/>
  <c r="J44" i="64"/>
  <c r="J45" i="64"/>
  <c r="J43" i="64"/>
  <c r="P11" i="751"/>
  <c r="O7" i="751"/>
  <c r="R7" i="751"/>
  <c r="R8" i="751"/>
  <c r="O9" i="751"/>
  <c r="U9" i="751" s="1"/>
  <c r="J48" i="64"/>
  <c r="J49" i="64"/>
  <c r="J50" i="64"/>
  <c r="J51" i="64"/>
  <c r="R5" i="751"/>
  <c r="U5" i="751" s="1"/>
  <c r="Q8" i="751"/>
  <c r="U8" i="751" s="1"/>
  <c r="O11" i="751"/>
  <c r="J52" i="64"/>
  <c r="AR12" i="627"/>
  <c r="AT11" i="627"/>
  <c r="Z11" i="631"/>
  <c r="AB10" i="631"/>
  <c r="T12" i="631"/>
  <c r="V11" i="631"/>
  <c r="AC5" i="627"/>
  <c r="BF8" i="627"/>
  <c r="BH7" i="627"/>
  <c r="P7" i="649"/>
  <c r="Q7" i="649"/>
  <c r="N7" i="649"/>
  <c r="O7" i="649"/>
  <c r="E7" i="649"/>
  <c r="B7" i="649"/>
  <c r="M7" i="649"/>
  <c r="L7" i="649"/>
  <c r="F7" i="649"/>
  <c r="D7" i="649"/>
  <c r="A8" i="649"/>
  <c r="G7" i="649"/>
  <c r="C7" i="649"/>
  <c r="AA21" i="631"/>
  <c r="AA28" i="631"/>
  <c r="U37" i="631"/>
  <c r="U85" i="631"/>
  <c r="U18" i="631"/>
  <c r="U74" i="631"/>
  <c r="U47" i="631"/>
  <c r="AA14" i="631"/>
  <c r="U32" i="631"/>
  <c r="U84" i="631"/>
  <c r="AA6" i="631"/>
  <c r="L13" i="638"/>
  <c r="G40" i="649"/>
  <c r="E40" i="649"/>
  <c r="C40" i="649"/>
  <c r="F40" i="649"/>
  <c r="P6" i="649"/>
  <c r="D6" i="649"/>
  <c r="B6" i="649"/>
  <c r="C6" i="649"/>
  <c r="Q6" i="649"/>
  <c r="N6" i="649"/>
  <c r="M6" i="649"/>
  <c r="E6" i="649"/>
  <c r="AA29" i="631"/>
  <c r="AA36" i="631"/>
  <c r="U49" i="631"/>
  <c r="U34" i="631"/>
  <c r="U82" i="631"/>
  <c r="U7" i="631"/>
  <c r="U55" i="631"/>
  <c r="AA39" i="631"/>
  <c r="BG16" i="627"/>
  <c r="BG32" i="627"/>
  <c r="BG33" i="627"/>
  <c r="BG15" i="627"/>
  <c r="BG18" i="627"/>
  <c r="BG34" i="627"/>
  <c r="BG29" i="627"/>
  <c r="BG43" i="627"/>
  <c r="BG11" i="627"/>
  <c r="BG5" i="627"/>
  <c r="BG12" i="627"/>
  <c r="BG28" i="627"/>
  <c r="BG44" i="627"/>
  <c r="BG41" i="627"/>
  <c r="BG9" i="627"/>
  <c r="BG23" i="627"/>
  <c r="O6" i="649"/>
  <c r="AT6" i="627"/>
  <c r="AA32" i="631"/>
  <c r="U6" i="631"/>
  <c r="U68" i="631"/>
  <c r="U48" i="631"/>
  <c r="U16" i="631"/>
  <c r="U67" i="631"/>
  <c r="U35" i="631"/>
  <c r="U62" i="631"/>
  <c r="U30" i="631"/>
  <c r="U65" i="631"/>
  <c r="U33" i="631"/>
  <c r="U80" i="631"/>
  <c r="U44" i="631"/>
  <c r="U12" i="631"/>
  <c r="U63" i="631"/>
  <c r="U31" i="631"/>
  <c r="U58" i="631"/>
  <c r="U26" i="631"/>
  <c r="U61" i="631"/>
  <c r="U29" i="631"/>
  <c r="U56" i="631"/>
  <c r="U24" i="631"/>
  <c r="U75" i="631"/>
  <c r="U43" i="631"/>
  <c r="U11" i="631"/>
  <c r="U70" i="631"/>
  <c r="U38" i="631"/>
  <c r="U73" i="631"/>
  <c r="U41" i="631"/>
  <c r="U9" i="631"/>
  <c r="G41" i="649"/>
  <c r="B40" i="649"/>
  <c r="F6" i="649"/>
  <c r="AS21" i="627"/>
  <c r="AA45" i="631"/>
  <c r="U13" i="631"/>
  <c r="U57" i="631"/>
  <c r="U46" i="631"/>
  <c r="AA27" i="631"/>
  <c r="U19" i="631"/>
  <c r="U71" i="631"/>
  <c r="V6" i="631"/>
  <c r="BH5" i="627"/>
  <c r="D40" i="649"/>
  <c r="AA26" i="631"/>
  <c r="AA30" i="631"/>
  <c r="AA19" i="631"/>
  <c r="AB6" i="631"/>
  <c r="AA44" i="631"/>
  <c r="AA12" i="631"/>
  <c r="AA40" i="631"/>
  <c r="AA34" i="631"/>
  <c r="AA10" i="631"/>
  <c r="AA22" i="631"/>
  <c r="AA11" i="631"/>
  <c r="AA41" i="631"/>
  <c r="AA9" i="631"/>
  <c r="AA37" i="631"/>
  <c r="AA15" i="631"/>
  <c r="AA7" i="631"/>
  <c r="AA46" i="631"/>
  <c r="AA35" i="631"/>
  <c r="AA20" i="631"/>
  <c r="AA16" i="631"/>
  <c r="AB7" i="631"/>
  <c r="B41" i="649"/>
  <c r="C41" i="649"/>
  <c r="F41" i="649"/>
  <c r="A42" i="649"/>
  <c r="D41" i="649"/>
  <c r="F9" i="631"/>
  <c r="AS11" i="627"/>
  <c r="AS23" i="627"/>
  <c r="AS18" i="627"/>
  <c r="AS29" i="627"/>
  <c r="AS28" i="627"/>
  <c r="AS15" i="627"/>
  <c r="AS14" i="627"/>
  <c r="AS25" i="627"/>
  <c r="AS5" i="627"/>
  <c r="AS6" i="627"/>
  <c r="AS27" i="627"/>
  <c r="AS20" i="627"/>
  <c r="AS26" i="627"/>
  <c r="AA17" i="631"/>
  <c r="U21" i="631"/>
  <c r="U77" i="631"/>
  <c r="U10" i="631"/>
  <c r="U54" i="631"/>
  <c r="U27" i="631"/>
  <c r="U83" i="631"/>
  <c r="U20" i="631"/>
  <c r="U76" i="631"/>
  <c r="AA47" i="631"/>
  <c r="U10" i="649"/>
  <c r="T10" i="649"/>
  <c r="X10" i="649"/>
  <c r="V10" i="649"/>
  <c r="S11" i="649"/>
  <c r="V9" i="649"/>
  <c r="Q11" i="638"/>
  <c r="G33" i="717"/>
  <c r="G34" i="717" s="1"/>
  <c r="I33" i="717"/>
  <c r="I34" i="717" s="1"/>
  <c r="X9" i="649"/>
  <c r="G4" i="716"/>
  <c r="M5" i="716" s="1"/>
  <c r="C9" i="716"/>
  <c r="L7" i="716" s="1"/>
  <c r="E19" i="727"/>
  <c r="E20" i="727" s="1"/>
  <c r="AF51" i="728"/>
  <c r="R7" i="697"/>
  <c r="I4" i="717"/>
  <c r="I5" i="717" s="1"/>
  <c r="G4" i="717"/>
  <c r="G5" i="717" s="1"/>
  <c r="U4" i="717" s="1"/>
  <c r="U12" i="717" s="1"/>
  <c r="K19" i="727"/>
  <c r="K20" i="727" s="1"/>
  <c r="C19" i="727"/>
  <c r="C20" i="727" s="1"/>
  <c r="F30" i="697"/>
  <c r="F31" i="697"/>
  <c r="E15" i="709"/>
  <c r="E16" i="709"/>
  <c r="R22" i="719"/>
  <c r="R21" i="719"/>
  <c r="R18" i="719"/>
  <c r="R19" i="719" s="1"/>
  <c r="J19" i="727"/>
  <c r="J20" i="727" s="1"/>
  <c r="B19" i="727"/>
  <c r="B20" i="727"/>
  <c r="B25" i="729"/>
  <c r="B39" i="649"/>
  <c r="U9" i="649"/>
  <c r="I19" i="727"/>
  <c r="I20" i="727" s="1"/>
  <c r="C42" i="728"/>
  <c r="F39" i="649"/>
  <c r="D34" i="697"/>
  <c r="F33" i="697"/>
  <c r="H19" i="727"/>
  <c r="H20" i="727" s="1"/>
  <c r="H42" i="728"/>
  <c r="O86" i="728"/>
  <c r="A8" i="728"/>
  <c r="O70" i="728"/>
  <c r="O54" i="728"/>
  <c r="I8" i="717"/>
  <c r="I9" i="717" s="1"/>
  <c r="R6" i="719"/>
  <c r="M16" i="727"/>
  <c r="D37" i="728"/>
  <c r="L37" i="728"/>
  <c r="C11" i="734"/>
  <c r="D18" i="735"/>
  <c r="D16" i="735"/>
  <c r="AJ5" i="737"/>
  <c r="H9" i="720"/>
  <c r="K9" i="720" s="1"/>
  <c r="AD52" i="728"/>
  <c r="AF52" i="728" s="1"/>
  <c r="M17" i="728"/>
  <c r="B36" i="728"/>
  <c r="AJ20" i="737"/>
  <c r="B11" i="688"/>
  <c r="B12" i="688" s="1"/>
  <c r="B15" i="688" s="1"/>
  <c r="B16" i="688" s="1"/>
  <c r="F32" i="697"/>
  <c r="U26" i="736"/>
  <c r="D17" i="736"/>
  <c r="AR12" i="740"/>
  <c r="AR14" i="740"/>
  <c r="AR10" i="740"/>
  <c r="AR11" i="740"/>
  <c r="S6" i="727"/>
  <c r="S8" i="727" s="1"/>
  <c r="F32" i="728"/>
  <c r="F42" i="728" s="1"/>
  <c r="G32" i="728"/>
  <c r="G42" i="728" s="1"/>
  <c r="C38" i="728"/>
  <c r="I37" i="728"/>
  <c r="I36" i="728"/>
  <c r="L33" i="728"/>
  <c r="L42" i="728" s="1"/>
  <c r="H31" i="728"/>
  <c r="E29" i="728"/>
  <c r="E42" i="728" s="1"/>
  <c r="K27" i="728"/>
  <c r="K42" i="728" s="1"/>
  <c r="D27" i="728"/>
  <c r="C35" i="728"/>
  <c r="K35" i="728"/>
  <c r="L19" i="729"/>
  <c r="B11" i="734"/>
  <c r="Q13" i="734"/>
  <c r="R13" i="734"/>
  <c r="H6" i="734"/>
  <c r="D11" i="734"/>
  <c r="R11" i="734"/>
  <c r="S11" i="734"/>
  <c r="Q12" i="734"/>
  <c r="S12" i="734"/>
  <c r="C18" i="735"/>
  <c r="M18" i="735"/>
  <c r="S18" i="736"/>
  <c r="E36" i="728"/>
  <c r="O17" i="735"/>
  <c r="O16" i="735"/>
  <c r="O18" i="735"/>
  <c r="O18" i="736"/>
  <c r="A7" i="737"/>
  <c r="A8" i="737" s="1"/>
  <c r="A9" i="737" s="1"/>
  <c r="A10" i="737" s="1"/>
  <c r="A11" i="737" s="1"/>
  <c r="A12" i="737" s="1"/>
  <c r="A13" i="737" s="1"/>
  <c r="A14" i="737" s="1"/>
  <c r="A15" i="737" s="1"/>
  <c r="AR15" i="740"/>
  <c r="G21" i="80"/>
  <c r="AS8" i="697"/>
  <c r="I12" i="717"/>
  <c r="I13" i="717" s="1"/>
  <c r="A8" i="731"/>
  <c r="A9" i="731" s="1"/>
  <c r="A10" i="731" s="1"/>
  <c r="A11" i="731" s="1"/>
  <c r="A12" i="731" s="1"/>
  <c r="A13" i="731" s="1"/>
  <c r="A14" i="731" s="1"/>
  <c r="A15" i="731" s="1"/>
  <c r="A16" i="731" s="1"/>
  <c r="A17" i="731" s="1"/>
  <c r="A18" i="731" s="1"/>
  <c r="N4" i="731"/>
  <c r="N9" i="731" s="1"/>
  <c r="N10" i="731" s="1"/>
  <c r="M17" i="735"/>
  <c r="N17" i="735"/>
  <c r="N18" i="735"/>
  <c r="N16" i="735"/>
  <c r="S15" i="735" s="1"/>
  <c r="E19" i="736"/>
  <c r="B24" i="688"/>
  <c r="B25" i="688" s="1"/>
  <c r="B28" i="688" s="1"/>
  <c r="B29" i="688" s="1"/>
  <c r="G29" i="717"/>
  <c r="G30" i="717" s="1"/>
  <c r="G12" i="717"/>
  <c r="G13" i="717" s="1"/>
  <c r="U6" i="717" s="1"/>
  <c r="U10" i="717" s="1"/>
  <c r="G20" i="727"/>
  <c r="B21" i="728"/>
  <c r="D32" i="728"/>
  <c r="I38" i="728"/>
  <c r="F37" i="728"/>
  <c r="E31" i="728"/>
  <c r="K29" i="728"/>
  <c r="B29" i="728"/>
  <c r="B42" i="728" s="1"/>
  <c r="I27" i="728"/>
  <c r="B33" i="728"/>
  <c r="J33" i="728"/>
  <c r="J42" i="728" s="1"/>
  <c r="P20" i="737"/>
  <c r="C19" i="739"/>
  <c r="C21" i="739" s="1"/>
  <c r="D18" i="736"/>
  <c r="B14" i="732"/>
  <c r="B15" i="732" s="1"/>
  <c r="B16" i="732" s="1"/>
  <c r="B17" i="732" s="1"/>
  <c r="D17" i="732" s="1"/>
  <c r="C16" i="735"/>
  <c r="U14" i="736"/>
  <c r="H15" i="736"/>
  <c r="K25" i="736" s="1"/>
  <c r="P19" i="736"/>
  <c r="N16" i="736" s="1"/>
  <c r="U13" i="736"/>
  <c r="P51" i="737"/>
  <c r="AJ19" i="737"/>
  <c r="P24" i="737"/>
  <c r="P13" i="737"/>
  <c r="P6" i="737"/>
  <c r="S8" i="737"/>
  <c r="P35" i="737" s="1"/>
  <c r="AJ6" i="737"/>
  <c r="C17" i="739"/>
  <c r="C18" i="739" s="1"/>
  <c r="AN7" i="740"/>
  <c r="AK7" i="740"/>
  <c r="AP16" i="740"/>
  <c r="Q11" i="742"/>
  <c r="O11" i="742"/>
  <c r="P9" i="742"/>
  <c r="R11" i="742"/>
  <c r="Q6" i="742"/>
  <c r="P11" i="742"/>
  <c r="O4" i="742"/>
  <c r="Q5" i="742"/>
  <c r="P10" i="742"/>
  <c r="R10" i="742"/>
  <c r="Q4" i="742"/>
  <c r="P8" i="742"/>
  <c r="R9" i="742"/>
  <c r="O10" i="742"/>
  <c r="P7" i="742"/>
  <c r="R8" i="742"/>
  <c r="Q10" i="742"/>
  <c r="O9" i="742"/>
  <c r="P6" i="742"/>
  <c r="R7" i="742"/>
  <c r="Q9" i="742"/>
  <c r="O8" i="742"/>
  <c r="P5" i="742"/>
  <c r="R6" i="742"/>
  <c r="Q8" i="742"/>
  <c r="O6" i="742"/>
  <c r="P4" i="742"/>
  <c r="R5" i="742"/>
  <c r="Q7" i="742"/>
  <c r="O5" i="742"/>
  <c r="O7" i="742"/>
  <c r="R4" i="742"/>
  <c r="P50" i="737"/>
  <c r="P42" i="737"/>
  <c r="P34" i="737"/>
  <c r="P29" i="737"/>
  <c r="P23" i="737"/>
  <c r="AJ18" i="737"/>
  <c r="P15" i="737"/>
  <c r="P10" i="737"/>
  <c r="P9" i="737"/>
  <c r="P5" i="737"/>
  <c r="AB9" i="740"/>
  <c r="AB15" i="740" s="1"/>
  <c r="AB14" i="740" s="1"/>
  <c r="AK19" i="740"/>
  <c r="Q4" i="740"/>
  <c r="Q5" i="740"/>
  <c r="AK14" i="740"/>
  <c r="AK6" i="740"/>
  <c r="AK11" i="740"/>
  <c r="AK15" i="740"/>
  <c r="AK13" i="740"/>
  <c r="AQ7" i="740"/>
  <c r="AK5" i="740"/>
  <c r="O20" i="748"/>
  <c r="R20" i="748"/>
  <c r="Q20" i="748"/>
  <c r="P20" i="748"/>
  <c r="P49" i="737"/>
  <c r="P41" i="737"/>
  <c r="P33" i="737"/>
  <c r="P11" i="737"/>
  <c r="Q4" i="743"/>
  <c r="P4" i="743"/>
  <c r="R6" i="743"/>
  <c r="O4" i="743"/>
  <c r="P11" i="743"/>
  <c r="O9" i="743"/>
  <c r="R7" i="743"/>
  <c r="Q11" i="743"/>
  <c r="P10" i="743"/>
  <c r="O7" i="743"/>
  <c r="O8" i="743"/>
  <c r="R5" i="743"/>
  <c r="Q10" i="743"/>
  <c r="P9" i="743"/>
  <c r="Q9" i="743"/>
  <c r="P8" i="743"/>
  <c r="O5" i="743"/>
  <c r="O6" i="743"/>
  <c r="Q8" i="743"/>
  <c r="P7" i="743"/>
  <c r="R10" i="743"/>
  <c r="Q7" i="743"/>
  <c r="P6" i="743"/>
  <c r="R8" i="743"/>
  <c r="Q6" i="743"/>
  <c r="P5" i="743"/>
  <c r="R4" i="743"/>
  <c r="R11" i="743"/>
  <c r="Q5" i="743"/>
  <c r="O11" i="743"/>
  <c r="O10" i="743"/>
  <c r="R9" i="743"/>
  <c r="B18" i="735"/>
  <c r="P48" i="737"/>
  <c r="P40" i="737"/>
  <c r="P32" i="737"/>
  <c r="L6" i="737"/>
  <c r="L7" i="737" s="1"/>
  <c r="L8" i="737" s="1"/>
  <c r="L9" i="737" s="1"/>
  <c r="L10" i="737" s="1"/>
  <c r="L11" i="737" s="1"/>
  <c r="L12" i="737" s="1"/>
  <c r="L13" i="737" s="1"/>
  <c r="L14" i="737" s="1"/>
  <c r="L15" i="737" s="1"/>
  <c r="L16" i="737" s="1"/>
  <c r="L17" i="737" s="1"/>
  <c r="L18" i="737" s="1"/>
  <c r="L19" i="737" s="1"/>
  <c r="L20" i="737" s="1"/>
  <c r="L21" i="737" s="1"/>
  <c r="L22" i="737" s="1"/>
  <c r="L23" i="737" s="1"/>
  <c r="L24" i="737" s="1"/>
  <c r="L25" i="737" s="1"/>
  <c r="L26" i="737" s="1"/>
  <c r="L27" i="737" s="1"/>
  <c r="L28" i="737" s="1"/>
  <c r="L29" i="737" s="1"/>
  <c r="L30" i="737" s="1"/>
  <c r="L31" i="737" s="1"/>
  <c r="L32" i="737" s="1"/>
  <c r="L33" i="737" s="1"/>
  <c r="L34" i="737" s="1"/>
  <c r="L35" i="737" s="1"/>
  <c r="L36" i="737" s="1"/>
  <c r="L37" i="737" s="1"/>
  <c r="L38" i="737" s="1"/>
  <c r="L39" i="737" s="1"/>
  <c r="L40" i="737" s="1"/>
  <c r="L41" i="737" s="1"/>
  <c r="L42" i="737" s="1"/>
  <c r="L43" i="737" s="1"/>
  <c r="L44" i="737" s="1"/>
  <c r="L45" i="737" s="1"/>
  <c r="L46" i="737" s="1"/>
  <c r="L47" i="737" s="1"/>
  <c r="L48" i="737" s="1"/>
  <c r="L49" i="737" s="1"/>
  <c r="L50" i="737" s="1"/>
  <c r="L51" i="737" s="1"/>
  <c r="L52" i="737" s="1"/>
  <c r="L53" i="737" s="1"/>
  <c r="AK8" i="740"/>
  <c r="AK10" i="740"/>
  <c r="AR13" i="740"/>
  <c r="Q3" i="740"/>
  <c r="W7" i="740" s="1"/>
  <c r="W8" i="740" s="1"/>
  <c r="P4" i="737"/>
  <c r="P8" i="737"/>
  <c r="C18" i="738"/>
  <c r="U16" i="746"/>
  <c r="O16" i="736"/>
  <c r="H13" i="736"/>
  <c r="I13" i="736"/>
  <c r="P46" i="737"/>
  <c r="P38" i="737"/>
  <c r="P30" i="737"/>
  <c r="P22" i="737"/>
  <c r="P18" i="737"/>
  <c r="P17" i="737"/>
  <c r="P12" i="737"/>
  <c r="C19" i="738"/>
  <c r="AN6" i="740"/>
  <c r="AK9" i="740"/>
  <c r="R20" i="747"/>
  <c r="O20" i="747"/>
  <c r="Q20" i="747"/>
  <c r="P20" i="747"/>
  <c r="O8" i="747"/>
  <c r="P8" i="747"/>
  <c r="R8" i="747"/>
  <c r="Q8" i="747"/>
  <c r="O4" i="747"/>
  <c r="R11" i="747"/>
  <c r="Q10" i="747"/>
  <c r="P11" i="747"/>
  <c r="R10" i="747"/>
  <c r="Q9" i="747"/>
  <c r="O11" i="747"/>
  <c r="P10" i="747"/>
  <c r="R9" i="747"/>
  <c r="Q7" i="747"/>
  <c r="O10" i="747"/>
  <c r="U10" i="747" s="1"/>
  <c r="P9" i="747"/>
  <c r="R7" i="747"/>
  <c r="Q6" i="747"/>
  <c r="O9" i="747"/>
  <c r="P7" i="747"/>
  <c r="R6" i="747"/>
  <c r="Q5" i="747"/>
  <c r="O7" i="747"/>
  <c r="U7" i="747" s="1"/>
  <c r="P6" i="747"/>
  <c r="R5" i="747"/>
  <c r="Q4" i="747"/>
  <c r="O6" i="747"/>
  <c r="P5" i="747"/>
  <c r="R4" i="747"/>
  <c r="O5" i="747"/>
  <c r="U5" i="747" s="1"/>
  <c r="P4" i="747"/>
  <c r="Q11" i="747"/>
  <c r="P17" i="735"/>
  <c r="D17" i="735" s="1"/>
  <c r="P52" i="737"/>
  <c r="P44" i="737"/>
  <c r="P36" i="737"/>
  <c r="P27" i="737"/>
  <c r="P25" i="737"/>
  <c r="P19" i="737"/>
  <c r="P16" i="737"/>
  <c r="P7" i="737"/>
  <c r="O4" i="746"/>
  <c r="R4" i="746"/>
  <c r="Q4" i="746"/>
  <c r="P4" i="746"/>
  <c r="AI10" i="741"/>
  <c r="AA26" i="741"/>
  <c r="R21" i="745" a="1"/>
  <c r="R21" i="745" s="1"/>
  <c r="Y30" i="741"/>
  <c r="Z26" i="741"/>
  <c r="Q5" i="746"/>
  <c r="R6" i="746"/>
  <c r="O7" i="746"/>
  <c r="Y26" i="741"/>
  <c r="P5" i="746"/>
  <c r="U5" i="746" s="1"/>
  <c r="Q6" i="746"/>
  <c r="U6" i="746" s="1"/>
  <c r="R7" i="746"/>
  <c r="O8" i="746"/>
  <c r="U8" i="746" s="1"/>
  <c r="O4" i="745" a="1"/>
  <c r="F12" i="782"/>
  <c r="P6" i="746"/>
  <c r="Q7" i="746"/>
  <c r="R8" i="746"/>
  <c r="O9" i="746"/>
  <c r="AJ10" i="741"/>
  <c r="U16" i="751"/>
  <c r="R21" i="751" a="1"/>
  <c r="R21" i="751" s="1"/>
  <c r="P21" i="751" a="1"/>
  <c r="P21" i="751" s="1"/>
  <c r="O21" i="751" a="1"/>
  <c r="O21" i="751" s="1"/>
  <c r="X8" i="751" s="1"/>
  <c r="P7" i="746"/>
  <c r="Q8" i="746"/>
  <c r="R9" i="746"/>
  <c r="O10" i="746"/>
  <c r="U10" i="746" s="1"/>
  <c r="AH10" i="741"/>
  <c r="T7" i="745"/>
  <c r="F13" i="781"/>
  <c r="F12" i="781"/>
  <c r="F15" i="781" s="1"/>
  <c r="F17" i="781" s="1"/>
  <c r="AC30" i="741"/>
  <c r="P8" i="746"/>
  <c r="Q9" i="746"/>
  <c r="R10" i="746"/>
  <c r="O11" i="746"/>
  <c r="R17" i="748"/>
  <c r="F19" i="781"/>
  <c r="AB30" i="741"/>
  <c r="AG10" i="741"/>
  <c r="P9" i="746"/>
  <c r="Q10" i="746"/>
  <c r="R11" i="746"/>
  <c r="O17" i="748"/>
  <c r="O4" i="748" s="1" a="1"/>
  <c r="P21" i="745" a="1"/>
  <c r="P21" i="745" s="1"/>
  <c r="T7" i="742"/>
  <c r="U15" i="742" s="1"/>
  <c r="U16" i="742" s="1"/>
  <c r="T11" i="742"/>
  <c r="P10" i="746"/>
  <c r="Q11" i="746"/>
  <c r="O5" i="746"/>
  <c r="AD28" i="741"/>
  <c r="T11" i="743"/>
  <c r="U15" i="743" s="1"/>
  <c r="U16" i="743" s="1"/>
  <c r="Q21" i="751" a="1"/>
  <c r="Q21" i="751" s="1"/>
  <c r="F7" i="783"/>
  <c r="F6" i="783"/>
  <c r="W12" i="751"/>
  <c r="E13" i="638"/>
  <c r="H9" i="638"/>
  <c r="G13" i="638"/>
  <c r="S9" i="56"/>
  <c r="S10" i="56" s="1"/>
  <c r="S13" i="56" s="1"/>
  <c r="S14" i="56" s="1"/>
  <c r="S15" i="56"/>
  <c r="Y12" i="56"/>
  <c r="Y15" i="56" s="1"/>
  <c r="Y16" i="56" s="1"/>
  <c r="AD5" i="56"/>
  <c r="S24" i="56"/>
  <c r="S25" i="56" s="1"/>
  <c r="S28" i="56" s="1"/>
  <c r="S29" i="56" s="1"/>
  <c r="Q20" i="742" l="1"/>
  <c r="R20" i="742"/>
  <c r="P20" i="742"/>
  <c r="O20" i="742"/>
  <c r="F20" i="781"/>
  <c r="F22" i="781" s="1"/>
  <c r="Q9" i="748"/>
  <c r="P6" i="748"/>
  <c r="O6" i="748"/>
  <c r="U6" i="748" s="1"/>
  <c r="R6" i="748"/>
  <c r="Q5" i="748"/>
  <c r="O11" i="748"/>
  <c r="U11" i="748" s="1"/>
  <c r="R10" i="748"/>
  <c r="Q6" i="748"/>
  <c r="P11" i="748"/>
  <c r="O10" i="748"/>
  <c r="R9" i="748"/>
  <c r="Q4" i="748"/>
  <c r="P10" i="748"/>
  <c r="O9" i="748"/>
  <c r="U9" i="748" s="1"/>
  <c r="R8" i="748"/>
  <c r="P9" i="748"/>
  <c r="O8" i="748"/>
  <c r="R7" i="748"/>
  <c r="P8" i="748"/>
  <c r="O7" i="748"/>
  <c r="R5" i="748"/>
  <c r="P7" i="748"/>
  <c r="O5" i="748"/>
  <c r="R4" i="748"/>
  <c r="Q11" i="748"/>
  <c r="P5" i="748"/>
  <c r="O4" i="748"/>
  <c r="U4" i="748" s="1"/>
  <c r="Q10" i="748"/>
  <c r="Q8" i="748"/>
  <c r="Q7" i="748"/>
  <c r="P4" i="748"/>
  <c r="R11" i="748"/>
  <c r="P20" i="743"/>
  <c r="Q20" i="743"/>
  <c r="O20" i="743"/>
  <c r="R20" i="743"/>
  <c r="X33" i="55"/>
  <c r="X37" i="55" s="1"/>
  <c r="M34" i="55"/>
  <c r="P34" i="55" s="1"/>
  <c r="X5" i="751"/>
  <c r="U11" i="743"/>
  <c r="AP17" i="740"/>
  <c r="AR16" i="740"/>
  <c r="O71" i="728"/>
  <c r="A9" i="728"/>
  <c r="O55" i="728"/>
  <c r="O87" i="728"/>
  <c r="U7" i="742"/>
  <c r="U4" i="742"/>
  <c r="I42" i="728"/>
  <c r="H5" i="737"/>
  <c r="AJ7" i="737"/>
  <c r="AJ9" i="737"/>
  <c r="T13" i="631"/>
  <c r="V12" i="631"/>
  <c r="X4" i="751"/>
  <c r="U10" i="743"/>
  <c r="H18" i="736"/>
  <c r="E11" i="734"/>
  <c r="B13" i="734" s="1"/>
  <c r="AD53" i="728"/>
  <c r="AF53" i="728" s="1"/>
  <c r="W11" i="649"/>
  <c r="S12" i="649"/>
  <c r="T11" i="649"/>
  <c r="Y11" i="649"/>
  <c r="U11" i="649"/>
  <c r="V11" i="649"/>
  <c r="X11" i="649"/>
  <c r="O8" i="649"/>
  <c r="B8" i="649"/>
  <c r="P8" i="649"/>
  <c r="D8" i="649"/>
  <c r="E8" i="649"/>
  <c r="Q8" i="649"/>
  <c r="G8" i="649"/>
  <c r="A9" i="649"/>
  <c r="N8" i="649"/>
  <c r="F8" i="649"/>
  <c r="L8" i="649"/>
  <c r="M8" i="649"/>
  <c r="C8" i="649"/>
  <c r="G47" i="64"/>
  <c r="I46" i="64"/>
  <c r="X11" i="751"/>
  <c r="U20" i="751"/>
  <c r="U4" i="747"/>
  <c r="U4" i="746"/>
  <c r="U4" i="743"/>
  <c r="U17" i="743" s="1"/>
  <c r="U5" i="742"/>
  <c r="U6" i="747"/>
  <c r="V23" i="736"/>
  <c r="W6" i="740"/>
  <c r="V7" i="740"/>
  <c r="H25" i="736"/>
  <c r="B17" i="736"/>
  <c r="M20" i="727"/>
  <c r="B23" i="727" s="1"/>
  <c r="B25" i="727" s="1"/>
  <c r="Z12" i="631"/>
  <c r="AB11" i="631"/>
  <c r="U7" i="751"/>
  <c r="W7" i="751" s="1"/>
  <c r="X12" i="751"/>
  <c r="U9" i="746"/>
  <c r="U8" i="742"/>
  <c r="U11" i="746"/>
  <c r="U11" i="747"/>
  <c r="U8" i="743"/>
  <c r="O21" i="745" a="1"/>
  <c r="O21" i="745" s="1"/>
  <c r="Q21" i="745" a="1"/>
  <c r="Q21" i="745" s="1"/>
  <c r="V8" i="740"/>
  <c r="O20" i="746"/>
  <c r="P20" i="746"/>
  <c r="R20" i="746"/>
  <c r="Q20" i="746"/>
  <c r="U6" i="743"/>
  <c r="U7" i="743"/>
  <c r="Q8" i="740"/>
  <c r="Q7" i="740"/>
  <c r="AJ21" i="737"/>
  <c r="B16" i="736"/>
  <c r="D16" i="736"/>
  <c r="S5" i="737"/>
  <c r="C17" i="736"/>
  <c r="R8" i="719"/>
  <c r="R9" i="719" s="1"/>
  <c r="R11" i="719"/>
  <c r="R10" i="719"/>
  <c r="L16" i="638"/>
  <c r="L20" i="638" s="1"/>
  <c r="L14" i="638"/>
  <c r="E16" i="64"/>
  <c r="X9" i="751"/>
  <c r="M7" i="720"/>
  <c r="M6" i="720"/>
  <c r="I11" i="720"/>
  <c r="H11" i="720"/>
  <c r="D42" i="649"/>
  <c r="A43" i="649"/>
  <c r="G42" i="649"/>
  <c r="F42" i="649"/>
  <c r="B42" i="649"/>
  <c r="E42" i="649"/>
  <c r="C42" i="649"/>
  <c r="U18" i="747" a="1"/>
  <c r="U18" i="747" s="1"/>
  <c r="O22" i="747" a="1"/>
  <c r="U10" i="742"/>
  <c r="B18" i="736"/>
  <c r="U16" i="745"/>
  <c r="U7" i="746"/>
  <c r="U8" i="747"/>
  <c r="U5" i="743"/>
  <c r="B17" i="735"/>
  <c r="M16" i="736"/>
  <c r="M17" i="736"/>
  <c r="AR13" i="627"/>
  <c r="AT12" i="627"/>
  <c r="X7" i="751"/>
  <c r="U9" i="743"/>
  <c r="U18" i="748" a="1"/>
  <c r="U18" i="748" s="1"/>
  <c r="O22" i="748" a="1"/>
  <c r="C18" i="736"/>
  <c r="V24" i="736"/>
  <c r="M18" i="736"/>
  <c r="T26" i="736"/>
  <c r="N18" i="736"/>
  <c r="V25" i="736"/>
  <c r="S26" i="736"/>
  <c r="U9" i="747"/>
  <c r="O12" i="745"/>
  <c r="O4" i="745"/>
  <c r="U4" i="745" s="1"/>
  <c r="R9" i="745"/>
  <c r="P8" i="745"/>
  <c r="Q7" i="745"/>
  <c r="O5" i="745"/>
  <c r="R8" i="745"/>
  <c r="P4" i="745"/>
  <c r="Q4" i="745"/>
  <c r="P11" i="745"/>
  <c r="R7" i="745"/>
  <c r="Q12" i="745"/>
  <c r="O11" i="745"/>
  <c r="P9" i="745"/>
  <c r="R6" i="745"/>
  <c r="Q11" i="745"/>
  <c r="O10" i="745"/>
  <c r="P7" i="745"/>
  <c r="U7" i="745" s="1"/>
  <c r="R5" i="745"/>
  <c r="Q10" i="745"/>
  <c r="O9" i="745"/>
  <c r="P5" i="745"/>
  <c r="R4" i="745"/>
  <c r="Q9" i="745"/>
  <c r="O8" i="745"/>
  <c r="U8" i="745" s="1"/>
  <c r="R12" i="745"/>
  <c r="P12" i="745"/>
  <c r="Q8" i="745"/>
  <c r="O7" i="745"/>
  <c r="R11" i="745"/>
  <c r="P10" i="745"/>
  <c r="Q6" i="745"/>
  <c r="O6" i="745"/>
  <c r="R10" i="745"/>
  <c r="P6" i="745"/>
  <c r="Q5" i="745"/>
  <c r="C20" i="738"/>
  <c r="AK12" i="740"/>
  <c r="U6" i="742"/>
  <c r="U9" i="742"/>
  <c r="U11" i="742"/>
  <c r="P14" i="737"/>
  <c r="P26" i="737"/>
  <c r="P28" i="737"/>
  <c r="P37" i="737"/>
  <c r="P45" i="737"/>
  <c r="P53" i="737"/>
  <c r="P21" i="737"/>
  <c r="P31" i="737"/>
  <c r="P39" i="737"/>
  <c r="P47" i="737"/>
  <c r="P43" i="737"/>
  <c r="O17" i="736"/>
  <c r="C17" i="735"/>
  <c r="K23" i="736"/>
  <c r="K24" i="736"/>
  <c r="I26" i="736"/>
  <c r="I25" i="736" s="1"/>
  <c r="H26" i="736"/>
  <c r="J26" i="736"/>
  <c r="J25" i="736" s="1"/>
  <c r="AS9" i="697"/>
  <c r="C16" i="736"/>
  <c r="D42" i="728"/>
  <c r="N17" i="736"/>
  <c r="C41" i="728"/>
  <c r="C43" i="728" s="1"/>
  <c r="B20" i="728"/>
  <c r="B22" i="728" s="1"/>
  <c r="B41" i="728"/>
  <c r="B43" i="728" s="1"/>
  <c r="D41" i="728"/>
  <c r="D43" i="728" s="1"/>
  <c r="H41" i="728"/>
  <c r="H43" i="728" s="1"/>
  <c r="F41" i="728"/>
  <c r="F43" i="728" s="1"/>
  <c r="L41" i="728"/>
  <c r="L43" i="728" s="1"/>
  <c r="E41" i="728"/>
  <c r="E43" i="728" s="1"/>
  <c r="J41" i="728"/>
  <c r="J43" i="728" s="1"/>
  <c r="G41" i="728"/>
  <c r="G43" i="728" s="1"/>
  <c r="I41" i="728"/>
  <c r="I43" i="728" s="1"/>
  <c r="K41" i="728"/>
  <c r="K43" i="728" s="1"/>
  <c r="D35" i="697"/>
  <c r="F34" i="697"/>
  <c r="R8" i="697"/>
  <c r="H9" i="631"/>
  <c r="F10" i="631"/>
  <c r="BF9" i="627"/>
  <c r="BH8" i="627"/>
  <c r="X6" i="751"/>
  <c r="J30" i="59"/>
  <c r="J29" i="59"/>
  <c r="X10" i="751"/>
  <c r="AG52" i="728"/>
  <c r="AH52" i="728" s="1"/>
  <c r="AI52" i="728" s="1"/>
  <c r="AG51" i="728"/>
  <c r="AH51" i="728" s="1"/>
  <c r="AI51" i="728" s="1"/>
  <c r="AF26" i="627"/>
  <c r="AF22" i="627"/>
  <c r="AF6" i="627"/>
  <c r="AF18" i="627"/>
  <c r="AF8" i="627"/>
  <c r="AF16" i="627"/>
  <c r="AF20" i="627"/>
  <c r="AF9" i="627"/>
  <c r="AF14" i="627"/>
  <c r="AF15" i="627"/>
  <c r="AF31" i="627"/>
  <c r="AF21" i="627"/>
  <c r="AF17" i="627"/>
  <c r="AF23" i="627"/>
  <c r="AF27" i="627"/>
  <c r="AF25" i="627"/>
  <c r="AF10" i="627"/>
  <c r="AF28" i="627"/>
  <c r="AF5" i="627"/>
  <c r="AF11" i="627"/>
  <c r="AF29" i="627"/>
  <c r="AF12" i="627"/>
  <c r="AF19" i="627"/>
  <c r="AF7" i="627"/>
  <c r="AF13" i="627"/>
  <c r="AF30" i="627"/>
  <c r="AF24" i="627"/>
  <c r="U11" i="751"/>
  <c r="W11" i="751" s="1"/>
  <c r="E17" i="64"/>
  <c r="W4" i="751"/>
  <c r="U19" i="751"/>
  <c r="U21" i="751" s="1"/>
  <c r="Y12" i="751" s="1"/>
  <c r="F21" i="781"/>
  <c r="G14" i="638"/>
  <c r="I14" i="638" s="1"/>
  <c r="I13" i="638"/>
  <c r="S16" i="56"/>
  <c r="F13" i="638"/>
  <c r="E14" i="638"/>
  <c r="AD9" i="56"/>
  <c r="AD11" i="56" s="1"/>
  <c r="AD10" i="56"/>
  <c r="AD12" i="56" s="1"/>
  <c r="W6" i="743" l="1"/>
  <c r="AG27" i="627"/>
  <c r="AG20" i="627"/>
  <c r="F11" i="631"/>
  <c r="H10" i="631"/>
  <c r="T24" i="736"/>
  <c r="U24" i="736"/>
  <c r="S24" i="736"/>
  <c r="AR14" i="627"/>
  <c r="AT13" i="627"/>
  <c r="S9" i="737"/>
  <c r="S7" i="737"/>
  <c r="V12" i="649"/>
  <c r="Y12" i="649"/>
  <c r="W12" i="649"/>
  <c r="X12" i="649"/>
  <c r="T12" i="649"/>
  <c r="S13" i="649"/>
  <c r="U12" i="649"/>
  <c r="AG25" i="627"/>
  <c r="AG12" i="627"/>
  <c r="AG23" i="627"/>
  <c r="AG16" i="627"/>
  <c r="U6" i="745"/>
  <c r="W6" i="745" s="1"/>
  <c r="U10" i="745"/>
  <c r="U17" i="746"/>
  <c r="W4" i="746" s="1"/>
  <c r="Y4" i="746" s="1"/>
  <c r="Y7" i="751"/>
  <c r="W4" i="747"/>
  <c r="Y4" i="747" s="1"/>
  <c r="U17" i="747"/>
  <c r="V13" i="631"/>
  <c r="T14" i="631"/>
  <c r="O22" i="743" a="1"/>
  <c r="U18" i="743" a="1"/>
  <c r="U18" i="743" s="1"/>
  <c r="U19" i="743" s="1"/>
  <c r="U7" i="748"/>
  <c r="AG19" i="627"/>
  <c r="Y4" i="751"/>
  <c r="AG29" i="627"/>
  <c r="AG17" i="627"/>
  <c r="AG8" i="627"/>
  <c r="R9" i="697"/>
  <c r="I24" i="736"/>
  <c r="I30" i="736" s="1"/>
  <c r="H24" i="736"/>
  <c r="H30" i="736" s="1"/>
  <c r="J24" i="736"/>
  <c r="W9" i="747"/>
  <c r="Y9" i="747" s="1"/>
  <c r="P22" i="748"/>
  <c r="Q22" i="748"/>
  <c r="O22" i="748"/>
  <c r="R22" i="748"/>
  <c r="S17" i="736"/>
  <c r="S19" i="736" s="1"/>
  <c r="G43" i="649"/>
  <c r="A44" i="649"/>
  <c r="D43" i="649"/>
  <c r="F43" i="649"/>
  <c r="B43" i="649"/>
  <c r="C43" i="649"/>
  <c r="E43" i="649"/>
  <c r="H17" i="736"/>
  <c r="W8" i="743"/>
  <c r="Y8" i="743" s="1"/>
  <c r="X7" i="740"/>
  <c r="Y7" i="740"/>
  <c r="X2" i="740"/>
  <c r="X3" i="740" s="1"/>
  <c r="W6" i="751"/>
  <c r="Y6" i="751" s="1"/>
  <c r="W10" i="751"/>
  <c r="Y10" i="751" s="1"/>
  <c r="AG9" i="627"/>
  <c r="W11" i="743"/>
  <c r="Y11" i="743" s="1"/>
  <c r="U18" i="742" a="1"/>
  <c r="U18" i="742" s="1"/>
  <c r="O22" i="742" a="1"/>
  <c r="Y11" i="751"/>
  <c r="AG11" i="627"/>
  <c r="AG21" i="627"/>
  <c r="AG18" i="627"/>
  <c r="H23" i="736"/>
  <c r="I23" i="736"/>
  <c r="J23" i="736"/>
  <c r="J29" i="736" s="1"/>
  <c r="W6" i="742"/>
  <c r="Y6" i="742" s="1"/>
  <c r="H15" i="735"/>
  <c r="P22" i="747"/>
  <c r="Q22" i="747"/>
  <c r="O22" i="747"/>
  <c r="R22" i="747"/>
  <c r="W11" i="747"/>
  <c r="Y11" i="747" s="1"/>
  <c r="Z13" i="631"/>
  <c r="AB12" i="631"/>
  <c r="Y6" i="740"/>
  <c r="X6" i="740"/>
  <c r="F9" i="649"/>
  <c r="N9" i="649"/>
  <c r="P9" i="649"/>
  <c r="G9" i="649"/>
  <c r="E9" i="649"/>
  <c r="Q9" i="649"/>
  <c r="L9" i="649"/>
  <c r="M9" i="649"/>
  <c r="D9" i="649"/>
  <c r="C9" i="649"/>
  <c r="A10" i="649"/>
  <c r="O9" i="649"/>
  <c r="B9" i="649"/>
  <c r="Z26" i="737"/>
  <c r="AC13" i="737"/>
  <c r="W13" i="737"/>
  <c r="AE13" i="737"/>
  <c r="X26" i="737"/>
  <c r="Y13" i="737"/>
  <c r="AB26" i="737"/>
  <c r="Z13" i="737"/>
  <c r="AE26" i="737"/>
  <c r="AF26" i="737"/>
  <c r="AF13" i="737"/>
  <c r="AD13" i="737"/>
  <c r="AA26" i="737"/>
  <c r="X13" i="737"/>
  <c r="V13" i="737"/>
  <c r="AD26" i="737"/>
  <c r="V26" i="737"/>
  <c r="AC26" i="737"/>
  <c r="Y26" i="737"/>
  <c r="W26" i="737"/>
  <c r="AB13" i="737"/>
  <c r="AA13" i="737"/>
  <c r="A10" i="728"/>
  <c r="O56" i="728"/>
  <c r="O88" i="728"/>
  <c r="O72" i="728"/>
  <c r="U10" i="748"/>
  <c r="AG7" i="627"/>
  <c r="BH9" i="627"/>
  <c r="BF10" i="627"/>
  <c r="X9" i="745"/>
  <c r="X6" i="745"/>
  <c r="U20" i="745"/>
  <c r="W8" i="745" s="1"/>
  <c r="X10" i="745"/>
  <c r="X8" i="745"/>
  <c r="X5" i="745"/>
  <c r="X12" i="745"/>
  <c r="X4" i="745"/>
  <c r="X11" i="745"/>
  <c r="X7" i="745"/>
  <c r="W4" i="743"/>
  <c r="Y4" i="743" s="1"/>
  <c r="AG24" i="627"/>
  <c r="AG5" i="627"/>
  <c r="AG31" i="627"/>
  <c r="AG6" i="627"/>
  <c r="U5" i="745"/>
  <c r="W5" i="745" s="1"/>
  <c r="U25" i="736"/>
  <c r="T25" i="736"/>
  <c r="S25" i="736"/>
  <c r="W9" i="743"/>
  <c r="Y9" i="743" s="1"/>
  <c r="W5" i="743"/>
  <c r="Y5" i="743" s="1"/>
  <c r="U18" i="746" a="1"/>
  <c r="U18" i="746" s="1"/>
  <c r="O22" i="746" a="1"/>
  <c r="W11" i="746"/>
  <c r="U23" i="736"/>
  <c r="T23" i="736"/>
  <c r="S23" i="736"/>
  <c r="H19" i="736"/>
  <c r="B17" i="737"/>
  <c r="C19" i="737"/>
  <c r="E19" i="737"/>
  <c r="D19" i="737"/>
  <c r="C17" i="737"/>
  <c r="C18" i="737" s="1"/>
  <c r="B20" i="737"/>
  <c r="E17" i="737"/>
  <c r="E18" i="737" s="1"/>
  <c r="D17" i="737"/>
  <c r="D18" i="737" s="1"/>
  <c r="H6" i="737"/>
  <c r="B19" i="737"/>
  <c r="B21" i="737" s="1"/>
  <c r="B22" i="737" s="1"/>
  <c r="U8" i="748"/>
  <c r="W5" i="751"/>
  <c r="Y5" i="751" s="1"/>
  <c r="AG30" i="627"/>
  <c r="AG28" i="627"/>
  <c r="AG15" i="627"/>
  <c r="AG22" i="627"/>
  <c r="D36" i="697"/>
  <c r="F35" i="697"/>
  <c r="AS10" i="697"/>
  <c r="U9" i="745"/>
  <c r="W9" i="745" s="1"/>
  <c r="U11" i="745"/>
  <c r="W11" i="745" s="1"/>
  <c r="W8" i="747"/>
  <c r="Y8" i="747" s="1"/>
  <c r="Y8" i="740"/>
  <c r="Y2" i="740"/>
  <c r="Y3" i="740" s="1"/>
  <c r="X8" i="740"/>
  <c r="W6" i="747"/>
  <c r="Y6" i="747" s="1"/>
  <c r="G48" i="64"/>
  <c r="I47" i="64"/>
  <c r="W10" i="743"/>
  <c r="Y10" i="743" s="1"/>
  <c r="W9" i="751"/>
  <c r="Y9" i="751" s="1"/>
  <c r="AG13" i="627"/>
  <c r="AG10" i="627"/>
  <c r="AG14" i="627"/>
  <c r="AG26" i="627"/>
  <c r="W7" i="746"/>
  <c r="W7" i="743"/>
  <c r="Y7" i="743" s="1"/>
  <c r="W9" i="746"/>
  <c r="AR17" i="740"/>
  <c r="AP18" i="740"/>
  <c r="W8" i="751"/>
  <c r="Y8" i="751" s="1"/>
  <c r="U5" i="748"/>
  <c r="U17" i="748" s="1"/>
  <c r="U17" i="742"/>
  <c r="U19" i="742" s="1"/>
  <c r="H13" i="638"/>
  <c r="I9" i="638"/>
  <c r="F14" i="638"/>
  <c r="H14" i="638" s="1"/>
  <c r="U19" i="748" l="1"/>
  <c r="W4" i="748"/>
  <c r="Y4" i="748" s="1"/>
  <c r="W11" i="748"/>
  <c r="Y11" i="748" s="1"/>
  <c r="W6" i="748"/>
  <c r="Y6" i="748" s="1"/>
  <c r="W9" i="748"/>
  <c r="Y9" i="748" s="1"/>
  <c r="AP19" i="740"/>
  <c r="AR18" i="740"/>
  <c r="T30" i="736"/>
  <c r="W5" i="742"/>
  <c r="Y5" i="742" s="1"/>
  <c r="Z6" i="747"/>
  <c r="BH10" i="627"/>
  <c r="BF11" i="627"/>
  <c r="O89" i="728"/>
  <c r="O73" i="728"/>
  <c r="A11" i="728"/>
  <c r="O57" i="728"/>
  <c r="AJ10" i="737"/>
  <c r="AJ11" i="737" s="1"/>
  <c r="I29" i="736"/>
  <c r="W4" i="742"/>
  <c r="Y4" i="742" s="1"/>
  <c r="X7" i="748"/>
  <c r="X11" i="748"/>
  <c r="X8" i="748"/>
  <c r="X4" i="748"/>
  <c r="X5" i="748"/>
  <c r="X6" i="748"/>
  <c r="X9" i="748"/>
  <c r="X10" i="748"/>
  <c r="R10" i="697"/>
  <c r="AB6" i="751" a="1"/>
  <c r="AB6" i="751" s="1"/>
  <c r="U19" i="747"/>
  <c r="Z11" i="747" s="1"/>
  <c r="W10" i="747"/>
  <c r="Y10" i="747" s="1"/>
  <c r="W5" i="747"/>
  <c r="Y5" i="747" s="1"/>
  <c r="W7" i="747"/>
  <c r="Y7" i="747" s="1"/>
  <c r="W7" i="742"/>
  <c r="Y7" i="742" s="1"/>
  <c r="W4" i="745"/>
  <c r="Y4" i="745" s="1"/>
  <c r="Y6" i="743"/>
  <c r="Z14" i="631"/>
  <c r="AB13" i="631"/>
  <c r="W11" i="742"/>
  <c r="Y11" i="742" s="1"/>
  <c r="Y9" i="746"/>
  <c r="W8" i="742"/>
  <c r="Y8" i="742" s="1"/>
  <c r="AS11" i="697"/>
  <c r="S29" i="736"/>
  <c r="S31" i="736"/>
  <c r="Q10" i="649"/>
  <c r="P10" i="649"/>
  <c r="L10" i="649"/>
  <c r="C10" i="649"/>
  <c r="B10" i="649"/>
  <c r="O10" i="649"/>
  <c r="E10" i="649"/>
  <c r="N10" i="649"/>
  <c r="D10" i="649"/>
  <c r="A11" i="649"/>
  <c r="M10" i="649"/>
  <c r="F10" i="649"/>
  <c r="G10" i="649"/>
  <c r="H29" i="736"/>
  <c r="H33" i="736" s="1"/>
  <c r="M55" i="737"/>
  <c r="N55" i="737"/>
  <c r="O55" i="737"/>
  <c r="U19" i="745"/>
  <c r="U21" i="745" s="1"/>
  <c r="Y9" i="745" s="1"/>
  <c r="H31" i="736"/>
  <c r="AH14" i="627"/>
  <c r="G49" i="64"/>
  <c r="I48" i="64"/>
  <c r="C20" i="737"/>
  <c r="D20" i="737" s="1"/>
  <c r="E20" i="737" s="1"/>
  <c r="T29" i="736"/>
  <c r="T31" i="736"/>
  <c r="AG32" i="627"/>
  <c r="AH5" i="627"/>
  <c r="X6" i="747"/>
  <c r="X5" i="747"/>
  <c r="X10" i="747"/>
  <c r="X8" i="747"/>
  <c r="X4" i="747"/>
  <c r="Z4" i="747" s="1"/>
  <c r="X11" i="747"/>
  <c r="X9" i="747"/>
  <c r="Z9" i="747" s="1"/>
  <c r="X7" i="747"/>
  <c r="T13" i="649"/>
  <c r="S14" i="649"/>
  <c r="U13" i="649"/>
  <c r="Y13" i="649"/>
  <c r="W13" i="649"/>
  <c r="V13" i="649"/>
  <c r="X13" i="649"/>
  <c r="W7" i="745"/>
  <c r="AH15" i="627"/>
  <c r="AH6" i="627"/>
  <c r="Y6" i="745"/>
  <c r="Y7" i="746"/>
  <c r="U31" i="736"/>
  <c r="O22" i="742"/>
  <c r="R22" i="742"/>
  <c r="Q22" i="742"/>
  <c r="P22" i="742"/>
  <c r="D44" i="649"/>
  <c r="F44" i="649"/>
  <c r="B44" i="649"/>
  <c r="A45" i="649"/>
  <c r="G44" i="649"/>
  <c r="E44" i="649"/>
  <c r="C44" i="649"/>
  <c r="W7" i="748"/>
  <c r="Y7" i="748" s="1"/>
  <c r="U19" i="746"/>
  <c r="W5" i="746"/>
  <c r="Y5" i="746" s="1"/>
  <c r="W10" i="746"/>
  <c r="Y10" i="746" s="1"/>
  <c r="W8" i="746"/>
  <c r="Y8" i="746" s="1"/>
  <c r="W6" i="746"/>
  <c r="Y6" i="746" s="1"/>
  <c r="F12" i="631"/>
  <c r="H11" i="631"/>
  <c r="J31" i="736"/>
  <c r="D21" i="737"/>
  <c r="D22" i="737" s="1"/>
  <c r="Y11" i="746"/>
  <c r="Y5" i="745"/>
  <c r="AH24" i="627"/>
  <c r="W10" i="748"/>
  <c r="Y10" i="748" s="1"/>
  <c r="Z10" i="748" s="1"/>
  <c r="W9" i="742"/>
  <c r="Y9" i="742" s="1"/>
  <c r="W10" i="745"/>
  <c r="AT14" i="627"/>
  <c r="AR15" i="627"/>
  <c r="T15" i="631"/>
  <c r="V14" i="631"/>
  <c r="U30" i="736"/>
  <c r="H7" i="737"/>
  <c r="H8" i="737" s="1"/>
  <c r="B18" i="737"/>
  <c r="H9" i="737" s="1"/>
  <c r="AH31" i="627"/>
  <c r="D37" i="697"/>
  <c r="F36" i="697"/>
  <c r="U29" i="736"/>
  <c r="S33" i="736" s="1"/>
  <c r="W5" i="748"/>
  <c r="Y5" i="748" s="1"/>
  <c r="Z5" i="748" s="1"/>
  <c r="AH26" i="627"/>
  <c r="Z8" i="747"/>
  <c r="W8" i="748"/>
  <c r="Y8" i="748" s="1"/>
  <c r="Z8" i="748" s="1"/>
  <c r="E21" i="737"/>
  <c r="E22" i="737" s="1"/>
  <c r="R22" i="746"/>
  <c r="P22" i="746"/>
  <c r="O22" i="746"/>
  <c r="Q22" i="746"/>
  <c r="W10" i="742"/>
  <c r="Y10" i="742" s="1"/>
  <c r="J30" i="736"/>
  <c r="AH17" i="627"/>
  <c r="R22" i="743"/>
  <c r="Q22" i="743"/>
  <c r="P22" i="743"/>
  <c r="O22" i="743"/>
  <c r="S30" i="736"/>
  <c r="I31" i="736"/>
  <c r="P66" i="725"/>
  <c r="P65" i="725"/>
  <c r="P64" i="725"/>
  <c r="P63" i="725"/>
  <c r="P62" i="725"/>
  <c r="P61" i="725"/>
  <c r="P60" i="725"/>
  <c r="P59" i="725"/>
  <c r="P58" i="725"/>
  <c r="P57" i="725"/>
  <c r="P56" i="725"/>
  <c r="P55" i="725"/>
  <c r="P54" i="725"/>
  <c r="P53" i="725"/>
  <c r="P52" i="725"/>
  <c r="P51" i="725"/>
  <c r="P50" i="725"/>
  <c r="P49" i="725"/>
  <c r="P48" i="725"/>
  <c r="P47" i="725"/>
  <c r="P46" i="725"/>
  <c r="P45" i="725"/>
  <c r="P44" i="725"/>
  <c r="P43" i="725"/>
  <c r="P42" i="725"/>
  <c r="P41" i="725"/>
  <c r="P40" i="725"/>
  <c r="P39" i="725"/>
  <c r="P38" i="725"/>
  <c r="P35" i="725"/>
  <c r="P34" i="725"/>
  <c r="P33" i="725"/>
  <c r="P32" i="725"/>
  <c r="P31" i="725"/>
  <c r="P30" i="725"/>
  <c r="P29" i="725"/>
  <c r="P28" i="725"/>
  <c r="P27" i="725"/>
  <c r="P26" i="725"/>
  <c r="P25" i="725"/>
  <c r="P24" i="725"/>
  <c r="P23" i="725"/>
  <c r="P22" i="725"/>
  <c r="P21" i="725"/>
  <c r="P20" i="725"/>
  <c r="P19" i="725"/>
  <c r="P18" i="725"/>
  <c r="P17" i="725"/>
  <c r="P16" i="725"/>
  <c r="P15" i="725"/>
  <c r="P14" i="725"/>
  <c r="P13" i="725"/>
  <c r="P12" i="725"/>
  <c r="P11" i="725"/>
  <c r="P10" i="725"/>
  <c r="P9" i="725"/>
  <c r="P8" i="725"/>
  <c r="P7" i="725"/>
  <c r="P6" i="725"/>
  <c r="P5" i="725"/>
  <c r="P4" i="725"/>
  <c r="N31" i="738"/>
  <c r="N27" i="738"/>
  <c r="N28" i="738" s="1"/>
  <c r="P3" i="725"/>
  <c r="K10" i="716"/>
  <c r="L10" i="716"/>
  <c r="K10" i="718"/>
  <c r="L10" i="718"/>
  <c r="D16" i="698"/>
  <c r="L11" i="718"/>
  <c r="L12" i="718"/>
  <c r="K11" i="718"/>
  <c r="K12" i="718"/>
  <c r="AS12" i="740"/>
  <c r="AS16" i="740"/>
  <c r="AS23" i="740"/>
  <c r="AS18" i="740"/>
  <c r="AS14" i="740"/>
  <c r="AS26" i="740"/>
  <c r="AS29" i="740"/>
  <c r="AS15" i="740"/>
  <c r="AS25" i="740"/>
  <c r="AS17" i="740"/>
  <c r="AS19" i="740"/>
  <c r="AS20" i="740"/>
  <c r="AS10" i="740"/>
  <c r="AS13" i="740"/>
  <c r="AS24" i="740"/>
  <c r="AS27" i="740"/>
  <c r="AS22" i="740"/>
  <c r="AS11" i="740"/>
  <c r="AS21" i="740"/>
  <c r="AS28" i="740"/>
  <c r="J11" i="718"/>
  <c r="J12" i="718"/>
  <c r="K15" i="580"/>
  <c r="J10" i="718"/>
  <c r="G4" i="582"/>
  <c r="G8" i="582" s="1"/>
  <c r="G9" i="582" s="1"/>
  <c r="G12" i="582" s="1"/>
  <c r="G13" i="582" s="1"/>
  <c r="F15" i="782"/>
  <c r="L12" i="716"/>
  <c r="K11" i="716"/>
  <c r="L11" i="716"/>
  <c r="K12" i="716"/>
  <c r="AC6" i="751"/>
  <c r="H4" i="665"/>
  <c r="H8" i="665" s="1"/>
  <c r="H9" i="665" s="1"/>
  <c r="H12" i="665" s="1"/>
  <c r="H13" i="665" s="1"/>
  <c r="N15" i="731"/>
  <c r="N14" i="731"/>
  <c r="N8" i="731"/>
  <c r="N11" i="731" s="1"/>
  <c r="P6" i="697"/>
  <c r="P4" i="697"/>
  <c r="P10" i="697"/>
  <c r="P5" i="697"/>
  <c r="P12" i="697"/>
  <c r="P8" i="697"/>
  <c r="P9" i="697"/>
  <c r="P11" i="697"/>
  <c r="P13" i="697"/>
  <c r="P7" i="697"/>
  <c r="G25" i="688"/>
  <c r="H7" i="734"/>
  <c r="H5" i="71"/>
  <c r="H8" i="71" s="1"/>
  <c r="H9" i="71" s="1"/>
  <c r="H12" i="71" s="1"/>
  <c r="H13" i="71" s="1"/>
  <c r="F16" i="782"/>
  <c r="Q12" i="688"/>
  <c r="C15" i="59"/>
  <c r="K21" i="59" s="1"/>
  <c r="K25" i="59" s="1"/>
  <c r="K26" i="59" s="1"/>
  <c r="I9" i="719"/>
  <c r="I10" i="719"/>
  <c r="J10" i="719"/>
  <c r="J9" i="719"/>
  <c r="F18" i="581"/>
  <c r="F13" i="581"/>
  <c r="AQ13" i="697"/>
  <c r="AQ6" i="697"/>
  <c r="AQ5" i="697"/>
  <c r="AQ10" i="697"/>
  <c r="AQ9" i="697"/>
  <c r="AQ4" i="697"/>
  <c r="AQ11" i="697"/>
  <c r="AQ8" i="697"/>
  <c r="AQ7" i="697"/>
  <c r="AQ12" i="697"/>
  <c r="G12" i="688"/>
  <c r="F18" i="489"/>
  <c r="F17" i="489"/>
  <c r="F16" i="489"/>
  <c r="J10" i="716"/>
  <c r="N16" i="698"/>
  <c r="AV7" i="740"/>
  <c r="E15" i="580"/>
  <c r="M4" i="753"/>
  <c r="M5" i="753" s="1"/>
  <c r="AO6" i="753" s="1"/>
  <c r="H18" i="494"/>
  <c r="E9" i="697"/>
  <c r="R12" i="725"/>
  <c r="J11" i="716"/>
  <c r="J12" i="716"/>
  <c r="G30" i="697"/>
  <c r="G34" i="697"/>
  <c r="G32" i="697"/>
  <c r="G33" i="697"/>
  <c r="G31" i="697"/>
  <c r="G35" i="697"/>
  <c r="G39" i="697"/>
  <c r="G38" i="697"/>
  <c r="G37" i="697"/>
  <c r="G36" i="697"/>
  <c r="Y12" i="688"/>
  <c r="H14" i="737" l="1"/>
  <c r="H15" i="737"/>
  <c r="H10" i="737"/>
  <c r="H11" i="737" s="1"/>
  <c r="S36" i="736"/>
  <c r="S37" i="736"/>
  <c r="H36" i="736"/>
  <c r="H37" i="736"/>
  <c r="AR16" i="627"/>
  <c r="AT15" i="627"/>
  <c r="AL6" i="627" a="1"/>
  <c r="AL6" i="627" s="1"/>
  <c r="AL5" i="627" a="1"/>
  <c r="AL5" i="627" s="1"/>
  <c r="AI12" i="627"/>
  <c r="AI6" i="627"/>
  <c r="AI26" i="627"/>
  <c r="AI20" i="627"/>
  <c r="AI17" i="627"/>
  <c r="AI21" i="627"/>
  <c r="AI22" i="627"/>
  <c r="AI23" i="627"/>
  <c r="AI18" i="627"/>
  <c r="AI7" i="627"/>
  <c r="AI24" i="627"/>
  <c r="AI13" i="627"/>
  <c r="AI11" i="627"/>
  <c r="AI14" i="627"/>
  <c r="AI8" i="627"/>
  <c r="AI9" i="627"/>
  <c r="AI30" i="627"/>
  <c r="AI15" i="627"/>
  <c r="AI25" i="627"/>
  <c r="AI19" i="627"/>
  <c r="AI5" i="627"/>
  <c r="AI28" i="627"/>
  <c r="AI10" i="627"/>
  <c r="AI29" i="627"/>
  <c r="AI16" i="627"/>
  <c r="AI31" i="627"/>
  <c r="AI27" i="627"/>
  <c r="BH11" i="627"/>
  <c r="BF12" i="627"/>
  <c r="AH30" i="627"/>
  <c r="AH12" i="627"/>
  <c r="Y11" i="745"/>
  <c r="U14" i="649"/>
  <c r="W14" i="649"/>
  <c r="T14" i="649"/>
  <c r="V14" i="649"/>
  <c r="S15" i="649"/>
  <c r="X14" i="649"/>
  <c r="Y14" i="649"/>
  <c r="AH16" i="627"/>
  <c r="Z7" i="747"/>
  <c r="Y8" i="745"/>
  <c r="AB6" i="745" s="1" a="1"/>
  <c r="AB6" i="745" s="1"/>
  <c r="X5" i="742"/>
  <c r="Z5" i="742" s="1"/>
  <c r="X4" i="742"/>
  <c r="X6" i="742"/>
  <c r="Z6" i="742" s="1"/>
  <c r="X8" i="742"/>
  <c r="X10" i="742"/>
  <c r="X7" i="742"/>
  <c r="X9" i="742"/>
  <c r="X11" i="742"/>
  <c r="Z11" i="742" s="1"/>
  <c r="AH25" i="627"/>
  <c r="AH10" i="627"/>
  <c r="AH20" i="627"/>
  <c r="Z10" i="742"/>
  <c r="Y10" i="745"/>
  <c r="Z7" i="748"/>
  <c r="Y7" i="745"/>
  <c r="Z5" i="747"/>
  <c r="X15" i="747" s="1" a="1"/>
  <c r="X15" i="747" s="1"/>
  <c r="Z9" i="748"/>
  <c r="S10" i="737"/>
  <c r="S11" i="737" s="1"/>
  <c r="A12" i="649"/>
  <c r="C11" i="649"/>
  <c r="P11" i="649"/>
  <c r="Q11" i="649"/>
  <c r="G11" i="649"/>
  <c r="B11" i="649"/>
  <c r="L11" i="649"/>
  <c r="E11" i="649"/>
  <c r="O11" i="649"/>
  <c r="M11" i="649"/>
  <c r="F11" i="649"/>
  <c r="N11" i="649"/>
  <c r="D11" i="649"/>
  <c r="Z4" i="742"/>
  <c r="AH21" i="627"/>
  <c r="AH22" i="627"/>
  <c r="D38" i="697"/>
  <c r="F37" i="697"/>
  <c r="Z9" i="742"/>
  <c r="AH8" i="627"/>
  <c r="AH23" i="627"/>
  <c r="AH9" i="627"/>
  <c r="Z10" i="747"/>
  <c r="AH11" i="627"/>
  <c r="Z6" i="748"/>
  <c r="Z10" i="746"/>
  <c r="R11" i="697"/>
  <c r="Z11" i="746"/>
  <c r="E45" i="649"/>
  <c r="A46" i="649"/>
  <c r="B45" i="649"/>
  <c r="F45" i="649"/>
  <c r="D45" i="649"/>
  <c r="G45" i="649"/>
  <c r="C45" i="649"/>
  <c r="AH29" i="627"/>
  <c r="Z7" i="742"/>
  <c r="X6" i="743"/>
  <c r="X8" i="743"/>
  <c r="Z8" i="743" s="1"/>
  <c r="X11" i="743"/>
  <c r="Z11" i="743" s="1"/>
  <c r="X5" i="743"/>
  <c r="Z5" i="743" s="1"/>
  <c r="X9" i="743"/>
  <c r="Z9" i="743" s="1"/>
  <c r="X7" i="743"/>
  <c r="Z7" i="743" s="1"/>
  <c r="X10" i="743"/>
  <c r="Z10" i="743" s="1"/>
  <c r="X4" i="743"/>
  <c r="Z4" i="743" s="1"/>
  <c r="AH13" i="627"/>
  <c r="F13" i="631"/>
  <c r="H12" i="631"/>
  <c r="AH27" i="627"/>
  <c r="AH19" i="627"/>
  <c r="AS12" i="697"/>
  <c r="AB14" i="631"/>
  <c r="Z15" i="631"/>
  <c r="Z11" i="748"/>
  <c r="Z6" i="746"/>
  <c r="AH18" i="627"/>
  <c r="Y12" i="745"/>
  <c r="C21" i="737"/>
  <c r="C22" i="737" s="1"/>
  <c r="AB7" i="751"/>
  <c r="AB8" i="751"/>
  <c r="O58" i="728"/>
  <c r="A12" i="728"/>
  <c r="O90" i="728"/>
  <c r="O74" i="728"/>
  <c r="AR19" i="740"/>
  <c r="AP20" i="740"/>
  <c r="Z4" i="748"/>
  <c r="X5" i="746"/>
  <c r="Z5" i="746" s="1"/>
  <c r="X8" i="746"/>
  <c r="X11" i="746"/>
  <c r="X4" i="746"/>
  <c r="Z4" i="746" s="1"/>
  <c r="X9" i="746"/>
  <c r="Z9" i="746" s="1"/>
  <c r="X10" i="746"/>
  <c r="X7" i="746"/>
  <c r="Z7" i="746" s="1"/>
  <c r="X6" i="746"/>
  <c r="V15" i="631"/>
  <c r="T16" i="631"/>
  <c r="Z8" i="746"/>
  <c r="AH7" i="627"/>
  <c r="G50" i="64"/>
  <c r="I49" i="64"/>
  <c r="Z8" i="742"/>
  <c r="Z6" i="743"/>
  <c r="AH28" i="627"/>
  <c r="P36" i="725"/>
  <c r="P37" i="725"/>
  <c r="P127" i="725"/>
  <c r="P126" i="725"/>
  <c r="P125" i="725"/>
  <c r="P124" i="725"/>
  <c r="P123" i="725"/>
  <c r="P122" i="725"/>
  <c r="P121" i="725"/>
  <c r="P120" i="725"/>
  <c r="P119" i="725"/>
  <c r="P118" i="725"/>
  <c r="P117" i="725"/>
  <c r="P116" i="725"/>
  <c r="P115" i="725"/>
  <c r="P114" i="725"/>
  <c r="P113" i="725"/>
  <c r="P112" i="725"/>
  <c r="P111" i="725"/>
  <c r="P110" i="725"/>
  <c r="P109" i="725"/>
  <c r="P108" i="725"/>
  <c r="P107" i="725"/>
  <c r="P106" i="725"/>
  <c r="P105" i="725"/>
  <c r="P104" i="725"/>
  <c r="P103" i="725"/>
  <c r="P102" i="725"/>
  <c r="P98" i="725"/>
  <c r="P97" i="725"/>
  <c r="P96" i="725"/>
  <c r="P95" i="725"/>
  <c r="P94" i="725"/>
  <c r="P93" i="725"/>
  <c r="P92" i="725"/>
  <c r="P91" i="725"/>
  <c r="P90" i="725"/>
  <c r="P89" i="725"/>
  <c r="P88" i="725"/>
  <c r="P87" i="725"/>
  <c r="P86" i="725"/>
  <c r="P85" i="725"/>
  <c r="P84" i="725"/>
  <c r="P83" i="725"/>
  <c r="P82" i="725"/>
  <c r="P81" i="725"/>
  <c r="P80" i="725"/>
  <c r="P79" i="725"/>
  <c r="P78" i="725"/>
  <c r="P77" i="725"/>
  <c r="P76" i="725"/>
  <c r="P75" i="725"/>
  <c r="P74" i="725"/>
  <c r="P73" i="725"/>
  <c r="P72" i="725"/>
  <c r="P71" i="725"/>
  <c r="P70" i="725"/>
  <c r="P101" i="725"/>
  <c r="P100" i="725"/>
  <c r="P67" i="725"/>
  <c r="P69" i="725"/>
  <c r="P68" i="725"/>
  <c r="P99" i="725"/>
  <c r="G12" i="718"/>
  <c r="F10" i="719"/>
  <c r="BE9" i="697"/>
  <c r="AD9" i="697"/>
  <c r="F12" i="489"/>
  <c r="F10" i="489"/>
  <c r="F9" i="489"/>
  <c r="F6" i="489"/>
  <c r="F7" i="581"/>
  <c r="F17" i="581"/>
  <c r="F4" i="581"/>
  <c r="F14" i="581"/>
  <c r="I6" i="581"/>
  <c r="F10" i="581"/>
  <c r="F16" i="698"/>
  <c r="AF18" i="740"/>
  <c r="AG18" i="740"/>
  <c r="AD18" i="740"/>
  <c r="AE18" i="740" s="1"/>
  <c r="G17" i="783"/>
  <c r="F6" i="62"/>
  <c r="G6" i="62"/>
  <c r="I6" i="62"/>
  <c r="G12" i="62"/>
  <c r="F12" i="62"/>
  <c r="I12" i="62"/>
  <c r="I11" i="62"/>
  <c r="G11" i="62"/>
  <c r="F11" i="62"/>
  <c r="J14" i="62"/>
  <c r="H14" i="62"/>
  <c r="J12" i="62"/>
  <c r="H12" i="62"/>
  <c r="H16" i="62"/>
  <c r="J16" i="62"/>
  <c r="H10" i="62"/>
  <c r="J10" i="62"/>
  <c r="L16" i="698"/>
  <c r="E16" i="698"/>
  <c r="H16" i="698"/>
  <c r="H9" i="494"/>
  <c r="G15" i="494"/>
  <c r="I15" i="494"/>
  <c r="F15" i="494"/>
  <c r="H12" i="494"/>
  <c r="G13" i="494"/>
  <c r="F13" i="494"/>
  <c r="I13" i="494"/>
  <c r="H14" i="494"/>
  <c r="H5" i="494"/>
  <c r="H8" i="494"/>
  <c r="F4" i="489"/>
  <c r="F12" i="581"/>
  <c r="F8" i="581"/>
  <c r="AD19" i="740"/>
  <c r="AE19" i="740" s="1"/>
  <c r="AF19" i="740"/>
  <c r="AG19" i="740"/>
  <c r="G15" i="783"/>
  <c r="J4" i="62"/>
  <c r="M4" i="62"/>
  <c r="M5" i="62" s="1"/>
  <c r="M9" i="62" s="1"/>
  <c r="H4" i="62"/>
  <c r="J6" i="62"/>
  <c r="H6" i="62"/>
  <c r="J15" i="62"/>
  <c r="H15" i="62"/>
  <c r="J18" i="62"/>
  <c r="H18" i="62"/>
  <c r="J8" i="62"/>
  <c r="H8" i="62"/>
  <c r="G10" i="62"/>
  <c r="F10" i="62"/>
  <c r="I10" i="62"/>
  <c r="J7" i="62"/>
  <c r="H7" i="62"/>
  <c r="H5" i="62"/>
  <c r="J5" i="62"/>
  <c r="AC8" i="751"/>
  <c r="AC7" i="751"/>
  <c r="K16" i="698"/>
  <c r="I5" i="494"/>
  <c r="F5" i="494"/>
  <c r="G5" i="494"/>
  <c r="F16" i="494"/>
  <c r="G16" i="494"/>
  <c r="I16" i="494"/>
  <c r="I8" i="494"/>
  <c r="F8" i="494"/>
  <c r="G8" i="494"/>
  <c r="I6" i="494"/>
  <c r="G6" i="494"/>
  <c r="F6" i="494"/>
  <c r="I18" i="494"/>
  <c r="F18" i="494"/>
  <c r="G18" i="494"/>
  <c r="H16" i="494"/>
  <c r="H6" i="494"/>
  <c r="F11" i="494"/>
  <c r="G11" i="494"/>
  <c r="I11" i="494"/>
  <c r="I7" i="494"/>
  <c r="F7" i="494"/>
  <c r="G7" i="494"/>
  <c r="J16" i="698"/>
  <c r="F7" i="489"/>
  <c r="F13" i="489"/>
  <c r="I4" i="489"/>
  <c r="I5" i="489" s="1"/>
  <c r="I9" i="489" s="1"/>
  <c r="F8" i="489"/>
  <c r="AZ8" i="697"/>
  <c r="AZ6" i="697"/>
  <c r="BA6" i="697" s="1"/>
  <c r="AZ7" i="697"/>
  <c r="F11" i="581"/>
  <c r="F16" i="581"/>
  <c r="F9" i="581"/>
  <c r="F15" i="581"/>
  <c r="F5" i="581"/>
  <c r="K30" i="59"/>
  <c r="K29" i="59"/>
  <c r="F8" i="62"/>
  <c r="I8" i="62"/>
  <c r="G8" i="62"/>
  <c r="G9" i="62"/>
  <c r="F9" i="62"/>
  <c r="I9" i="62"/>
  <c r="G7" i="62"/>
  <c r="I7" i="62"/>
  <c r="F7" i="62"/>
  <c r="F16" i="62"/>
  <c r="G16" i="62"/>
  <c r="I16" i="62"/>
  <c r="H17" i="62"/>
  <c r="J17" i="62"/>
  <c r="H11" i="62"/>
  <c r="J11" i="62"/>
  <c r="F14" i="62"/>
  <c r="G14" i="62"/>
  <c r="I14" i="62"/>
  <c r="G4" i="62"/>
  <c r="F4" i="62"/>
  <c r="I4" i="62"/>
  <c r="M11" i="734"/>
  <c r="M5" i="734"/>
  <c r="M8" i="734" s="1"/>
  <c r="Y8" i="697"/>
  <c r="Y7" i="697"/>
  <c r="Z7" i="697" s="1"/>
  <c r="Y9" i="697"/>
  <c r="P16" i="698"/>
  <c r="F17" i="494"/>
  <c r="G17" i="494"/>
  <c r="I17" i="494"/>
  <c r="I4" i="494"/>
  <c r="G4" i="494"/>
  <c r="F4" i="494"/>
  <c r="G12" i="494"/>
  <c r="I12" i="494"/>
  <c r="F12" i="494"/>
  <c r="L3" i="494"/>
  <c r="H4" i="494"/>
  <c r="I9" i="494"/>
  <c r="F9" i="494"/>
  <c r="G9" i="494"/>
  <c r="H7" i="494"/>
  <c r="G10" i="494"/>
  <c r="I10" i="494"/>
  <c r="F10" i="494"/>
  <c r="H10" i="494"/>
  <c r="H13" i="494"/>
  <c r="H11" i="494"/>
  <c r="H15" i="494"/>
  <c r="H17" i="494"/>
  <c r="F14" i="494"/>
  <c r="G14" i="494"/>
  <c r="I14" i="494"/>
  <c r="G12" i="716"/>
  <c r="F15" i="489"/>
  <c r="F5" i="489"/>
  <c r="F11" i="489"/>
  <c r="F14" i="489"/>
  <c r="F6" i="581"/>
  <c r="F18" i="62"/>
  <c r="G18" i="62"/>
  <c r="I18" i="62"/>
  <c r="I5" i="62"/>
  <c r="F5" i="62"/>
  <c r="G5" i="62"/>
  <c r="F17" i="62"/>
  <c r="G17" i="62"/>
  <c r="I17" i="62"/>
  <c r="I15" i="62"/>
  <c r="F15" i="62"/>
  <c r="G15" i="62"/>
  <c r="J9" i="62"/>
  <c r="H9" i="62"/>
  <c r="F13" i="62"/>
  <c r="G13" i="62"/>
  <c r="I13" i="62"/>
  <c r="J13" i="62"/>
  <c r="H13" i="62"/>
  <c r="G16" i="698"/>
  <c r="I16" i="698"/>
  <c r="AC6" i="745" l="1"/>
  <c r="AB8" i="745"/>
  <c r="AB7" i="745"/>
  <c r="Y15" i="747"/>
  <c r="X17" i="747"/>
  <c r="X16" i="747"/>
  <c r="Z16" i="631"/>
  <c r="AB15" i="631"/>
  <c r="E46" i="649"/>
  <c r="A47" i="649"/>
  <c r="F46" i="649"/>
  <c r="D46" i="649"/>
  <c r="G46" i="649"/>
  <c r="C46" i="649"/>
  <c r="B46" i="649"/>
  <c r="F38" i="697"/>
  <c r="D39" i="697"/>
  <c r="F39" i="697" s="1"/>
  <c r="A13" i="649"/>
  <c r="L12" i="649"/>
  <c r="P12" i="649"/>
  <c r="F12" i="649"/>
  <c r="G12" i="649"/>
  <c r="N12" i="649"/>
  <c r="O12" i="649"/>
  <c r="D12" i="649"/>
  <c r="B12" i="649"/>
  <c r="M12" i="649"/>
  <c r="C12" i="649"/>
  <c r="Q12" i="649"/>
  <c r="E12" i="649"/>
  <c r="G51" i="64"/>
  <c r="I50" i="64"/>
  <c r="X15" i="743" a="1"/>
  <c r="X15" i="743" s="1"/>
  <c r="Y15" i="649"/>
  <c r="U15" i="649"/>
  <c r="X15" i="649"/>
  <c r="W15" i="649"/>
  <c r="T15" i="649"/>
  <c r="S16" i="649"/>
  <c r="V15" i="649"/>
  <c r="G19" i="783"/>
  <c r="T17" i="631"/>
  <c r="V16" i="631"/>
  <c r="BH12" i="627"/>
  <c r="BF13" i="627"/>
  <c r="X15" i="748" a="1"/>
  <c r="X15" i="748" s="1"/>
  <c r="X15" i="746" a="1"/>
  <c r="X15" i="746" s="1"/>
  <c r="O91" i="728"/>
  <c r="O75" i="728"/>
  <c r="A13" i="728"/>
  <c r="O59" i="728"/>
  <c r="AS13" i="697"/>
  <c r="AT12" i="697"/>
  <c r="R12" i="697"/>
  <c r="X15" i="742" a="1"/>
  <c r="X15" i="742" s="1"/>
  <c r="AR20" i="740"/>
  <c r="AP21" i="740"/>
  <c r="F14" i="631"/>
  <c r="H13" i="631"/>
  <c r="AR17" i="627"/>
  <c r="AT16" i="627"/>
  <c r="P128" i="725"/>
  <c r="S6" i="725" s="1"/>
  <c r="AD13" i="740"/>
  <c r="AC14" i="740"/>
  <c r="AB6" i="740"/>
  <c r="W8" i="494"/>
  <c r="W7" i="494"/>
  <c r="I19" i="494"/>
  <c r="W6" i="494" s="1"/>
  <c r="Q5" i="494"/>
  <c r="L4" i="494"/>
  <c r="F19" i="494"/>
  <c r="L6" i="494" s="1"/>
  <c r="I19" i="62"/>
  <c r="J19" i="62"/>
  <c r="G18" i="783"/>
  <c r="AA17" i="697"/>
  <c r="AA16" i="697"/>
  <c r="BB16" i="697"/>
  <c r="BB12" i="697"/>
  <c r="BB11" i="697"/>
  <c r="G19" i="494"/>
  <c r="L5" i="494" s="1"/>
  <c r="R6" i="734"/>
  <c r="M7" i="734"/>
  <c r="Q5" i="734"/>
  <c r="S7" i="734"/>
  <c r="F19" i="62"/>
  <c r="M6" i="62" s="1"/>
  <c r="F19" i="581"/>
  <c r="I8" i="581" s="1"/>
  <c r="AA21" i="697"/>
  <c r="AA19" i="697"/>
  <c r="BB18" i="697"/>
  <c r="BB20" i="697"/>
  <c r="BB15" i="697"/>
  <c r="G19" i="62"/>
  <c r="M7" i="62" s="1"/>
  <c r="BA11" i="697"/>
  <c r="BA20" i="697"/>
  <c r="BA18" i="697"/>
  <c r="BA15" i="697"/>
  <c r="BA12" i="697"/>
  <c r="BA14" i="697"/>
  <c r="BA16" i="697"/>
  <c r="BA17" i="697"/>
  <c r="BA13" i="697"/>
  <c r="BA19" i="697"/>
  <c r="H19" i="62"/>
  <c r="AA18" i="697"/>
  <c r="AA12" i="697"/>
  <c r="AA13" i="697"/>
  <c r="BB19" i="697"/>
  <c r="BB17" i="697"/>
  <c r="H19" i="494"/>
  <c r="V6" i="494" s="1"/>
  <c r="Q6" i="494" s="1"/>
  <c r="V7" i="494"/>
  <c r="V8" i="494"/>
  <c r="Z13" i="697"/>
  <c r="Z14" i="697"/>
  <c r="Z17" i="697"/>
  <c r="Z21" i="697"/>
  <c r="Z15" i="697"/>
  <c r="Z19" i="697"/>
  <c r="Z18" i="697"/>
  <c r="Z12" i="697"/>
  <c r="Z16" i="697"/>
  <c r="Z20" i="697"/>
  <c r="F19" i="489"/>
  <c r="I6" i="489" s="1"/>
  <c r="I7" i="489" s="1"/>
  <c r="I8" i="489" s="1"/>
  <c r="I7" i="581"/>
  <c r="AA14" i="697"/>
  <c r="AA20" i="697"/>
  <c r="AA15" i="697"/>
  <c r="BB14" i="697"/>
  <c r="BB13" i="697"/>
  <c r="S4" i="725" l="1"/>
  <c r="S5" i="725"/>
  <c r="Y15" i="746"/>
  <c r="X16" i="746"/>
  <c r="X17" i="746"/>
  <c r="Y16" i="649"/>
  <c r="T16" i="649"/>
  <c r="W16" i="649"/>
  <c r="V16" i="649"/>
  <c r="S17" i="649"/>
  <c r="X16" i="649"/>
  <c r="U16" i="649"/>
  <c r="G52" i="64"/>
  <c r="I51" i="64"/>
  <c r="Z17" i="631"/>
  <c r="AB16" i="631"/>
  <c r="Y17" i="747"/>
  <c r="Y16" i="747"/>
  <c r="AO5" i="753"/>
  <c r="AO7" i="753" s="1"/>
  <c r="X17" i="742"/>
  <c r="X16" i="742"/>
  <c r="Y15" i="742"/>
  <c r="R13" i="697"/>
  <c r="S12" i="697"/>
  <c r="Y15" i="748"/>
  <c r="X16" i="748"/>
  <c r="X17" i="748"/>
  <c r="AR18" i="627"/>
  <c r="AT17" i="627"/>
  <c r="BF14" i="627"/>
  <c r="BH13" i="627"/>
  <c r="F15" i="631"/>
  <c r="H14" i="631"/>
  <c r="P13" i="649"/>
  <c r="O13" i="649"/>
  <c r="B13" i="649"/>
  <c r="E13" i="649"/>
  <c r="N13" i="649"/>
  <c r="A14" i="649"/>
  <c r="G13" i="649"/>
  <c r="Q13" i="649"/>
  <c r="C13" i="649"/>
  <c r="L13" i="649"/>
  <c r="M13" i="649"/>
  <c r="D13" i="649"/>
  <c r="F13" i="649"/>
  <c r="G47" i="649"/>
  <c r="E47" i="649"/>
  <c r="D47" i="649"/>
  <c r="C47" i="649"/>
  <c r="F47" i="649"/>
  <c r="B47" i="649"/>
  <c r="A48" i="649"/>
  <c r="AT5" i="697"/>
  <c r="AT13" i="697"/>
  <c r="AT4" i="697"/>
  <c r="AW5" i="697" s="1"/>
  <c r="AT7" i="697"/>
  <c r="AT6" i="697"/>
  <c r="AT8" i="697"/>
  <c r="AT9" i="697"/>
  <c r="AT10" i="697"/>
  <c r="AT11" i="697"/>
  <c r="AP22" i="740"/>
  <c r="AR21" i="740"/>
  <c r="O76" i="728"/>
  <c r="O60" i="728"/>
  <c r="A14" i="728"/>
  <c r="O92" i="728"/>
  <c r="T18" i="631"/>
  <c r="V17" i="631"/>
  <c r="X17" i="743"/>
  <c r="Y15" i="743"/>
  <c r="X16" i="743"/>
  <c r="AC7" i="745"/>
  <c r="AC8" i="745"/>
  <c r="L7" i="494"/>
  <c r="L8" i="494" s="1"/>
  <c r="M6" i="734"/>
  <c r="Q7" i="494"/>
  <c r="AB5" i="740"/>
  <c r="AB7" i="740"/>
  <c r="I9" i="581"/>
  <c r="I10" i="581" s="1"/>
  <c r="I12" i="581" s="1"/>
  <c r="M8" i="62"/>
  <c r="AD14" i="740"/>
  <c r="AB8" i="740" s="1"/>
  <c r="AE7" i="740"/>
  <c r="AE5" i="740"/>
  <c r="AE6" i="740" s="1"/>
  <c r="I17" i="489"/>
  <c r="I18" i="489"/>
  <c r="I12" i="489"/>
  <c r="I14" i="489" s="1"/>
  <c r="I15" i="489" s="1"/>
  <c r="Q8" i="494"/>
  <c r="M9" i="734"/>
  <c r="M12" i="734" s="1"/>
  <c r="AE13" i="740" l="1"/>
  <c r="AF13" i="740" s="1"/>
  <c r="AG13" i="740" s="1"/>
  <c r="Y16" i="748"/>
  <c r="Y17" i="748"/>
  <c r="Y16" i="743"/>
  <c r="Y17" i="743"/>
  <c r="F16" i="631"/>
  <c r="H15" i="631"/>
  <c r="A15" i="728"/>
  <c r="O61" i="728"/>
  <c r="O93" i="728"/>
  <c r="O77" i="728"/>
  <c r="AR22" i="740"/>
  <c r="AP23" i="740"/>
  <c r="D14" i="649"/>
  <c r="C14" i="649"/>
  <c r="A15" i="649"/>
  <c r="G14" i="649"/>
  <c r="B14" i="649"/>
  <c r="P14" i="649"/>
  <c r="N14" i="649"/>
  <c r="L14" i="649"/>
  <c r="O14" i="649"/>
  <c r="Q14" i="649"/>
  <c r="M14" i="649"/>
  <c r="F14" i="649"/>
  <c r="E14" i="649"/>
  <c r="S4" i="697"/>
  <c r="V5" i="697" s="1"/>
  <c r="S13" i="697"/>
  <c r="S5" i="697"/>
  <c r="S6" i="697"/>
  <c r="S7" i="697"/>
  <c r="S8" i="697"/>
  <c r="S9" i="697"/>
  <c r="S10" i="697"/>
  <c r="S11" i="697"/>
  <c r="Z18" i="631"/>
  <c r="AB17" i="631"/>
  <c r="Y17" i="649"/>
  <c r="U17" i="649"/>
  <c r="V17" i="649"/>
  <c r="X17" i="649"/>
  <c r="W17" i="649"/>
  <c r="S18" i="649"/>
  <c r="T17" i="649"/>
  <c r="BF15" i="627"/>
  <c r="BH14" i="627"/>
  <c r="Y17" i="742"/>
  <c r="Y16" i="742"/>
  <c r="V18" i="631"/>
  <c r="T19" i="631"/>
  <c r="B48" i="649"/>
  <c r="E48" i="649"/>
  <c r="G48" i="649"/>
  <c r="C48" i="649"/>
  <c r="A49" i="649"/>
  <c r="D48" i="649"/>
  <c r="F48" i="649"/>
  <c r="G53" i="64"/>
  <c r="I52" i="64"/>
  <c r="AR19" i="627"/>
  <c r="AT18" i="627"/>
  <c r="AO11" i="753"/>
  <c r="AO12" i="753"/>
  <c r="Y16" i="746"/>
  <c r="Y17" i="746"/>
  <c r="Q9" i="494"/>
  <c r="L9" i="494" s="1"/>
  <c r="L12" i="494" s="1"/>
  <c r="L14" i="494" s="1"/>
  <c r="L15" i="494" s="1"/>
  <c r="M16" i="734"/>
  <c r="M15" i="734"/>
  <c r="M18" i="62"/>
  <c r="M17" i="62"/>
  <c r="M12" i="62"/>
  <c r="M14" i="62" s="1"/>
  <c r="M15" i="62" s="1"/>
  <c r="Q15" i="649" l="1"/>
  <c r="D15" i="649"/>
  <c r="P15" i="649"/>
  <c r="B15" i="649"/>
  <c r="L15" i="649"/>
  <c r="M15" i="649"/>
  <c r="N15" i="649"/>
  <c r="G15" i="649"/>
  <c r="C15" i="649"/>
  <c r="E15" i="649"/>
  <c r="F15" i="649"/>
  <c r="A16" i="649"/>
  <c r="O15" i="649"/>
  <c r="O94" i="728"/>
  <c r="O78" i="728"/>
  <c r="O62" i="728"/>
  <c r="F17" i="631"/>
  <c r="H16" i="631"/>
  <c r="BF16" i="627"/>
  <c r="BH15" i="627"/>
  <c r="AP24" i="740"/>
  <c r="AR23" i="740"/>
  <c r="G54" i="64"/>
  <c r="I53" i="64"/>
  <c r="V19" i="631"/>
  <c r="T20" i="631"/>
  <c r="Z19" i="631"/>
  <c r="AB18" i="631"/>
  <c r="C49" i="649"/>
  <c r="F49" i="649"/>
  <c r="A50" i="649"/>
  <c r="D49" i="649"/>
  <c r="B49" i="649"/>
  <c r="E49" i="649"/>
  <c r="G49" i="649"/>
  <c r="AR20" i="627"/>
  <c r="AT19" i="627"/>
  <c r="U18" i="649"/>
  <c r="W18" i="649"/>
  <c r="X18" i="649"/>
  <c r="T18" i="649"/>
  <c r="S19" i="649"/>
  <c r="V18" i="649"/>
  <c r="Y18" i="649"/>
  <c r="L18" i="494"/>
  <c r="L17" i="494"/>
  <c r="F50" i="649" l="1"/>
  <c r="D50" i="649"/>
  <c r="G50" i="649"/>
  <c r="B50" i="649"/>
  <c r="E50" i="649"/>
  <c r="A51" i="649"/>
  <c r="C50" i="649"/>
  <c r="G55" i="64"/>
  <c r="I54" i="64"/>
  <c r="H17" i="631"/>
  <c r="F18" i="631"/>
  <c r="AR24" i="740"/>
  <c r="AP25" i="740"/>
  <c r="AR21" i="627"/>
  <c r="AT20" i="627"/>
  <c r="Q16" i="649"/>
  <c r="E16" i="649"/>
  <c r="M16" i="649"/>
  <c r="G16" i="649"/>
  <c r="D16" i="649"/>
  <c r="N16" i="649"/>
  <c r="F16" i="649"/>
  <c r="B16" i="649"/>
  <c r="O16" i="649"/>
  <c r="C16" i="649"/>
  <c r="P16" i="649"/>
  <c r="L16" i="649"/>
  <c r="A17" i="649"/>
  <c r="Z20" i="631"/>
  <c r="AB19" i="631"/>
  <c r="BF17" i="627"/>
  <c r="BH16" i="627"/>
  <c r="T21" i="631"/>
  <c r="V20" i="631"/>
  <c r="T19" i="649"/>
  <c r="V19" i="649"/>
  <c r="U19" i="649"/>
  <c r="S20" i="649"/>
  <c r="W19" i="649"/>
  <c r="Y19" i="649"/>
  <c r="X19" i="649"/>
  <c r="G56" i="64" l="1"/>
  <c r="I55" i="64"/>
  <c r="BF18" i="627"/>
  <c r="BH17" i="627"/>
  <c r="Y20" i="649"/>
  <c r="T20" i="649"/>
  <c r="U20" i="649"/>
  <c r="V20" i="649"/>
  <c r="S21" i="649"/>
  <c r="X20" i="649"/>
  <c r="W20" i="649"/>
  <c r="AR22" i="627"/>
  <c r="AT21" i="627"/>
  <c r="B51" i="649"/>
  <c r="E51" i="649"/>
  <c r="G51" i="649"/>
  <c r="C51" i="649"/>
  <c r="F51" i="649"/>
  <c r="A52" i="649"/>
  <c r="D51" i="649"/>
  <c r="T22" i="631"/>
  <c r="V21" i="631"/>
  <c r="Z21" i="631"/>
  <c r="AB20" i="631"/>
  <c r="AP26" i="740"/>
  <c r="AR25" i="740"/>
  <c r="P17" i="649"/>
  <c r="F17" i="649"/>
  <c r="L17" i="649"/>
  <c r="D17" i="649"/>
  <c r="C17" i="649"/>
  <c r="A18" i="649"/>
  <c r="O17" i="649"/>
  <c r="B17" i="649"/>
  <c r="M17" i="649"/>
  <c r="E17" i="649"/>
  <c r="N17" i="649"/>
  <c r="G17" i="649"/>
  <c r="Q17" i="649"/>
  <c r="H18" i="631"/>
  <c r="F19" i="631"/>
  <c r="Z22" i="631" l="1"/>
  <c r="AB21" i="631"/>
  <c r="T23" i="631"/>
  <c r="V22" i="631"/>
  <c r="AR23" i="627"/>
  <c r="AT22" i="627"/>
  <c r="D52" i="649"/>
  <c r="G52" i="649"/>
  <c r="E52" i="649"/>
  <c r="A53" i="649"/>
  <c r="C52" i="649"/>
  <c r="F52" i="649"/>
  <c r="B52" i="649"/>
  <c r="BF19" i="627"/>
  <c r="BH18" i="627"/>
  <c r="F18" i="649"/>
  <c r="B18" i="649"/>
  <c r="A19" i="649"/>
  <c r="P18" i="649"/>
  <c r="Q18" i="649"/>
  <c r="C18" i="649"/>
  <c r="O18" i="649"/>
  <c r="D18" i="649"/>
  <c r="M18" i="649"/>
  <c r="L18" i="649"/>
  <c r="E18" i="649"/>
  <c r="G18" i="649"/>
  <c r="N18" i="649"/>
  <c r="F20" i="631"/>
  <c r="H19" i="631"/>
  <c r="AP27" i="740"/>
  <c r="AR26" i="740"/>
  <c r="T21" i="649"/>
  <c r="X21" i="649"/>
  <c r="U21" i="649"/>
  <c r="W21" i="649"/>
  <c r="S22" i="649"/>
  <c r="Y21" i="649"/>
  <c r="V21" i="649"/>
  <c r="G57" i="64"/>
  <c r="I57" i="64" s="1"/>
  <c r="I56" i="64"/>
  <c r="AP28" i="740" l="1"/>
  <c r="AR27" i="740"/>
  <c r="BH19" i="627"/>
  <c r="BF20" i="627"/>
  <c r="S23" i="649"/>
  <c r="X22" i="649"/>
  <c r="U22" i="649"/>
  <c r="W22" i="649"/>
  <c r="T22" i="649"/>
  <c r="V22" i="649"/>
  <c r="Y22" i="649"/>
  <c r="F21" i="631"/>
  <c r="H20" i="631"/>
  <c r="AR24" i="627"/>
  <c r="AT23" i="627"/>
  <c r="T24" i="631"/>
  <c r="V23" i="631"/>
  <c r="C19" i="649"/>
  <c r="B19" i="649"/>
  <c r="P19" i="649"/>
  <c r="A20" i="649"/>
  <c r="D19" i="649"/>
  <c r="N19" i="649"/>
  <c r="F19" i="649"/>
  <c r="L19" i="649"/>
  <c r="E19" i="649"/>
  <c r="O19" i="649"/>
  <c r="Q19" i="649"/>
  <c r="M19" i="649"/>
  <c r="G19" i="649"/>
  <c r="F53" i="649"/>
  <c r="B53" i="649"/>
  <c r="D53" i="649"/>
  <c r="G53" i="649"/>
  <c r="E53" i="649"/>
  <c r="A54" i="649"/>
  <c r="C53" i="649"/>
  <c r="Z23" i="631"/>
  <c r="AB22" i="631"/>
  <c r="Z24" i="631" l="1"/>
  <c r="AB23" i="631"/>
  <c r="AT24" i="627"/>
  <c r="AR25" i="627"/>
  <c r="D20" i="649"/>
  <c r="G20" i="649"/>
  <c r="F20" i="649"/>
  <c r="C20" i="649"/>
  <c r="B20" i="649"/>
  <c r="N20" i="649"/>
  <c r="A21" i="649"/>
  <c r="Q20" i="649"/>
  <c r="M20" i="649"/>
  <c r="O20" i="649"/>
  <c r="E20" i="649"/>
  <c r="L20" i="649"/>
  <c r="P20" i="649"/>
  <c r="S24" i="649"/>
  <c r="X23" i="649"/>
  <c r="T23" i="649"/>
  <c r="U23" i="649"/>
  <c r="Y23" i="649"/>
  <c r="V23" i="649"/>
  <c r="W23" i="649"/>
  <c r="T25" i="631"/>
  <c r="V24" i="631"/>
  <c r="G54" i="649"/>
  <c r="A55" i="649"/>
  <c r="D54" i="649"/>
  <c r="F54" i="649"/>
  <c r="B54" i="649"/>
  <c r="E54" i="649"/>
  <c r="C54" i="649"/>
  <c r="F22" i="631"/>
  <c r="H21" i="631"/>
  <c r="BF21" i="627"/>
  <c r="BH20" i="627"/>
  <c r="AP29" i="740"/>
  <c r="AR29" i="740" s="1"/>
  <c r="AR28" i="740"/>
  <c r="BH21" i="627" l="1"/>
  <c r="BF22" i="627"/>
  <c r="G55" i="649"/>
  <c r="C55" i="649"/>
  <c r="A56" i="649"/>
  <c r="D55" i="649"/>
  <c r="F55" i="649"/>
  <c r="B55" i="649"/>
  <c r="E55" i="649"/>
  <c r="AR26" i="627"/>
  <c r="AT25" i="627"/>
  <c r="E21" i="649"/>
  <c r="D21" i="649"/>
  <c r="N21" i="649"/>
  <c r="A22" i="649"/>
  <c r="B21" i="649"/>
  <c r="P21" i="649"/>
  <c r="F21" i="649"/>
  <c r="O21" i="649"/>
  <c r="L21" i="649"/>
  <c r="G21" i="649"/>
  <c r="C21" i="649"/>
  <c r="M21" i="649"/>
  <c r="Q21" i="649"/>
  <c r="F23" i="631"/>
  <c r="H22" i="631"/>
  <c r="W24" i="649"/>
  <c r="T24" i="649"/>
  <c r="X24" i="649"/>
  <c r="U24" i="649"/>
  <c r="V24" i="649"/>
  <c r="S25" i="649"/>
  <c r="Y24" i="649"/>
  <c r="T26" i="631"/>
  <c r="V25" i="631"/>
  <c r="AB24" i="631"/>
  <c r="Z25" i="631"/>
  <c r="D22" i="649" l="1"/>
  <c r="G22" i="649"/>
  <c r="A23" i="649"/>
  <c r="L22" i="649"/>
  <c r="B22" i="649"/>
  <c r="P22" i="649"/>
  <c r="Q22" i="649"/>
  <c r="M22" i="649"/>
  <c r="F22" i="649"/>
  <c r="E22" i="649"/>
  <c r="C22" i="649"/>
  <c r="N22" i="649"/>
  <c r="O22" i="649"/>
  <c r="Z26" i="631"/>
  <c r="AB25" i="631"/>
  <c r="B56" i="649"/>
  <c r="E56" i="649"/>
  <c r="G56" i="649"/>
  <c r="C56" i="649"/>
  <c r="A57" i="649"/>
  <c r="D56" i="649"/>
  <c r="F56" i="649"/>
  <c r="Y25" i="649"/>
  <c r="V25" i="649"/>
  <c r="W25" i="649"/>
  <c r="U25" i="649"/>
  <c r="S26" i="649"/>
  <c r="X25" i="649"/>
  <c r="T25" i="649"/>
  <c r="T27" i="631"/>
  <c r="V26" i="631"/>
  <c r="AR27" i="627"/>
  <c r="AT26" i="627"/>
  <c r="BF23" i="627"/>
  <c r="BH22" i="627"/>
  <c r="F24" i="631"/>
  <c r="H23" i="631"/>
  <c r="AR28" i="627" l="1"/>
  <c r="AT27" i="627"/>
  <c r="T28" i="631"/>
  <c r="V27" i="631"/>
  <c r="Z27" i="631"/>
  <c r="AB26" i="631"/>
  <c r="BF24" i="627"/>
  <c r="BH23" i="627"/>
  <c r="E57" i="649"/>
  <c r="F57" i="649"/>
  <c r="B57" i="649"/>
  <c r="C57" i="649"/>
  <c r="D57" i="649"/>
  <c r="G57" i="649"/>
  <c r="F25" i="631"/>
  <c r="H24" i="631"/>
  <c r="X26" i="649"/>
  <c r="T26" i="649"/>
  <c r="U26" i="649"/>
  <c r="S27" i="649"/>
  <c r="Y26" i="649"/>
  <c r="V26" i="649"/>
  <c r="W26" i="649"/>
  <c r="C23" i="649"/>
  <c r="P23" i="649"/>
  <c r="Q23" i="649"/>
  <c r="E23" i="649"/>
  <c r="O23" i="649"/>
  <c r="N23" i="649"/>
  <c r="F23" i="649"/>
  <c r="A24" i="649"/>
  <c r="M23" i="649"/>
  <c r="B23" i="649"/>
  <c r="G23" i="649"/>
  <c r="L23" i="649"/>
  <c r="D23" i="649"/>
  <c r="B24" i="649" l="1"/>
  <c r="C24" i="649"/>
  <c r="L24" i="649"/>
  <c r="Q24" i="649"/>
  <c r="N24" i="649"/>
  <c r="M24" i="649"/>
  <c r="E24" i="649"/>
  <c r="A25" i="649"/>
  <c r="F24" i="649"/>
  <c r="D24" i="649"/>
  <c r="O24" i="649"/>
  <c r="G24" i="649"/>
  <c r="P24" i="649"/>
  <c r="H25" i="631"/>
  <c r="F26" i="631"/>
  <c r="BH24" i="627"/>
  <c r="BF25" i="627"/>
  <c r="Z28" i="631"/>
  <c r="AB27" i="631"/>
  <c r="Y27" i="649"/>
  <c r="T27" i="649"/>
  <c r="W27" i="649"/>
  <c r="V27" i="649"/>
  <c r="X27" i="649"/>
  <c r="U27" i="649"/>
  <c r="T29" i="631"/>
  <c r="V28" i="631"/>
  <c r="AR29" i="627"/>
  <c r="AT28" i="627"/>
  <c r="P25" i="649" l="1"/>
  <c r="A26" i="649"/>
  <c r="L25" i="649"/>
  <c r="N25" i="649"/>
  <c r="O25" i="649"/>
  <c r="G25" i="649"/>
  <c r="D25" i="649"/>
  <c r="B25" i="649"/>
  <c r="F25" i="649"/>
  <c r="Q25" i="649"/>
  <c r="C25" i="649"/>
  <c r="E25" i="649"/>
  <c r="M25" i="649"/>
  <c r="F27" i="631"/>
  <c r="H26" i="631"/>
  <c r="BF26" i="627"/>
  <c r="BH25" i="627"/>
  <c r="AR30" i="627"/>
  <c r="AT29" i="627"/>
  <c r="T30" i="631"/>
  <c r="V29" i="631"/>
  <c r="Z29" i="631"/>
  <c r="AB28" i="631"/>
  <c r="T31" i="631" l="1"/>
  <c r="V30" i="631"/>
  <c r="AR31" i="627"/>
  <c r="AT31" i="627" s="1"/>
  <c r="AT30" i="627"/>
  <c r="BF27" i="627"/>
  <c r="BH26" i="627"/>
  <c r="Z30" i="631"/>
  <c r="AB29" i="631"/>
  <c r="F28" i="631"/>
  <c r="H27" i="631"/>
  <c r="O26" i="649"/>
  <c r="N26" i="649"/>
  <c r="D26" i="649"/>
  <c r="L26" i="649"/>
  <c r="G26" i="649"/>
  <c r="B26" i="649"/>
  <c r="P26" i="649"/>
  <c r="A27" i="649"/>
  <c r="F26" i="649"/>
  <c r="Q26" i="649"/>
  <c r="C26" i="649"/>
  <c r="M26" i="649"/>
  <c r="E26" i="649"/>
  <c r="Z31" i="631" l="1"/>
  <c r="AB30" i="631"/>
  <c r="BF28" i="627"/>
  <c r="BH27" i="627"/>
  <c r="M27" i="649"/>
  <c r="Q27" i="649"/>
  <c r="E27" i="649"/>
  <c r="D27" i="649"/>
  <c r="N27" i="649"/>
  <c r="O27" i="649"/>
  <c r="G27" i="649"/>
  <c r="L27" i="649"/>
  <c r="A28" i="649"/>
  <c r="F27" i="649"/>
  <c r="C27" i="649"/>
  <c r="P27" i="649"/>
  <c r="B27" i="649"/>
  <c r="H28" i="631"/>
  <c r="F29" i="631"/>
  <c r="T32" i="631"/>
  <c r="V31" i="631"/>
  <c r="N28" i="649" l="1"/>
  <c r="D28" i="649"/>
  <c r="E28" i="649"/>
  <c r="F28" i="649"/>
  <c r="A29" i="649"/>
  <c r="P28" i="649"/>
  <c r="C28" i="649"/>
  <c r="O28" i="649"/>
  <c r="L28" i="649"/>
  <c r="G28" i="649"/>
  <c r="Q28" i="649"/>
  <c r="M28" i="649"/>
  <c r="B28" i="649"/>
  <c r="V32" i="631"/>
  <c r="T33" i="631"/>
  <c r="H29" i="631"/>
  <c r="F30" i="631"/>
  <c r="BF29" i="627"/>
  <c r="BH28" i="627"/>
  <c r="Z32" i="631"/>
  <c r="AB31" i="631"/>
  <c r="BF30" i="627" l="1"/>
  <c r="BH29" i="627"/>
  <c r="F31" i="631"/>
  <c r="H30" i="631"/>
  <c r="T34" i="631"/>
  <c r="V33" i="631"/>
  <c r="AB32" i="631"/>
  <c r="Z33" i="631"/>
  <c r="Q29" i="649"/>
  <c r="G29" i="649"/>
  <c r="M29" i="649"/>
  <c r="D29" i="649"/>
  <c r="P29" i="649"/>
  <c r="A30" i="649"/>
  <c r="F29" i="649"/>
  <c r="B29" i="649"/>
  <c r="N29" i="649"/>
  <c r="E29" i="649"/>
  <c r="C29" i="649"/>
  <c r="O29" i="649"/>
  <c r="L29" i="649"/>
  <c r="Z34" i="631" l="1"/>
  <c r="AB33" i="631"/>
  <c r="BF31" i="627"/>
  <c r="BH30" i="627"/>
  <c r="Q30" i="649"/>
  <c r="L30" i="649"/>
  <c r="M30" i="649"/>
  <c r="E30" i="649"/>
  <c r="B30" i="649"/>
  <c r="A31" i="649"/>
  <c r="P30" i="649"/>
  <c r="C30" i="649"/>
  <c r="F30" i="649"/>
  <c r="O30" i="649"/>
  <c r="G30" i="649"/>
  <c r="D30" i="649"/>
  <c r="N30" i="649"/>
  <c r="T35" i="631"/>
  <c r="V34" i="631"/>
  <c r="F32" i="631"/>
  <c r="H31" i="631"/>
  <c r="BH31" i="627" l="1"/>
  <c r="BF32" i="627"/>
  <c r="F33" i="631"/>
  <c r="H32" i="631"/>
  <c r="V35" i="631"/>
  <c r="T36" i="631"/>
  <c r="Q31" i="649"/>
  <c r="D31" i="649"/>
  <c r="M31" i="649"/>
  <c r="O31" i="649"/>
  <c r="B31" i="649"/>
  <c r="P31" i="649"/>
  <c r="N31" i="649"/>
  <c r="G31" i="649"/>
  <c r="E31" i="649"/>
  <c r="L31" i="649"/>
  <c r="A32" i="649"/>
  <c r="C31" i="649"/>
  <c r="F31" i="649"/>
  <c r="AB34" i="631"/>
  <c r="Z35" i="631"/>
  <c r="T37" i="631" l="1"/>
  <c r="V36" i="631"/>
  <c r="C32" i="649"/>
  <c r="L32" i="649"/>
  <c r="Q32" i="649"/>
  <c r="F32" i="649"/>
  <c r="O32" i="649"/>
  <c r="B32" i="649"/>
  <c r="M32" i="649"/>
  <c r="E32" i="649"/>
  <c r="D32" i="649"/>
  <c r="N32" i="649"/>
  <c r="G32" i="649"/>
  <c r="A33" i="649"/>
  <c r="P32" i="649"/>
  <c r="Z36" i="631"/>
  <c r="AB35" i="631"/>
  <c r="F34" i="631"/>
  <c r="H33" i="631"/>
  <c r="BH32" i="627"/>
  <c r="BF33" i="627"/>
  <c r="Z37" i="631" l="1"/>
  <c r="AB36" i="631"/>
  <c r="Q33" i="649"/>
  <c r="M33" i="649"/>
  <c r="O33" i="649"/>
  <c r="B33" i="649"/>
  <c r="D33" i="649"/>
  <c r="P33" i="649"/>
  <c r="N33" i="649"/>
  <c r="F33" i="649"/>
  <c r="E33" i="649"/>
  <c r="L33" i="649"/>
  <c r="C33" i="649"/>
  <c r="G33" i="649"/>
  <c r="F35" i="631"/>
  <c r="H34" i="631"/>
  <c r="BF34" i="627"/>
  <c r="BH33" i="627"/>
  <c r="T38" i="631"/>
  <c r="V37" i="631"/>
  <c r="F36" i="631" l="1"/>
  <c r="H35" i="631"/>
  <c r="V38" i="631"/>
  <c r="T39" i="631"/>
  <c r="BH34" i="627"/>
  <c r="BF35" i="627"/>
  <c r="AB37" i="631"/>
  <c r="Z38" i="631"/>
  <c r="Z39" i="631" l="1"/>
  <c r="AB38" i="631"/>
  <c r="BF36" i="627"/>
  <c r="BH35" i="627"/>
  <c r="V39" i="631"/>
  <c r="T40" i="631"/>
  <c r="F37" i="631"/>
  <c r="H36" i="631"/>
  <c r="V40" i="631" l="1"/>
  <c r="T41" i="631"/>
  <c r="BF37" i="627"/>
  <c r="BH36" i="627"/>
  <c r="Z40" i="631"/>
  <c r="AB39" i="631"/>
  <c r="F38" i="631"/>
  <c r="H37" i="631"/>
  <c r="H38" i="631" l="1"/>
  <c r="F39" i="631"/>
  <c r="Z41" i="631"/>
  <c r="AB40" i="631"/>
  <c r="BH37" i="627"/>
  <c r="BF38" i="627"/>
  <c r="V41" i="631"/>
  <c r="T42" i="631"/>
  <c r="H39" i="631" l="1"/>
  <c r="F40" i="631"/>
  <c r="BF39" i="627"/>
  <c r="BH38" i="627"/>
  <c r="Z42" i="631"/>
  <c r="AB41" i="631"/>
  <c r="V42" i="631"/>
  <c r="T43" i="631"/>
  <c r="BH39" i="627" l="1"/>
  <c r="BF40" i="627"/>
  <c r="V43" i="631"/>
  <c r="T44" i="631"/>
  <c r="H40" i="631"/>
  <c r="F41" i="631"/>
  <c r="Z43" i="631"/>
  <c r="AB42" i="631"/>
  <c r="Z44" i="631" l="1"/>
  <c r="AB43" i="631"/>
  <c r="H41" i="631"/>
  <c r="F42" i="631"/>
  <c r="BF41" i="627"/>
  <c r="BH40" i="627"/>
  <c r="V44" i="631"/>
  <c r="T45" i="631"/>
  <c r="Z45" i="631" l="1"/>
  <c r="AB44" i="631"/>
  <c r="T46" i="631"/>
  <c r="V45" i="631"/>
  <c r="H42" i="631"/>
  <c r="F43" i="631"/>
  <c r="BH41" i="627"/>
  <c r="BF42" i="627"/>
  <c r="H43" i="631" l="1"/>
  <c r="F44" i="631"/>
  <c r="BF43" i="627"/>
  <c r="BH42" i="627"/>
  <c r="T47" i="631"/>
  <c r="V46" i="631"/>
  <c r="Z46" i="631"/>
  <c r="AB45" i="631"/>
  <c r="V47" i="631" l="1"/>
  <c r="T48" i="631"/>
  <c r="BH43" i="627"/>
  <c r="BF44" i="627"/>
  <c r="H44" i="631"/>
  <c r="F45" i="631"/>
  <c r="AB46" i="631"/>
  <c r="Z47" i="631"/>
  <c r="AB47" i="631" s="1"/>
  <c r="BF45" i="627" l="1"/>
  <c r="BH44" i="627"/>
  <c r="V48" i="631"/>
  <c r="T49" i="631"/>
  <c r="H45" i="631"/>
  <c r="F46" i="631"/>
  <c r="F47" i="631" l="1"/>
  <c r="H46" i="631"/>
  <c r="V49" i="631"/>
  <c r="T50" i="631"/>
  <c r="BH45" i="627"/>
  <c r="BF46" i="627"/>
  <c r="BH46" i="627" s="1"/>
  <c r="F48" i="631" l="1"/>
  <c r="H47" i="631"/>
  <c r="T51" i="631"/>
  <c r="V50" i="631"/>
  <c r="T52" i="631" l="1"/>
  <c r="V51" i="631"/>
  <c r="F49" i="631"/>
  <c r="H48" i="631"/>
  <c r="H49" i="631" l="1"/>
  <c r="F50" i="631"/>
  <c r="T53" i="631"/>
  <c r="V52" i="631"/>
  <c r="T54" i="631" l="1"/>
  <c r="V53" i="631"/>
  <c r="H50" i="631"/>
  <c r="F51" i="631"/>
  <c r="H51" i="631" s="1"/>
  <c r="T55" i="631" l="1"/>
  <c r="V54" i="631"/>
  <c r="T56" i="631" l="1"/>
  <c r="V55" i="631"/>
  <c r="T57" i="631" l="1"/>
  <c r="V56" i="631"/>
  <c r="V57" i="631" l="1"/>
  <c r="T58" i="631"/>
  <c r="T59" i="631" l="1"/>
  <c r="V58" i="631"/>
  <c r="T60" i="631" l="1"/>
  <c r="V59" i="631"/>
  <c r="T61" i="631" l="1"/>
  <c r="V60" i="631"/>
  <c r="T62" i="631" l="1"/>
  <c r="V61" i="631"/>
  <c r="T63" i="631" l="1"/>
  <c r="V62" i="631"/>
  <c r="T64" i="631" l="1"/>
  <c r="V63" i="631"/>
  <c r="T65" i="631" l="1"/>
  <c r="V64" i="631"/>
  <c r="T66" i="631" l="1"/>
  <c r="V65" i="631"/>
  <c r="T67" i="631" l="1"/>
  <c r="V66" i="631"/>
  <c r="T68" i="631" l="1"/>
  <c r="V67" i="631"/>
  <c r="T69" i="631" l="1"/>
  <c r="V68" i="631"/>
  <c r="T70" i="631" l="1"/>
  <c r="V69" i="631"/>
  <c r="T71" i="631" l="1"/>
  <c r="V70" i="631"/>
  <c r="T72" i="631" l="1"/>
  <c r="V71" i="631"/>
  <c r="T73" i="631" l="1"/>
  <c r="V72" i="631"/>
  <c r="T74" i="631" l="1"/>
  <c r="V73" i="631"/>
  <c r="T75" i="631" l="1"/>
  <c r="V74" i="631"/>
  <c r="T76" i="631" l="1"/>
  <c r="V75" i="631"/>
  <c r="T77" i="631" l="1"/>
  <c r="V76" i="631"/>
  <c r="T78" i="631" l="1"/>
  <c r="V77" i="631"/>
  <c r="T79" i="631" l="1"/>
  <c r="V78" i="631"/>
  <c r="T80" i="631" l="1"/>
  <c r="V79" i="631"/>
  <c r="T81" i="631" l="1"/>
  <c r="V80" i="631"/>
  <c r="T82" i="631" l="1"/>
  <c r="V81" i="631"/>
  <c r="T83" i="631" l="1"/>
  <c r="V82" i="631"/>
  <c r="T84" i="631" l="1"/>
  <c r="V83" i="631"/>
  <c r="T85" i="631" l="1"/>
  <c r="V84" i="631"/>
  <c r="T86" i="631" l="1"/>
  <c r="V85" i="631"/>
  <c r="T87" i="631" l="1"/>
  <c r="V87" i="631" s="1"/>
  <c r="V86" i="63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<sst xmlns="http://schemas.openxmlformats.org/spreadsheetml/2006/main" count="3777" uniqueCount="1014">
  <si>
    <t>Table of Contents</t>
  </si>
  <si>
    <t>Total</t>
  </si>
  <si>
    <t>Income</t>
  </si>
  <si>
    <t>x</t>
  </si>
  <si>
    <t>Geometric Mean</t>
  </si>
  <si>
    <t>mean</t>
  </si>
  <si>
    <t>var</t>
  </si>
  <si>
    <t>stdev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</si>
  <si>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</si>
  <si>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</si>
  <si>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</si>
  <si>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</si>
  <si>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</si>
  <si>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</si>
  <si>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</si>
  <si>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</si>
  <si>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</si>
  <si>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</si>
  <si>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</si>
  <si>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</si>
  <si>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</si>
  <si>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Harmonic Mean</t>
  </si>
  <si>
    <t>AAD</t>
  </si>
  <si>
    <t>MAD</t>
  </si>
  <si>
    <t>IQR</t>
  </si>
  <si>
    <t>Descriptive Statistics</t>
  </si>
  <si>
    <t>Sample 1</t>
  </si>
  <si>
    <t>Sample 2</t>
  </si>
  <si>
    <t>freq</t>
  </si>
  <si>
    <t>lower</t>
  </si>
  <si>
    <t>upper</t>
  </si>
  <si>
    <t>n</t>
  </si>
  <si>
    <t>Frequency</t>
  </si>
  <si>
    <t>Bin</t>
  </si>
  <si>
    <t>More</t>
  </si>
  <si>
    <t>Alpha</t>
  </si>
  <si>
    <t>z</t>
  </si>
  <si>
    <t>Score</t>
  </si>
  <si>
    <t>Cum</t>
  </si>
  <si>
    <t>a</t>
  </si>
  <si>
    <t>b</t>
  </si>
  <si>
    <t>c</t>
  </si>
  <si>
    <t>d</t>
  </si>
  <si>
    <t>value</t>
  </si>
  <si>
    <t>α</t>
  </si>
  <si>
    <t>Min</t>
  </si>
  <si>
    <t>Q1-Min</t>
  </si>
  <si>
    <t>Med-Q1</t>
  </si>
  <si>
    <t>Q3-Med</t>
  </si>
  <si>
    <t>Max-Q3</t>
  </si>
  <si>
    <t>Q1</t>
  </si>
  <si>
    <t>k</t>
  </si>
  <si>
    <t>Std Dev</t>
  </si>
  <si>
    <t>df</t>
  </si>
  <si>
    <t>t stat</t>
  </si>
  <si>
    <t>SUMMARY</t>
  </si>
  <si>
    <t>t</t>
  </si>
  <si>
    <t>Cohen d</t>
  </si>
  <si>
    <t xml:space="preserve"> </t>
  </si>
  <si>
    <t>p-value</t>
  </si>
  <si>
    <t>t-crit</t>
  </si>
  <si>
    <t>reject</t>
  </si>
  <si>
    <t>One Tail</t>
  </si>
  <si>
    <t>Two Tail</t>
  </si>
  <si>
    <t>Group 1</t>
  </si>
  <si>
    <t>QQ Tables</t>
  </si>
  <si>
    <t>Interval</t>
  </si>
  <si>
    <t>Data</t>
  </si>
  <si>
    <t>Std Data</t>
  </si>
  <si>
    <t>New</t>
  </si>
  <si>
    <t>Old</t>
  </si>
  <si>
    <t>T Test: Two Independent Samples</t>
  </si>
  <si>
    <t>Groups</t>
  </si>
  <si>
    <t>Variance</t>
  </si>
  <si>
    <t>Observations</t>
  </si>
  <si>
    <t>Pooled</t>
  </si>
  <si>
    <t>T TEST: Equal Variances</t>
  </si>
  <si>
    <t>t-stat</t>
  </si>
  <si>
    <t>--</t>
  </si>
  <si>
    <t>n1</t>
  </si>
  <si>
    <t>n2</t>
  </si>
  <si>
    <t>Spearman's Rho Significance Table</t>
  </si>
  <si>
    <r>
      <t xml:space="preserve">n \ </t>
    </r>
    <r>
      <rPr>
        <vertAlign val="superscript"/>
        <sz val="16"/>
        <color theme="1"/>
        <rFont val="Calibri"/>
        <family val="2"/>
      </rPr>
      <t>α</t>
    </r>
  </si>
  <si>
    <t>The table contains critical values for 2-tail tests. For 1-tail tests, divide α by 2.</t>
  </si>
  <si>
    <t>If the calculated Spearman's rho is greater than the critical value from the table, then reject the null hypothesis that there is no correlation</t>
  </si>
  <si>
    <t>Kendall's Tau Significance Table</t>
  </si>
  <si>
    <t>p</t>
  </si>
  <si>
    <t>Sample</t>
  </si>
  <si>
    <t>alpha</t>
  </si>
  <si>
    <t>chi-sq</t>
  </si>
  <si>
    <t>χ2</t>
  </si>
  <si>
    <t>Therapy 1</t>
  </si>
  <si>
    <t>Therapy 2</t>
  </si>
  <si>
    <t>Cured</t>
  </si>
  <si>
    <t>Not Cured</t>
  </si>
  <si>
    <t>r</t>
  </si>
  <si>
    <t>None</t>
  </si>
  <si>
    <t>Ratio</t>
  </si>
  <si>
    <t>B</t>
  </si>
  <si>
    <t>C</t>
  </si>
  <si>
    <t>D</t>
  </si>
  <si>
    <t>F</t>
  </si>
  <si>
    <t>Rows</t>
  </si>
  <si>
    <t xml:space="preserve">r </t>
  </si>
  <si>
    <r>
      <t>s</t>
    </r>
    <r>
      <rPr>
        <vertAlign val="subscript"/>
        <sz val="11"/>
        <color theme="1"/>
        <rFont val="Calibri"/>
        <family val="2"/>
        <scheme val="minor"/>
      </rPr>
      <t>r</t>
    </r>
  </si>
  <si>
    <t xml:space="preserve">t </t>
  </si>
  <si>
    <t xml:space="preserve">df </t>
  </si>
  <si>
    <t>y</t>
  </si>
  <si>
    <t>Correlation - Scatter Diagrams</t>
  </si>
  <si>
    <t>Correlation coeff</t>
  </si>
  <si>
    <t>Poverty</t>
  </si>
  <si>
    <t>Infant Mort</t>
  </si>
  <si>
    <t>White</t>
  </si>
  <si>
    <t>Crime</t>
  </si>
  <si>
    <t>Doctors</t>
  </si>
  <si>
    <t>Traf Deaths</t>
  </si>
  <si>
    <t>University</t>
  </si>
  <si>
    <t>Unemployed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</si>
  <si>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</si>
  <si>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</si>
  <si>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</si>
  <si>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</si>
  <si>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</si>
  <si>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</si>
  <si>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</si>
  <si>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</si>
  <si>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</si>
  <si>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</si>
  <si>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</si>
  <si>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</si>
  <si>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</si>
  <si>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</si>
  <si>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</si>
  <si>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</si>
  <si>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</si>
  <si>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</si>
  <si>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</si>
  <si>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</si>
  <si>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</si>
  <si>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</si>
  <si>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</si>
  <si>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</si>
  <si>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</si>
  <si>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</si>
  <si>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</si>
  <si>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</si>
  <si>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</si>
  <si>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</si>
  <si>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</si>
  <si>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</si>
  <si>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</si>
  <si>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</si>
  <si>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</si>
  <si>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</si>
  <si>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</si>
  <si>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</si>
  <si>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</si>
  <si>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</si>
  <si>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</si>
  <si>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</si>
  <si>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</si>
  <si>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</si>
  <si>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</si>
  <si>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</si>
  <si>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</si>
  <si>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</si>
  <si>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</si>
  <si>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</si>
  <si>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Poverty - % below poverty level</t>
  </si>
  <si>
    <t>Infant Mort - infant mortality per 1,000 births, death prior to 1 yr, excludes fetal death, residents only</t>
  </si>
  <si>
    <t>White - % of the population that is white</t>
  </si>
  <si>
    <t>Crime - violent crime (murder, forcible rape, robbery, and aggravated assault) per 100,000 people</t>
  </si>
  <si>
    <t>Doctors - # doctors per 100,000 residents, excludes some categories of doctors</t>
  </si>
  <si>
    <t>Traf Deaths - # of traffic fatalities per 100 million vehicle miles</t>
  </si>
  <si>
    <t>University - % of residents 25 yrs or older with at least a bachelor's degree</t>
  </si>
  <si>
    <t>Unemployment - % of civilian labor force</t>
  </si>
  <si>
    <t>Income - median household income</t>
  </si>
  <si>
    <t>State Rankings</t>
  </si>
  <si>
    <t>State</t>
  </si>
  <si>
    <t>ρ</t>
  </si>
  <si>
    <t>Hypothesis testing using Fisher transformation</t>
  </si>
  <si>
    <t>r'</t>
  </si>
  <si>
    <t>ρ'</t>
  </si>
  <si>
    <r>
      <t>s</t>
    </r>
    <r>
      <rPr>
        <vertAlign val="subscript"/>
        <sz val="11"/>
        <color theme="1"/>
        <rFont val="Calibri"/>
        <family val="2"/>
        <scheme val="minor"/>
      </rPr>
      <t>r'</t>
    </r>
  </si>
  <si>
    <t>r'-crit</t>
  </si>
  <si>
    <t>z-crit</t>
  </si>
  <si>
    <t>lower ρ'</t>
  </si>
  <si>
    <t>upper ρ'</t>
  </si>
  <si>
    <t>lower ρ</t>
  </si>
  <si>
    <t>upper ρ</t>
  </si>
  <si>
    <t>standard normal test</t>
  </si>
  <si>
    <t>confidence interval</t>
  </si>
  <si>
    <t>normal test</t>
  </si>
  <si>
    <t>t-test</t>
  </si>
  <si>
    <t>Correlation coefficients</t>
  </si>
  <si>
    <r>
      <t>Adjusted R</t>
    </r>
    <r>
      <rPr>
        <vertAlign val="superscript"/>
        <sz val="11"/>
        <color theme="1"/>
        <rFont val="Calibri"/>
        <family val="2"/>
        <scheme val="minor"/>
      </rPr>
      <t>2</t>
    </r>
  </si>
  <si>
    <r>
      <t>r</t>
    </r>
    <r>
      <rPr>
        <vertAlign val="subscript"/>
        <sz val="11"/>
        <color theme="1"/>
        <rFont val="Calibri"/>
        <family val="2"/>
        <scheme val="minor"/>
      </rPr>
      <t>PW,I</t>
    </r>
  </si>
  <si>
    <r>
      <t>r</t>
    </r>
    <r>
      <rPr>
        <vertAlign val="subscript"/>
        <sz val="11"/>
        <color theme="1"/>
        <rFont val="Calibri"/>
        <family val="2"/>
        <scheme val="minor"/>
      </rPr>
      <t>P(W,I)</t>
    </r>
  </si>
  <si>
    <t>Spearman's rank coefficient</t>
  </si>
  <si>
    <t>IQ</t>
  </si>
  <si>
    <t>Rank IQ</t>
  </si>
  <si>
    <t>Diff-Sq</t>
  </si>
  <si>
    <t>Spearman's Rho = 1 - (6 * Sum of Diff-Sq) / (n * (n ^ 2 - 1)) =</t>
  </si>
  <si>
    <t>Pearson</t>
  </si>
  <si>
    <t>Spearman</t>
  </si>
  <si>
    <t>r1</t>
  </si>
  <si>
    <t>r2</t>
  </si>
  <si>
    <t>r2'</t>
  </si>
  <si>
    <t>r1'</t>
  </si>
  <si>
    <t>s</t>
  </si>
  <si>
    <t>Cigarettes</t>
  </si>
  <si>
    <t>Kendall's tau</t>
  </si>
  <si>
    <t>C(n, 2)</t>
  </si>
  <si>
    <t>tau</t>
  </si>
  <si>
    <t>std error</t>
  </si>
  <si>
    <t>A+B+C</t>
  </si>
  <si>
    <t>A+B</t>
  </si>
  <si>
    <t>B+C</t>
  </si>
  <si>
    <t>A</t>
  </si>
  <si>
    <t>A/(A+D)</t>
  </si>
  <si>
    <t>C/(C+D)</t>
  </si>
  <si>
    <t>Multiple correlation coefficient</t>
  </si>
  <si>
    <r>
      <t>r</t>
    </r>
    <r>
      <rPr>
        <vertAlign val="subscript"/>
        <sz val="11"/>
        <color theme="1"/>
        <rFont val="Calibri"/>
        <family val="2"/>
        <scheme val="minor"/>
      </rPr>
      <t>WI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</si>
  <si>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</si>
  <si>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PW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</si>
  <si>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WI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</si>
  <si>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</si>
  <si>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t>Partial correlation coefficients</t>
  </si>
  <si>
    <r>
      <t>R</t>
    </r>
    <r>
      <rPr>
        <vertAlign val="subscript"/>
        <sz val="11"/>
        <color theme="1"/>
        <rFont val="Calibri"/>
        <family val="2"/>
        <scheme val="minor"/>
      </rPr>
      <t>P,WI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</si>
  <si>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P,WI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</si>
  <si>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PW</t>
    </r>
    <r>
      <rPr>
        <sz val="11"/>
        <color theme="1"/>
        <rFont val="Calibri"/>
        <family val="2"/>
        <scheme val="minor"/>
      </rPr>
      <t xml:space="preserve"> </t>
    </r>
    <r>
      <rPr>
        <vertAlign val="superscript"/>
        <sz val="11"/>
        <color theme="1"/>
        <rFont val="Calibri"/>
        <family val="2"/>
        <scheme val="minor"/>
      </rPr>
      <t>2</t>
    </r>
  </si>
  <si>
    <r>
      <t>r</t>
    </r>
    <r>
      <rPr>
        <vertAlign val="subscript"/>
        <sz val="11"/>
        <color theme="1"/>
        <rFont val="Calibri"/>
        <family val="2"/>
        <scheme val="minor"/>
      </rPr>
      <t>P(I,W)</t>
    </r>
  </si>
  <si>
    <r>
      <t>r</t>
    </r>
    <r>
      <rPr>
        <vertAlign val="subscript"/>
        <sz val="11"/>
        <color theme="1"/>
        <rFont val="Calibri"/>
        <family val="2"/>
        <scheme val="minor"/>
      </rPr>
      <t>P(W,I)</t>
    </r>
    <r>
      <rPr>
        <vertAlign val="superscript"/>
        <sz val="11"/>
        <color theme="1"/>
        <rFont val="Calibri"/>
        <family val="2"/>
        <scheme val="minor"/>
      </rPr>
      <t>2</t>
    </r>
  </si>
  <si>
    <r>
      <t>r</t>
    </r>
    <r>
      <rPr>
        <vertAlign val="subscript"/>
        <sz val="11"/>
        <color theme="1"/>
        <rFont val="Calibri"/>
        <family val="2"/>
        <scheme val="minor"/>
      </rPr>
      <t>P(I,W)</t>
    </r>
    <r>
      <rPr>
        <vertAlign val="superscript"/>
        <sz val="11"/>
        <color theme="1"/>
        <rFont val="Calibri"/>
        <family val="2"/>
        <scheme val="minor"/>
      </rPr>
      <t>2</t>
    </r>
  </si>
  <si>
    <r>
      <t>1-R</t>
    </r>
    <r>
      <rPr>
        <vertAlign val="subscript"/>
        <sz val="11"/>
        <color theme="1"/>
        <rFont val="Calibri"/>
        <family val="2"/>
        <scheme val="minor"/>
      </rPr>
      <t>P,WI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</si>
  <si>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PW,I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</si>
  <si>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PI,W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</si>
  <si>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PW,I</t>
    </r>
    <r>
      <rPr>
        <vertAlign val="superscript"/>
        <sz val="11"/>
        <color theme="1"/>
        <rFont val="Calibri"/>
        <family val="2"/>
        <scheme val="minor"/>
      </rPr>
      <t>2</t>
    </r>
  </si>
  <si>
    <t>Inversions</t>
  </si>
  <si>
    <t>Life Exp</t>
  </si>
  <si>
    <t>Ranks</t>
  </si>
  <si>
    <t>Spearman's rho</t>
  </si>
  <si>
    <t>Ties - Life</t>
  </si>
  <si>
    <t>Ties - Cig</t>
  </si>
  <si>
    <t>Ties - Both</t>
  </si>
  <si>
    <t>Correlation</t>
  </si>
  <si>
    <t>count</t>
  </si>
  <si>
    <t>Std Norm</t>
  </si>
  <si>
    <t>QQ Plot</t>
  </si>
  <si>
    <t>Spearman's Rho</t>
  </si>
  <si>
    <t>Pearson's Corr Coeff</t>
  </si>
  <si>
    <t>Alternative approach (no ties)</t>
  </si>
  <si>
    <t>r12</t>
  </si>
  <si>
    <t>r13</t>
  </si>
  <si>
    <t>r23</t>
  </si>
  <si>
    <t>(independent samples)</t>
  </si>
  <si>
    <t>Two sample hypothesis testing of correlation using Fisher transformation</t>
  </si>
  <si>
    <t>SS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</si>
  <si>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</si>
  <si>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cov(x,y)</t>
  </si>
  <si>
    <t>T</t>
  </si>
  <si>
    <t>F-crit</t>
  </si>
  <si>
    <t>Confidence interval</t>
  </si>
  <si>
    <t>df1</t>
  </si>
  <si>
    <t>df2</t>
  </si>
  <si>
    <t>s.e.</t>
  </si>
  <si>
    <t>y = 1 for therapy 1 and y = 0 for therapy 2</t>
  </si>
  <si>
    <t>x = 1 for cured and x = 0 for not cured</t>
  </si>
  <si>
    <r>
      <t>χ2 = nr</t>
    </r>
    <r>
      <rPr>
        <vertAlign val="superscript"/>
        <sz val="11"/>
        <color theme="1"/>
        <rFont val="Calibri"/>
        <family val="2"/>
        <scheme val="minor"/>
      </rPr>
      <t>2</t>
    </r>
  </si>
  <si>
    <t>F crit</t>
  </si>
  <si>
    <t>sig</t>
  </si>
  <si>
    <t>m</t>
  </si>
  <si>
    <t>median</t>
  </si>
  <si>
    <t>Summary</t>
  </si>
  <si>
    <t>Cig</t>
  </si>
  <si>
    <t>tails</t>
  </si>
  <si>
    <t>sample size</t>
  </si>
  <si>
    <t>power</t>
  </si>
  <si>
    <t>beta</t>
  </si>
  <si>
    <t>Standard error</t>
  </si>
  <si>
    <t>%</t>
  </si>
  <si>
    <t>G</t>
  </si>
  <si>
    <t>Q3</t>
  </si>
  <si>
    <t>λ</t>
  </si>
  <si>
    <t>std err</t>
  </si>
  <si>
    <t>effect r</t>
  </si>
  <si>
    <t>W</t>
  </si>
  <si>
    <t>variance</t>
  </si>
  <si>
    <t>p1</t>
  </si>
  <si>
    <t>prob</t>
  </si>
  <si>
    <t>Group 2</t>
  </si>
  <si>
    <t>one-tail</t>
  </si>
  <si>
    <t>two-tail</t>
  </si>
  <si>
    <t>Wife</t>
  </si>
  <si>
    <t>Husband</t>
  </si>
  <si>
    <t>Cum %</t>
  </si>
  <si>
    <t>Significance vs effect (for correlation)</t>
  </si>
  <si>
    <t>z-crit (alpha)</t>
  </si>
  <si>
    <t>z-crit (beta)</t>
  </si>
  <si>
    <t>effect size r</t>
  </si>
  <si>
    <t>=FISHER(B5)</t>
  </si>
  <si>
    <r>
      <t xml:space="preserve">hypothetical </t>
    </r>
    <r>
      <rPr>
        <sz val="11"/>
        <color theme="1"/>
        <rFont val="Calibri"/>
        <family val="2"/>
      </rPr>
      <t>ρ</t>
    </r>
  </si>
  <si>
    <t>=FISHER(B7)</t>
  </si>
  <si>
    <t>=1/SQRT(B10-3)</t>
  </si>
  <si>
    <t>=ABS(B8-B6)/B11</t>
  </si>
  <si>
    <t>=FISHER(B19)</t>
  </si>
  <si>
    <t>=FISHER(B20)</t>
  </si>
  <si>
    <t>Effect size (Observation)</t>
  </si>
  <si>
    <t>Father</t>
  </si>
  <si>
    <t>Mother</t>
  </si>
  <si>
    <t>Son</t>
  </si>
  <si>
    <t>det S</t>
  </si>
  <si>
    <t>iter</t>
  </si>
  <si>
    <t>Concise Table of Contents</t>
  </si>
  <si>
    <t>Tables</t>
  </si>
  <si>
    <t>Spearman's Rho Table</t>
  </si>
  <si>
    <t>Kendall's Tau Table</t>
  </si>
  <si>
    <t>Basic concepts</t>
  </si>
  <si>
    <t>Resampling</t>
  </si>
  <si>
    <t>Scatter diagrams</t>
  </si>
  <si>
    <t>Scatter diagrams (Figure 1)</t>
  </si>
  <si>
    <t>One sample hypothesis testing</t>
  </si>
  <si>
    <t>Two sample hypothesis testing</t>
  </si>
  <si>
    <t>Multiple correlation</t>
  </si>
  <si>
    <t>Correlation data analysis tool (Example 1)</t>
  </si>
  <si>
    <t>Multiple correlation coefficient (Example 1)</t>
  </si>
  <si>
    <t>Partial and semi-partial correlation (Example 2)</t>
  </si>
  <si>
    <t>Dummy variables and two sample t test (Example 1)</t>
  </si>
  <si>
    <t>Point-biserial correlation coefficient (Example 1)</t>
  </si>
  <si>
    <t>Alternative approach for performing chi-square test (Example 2)</t>
  </si>
  <si>
    <t>One sample testing of correlation coefficient (Example 1)</t>
  </si>
  <si>
    <t>One sample testing of correlation coefficient (Example 2)</t>
  </si>
  <si>
    <t>Hypothesis testing using Fisher transformation (Example 3)</t>
  </si>
  <si>
    <t>Hypothesis testing using Fisher transformation (Example 4)</t>
  </si>
  <si>
    <t>Power of test of correlation coefficient (Example 5)</t>
  </si>
  <si>
    <t>Sample size required to test correlation coefficient (Example 5)</t>
  </si>
  <si>
    <t>Observation about partial and semi-partial correlation (Figure 4 and 5)</t>
  </si>
  <si>
    <t>Calculation of point-biserial correlation coefficient (Figure 3)</t>
  </si>
  <si>
    <t>Spearman's rho (Example 1)</t>
  </si>
  <si>
    <t>Alternative way of calculating Spearman's rho (Example 2)</t>
  </si>
  <si>
    <t>Hypothesis testing using Spearman's rho (Example 3)</t>
  </si>
  <si>
    <t>Kendall's tau (Example 1)</t>
  </si>
  <si>
    <t>Comparing the correlation coefficients of two independent samples (Example 1)</t>
  </si>
  <si>
    <r>
      <t>1 - r</t>
    </r>
    <r>
      <rPr>
        <vertAlign val="subscript"/>
        <sz val="11"/>
        <color theme="1"/>
        <rFont val="Calibri"/>
        <family val="2"/>
        <scheme val="minor"/>
      </rPr>
      <t>PI</t>
    </r>
    <r>
      <rPr>
        <vertAlign val="superscript"/>
        <sz val="11"/>
        <color theme="1"/>
        <rFont val="Calibri"/>
        <family val="2"/>
        <scheme val="minor"/>
      </rPr>
      <t>2</t>
    </r>
  </si>
  <si>
    <t>u</t>
  </si>
  <si>
    <t>Box Plot</t>
  </si>
  <si>
    <t>Shapiro-Wilk Test</t>
  </si>
  <si>
    <t>normal</t>
  </si>
  <si>
    <t>one tail</t>
  </si>
  <si>
    <t>two tail</t>
  </si>
  <si>
    <t>Real Statistics data analysis tool</t>
  </si>
  <si>
    <t>tot</t>
  </si>
  <si>
    <t>cum</t>
  </si>
  <si>
    <t>=X30+X31-X29</t>
  </si>
  <si>
    <t>=M6^2</t>
  </si>
  <si>
    <t>=M5^2</t>
  </si>
  <si>
    <t>=1-X29</t>
  </si>
  <si>
    <t>=X33/(X33+X36)</t>
  </si>
  <si>
    <t>=X34/(X34+X36)</t>
  </si>
  <si>
    <r>
      <t>r</t>
    </r>
    <r>
      <rPr>
        <vertAlign val="subscript"/>
        <sz val="11"/>
        <color theme="1"/>
        <rFont val="Calibri"/>
        <family val="2"/>
        <scheme val="minor"/>
      </rPr>
      <t>PI,W</t>
    </r>
  </si>
  <si>
    <t>=SQRT(X38)</t>
  </si>
  <si>
    <t>Data analysis tool</t>
  </si>
  <si>
    <t>Real Statistics formula</t>
  </si>
  <si>
    <t>Correlation coefficient (Example 1)</t>
  </si>
  <si>
    <t>Correlation Coefficient</t>
  </si>
  <si>
    <t>Company</t>
  </si>
  <si>
    <t>significance testing</t>
  </si>
  <si>
    <t>t(t-1)(2t+5)</t>
  </si>
  <si>
    <t>t(t-1)(t-2)</t>
  </si>
  <si>
    <t>m0</t>
  </si>
  <si>
    <t>m1</t>
  </si>
  <si>
    <t>m2</t>
  </si>
  <si>
    <t>m3</t>
  </si>
  <si>
    <t>t(t-1)</t>
  </si>
  <si>
    <t>Kendall's tau with ties (Example 2)</t>
  </si>
  <si>
    <t>Kendall's tau with ties (Example 3)</t>
  </si>
  <si>
    <t>Kendall's tau correlation</t>
  </si>
  <si>
    <t>Spearman's rank correlation</t>
  </si>
  <si>
    <t>standard error calculation</t>
  </si>
  <si>
    <t>Ties-Life</t>
  </si>
  <si>
    <t>Ties-Cig</t>
  </si>
  <si>
    <t>corr</t>
  </si>
  <si>
    <t>max</t>
  </si>
  <si>
    <t>2-tail</t>
  </si>
  <si>
    <t>δ</t>
  </si>
  <si>
    <t>1-β</t>
  </si>
  <si>
    <t>H1</t>
  </si>
  <si>
    <t>lambda</t>
  </si>
  <si>
    <t>Real Statistics functions</t>
  </si>
  <si>
    <t>=NORM.S.INV(1-B22/2)</t>
  </si>
  <si>
    <t>p0</t>
  </si>
  <si>
    <t># Cig</t>
  </si>
  <si>
    <t>=T.INV.2T(E11,E8)</t>
  </si>
  <si>
    <t>=T.DIST.2T(ABS(E10),E8)</t>
  </si>
  <si>
    <t>=2*(1-NORM.S.DIST(Y12,TRUE))</t>
  </si>
  <si>
    <t>=NORM.S.INV(1-Y13/2)</t>
  </si>
  <si>
    <t>normal test (two-tail)</t>
  </si>
  <si>
    <t>t-test (one-tail)</t>
  </si>
  <si>
    <t>t-test (two-tail)</t>
  </si>
  <si>
    <t>normal test (one-tail)</t>
  </si>
  <si>
    <t>=T.INV(1-S26,S23)</t>
  </si>
  <si>
    <t>=T.DIST.RT(S25,S23)</t>
  </si>
  <si>
    <t>=T.DIST.2T(S10,S8)</t>
  </si>
  <si>
    <t>=T.INV.2T(S11,S8)</t>
  </si>
  <si>
    <t>=NORM.S.INV(1-Y28)</t>
  </si>
  <si>
    <t>=1-NORM.S.DIST(Y27,TRUE)</t>
  </si>
  <si>
    <t>t test (two-tail)</t>
  </si>
  <si>
    <t>=2*NORM.S.DIST(J12,TRUE)</t>
  </si>
  <si>
    <t>t test (one-tail)</t>
  </si>
  <si>
    <t>=T.INV(1-E11,E8)</t>
  </si>
  <si>
    <t>=T.DIST.RT(ABS(E10),E8)</t>
  </si>
  <si>
    <t>=NORM.S.DIST(J12,TRUE)</t>
  </si>
  <si>
    <t>=NORM.S.INV(J13/2)</t>
  </si>
  <si>
    <t>=NORM.S.INV(J13)</t>
  </si>
  <si>
    <t>Correlation: One Sample Hypothesis Testing</t>
  </si>
  <si>
    <t>=T.INV.2T(B11,B8)</t>
  </si>
  <si>
    <t>=T.DIST.2T(ABS(B10),B8)</t>
  </si>
  <si>
    <t>=T.INV(1-B24,B21)</t>
  </si>
  <si>
    <t>=T.DIST.RT(ABS(B23),B21)</t>
  </si>
  <si>
    <t>Hypothesis testing (extra example)</t>
  </si>
  <si>
    <t>Determining power (one-tail)</t>
  </si>
  <si>
    <t>Determining sample size (one-tail)</t>
  </si>
  <si>
    <t>Determining power (two-tail)</t>
  </si>
  <si>
    <t>Determining sample size (two-tail)</t>
  </si>
  <si>
    <t>=FISHER(J5)</t>
  </si>
  <si>
    <t>=FISHER(J7)</t>
  </si>
  <si>
    <t>=1/SQRT(J10-3)</t>
  </si>
  <si>
    <t>=ABS(J8-J6)/J11</t>
  </si>
  <si>
    <t>=NORM.S.INV(1-B9)</t>
  </si>
  <si>
    <t>=NORM.S.DIST(B12-B13,TRUE)</t>
  </si>
  <si>
    <t>=NORM.S.INV(1-J9/2)</t>
  </si>
  <si>
    <t>=NORM.S.DIST(J12-J13,TRUE)+NORM.S.DIST(-J12-J13,TRUE)</t>
  </si>
  <si>
    <t>=NORM.S.INV(1-B23)</t>
  </si>
  <si>
    <t>=NORM.S.INV(1-B10/2)</t>
  </si>
  <si>
    <t>=2*(1-NORM.S.DIST(E8,TRUE))</t>
  </si>
  <si>
    <t>Real Statistics function</t>
  </si>
  <si>
    <t>KCORREL</t>
  </si>
  <si>
    <t>Real Statistics Kendall's tau function (Example 1)</t>
  </si>
  <si>
    <r>
      <rPr>
        <b/>
        <sz val="11"/>
        <rFont val="Calibri"/>
        <family val="2"/>
        <scheme val="minor"/>
      </rPr>
      <t>State Rankings</t>
    </r>
    <r>
      <rPr>
        <sz val="11"/>
        <rFont val="Calibri"/>
        <family val="2"/>
        <scheme val="minor"/>
      </rPr>
      <t xml:space="preserve"> - Statistical Abstract of the United States</t>
    </r>
  </si>
  <si>
    <t>Correlation Coefficients</t>
  </si>
  <si>
    <t>Kendall</t>
  </si>
  <si>
    <t>Correlation: One Sample Hypothesis Testing using Real Statistics data analysis tool</t>
  </si>
  <si>
    <t>Tails</t>
  </si>
  <si>
    <t>Pearson's coeff (t test)</t>
  </si>
  <si>
    <t>Pearson's coeff (Fisher)</t>
  </si>
  <si>
    <t>Rho</t>
  </si>
  <si>
    <t>Real Statistics data analysis tool (Example 1)</t>
  </si>
  <si>
    <t>Kendall's coefficient (test)</t>
  </si>
  <si>
    <t>tau-crit</t>
  </si>
  <si>
    <t>SCORREL (two-tailed)</t>
  </si>
  <si>
    <t>Spearman's coefficient (test)</t>
  </si>
  <si>
    <t>Pearson's correlation (Example 1)</t>
  </si>
  <si>
    <t>Kendall's (tau) correlation (Example 3)</t>
  </si>
  <si>
    <t>Spearman's (rho) correlation (Example 2)</t>
  </si>
  <si>
    <t>t-test (one tailed)</t>
  </si>
  <si>
    <t>http://www.york.ac.uk/depts/maths/tables/kendall.pdf</t>
  </si>
  <si>
    <t>If the calculated Kendall's tau is greater than the critical value from the table, then reject the null hypothesis that there is no correlation</t>
  </si>
  <si>
    <t>Exact Test</t>
  </si>
  <si>
    <t>Random Number</t>
  </si>
  <si>
    <t>Real Statistics array functions</t>
  </si>
  <si>
    <t>Using Real Statistics formulas</t>
  </si>
  <si>
    <t>bin</t>
  </si>
  <si>
    <t>cum %</t>
  </si>
  <si>
    <t>sample</t>
  </si>
  <si>
    <t>left</t>
  </si>
  <si>
    <t>right</t>
  </si>
  <si>
    <t>Bootstrapping: correlation</t>
  </si>
  <si>
    <t>Randomization: correlation</t>
  </si>
  <si>
    <t>Resampling (Example 1)</t>
  </si>
  <si>
    <t>Bootstrapping (Example 4)</t>
  </si>
  <si>
    <t>Randomization (Example 5)</t>
  </si>
  <si>
    <t>Correlation - bootstrapping</t>
  </si>
  <si>
    <t>Analysis: correlation coefficient = .9</t>
  </si>
  <si>
    <t>Analysis: correlation coefficient = 0</t>
  </si>
  <si>
    <t>Analysis: correlation coefficient = -.7</t>
  </si>
  <si>
    <t>Correlation - resampling</t>
  </si>
  <si>
    <t>Extra example</t>
  </si>
  <si>
    <t>Correlation and the t-test</t>
  </si>
  <si>
    <t>Correlation and the chi-square test for independence</t>
  </si>
  <si>
    <t>Correlation and t-test</t>
  </si>
  <si>
    <t>Correlation and chi-square test</t>
  </si>
  <si>
    <t>Correlation Test</t>
  </si>
  <si>
    <t>Pearson's Correlation Table</t>
  </si>
  <si>
    <t>Pearson's Significance Table</t>
  </si>
  <si>
    <t>If the calculated Pearson's correlation coefficient is greater than the critical value from the table, then reject the null hypothesis that there is no correlation</t>
  </si>
  <si>
    <t>Based on the critical values of t using the formula: square root of t^2 /(t^2 + df)</t>
  </si>
  <si>
    <r>
      <t xml:space="preserve">df \ </t>
    </r>
    <r>
      <rPr>
        <vertAlign val="superscript"/>
        <sz val="16"/>
        <color theme="1"/>
        <rFont val="Calibri"/>
        <family val="2"/>
      </rPr>
      <t>α</t>
    </r>
  </si>
  <si>
    <t>Covariance and independence</t>
  </si>
  <si>
    <t>Covariance and independence (Figure 1)</t>
  </si>
  <si>
    <t>Nonlinear - Scatter Diagrams</t>
  </si>
  <si>
    <t>Using Real Statistics formulas on raw data</t>
  </si>
  <si>
    <t>rho-crit</t>
  </si>
  <si>
    <t>Spearman's rank hypothesis testing</t>
  </si>
  <si>
    <t>=T.INV.2T(H10,H7)</t>
  </si>
  <si>
    <t>=T.DIST.2T(ABS(H9),H7)</t>
  </si>
  <si>
    <t>Rank Life</t>
  </si>
  <si>
    <t>Rank Cig</t>
  </si>
  <si>
    <t>Hypothesis testing using Spearman's rho (extra example corresponding to Example 1)</t>
  </si>
  <si>
    <t>=NORM.S.INV(1-I11/2)</t>
  </si>
  <si>
    <t>=2*NORM.S.DIST(-ABS(I12),TRUE)</t>
  </si>
  <si>
    <t>=NORM.S.INV(1-M11/2)</t>
  </si>
  <si>
    <t>=2*(1-NORM.S.DIST(ABS(M12),TRUE))</t>
  </si>
  <si>
    <t>=NORM.S.INV(1-L11/2)</t>
  </si>
  <si>
    <t>=2*(1-NORM.S.DIST(ABS(L12),TRUE))</t>
  </si>
  <si>
    <t>Kendall's tau with ties</t>
  </si>
  <si>
    <t>Point biserial correlation coefficient</t>
  </si>
  <si>
    <t>n0</t>
  </si>
  <si>
    <t>=(M5^2+M6^2-2*M5*M6*N6)/(1-N6^2)</t>
  </si>
  <si>
    <t>=(M6-M5*N6)^2/(1-N6^2)</t>
  </si>
  <si>
    <t>=(M5-M6*N6)^2/(1-N6^2)</t>
  </si>
  <si>
    <t>=NORM.S.INV(1-B22)</t>
  </si>
  <si>
    <t>Power and Sample Size - Correlation</t>
  </si>
  <si>
    <t>Correlation Exact Test</t>
  </si>
  <si>
    <t>T Test</t>
  </si>
  <si>
    <t>Fisher</t>
  </si>
  <si>
    <t>Exact</t>
  </si>
  <si>
    <t>Unbiased estimates for correlation coefficient</t>
  </si>
  <si>
    <r>
      <t>r</t>
    </r>
    <r>
      <rPr>
        <vertAlign val="super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adj</t>
    </r>
  </si>
  <si>
    <r>
      <rPr>
        <sz val="11"/>
        <color theme="1"/>
        <rFont val="Calibri"/>
        <family val="2"/>
      </rPr>
      <t>ρ</t>
    </r>
    <r>
      <rPr>
        <sz val="11"/>
        <color theme="1"/>
        <rFont val="Calibri"/>
        <family val="2"/>
        <scheme val="minor"/>
      </rPr>
      <t xml:space="preserve"> est</t>
    </r>
  </si>
  <si>
    <t>Hypothesis testing using the Exact Test</t>
  </si>
  <si>
    <t>X</t>
  </si>
  <si>
    <t>Y</t>
  </si>
  <si>
    <t>Biserial Correlation Coefficient</t>
  </si>
  <si>
    <r>
      <t>r</t>
    </r>
    <r>
      <rPr>
        <vertAlign val="subscript"/>
        <sz val="11"/>
        <color theme="1"/>
        <rFont val="Calibri"/>
        <family val="2"/>
        <scheme val="minor"/>
      </rPr>
      <t>pb</t>
    </r>
  </si>
  <si>
    <r>
      <t>r</t>
    </r>
    <r>
      <rPr>
        <vertAlign val="subscript"/>
        <sz val="11"/>
        <color theme="1"/>
        <rFont val="Calibri"/>
        <family val="2"/>
        <scheme val="minor"/>
      </rPr>
      <t>b</t>
    </r>
  </si>
  <si>
    <t>Biserial correlation coefficient</t>
  </si>
  <si>
    <t>Biserial correlation</t>
  </si>
  <si>
    <t>Rock</t>
  </si>
  <si>
    <t>Rank Rock</t>
  </si>
  <si>
    <t>Box-Cox Transformations</t>
  </si>
  <si>
    <t>Box-Cox Transformation</t>
  </si>
  <si>
    <t>Transformation for Linearity (Example 1)</t>
  </si>
  <si>
    <t>Transformation for Normality (Example 2)</t>
  </si>
  <si>
    <t>Transformation for Normality (Example 3)</t>
  </si>
  <si>
    <t>LL</t>
  </si>
  <si>
    <t>Ln</t>
  </si>
  <si>
    <t>E</t>
  </si>
  <si>
    <t>H</t>
  </si>
  <si>
    <t>Grand Min</t>
  </si>
  <si>
    <t>F test (two-tail)</t>
  </si>
  <si>
    <t>=F.INV.RT(E11/2,E8,E8)</t>
  </si>
  <si>
    <t>=2*F.DIST.RT(E9,E8,E8)</t>
  </si>
  <si>
    <t>F test (Example 1)</t>
  </si>
  <si>
    <t>corr(x,y)</t>
  </si>
  <si>
    <t>width</t>
  </si>
  <si>
    <t>Polychoric correlation</t>
  </si>
  <si>
    <t>Polychoric Correlation</t>
  </si>
  <si>
    <t>y=0</t>
  </si>
  <si>
    <t>y=1</t>
  </si>
  <si>
    <t>y=2</t>
  </si>
  <si>
    <t>x=0</t>
  </si>
  <si>
    <t>x=1</t>
  </si>
  <si>
    <t>x=2</t>
  </si>
  <si>
    <t>r*</t>
  </si>
  <si>
    <t>15-a</t>
  </si>
  <si>
    <t>10+a</t>
  </si>
  <si>
    <t>10-a</t>
  </si>
  <si>
    <t>Polychoric correlation using Solver</t>
  </si>
  <si>
    <t>Polychoric correlation, improved version</t>
  </si>
  <si>
    <t>Tetrachoric Correlation</t>
  </si>
  <si>
    <t>Estimate 1</t>
  </si>
  <si>
    <t>γ</t>
  </si>
  <si>
    <t>=2*(1-NORM.S.DIST(R7,TRUE))</t>
  </si>
  <si>
    <t>=R5-NORM.S.INV(1-R9/2)*R6</t>
  </si>
  <si>
    <t>=R5+NORM.S.INV(1-R9/2)*R6</t>
  </si>
  <si>
    <t>Estimate 2</t>
  </si>
  <si>
    <t>=2*(1-NORM.S.DIST(R18,TRUE))</t>
  </si>
  <si>
    <t>=R16-NORM.S.INV(1-R20/2)*R17</t>
  </si>
  <si>
    <t>=R16+NORM.S.INV(1-R20/2)*R17</t>
  </si>
  <si>
    <t>h0</t>
  </si>
  <si>
    <t>=NORM.S.DIST(NORM.S.INV(R25),FALSE)</t>
  </si>
  <si>
    <t>h1</t>
  </si>
  <si>
    <t>=NORM.S.DIST(NORM.S.INV(R26),FALSE)</t>
  </si>
  <si>
    <t>se</t>
  </si>
  <si>
    <t>Tetrachoric correlation, using Solver and estimates</t>
  </si>
  <si>
    <t>y cutoffs</t>
  </si>
  <si>
    <t>x cutoffs</t>
  </si>
  <si>
    <t>rho</t>
  </si>
  <si>
    <t>converge</t>
  </si>
  <si>
    <t>yes</t>
  </si>
  <si>
    <t>Internal Consistency Reliability</t>
  </si>
  <si>
    <t>Interrater Reliability</t>
  </si>
  <si>
    <t>Item Analysis</t>
  </si>
  <si>
    <t>Split-half methodology</t>
  </si>
  <si>
    <t>Split-half methodology for reliability (Example 1)</t>
  </si>
  <si>
    <t>Split-half methodology for reliability (Example 2)</t>
  </si>
  <si>
    <t>Guttman's lambda 4 (Example 4)</t>
  </si>
  <si>
    <t>Guttman's reliability (Example 5)</t>
  </si>
  <si>
    <t>Kuder and Richardson formula 20</t>
  </si>
  <si>
    <t>Kuder and Richardson Formula 20 (Example 1)</t>
  </si>
  <si>
    <t>Cronbach's alpha</t>
  </si>
  <si>
    <t>Cronbach's alpha (Example 1)</t>
  </si>
  <si>
    <t>Cronbach's alpha with one question removed (Example 2)</t>
  </si>
  <si>
    <t>Cronbach's alpha using ANOVA (Example 3)</t>
  </si>
  <si>
    <t>Cronbach's alpha using ANOVA (Example 4)</t>
  </si>
  <si>
    <t>Real Statistics functions and data analysis tool (Example 4)</t>
  </si>
  <si>
    <t>Hypothesis testing and confidence interval (Example 5)</t>
  </si>
  <si>
    <t>Sample size to achieve confidence width (Example 6)</t>
  </si>
  <si>
    <t>Statistical power (Example 7)</t>
  </si>
  <si>
    <t>Sample size (Example 8)</t>
  </si>
  <si>
    <t>Cohen's kappa</t>
  </si>
  <si>
    <t>Cohen's kappa (Example 1)</t>
  </si>
  <si>
    <t>Standard error and confidence interval (Figure 5)</t>
  </si>
  <si>
    <t>Real Statistics function and data analysis tool (Figure 7)</t>
  </si>
  <si>
    <t>Weighted kappa</t>
  </si>
  <si>
    <t>Weighted kappa (Example 1)</t>
  </si>
  <si>
    <t>Unweighted kappa using a weighted approach (Figure 2)</t>
  </si>
  <si>
    <t>Standard error and confidence interval (Example 2)</t>
  </si>
  <si>
    <t>Fleiss' kappa (Example 1)</t>
  </si>
  <si>
    <t>Extra example (Fleiss' kappa for Example 1 of Cohen's kappa)</t>
  </si>
  <si>
    <t>Extra example (Fleiss' kappa for Example 1 of Intraclass correlation)</t>
  </si>
  <si>
    <t>Kendall's W</t>
  </si>
  <si>
    <t>Real Statistics function and data analysis tool (Example 1)</t>
  </si>
  <si>
    <t>Kendall's W (Example 1)</t>
  </si>
  <si>
    <t>Kendall's W with ties (Example 2)</t>
  </si>
  <si>
    <t>Bland-Altman</t>
  </si>
  <si>
    <t>Bland-Altman (Example 1)</t>
  </si>
  <si>
    <t>Difficulty and discrimination index (Example 1)</t>
  </si>
  <si>
    <t>Item analysis for multiple choice tests (Example 2)</t>
  </si>
  <si>
    <t>Real Statistics function (Example 3)</t>
  </si>
  <si>
    <t>Partial credit (Example 4)</t>
  </si>
  <si>
    <t>Real Statistics data analysis tool (Example 5)</t>
  </si>
  <si>
    <t>Krippendorff's Alpha</t>
  </si>
  <si>
    <t>Fleiss' Kappa</t>
  </si>
  <si>
    <t>Spearman-Brown correction</t>
  </si>
  <si>
    <t>Correlation coefficient</t>
  </si>
  <si>
    <t>Odd</t>
  </si>
  <si>
    <t>Even</t>
  </si>
  <si>
    <t>Student</t>
  </si>
  <si>
    <r>
      <t>Split-half Methodology</t>
    </r>
    <r>
      <rPr>
        <b/>
        <sz val="12"/>
        <color theme="1"/>
        <rFont val="Tahoma"/>
        <family val="2"/>
      </rPr>
      <t xml:space="preserve"> </t>
    </r>
  </si>
  <si>
    <t>H2</t>
  </si>
  <si>
    <t>Odd/Even</t>
  </si>
  <si>
    <t>Halves</t>
  </si>
  <si>
    <t>Q10</t>
  </si>
  <si>
    <t>Q9</t>
  </si>
  <si>
    <t>Q8</t>
  </si>
  <si>
    <t>Q7</t>
  </si>
  <si>
    <t>Q6</t>
  </si>
  <si>
    <t>Q5</t>
  </si>
  <si>
    <t>Q4</t>
  </si>
  <si>
    <t>Q2</t>
  </si>
  <si>
    <t>Split-Half Method</t>
  </si>
  <si>
    <t>=VAR.S(D4:D18)</t>
  </si>
  <si>
    <t>=COVARIANCE.S(B4:B18,C4:C18)</t>
  </si>
  <si>
    <t>covariance</t>
  </si>
  <si>
    <t>Guttman's Lambda 4</t>
  </si>
  <si>
    <t>Guttman's Reliability</t>
  </si>
  <si>
    <t>Guttman</t>
  </si>
  <si>
    <t>Covariance</t>
  </si>
  <si>
    <t>Partition</t>
  </si>
  <si>
    <t>Cronbach</t>
  </si>
  <si>
    <t>Iterations</t>
  </si>
  <si>
    <t>OddEven</t>
  </si>
  <si>
    <t>Split-half</t>
  </si>
  <si>
    <t>Σpq</t>
  </si>
  <si>
    <t>pq</t>
  </si>
  <si>
    <t>q</t>
  </si>
  <si>
    <t>Kuder and Richardson Formula 21</t>
  </si>
  <si>
    <t>Q11</t>
  </si>
  <si>
    <t>Kuder and Richardson Formula 20</t>
  </si>
  <si>
    <t>VARIANCE</t>
  </si>
  <si>
    <t>MEAN</t>
  </si>
  <si>
    <t>Error</t>
  </si>
  <si>
    <t>Columns</t>
  </si>
  <si>
    <t>MS</t>
  </si>
  <si>
    <t>ANOVA</t>
  </si>
  <si>
    <t>COUNT</t>
  </si>
  <si>
    <t>Two Factor Anova</t>
  </si>
  <si>
    <t>=CRONALPHA(B4:L15)</t>
  </si>
  <si>
    <t>Using Real Statistics function</t>
  </si>
  <si>
    <t>Σvar</t>
  </si>
  <si>
    <r>
      <t>= 1 - MS</t>
    </r>
    <r>
      <rPr>
        <vertAlign val="subscript"/>
        <sz val="11"/>
        <color theme="1"/>
        <rFont val="Calibri"/>
        <family val="2"/>
        <scheme val="minor"/>
      </rPr>
      <t>Error</t>
    </r>
    <r>
      <rPr>
        <sz val="11"/>
        <color theme="1"/>
        <rFont val="Calibri"/>
        <family val="2"/>
        <scheme val="minor"/>
      </rPr>
      <t>/MS</t>
    </r>
    <r>
      <rPr>
        <vertAlign val="subscript"/>
        <sz val="11"/>
        <color theme="1"/>
        <rFont val="Calibri"/>
        <family val="2"/>
        <scheme val="minor"/>
      </rPr>
      <t>Rows</t>
    </r>
  </si>
  <si>
    <t>P-value</t>
  </si>
  <si>
    <t>Source of Variation</t>
  </si>
  <si>
    <t>Cronbach's alpha with one question removed</t>
  </si>
  <si>
    <t>Var</t>
  </si>
  <si>
    <t>Average</t>
  </si>
  <si>
    <t>Anova: Two-Factor Without Replication</t>
  </si>
  <si>
    <t>Cronbach's Alpha</t>
  </si>
  <si>
    <t>=CRONALPHA(B4:K18)</t>
  </si>
  <si>
    <t>Cronbach's Alpha with missing item</t>
  </si>
  <si>
    <t>γ0</t>
  </si>
  <si>
    <t>Cronbach's Alpha - hypothesis testing</t>
  </si>
  <si>
    <t>W1</t>
  </si>
  <si>
    <t>γ-crit</t>
  </si>
  <si>
    <t>γ1</t>
  </si>
  <si>
    <t>Statistical Power - 1 tailed test</t>
  </si>
  <si>
    <t>Statistical Power - 2 tailed test</t>
  </si>
  <si>
    <t>Cronbach's Alpha - Power</t>
  </si>
  <si>
    <t>Sample Size - 1 tailed test</t>
  </si>
  <si>
    <t>Sample Size - 2 tailed test</t>
  </si>
  <si>
    <t>Cronbach's Alpha - Sample Size</t>
  </si>
  <si>
    <t>Never</t>
  </si>
  <si>
    <t>Often</t>
  </si>
  <si>
    <t>Seldom</t>
  </si>
  <si>
    <t>Interview</t>
  </si>
  <si>
    <t>Questionnaire</t>
  </si>
  <si>
    <t>Kappa</t>
  </si>
  <si>
    <t>κ</t>
  </si>
  <si>
    <t>By Chance</t>
  </si>
  <si>
    <t>Agreement</t>
  </si>
  <si>
    <t>calculation of b</t>
  </si>
  <si>
    <t>kappa</t>
  </si>
  <si>
    <t>Neither</t>
  </si>
  <si>
    <t>pe</t>
  </si>
  <si>
    <t>Borderline</t>
  </si>
  <si>
    <r>
      <t>1-</t>
    </r>
    <r>
      <rPr>
        <sz val="11"/>
        <color theme="1"/>
        <rFont val="Calibri"/>
        <family val="2"/>
      </rPr>
      <t>κ</t>
    </r>
  </si>
  <si>
    <t>pa</t>
  </si>
  <si>
    <t>Psychotic</t>
  </si>
  <si>
    <t>Cohen's Kappa</t>
  </si>
  <si>
    <t>Judge 2</t>
  </si>
  <si>
    <t>calculation of a</t>
  </si>
  <si>
    <t>Judge 1</t>
  </si>
  <si>
    <t>Using Reliability data analysis tool</t>
  </si>
  <si>
    <t>Using Real Statistics formula</t>
  </si>
  <si>
    <t>Cohen's Weighted Kappa</t>
  </si>
  <si>
    <t>Real Statistics data analysis tool (with weight code)</t>
  </si>
  <si>
    <t>Expectations</t>
  </si>
  <si>
    <t>Weights</t>
  </si>
  <si>
    <t>Unweighted kappa</t>
  </si>
  <si>
    <t>Weighted Kappa</t>
  </si>
  <si>
    <t>Table u</t>
  </si>
  <si>
    <t>pa(w)</t>
  </si>
  <si>
    <t>pe(w)</t>
  </si>
  <si>
    <t>Weights (v)</t>
  </si>
  <si>
    <t>Weights (w)</t>
  </si>
  <si>
    <t>Weighted Kappa (s.e.)</t>
  </si>
  <si>
    <r>
      <t>p</t>
    </r>
    <r>
      <rPr>
        <vertAlign val="subscript"/>
        <sz val="11"/>
        <color theme="1"/>
        <rFont val="Calibri"/>
        <family val="2"/>
        <scheme val="minor"/>
      </rPr>
      <t>e</t>
    </r>
  </si>
  <si>
    <t>kappa 1</t>
  </si>
  <si>
    <t>Complete Real Statistics function</t>
  </si>
  <si>
    <t>Fleiss's Kappa</t>
  </si>
  <si>
    <t>s.e</t>
  </si>
  <si>
    <r>
      <t>p</t>
    </r>
    <r>
      <rPr>
        <vertAlign val="subscript"/>
        <sz val="11"/>
        <color theme="1"/>
        <rFont val="Calibri"/>
        <family val="2"/>
        <scheme val="minor"/>
      </rPr>
      <t>a</t>
    </r>
  </si>
  <si>
    <t>Wine</t>
  </si>
  <si>
    <t>m(m-1)</t>
  </si>
  <si>
    <t>mn</t>
  </si>
  <si>
    <t>Bipolar</t>
  </si>
  <si>
    <t>Real Statistics Reliability data analysis tool</t>
  </si>
  <si>
    <t>=FRIEDMAN(B5:I11)/(C15*(C14-1))</t>
  </si>
  <si>
    <t>=12*SUMSQ(B12:I12)/(C15^2*(C14^3-C14))-3*(C14+1)/(C14-1)</t>
  </si>
  <si>
    <t>=CHIDIST(C18,C19)</t>
  </si>
  <si>
    <t>=C14-1</t>
  </si>
  <si>
    <t>=C15*(C14-1)*C16</t>
  </si>
  <si>
    <t>=(C15*C16-1)/(C15-1)</t>
  </si>
  <si>
    <t>=12*DEVSQ(B12:I12)/(C15^2*(C14^3-C14))</t>
  </si>
  <si>
    <t>=COUNTA(A5:A11)</t>
  </si>
  <si>
    <t>KENDALLW function</t>
  </si>
  <si>
    <t>=COUNTA(B5:I5)</t>
  </si>
  <si>
    <t>Judges</t>
  </si>
  <si>
    <t>=CHIDIST(C19,C20)</t>
  </si>
  <si>
    <t>=C15*(C14-1)*C17</t>
  </si>
  <si>
    <t>=(C15*C17-1)/(C15-1)</t>
  </si>
  <si>
    <t>=(12*SUMSQ(B12:I12)-3*C15^2*C14*(C14+1)^2)/(C15^2*(C14^3-C14)-C15*C16)</t>
  </si>
  <si>
    <t>=SUMPRODUCT((L5:S11+1)^3-(L5:S11+1))</t>
  </si>
  <si>
    <t>=COUNT(A5:A11)</t>
  </si>
  <si>
    <t>=COUNT(B5:I5)</t>
  </si>
  <si>
    <t>Ties</t>
  </si>
  <si>
    <t>Kendall's W with ties</t>
  </si>
  <si>
    <t>Intercept</t>
  </si>
  <si>
    <t>vif</t>
  </si>
  <si>
    <t>coeff</t>
  </si>
  <si>
    <t>Residual</t>
  </si>
  <si>
    <t>Regression</t>
  </si>
  <si>
    <t>SBC</t>
  </si>
  <si>
    <t>Adjusted R Square</t>
  </si>
  <si>
    <t>AICc</t>
  </si>
  <si>
    <t>R Square</t>
  </si>
  <si>
    <t>AIC</t>
  </si>
  <si>
    <t>Multiple R</t>
  </si>
  <si>
    <t>=STDEV.S(F4:F23)</t>
  </si>
  <si>
    <r>
      <t>s</t>
    </r>
    <r>
      <rPr>
        <vertAlign val="subscript"/>
        <sz val="11"/>
        <rFont val="Calibri"/>
        <family val="2"/>
        <scheme val="minor"/>
      </rPr>
      <t>d</t>
    </r>
  </si>
  <si>
    <t>OVERALL FIT</t>
  </si>
  <si>
    <t>mean d</t>
  </si>
  <si>
    <t>x max</t>
  </si>
  <si>
    <t>Regression Analysis</t>
  </si>
  <si>
    <t>x min</t>
  </si>
  <si>
    <t>Excel formulas</t>
  </si>
  <si>
    <t>Df</t>
  </si>
  <si>
    <t>Real Statistics formulas</t>
  </si>
  <si>
    <t>Low</t>
  </si>
  <si>
    <t>High</t>
  </si>
  <si>
    <t>Discrimination</t>
  </si>
  <si>
    <t>Difficulty</t>
  </si>
  <si>
    <t>Discrim cutoff</t>
  </si>
  <si>
    <t>Real Statistics Data Analysis Tool</t>
  </si>
  <si>
    <t>Real Statistics Formulas</t>
  </si>
  <si>
    <t>Rating Table</t>
  </si>
  <si>
    <t>Agreement Table</t>
  </si>
  <si>
    <t>Weighted Agreement Table</t>
  </si>
  <si>
    <t>p*</t>
  </si>
  <si>
    <t>e</t>
  </si>
  <si>
    <t>α*</t>
  </si>
  <si>
    <t>subject</t>
  </si>
  <si>
    <t>r-mean</t>
  </si>
  <si>
    <t>epsilon</t>
  </si>
  <si>
    <t>kalpha</t>
  </si>
  <si>
    <t>π</t>
  </si>
  <si>
    <t>Real Stat</t>
  </si>
  <si>
    <t>raters</t>
  </si>
  <si>
    <t>π*</t>
  </si>
  <si>
    <t>Interval ratings</t>
  </si>
  <si>
    <t>Categorical ratings</t>
  </si>
  <si>
    <t>Ordinal ratings</t>
  </si>
  <si>
    <t>Ratio ratings</t>
  </si>
  <si>
    <t>Gwet's AC2</t>
  </si>
  <si>
    <t>Categorical</t>
  </si>
  <si>
    <t>subj+rater</t>
  </si>
  <si>
    <t>Ordinal</t>
  </si>
  <si>
    <t>Explicit rating values</t>
  </si>
  <si>
    <t>γ*</t>
  </si>
  <si>
    <t>subj+raters</t>
  </si>
  <si>
    <t>n*</t>
  </si>
  <si>
    <t>AC2</t>
  </si>
  <si>
    <t>ac2</t>
  </si>
  <si>
    <t>s.e. rater</t>
  </si>
  <si>
    <t>Real Statistic functions</t>
  </si>
  <si>
    <t>s.e. subj</t>
  </si>
  <si>
    <t>=X15 (Figure 5)</t>
  </si>
  <si>
    <t>s.e. raters</t>
  </si>
  <si>
    <t>s.e. tot</t>
  </si>
  <si>
    <t>=U13 (Figure 5)</t>
  </si>
  <si>
    <t>Calculation of standard error for ratings</t>
  </si>
  <si>
    <t>diff</t>
  </si>
  <si>
    <t>Subj Factor</t>
  </si>
  <si>
    <t>Rater Factor</t>
  </si>
  <si>
    <t>=T.INV.2T(F14,F9)</t>
  </si>
  <si>
    <t>=T.DIST.2T(F15,F9)</t>
  </si>
  <si>
    <t>Real Statistics</t>
  </si>
  <si>
    <t>=CORR(A4:C23)</t>
  </si>
  <si>
    <t>Fath-Son</t>
  </si>
  <si>
    <t>Moth-Son</t>
  </si>
  <si>
    <t>corr bet</t>
  </si>
  <si>
    <t>Time 1</t>
  </si>
  <si>
    <t>Time 2</t>
  </si>
  <si>
    <t>W2</t>
  </si>
  <si>
    <t>H1-W1</t>
  </si>
  <si>
    <t>H2-W2</t>
  </si>
  <si>
    <t>Comparing the correlation coefficients of two overlapping dependent samples (t test)</t>
  </si>
  <si>
    <t>Comparing the correlation coefficients of two overlapping dependent samples (Fisher approach)</t>
  </si>
  <si>
    <t>Comparing the correlation coefficients of two non-overlapping dependent samples (Fisher approach)</t>
  </si>
  <si>
    <t>Two sample hypothesis testing of correlation - overlapping dependent samples (Fisher test)</t>
  </si>
  <si>
    <t>Two sample hypothesis testing of correlation - overlapping dependent samples (t test)</t>
  </si>
  <si>
    <t>Two sample hypothesis testing of correlation - non-overlapping dependent samples</t>
  </si>
  <si>
    <t>=Q4-Q5*NORM.S.INV(1-Q6/2)</t>
  </si>
  <si>
    <t>=Q4+Q5*NORM.S.INV(1-Q6/2)</t>
  </si>
  <si>
    <t>Marketing</t>
  </si>
  <si>
    <t>Revenue</t>
  </si>
  <si>
    <t>Correl</t>
  </si>
  <si>
    <t>mean diff</t>
  </si>
  <si>
    <t>lower limit</t>
  </si>
  <si>
    <t>upper limit</t>
  </si>
  <si>
    <t>stdev diff</t>
  </si>
  <si>
    <t>Point biserial correlation</t>
  </si>
  <si>
    <t>Real Statistics Using Excel - Examples Workbook Correlation/Reliability</t>
  </si>
  <si>
    <t>Ordered Chi-square test of independence</t>
  </si>
  <si>
    <t>Normal chi-square test of independence</t>
  </si>
  <si>
    <t>Kendall's correlation test</t>
  </si>
  <si>
    <t>Ordered M-square test</t>
  </si>
  <si>
    <t>Real Statistics support</t>
  </si>
  <si>
    <t>Ordered Chi-square Test</t>
  </si>
  <si>
    <t>Expected Values</t>
  </si>
  <si>
    <t>Chi-Square Test</t>
  </si>
  <si>
    <t>very dissat</t>
  </si>
  <si>
    <t>dissat</t>
  </si>
  <si>
    <t>neutral</t>
  </si>
  <si>
    <t>satis</t>
  </si>
  <si>
    <t>very satis</t>
  </si>
  <si>
    <t>older</t>
  </si>
  <si>
    <t>Cols</t>
  </si>
  <si>
    <t>middle</t>
  </si>
  <si>
    <t>young</t>
  </si>
  <si>
    <t>CHI-SQUARE</t>
  </si>
  <si>
    <t>x-crit</t>
  </si>
  <si>
    <t>Cramer V</t>
  </si>
  <si>
    <t>Pearson's</t>
  </si>
  <si>
    <t>Max likelihood</t>
  </si>
  <si>
    <t>Data in standard format</t>
  </si>
  <si>
    <t>Ordered Test</t>
  </si>
  <si>
    <t>Kendall's Test</t>
  </si>
  <si>
    <t>mean 1</t>
  </si>
  <si>
    <t>mean 2</t>
  </si>
  <si>
    <t>stdev 1</t>
  </si>
  <si>
    <t>stdev 2</t>
  </si>
  <si>
    <t>cov</t>
  </si>
  <si>
    <t>correl</t>
  </si>
  <si>
    <t>M-sq</t>
  </si>
  <si>
    <t>=CHISQ.DIST.RT(N5,N6)</t>
  </si>
  <si>
    <t>Ordered Analysis</t>
  </si>
  <si>
    <t>Kendall's Correlation</t>
  </si>
  <si>
    <t>M-stat</t>
  </si>
  <si>
    <t>z-stat</t>
  </si>
  <si>
    <t>u'</t>
  </si>
  <si>
    <t>=2*NORM.S.DIST(-ABS(O7),TRUE)</t>
  </si>
  <si>
    <t>=STDEV.P(A4:A27)</t>
  </si>
  <si>
    <t>=NORM.S.INV(1-O10/2)</t>
  </si>
  <si>
    <t>=NORM.S.INV(J11)</t>
  </si>
  <si>
    <t>lower'</t>
  </si>
  <si>
    <t>=NORM.S.DIST(J12,FALSE)</t>
  </si>
  <si>
    <t>upper'</t>
  </si>
  <si>
    <t>=E4/J13*SQRT(J10*J11)</t>
  </si>
  <si>
    <t>Rasch Item Response Analysis</t>
  </si>
  <si>
    <t>Rasch Model</t>
  </si>
  <si>
    <t>Items</t>
  </si>
  <si>
    <t>avg</t>
  </si>
  <si>
    <t>ability</t>
  </si>
  <si>
    <t>I</t>
  </si>
  <si>
    <t>adj</t>
  </si>
  <si>
    <t>Iter</t>
  </si>
  <si>
    <t>Variance of Expected Values</t>
  </si>
  <si>
    <t>Residuals</t>
  </si>
  <si>
    <t>Observed Values</t>
  </si>
  <si>
    <t>Cell Fit</t>
  </si>
  <si>
    <t>Out Fit</t>
  </si>
  <si>
    <t>In Fit</t>
  </si>
  <si>
    <t># Iter</t>
  </si>
  <si>
    <t>Precision</t>
  </si>
  <si>
    <t>Cutoff</t>
  </si>
  <si>
    <t>Rasch Item Response Analysis data analysis tool</t>
  </si>
  <si>
    <t>Lin's Concordance Correlation Coefficient</t>
  </si>
  <si>
    <t xml:space="preserve">Lin's CCC </t>
  </si>
  <si>
    <t>varp</t>
  </si>
  <si>
    <t>=VAR.P(A4:A20)</t>
  </si>
  <si>
    <t>rc</t>
  </si>
  <si>
    <t>u^2</t>
  </si>
  <si>
    <t>rc'</t>
  </si>
  <si>
    <t>=NORM.S.INV(1-E16/2)</t>
  </si>
  <si>
    <t>Classical test theory</t>
  </si>
  <si>
    <t>difficulty</t>
  </si>
  <si>
    <t>ss</t>
  </si>
  <si>
    <t>logit y</t>
  </si>
  <si>
    <t>Building a Rasch model</t>
  </si>
  <si>
    <t>Wright Map</t>
  </si>
  <si>
    <t>Real Statistics functions for building a Rasch model</t>
  </si>
  <si>
    <t>Logit curve</t>
  </si>
  <si>
    <t>Rasch item response analysis (PROX)</t>
  </si>
  <si>
    <t>Guessing</t>
  </si>
  <si>
    <t>Model Fit</t>
  </si>
  <si>
    <t>out</t>
  </si>
  <si>
    <t>in</t>
  </si>
  <si>
    <t>outfit</t>
  </si>
  <si>
    <t>infit</t>
  </si>
  <si>
    <t>% correct</t>
  </si>
  <si>
    <t>Building a Rasch model from ability and difficulty parameters</t>
  </si>
  <si>
    <t>Remove zero and perfect scores</t>
  </si>
  <si>
    <t>RASCH_SUBJ and RASCH_ITEM functions</t>
  </si>
  <si>
    <t>v</t>
  </si>
  <si>
    <t>var d0</t>
  </si>
  <si>
    <t>Tot</t>
  </si>
  <si>
    <t>mean v_i</t>
  </si>
  <si>
    <t>var b0</t>
  </si>
  <si>
    <t>mk</t>
  </si>
  <si>
    <t>score</t>
  </si>
  <si>
    <t>b0</t>
  </si>
  <si>
    <t>logit</t>
  </si>
  <si>
    <t>subj</t>
  </si>
  <si>
    <t>d0</t>
  </si>
  <si>
    <t>item</t>
  </si>
  <si>
    <t>Rasch Item Response Analysis (PROX)</t>
  </si>
  <si>
    <t>PROX</t>
  </si>
  <si>
    <t>Building a PROX model</t>
  </si>
  <si>
    <t>PROXX_SUBJ and PROXX_ITEM functions</t>
  </si>
  <si>
    <t>PROX data analysis option and PROX_SUBJ and PROX_ITEM functions</t>
  </si>
  <si>
    <t>Correlation with frequency table</t>
  </si>
  <si>
    <t>Correlation with Frequency Table</t>
  </si>
  <si>
    <t>s1</t>
  </si>
  <si>
    <t>s2</t>
  </si>
  <si>
    <t>std dev</t>
  </si>
  <si>
    <t>=CORREL(FREQ2RAW(A4:A8,C4:C8),FREQ2RAW(B4:B8,C4:C8))</t>
  </si>
  <si>
    <t>Scatter non-linear</t>
  </si>
  <si>
    <t>Creating scatter diagrams in Excel (Example 1)</t>
  </si>
  <si>
    <t>Creating scatter diagrams using Real Statistics</t>
  </si>
  <si>
    <t>Real Statistics Support for Scatter Charts</t>
  </si>
  <si>
    <t>X1</t>
  </si>
  <si>
    <t>X2</t>
  </si>
  <si>
    <t>Power and sample size</t>
  </si>
  <si>
    <t>Cohen's kappa sample size</t>
  </si>
  <si>
    <t>κ0</t>
  </si>
  <si>
    <t>κ1</t>
  </si>
  <si>
    <t>sd0</t>
  </si>
  <si>
    <t>q1</t>
  </si>
  <si>
    <t>sd1</t>
  </si>
  <si>
    <t>p2</t>
  </si>
  <si>
    <t>q2</t>
  </si>
  <si>
    <t>crita</t>
  </si>
  <si>
    <t>=NORM.S.INV(1-H7/H11)</t>
  </si>
  <si>
    <t>critb</t>
  </si>
  <si>
    <t>=NORM.S.INV(H8)</t>
  </si>
  <si>
    <t>p22</t>
  </si>
  <si>
    <t>p11</t>
  </si>
  <si>
    <t>p12</t>
  </si>
  <si>
    <t>p21</t>
  </si>
  <si>
    <t>pow</t>
  </si>
  <si>
    <t>sd</t>
  </si>
  <si>
    <t>Copyright © 2013 - 2020 Charles Zaiontz</t>
  </si>
  <si>
    <t>Rasch item response analysis (UCON dichotomous)</t>
  </si>
  <si>
    <t>Rasch Item Response Analysis (polytomous UCON)</t>
  </si>
  <si>
    <t>max change</t>
  </si>
  <si>
    <t>min variance</t>
  </si>
  <si>
    <t>raw</t>
  </si>
  <si>
    <t>Probability Category 1</t>
  </si>
  <si>
    <t>Probability Category 2</t>
  </si>
  <si>
    <t>thresh</t>
  </si>
  <si>
    <t>resid</t>
  </si>
  <si>
    <t>Fit</t>
  </si>
  <si>
    <t>Rasch item response analysis (UCON polytomous)</t>
  </si>
  <si>
    <t>Building a UCON model</t>
  </si>
  <si>
    <t>Real Statistics functions UCON and UCONFIT</t>
  </si>
  <si>
    <t>Real Statistics functions UCON_SUBJ, UCON_ITEM and UCON_THRESH</t>
  </si>
  <si>
    <t>Charles Zaiontz, 30 August 2020</t>
  </si>
  <si>
    <t>Spearman's confience interval</t>
  </si>
  <si>
    <t>z-lower</t>
  </si>
  <si>
    <t>z-upper</t>
  </si>
  <si>
    <t>r-lower</t>
  </si>
  <si>
    <t>r-upper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</si>
</sst>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"/>
    <numFmt numFmtId="165" formatCode="0.0"/>
    <numFmt numFmtId="166" formatCode="0.000"/>
    <numFmt numFmtId="167" formatCode="#,##0.0"/>
    <numFmt numFmtId="168" formatCode="0.0%"/>
    <numFmt numFmtId="169" formatCode="0.00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6"/>
      <color theme="1"/>
      <name val="Calibri"/>
      <family val="2"/>
    </font>
    <font>
      <sz val="10"/>
      <name val="Courier New"/>
      <family val="3"/>
    </font>
    <font>
      <sz val="10"/>
      <name val="Arial"/>
      <family val="2"/>
    </font>
    <font>
      <sz val="10"/>
      <name val="Calibri"/>
      <family val="2"/>
      <scheme val="minor"/>
    </font>
    <font>
      <b/>
      <u/>
      <sz val="11"/>
      <color theme="10"/>
      <name val="Calibri"/>
      <family val="2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sz val="10"/>
      <color theme="1"/>
      <name val="Tahoma"/>
      <family val="2"/>
    </font>
    <font>
      <b/>
      <sz val="12"/>
      <color theme="1"/>
      <name val="Tahoma"/>
      <family val="2"/>
    </font>
    <font>
      <sz val="10"/>
      <color theme="1"/>
      <name val="Calibri"/>
      <family val="2"/>
    </font>
    <font>
      <vertAlign val="subscript"/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CB"/>
        <bgColor indexed="64"/>
      </patternFill>
    </fill>
  </fills>
  <borders count="120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1" fillId="0" borderId="0"/>
    <xf numFmtId="9" fontId="1" fillId="0" borderId="0" applyFont="0" applyFill="0" applyBorder="0" applyAlignment="0" applyProtection="0"/>
  </cellStyleXfs>
  <cellXfs count="567">
    <xf numFmtId="0" fontId="0" fillId="0" borderId="0" xfId="0"/>
    <xf numFmtId="0" fontId="2" fillId="0" borderId="0" xfId="0" applyFont="1"/>
    <xf numFmtId="0" fontId="3" fillId="0" borderId="0" xfId="1" applyAlignment="1" applyProtection="1"/>
    <xf numFmtId="0" fontId="0" fillId="0" borderId="2" xfId="0" applyBorder="1"/>
    <xf numFmtId="0" fontId="0" fillId="0" borderId="0" xfId="0" applyBorder="1"/>
    <xf numFmtId="0" fontId="0" fillId="0" borderId="5" xfId="0" applyBorder="1"/>
    <xf numFmtId="0" fontId="0" fillId="0" borderId="0" xfId="0" applyAlignment="1">
      <alignment horizontal="right"/>
    </xf>
    <xf numFmtId="0" fontId="0" fillId="0" borderId="0" xfId="0" quotePrefix="1"/>
    <xf numFmtId="164" fontId="0" fillId="0" borderId="0" xfId="0" applyNumberFormat="1"/>
    <xf numFmtId="0" fontId="0" fillId="0" borderId="0" xfId="0" applyFont="1"/>
    <xf numFmtId="0" fontId="5" fillId="0" borderId="13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4" xfId="0" applyFill="1" applyBorder="1" applyAlignment="1"/>
    <xf numFmtId="0" fontId="0" fillId="0" borderId="12" xfId="0" applyBorder="1"/>
    <xf numFmtId="0" fontId="0" fillId="0" borderId="0" xfId="0" applyBorder="1" applyAlignment="1">
      <alignment horizontal="right"/>
    </xf>
    <xf numFmtId="0" fontId="0" fillId="0" borderId="11" xfId="0" applyBorder="1"/>
    <xf numFmtId="165" fontId="0" fillId="0" borderId="0" xfId="0" applyNumberFormat="1"/>
    <xf numFmtId="0" fontId="4" fillId="0" borderId="0" xfId="0" applyFont="1"/>
    <xf numFmtId="0" fontId="0" fillId="0" borderId="0" xfId="0" applyFill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4" fillId="0" borderId="0" xfId="0" applyFont="1" applyAlignment="1">
      <alignment horizontal="right"/>
    </xf>
    <xf numFmtId="0" fontId="8" fillId="0" borderId="0" xfId="0" applyFont="1" applyBorder="1"/>
    <xf numFmtId="166" fontId="0" fillId="0" borderId="0" xfId="0" applyNumberFormat="1"/>
    <xf numFmtId="166" fontId="0" fillId="0" borderId="0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4" xfId="0" applyFont="1" applyBorder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6" xfId="0" applyBorder="1"/>
    <xf numFmtId="0" fontId="12" fillId="0" borderId="0" xfId="0" applyFont="1"/>
    <xf numFmtId="0" fontId="12" fillId="0" borderId="15" xfId="0" applyFont="1" applyBorder="1"/>
    <xf numFmtId="0" fontId="12" fillId="0" borderId="15" xfId="0" applyFont="1" applyBorder="1" applyAlignment="1">
      <alignment horizontal="right"/>
    </xf>
    <xf numFmtId="0" fontId="12" fillId="0" borderId="0" xfId="2" applyFont="1" applyBorder="1" applyAlignment="1">
      <alignment horizontal="right"/>
    </xf>
    <xf numFmtId="165" fontId="12" fillId="0" borderId="0" xfId="2" quotePrefix="1" applyNumberFormat="1" applyFont="1" applyBorder="1" applyAlignment="1">
      <alignment horizontal="right"/>
    </xf>
    <xf numFmtId="165" fontId="12" fillId="0" borderId="0" xfId="0" applyNumberFormat="1" applyFont="1"/>
    <xf numFmtId="3" fontId="12" fillId="0" borderId="0" xfId="2" applyNumberFormat="1" applyFont="1" applyFill="1" applyBorder="1" applyAlignment="1">
      <alignment horizontal="right" wrapText="1"/>
    </xf>
    <xf numFmtId="165" fontId="12" fillId="0" borderId="0" xfId="2" applyNumberFormat="1" applyFont="1" applyBorder="1" applyAlignment="1"/>
    <xf numFmtId="2" fontId="12" fillId="0" borderId="0" xfId="2" applyNumberFormat="1" applyFont="1" applyAlignment="1"/>
    <xf numFmtId="165" fontId="12" fillId="0" borderId="0" xfId="2" applyNumberFormat="1" applyFont="1" applyBorder="1" applyAlignment="1">
      <alignment horizontal="right" wrapText="1"/>
    </xf>
    <xf numFmtId="165" fontId="12" fillId="0" borderId="0" xfId="3" applyNumberFormat="1" applyFont="1" applyAlignment="1"/>
    <xf numFmtId="3" fontId="12" fillId="0" borderId="0" xfId="2" applyNumberFormat="1" applyFont="1"/>
    <xf numFmtId="167" fontId="12" fillId="0" borderId="0" xfId="2" applyNumberFormat="1" applyFont="1" applyBorder="1" applyAlignment="1">
      <alignment horizontal="right"/>
    </xf>
    <xf numFmtId="165" fontId="12" fillId="0" borderId="0" xfId="2" applyNumberFormat="1" applyFont="1" applyBorder="1" applyAlignment="1">
      <alignment horizontal="right"/>
    </xf>
    <xf numFmtId="0" fontId="12" fillId="0" borderId="18" xfId="0" applyFont="1" applyBorder="1"/>
    <xf numFmtId="0" fontId="12" fillId="0" borderId="18" xfId="2" applyFont="1" applyBorder="1" applyAlignment="1">
      <alignment horizontal="right"/>
    </xf>
    <xf numFmtId="165" fontId="12" fillId="0" borderId="18" xfId="2" quotePrefix="1" applyNumberFormat="1" applyFont="1" applyBorder="1" applyAlignment="1">
      <alignment horizontal="right"/>
    </xf>
    <xf numFmtId="165" fontId="12" fillId="0" borderId="18" xfId="0" applyNumberFormat="1" applyFont="1" applyBorder="1"/>
    <xf numFmtId="3" fontId="12" fillId="0" borderId="18" xfId="2" applyNumberFormat="1" applyFont="1" applyFill="1" applyBorder="1" applyAlignment="1">
      <alignment horizontal="right" wrapText="1"/>
    </xf>
    <xf numFmtId="165" fontId="12" fillId="0" borderId="18" xfId="2" applyNumberFormat="1" applyFont="1" applyBorder="1" applyAlignment="1"/>
    <xf numFmtId="2" fontId="12" fillId="0" borderId="18" xfId="2" applyNumberFormat="1" applyFont="1" applyBorder="1" applyAlignment="1"/>
    <xf numFmtId="165" fontId="12" fillId="0" borderId="18" xfId="2" applyNumberFormat="1" applyFont="1" applyBorder="1" applyAlignment="1">
      <alignment horizontal="right" wrapText="1"/>
    </xf>
    <xf numFmtId="165" fontId="12" fillId="0" borderId="18" xfId="3" applyNumberFormat="1" applyFont="1" applyBorder="1" applyAlignment="1"/>
    <xf numFmtId="3" fontId="12" fillId="0" borderId="18" xfId="2" applyNumberFormat="1" applyFont="1" applyBorder="1"/>
    <xf numFmtId="0" fontId="4" fillId="0" borderId="0" xfId="0" applyFont="1" applyAlignment="1">
      <alignment horizontal="center"/>
    </xf>
    <xf numFmtId="0" fontId="0" fillId="0" borderId="19" xfId="0" applyFont="1" applyBorder="1"/>
    <xf numFmtId="0" fontId="0" fillId="0" borderId="20" xfId="0" applyFont="1" applyBorder="1"/>
    <xf numFmtId="0" fontId="4" fillId="0" borderId="4" xfId="0" applyFont="1" applyBorder="1"/>
    <xf numFmtId="0" fontId="0" fillId="0" borderId="5" xfId="0" applyFont="1" applyBorder="1"/>
    <xf numFmtId="0" fontId="0" fillId="0" borderId="21" xfId="0" applyFont="1" applyBorder="1"/>
    <xf numFmtId="0" fontId="0" fillId="0" borderId="22" xfId="0" applyFont="1" applyBorder="1" applyAlignment="1">
      <alignment horizontal="right"/>
    </xf>
    <xf numFmtId="0" fontId="0" fillId="0" borderId="0" xfId="0" applyFont="1" applyFill="1" applyBorder="1"/>
    <xf numFmtId="0" fontId="4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0" xfId="0" applyBorder="1" applyAlignment="1">
      <alignment horizontal="left"/>
    </xf>
    <xf numFmtId="0" fontId="0" fillId="0" borderId="21" xfId="0" applyFont="1" applyBorder="1" applyAlignment="1">
      <alignment horizontal="right"/>
    </xf>
    <xf numFmtId="0" fontId="0" fillId="0" borderId="28" xfId="0" applyBorder="1" applyAlignment="1">
      <alignment horizontal="center"/>
    </xf>
    <xf numFmtId="0" fontId="3" fillId="0" borderId="0" xfId="1" applyAlignment="1" applyProtection="1">
      <alignment horizontal="justify" vertical="center"/>
    </xf>
    <xf numFmtId="0" fontId="0" fillId="0" borderId="0" xfId="0" applyAlignment="1">
      <alignment horizontal="center"/>
    </xf>
    <xf numFmtId="0" fontId="0" fillId="0" borderId="28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29" xfId="0" applyBorder="1"/>
    <xf numFmtId="0" fontId="0" fillId="0" borderId="30" xfId="0" applyBorder="1"/>
    <xf numFmtId="0" fontId="5" fillId="0" borderId="0" xfId="0" applyFont="1"/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5" fillId="0" borderId="0" xfId="0" applyFont="1" applyAlignment="1">
      <alignment horizontal="center"/>
    </xf>
    <xf numFmtId="0" fontId="0" fillId="0" borderId="0" xfId="0" applyFont="1" applyFill="1" applyBorder="1" applyAlignment="1">
      <alignment horizontal="left"/>
    </xf>
    <xf numFmtId="0" fontId="4" fillId="0" borderId="0" xfId="0" applyFont="1" applyFill="1" applyBorder="1"/>
    <xf numFmtId="10" fontId="0" fillId="0" borderId="0" xfId="0" applyNumberFormat="1" applyFill="1" applyBorder="1"/>
    <xf numFmtId="0" fontId="0" fillId="0" borderId="31" xfId="0" applyBorder="1"/>
    <xf numFmtId="0" fontId="0" fillId="0" borderId="32" xfId="0" applyBorder="1" applyAlignment="1">
      <alignment horizontal="center"/>
    </xf>
    <xf numFmtId="0" fontId="4" fillId="0" borderId="0" xfId="0" applyFont="1" applyBorder="1"/>
    <xf numFmtId="0" fontId="0" fillId="0" borderId="33" xfId="0" applyBorder="1" applyAlignment="1">
      <alignment horizontal="right"/>
    </xf>
    <xf numFmtId="0" fontId="0" fillId="0" borderId="32" xfId="0" applyBorder="1"/>
    <xf numFmtId="0" fontId="0" fillId="0" borderId="33" xfId="0" applyBorder="1"/>
    <xf numFmtId="0" fontId="0" fillId="0" borderId="31" xfId="0" applyBorder="1" applyAlignment="1">
      <alignment horizontal="center"/>
    </xf>
    <xf numFmtId="0" fontId="0" fillId="2" borderId="8" xfId="0" applyFill="1" applyBorder="1"/>
    <xf numFmtId="0" fontId="0" fillId="0" borderId="34" xfId="0" applyBorder="1" applyAlignment="1">
      <alignment horizontal="center"/>
    </xf>
    <xf numFmtId="0" fontId="0" fillId="0" borderId="34" xfId="0" applyFont="1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4" xfId="0" applyBorder="1"/>
    <xf numFmtId="0" fontId="0" fillId="0" borderId="37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Font="1" applyBorder="1"/>
    <xf numFmtId="0" fontId="0" fillId="0" borderId="39" xfId="0" applyBorder="1"/>
    <xf numFmtId="0" fontId="0" fillId="0" borderId="37" xfId="0" applyBorder="1" applyAlignment="1">
      <alignment horizontal="right"/>
    </xf>
    <xf numFmtId="0" fontId="0" fillId="0" borderId="38" xfId="0" applyBorder="1"/>
    <xf numFmtId="0" fontId="0" fillId="0" borderId="36" xfId="0" applyNumberFormat="1" applyBorder="1"/>
    <xf numFmtId="0" fontId="0" fillId="0" borderId="4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39" xfId="0" applyFont="1" applyBorder="1"/>
    <xf numFmtId="0" fontId="0" fillId="0" borderId="36" xfId="0" applyFont="1" applyBorder="1"/>
    <xf numFmtId="0" fontId="0" fillId="0" borderId="33" xfId="0" applyFont="1" applyBorder="1"/>
    <xf numFmtId="0" fontId="0" fillId="0" borderId="38" xfId="0" applyFont="1" applyBorder="1"/>
    <xf numFmtId="0" fontId="0" fillId="0" borderId="33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40" xfId="0" applyBorder="1"/>
    <xf numFmtId="0" fontId="0" fillId="0" borderId="42" xfId="0" applyBorder="1"/>
    <xf numFmtId="0" fontId="0" fillId="0" borderId="44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5" xfId="0" applyBorder="1" applyAlignment="1">
      <alignment horizontal="center"/>
    </xf>
    <xf numFmtId="166" fontId="0" fillId="0" borderId="37" xfId="0" applyNumberFormat="1" applyBorder="1"/>
    <xf numFmtId="166" fontId="0" fillId="0" borderId="34" xfId="0" applyNumberFormat="1" applyBorder="1"/>
    <xf numFmtId="166" fontId="0" fillId="0" borderId="31" xfId="0" applyNumberFormat="1" applyBorder="1"/>
    <xf numFmtId="166" fontId="0" fillId="0" borderId="32" xfId="0" applyNumberFormat="1" applyBorder="1"/>
    <xf numFmtId="0" fontId="0" fillId="0" borderId="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3" xfId="0" applyBorder="1" applyAlignment="1">
      <alignment horizontal="center"/>
    </xf>
    <xf numFmtId="0" fontId="0" fillId="0" borderId="21" xfId="0" applyBorder="1" applyAlignment="1">
      <alignment horizontal="center" wrapText="1"/>
    </xf>
    <xf numFmtId="0" fontId="0" fillId="0" borderId="22" xfId="0" applyBorder="1" applyAlignment="1">
      <alignment horizontal="center" wrapText="1"/>
    </xf>
    <xf numFmtId="0" fontId="0" fillId="0" borderId="19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Font="1" applyBorder="1" applyAlignment="1">
      <alignment horizontal="right"/>
    </xf>
    <xf numFmtId="0" fontId="8" fillId="0" borderId="0" xfId="0" applyFont="1"/>
    <xf numFmtId="0" fontId="0" fillId="0" borderId="46" xfId="0" applyBorder="1"/>
    <xf numFmtId="0" fontId="0" fillId="0" borderId="42" xfId="0" applyBorder="1" applyAlignment="1">
      <alignment horizontal="center"/>
    </xf>
    <xf numFmtId="0" fontId="13" fillId="0" borderId="0" xfId="1" applyFont="1" applyAlignment="1" applyProtection="1"/>
    <xf numFmtId="165" fontId="8" fillId="0" borderId="0" xfId="0" applyNumberFormat="1" applyFont="1"/>
    <xf numFmtId="165" fontId="8" fillId="0" borderId="0" xfId="0" applyNumberFormat="1" applyFont="1" applyBorder="1"/>
    <xf numFmtId="0" fontId="0" fillId="0" borderId="47" xfId="0" applyBorder="1"/>
    <xf numFmtId="0" fontId="0" fillId="0" borderId="48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2" borderId="37" xfId="0" applyFill="1" applyBorder="1"/>
    <xf numFmtId="0" fontId="0" fillId="3" borderId="37" xfId="0" applyFill="1" applyBorder="1"/>
    <xf numFmtId="0" fontId="0" fillId="0" borderId="48" xfId="0" applyBorder="1" applyAlignment="1">
      <alignment horizontal="center"/>
    </xf>
    <xf numFmtId="0" fontId="0" fillId="0" borderId="50" xfId="0" applyBorder="1" applyAlignment="1">
      <alignment horizontal="center"/>
    </xf>
    <xf numFmtId="0" fontId="5" fillId="0" borderId="57" xfId="0" applyFont="1" applyBorder="1" applyAlignment="1">
      <alignment horizontal="center"/>
    </xf>
    <xf numFmtId="0" fontId="0" fillId="0" borderId="58" xfId="0" applyBorder="1"/>
    <xf numFmtId="0" fontId="0" fillId="0" borderId="49" xfId="0" applyBorder="1" applyAlignment="1">
      <alignment horizontal="center"/>
    </xf>
    <xf numFmtId="0" fontId="0" fillId="0" borderId="59" xfId="0" applyBorder="1"/>
    <xf numFmtId="0" fontId="0" fillId="0" borderId="0" xfId="0" quotePrefix="1" applyFont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0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34" xfId="0" applyFill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0" fontId="0" fillId="0" borderId="50" xfId="0" quotePrefix="1" applyBorder="1" applyAlignment="1">
      <alignment horizontal="center"/>
    </xf>
    <xf numFmtId="0" fontId="0" fillId="0" borderId="34" xfId="0" quotePrefix="1" applyBorder="1" applyAlignment="1">
      <alignment horizontal="center"/>
    </xf>
    <xf numFmtId="0" fontId="0" fillId="0" borderId="32" xfId="0" quotePrefix="1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0" fillId="0" borderId="63" xfId="0" applyBorder="1"/>
    <xf numFmtId="0" fontId="0" fillId="0" borderId="55" xfId="0" applyBorder="1" applyAlignment="1">
      <alignment horizontal="right"/>
    </xf>
    <xf numFmtId="0" fontId="8" fillId="0" borderId="31" xfId="0" applyFont="1" applyBorder="1"/>
    <xf numFmtId="0" fontId="8" fillId="0" borderId="32" xfId="0" applyFont="1" applyBorder="1"/>
    <xf numFmtId="0" fontId="5" fillId="0" borderId="55" xfId="0" applyFont="1" applyBorder="1" applyAlignment="1">
      <alignment horizontal="center"/>
    </xf>
    <xf numFmtId="165" fontId="0" fillId="0" borderId="55" xfId="0" applyNumberFormat="1" applyBorder="1"/>
    <xf numFmtId="0" fontId="8" fillId="0" borderId="37" xfId="0" applyFont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61" xfId="0" applyFont="1" applyBorder="1"/>
    <xf numFmtId="0" fontId="0" fillId="0" borderId="0" xfId="0" quotePrefix="1" applyFont="1" applyBorder="1"/>
    <xf numFmtId="0" fontId="0" fillId="0" borderId="64" xfId="0" applyBorder="1"/>
    <xf numFmtId="0" fontId="4" fillId="0" borderId="0" xfId="0" applyFont="1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58" xfId="0" applyNumberFormat="1" applyBorder="1"/>
    <xf numFmtId="166" fontId="0" fillId="0" borderId="63" xfId="0" applyNumberFormat="1" applyBorder="1"/>
    <xf numFmtId="166" fontId="0" fillId="0" borderId="55" xfId="0" applyNumberFormat="1" applyBorder="1"/>
    <xf numFmtId="166" fontId="0" fillId="0" borderId="34" xfId="0" applyNumberFormat="1" applyFill="1" applyBorder="1"/>
    <xf numFmtId="166" fontId="0" fillId="0" borderId="32" xfId="0" applyNumberFormat="1" applyFill="1" applyBorder="1"/>
    <xf numFmtId="166" fontId="0" fillId="0" borderId="58" xfId="0" quotePrefix="1" applyNumberFormat="1" applyBorder="1" applyAlignment="1">
      <alignment horizontal="right"/>
    </xf>
    <xf numFmtId="0" fontId="0" fillId="0" borderId="63" xfId="0" quotePrefix="1" applyBorder="1" applyAlignment="1">
      <alignment horizontal="right"/>
    </xf>
    <xf numFmtId="166" fontId="0" fillId="0" borderId="0" xfId="0" quotePrefix="1" applyNumberFormat="1" applyBorder="1" applyAlignment="1">
      <alignment horizontal="right"/>
    </xf>
    <xf numFmtId="0" fontId="0" fillId="0" borderId="34" xfId="0" quotePrefix="1" applyBorder="1" applyAlignment="1">
      <alignment horizontal="right"/>
    </xf>
    <xf numFmtId="166" fontId="0" fillId="0" borderId="62" xfId="0" applyNumberFormat="1" applyBorder="1"/>
    <xf numFmtId="166" fontId="0" fillId="0" borderId="63" xfId="0" applyNumberFormat="1" applyFill="1" applyBorder="1"/>
    <xf numFmtId="166" fontId="0" fillId="0" borderId="0" xfId="0" applyNumberFormat="1" applyBorder="1" applyAlignment="1">
      <alignment horizontal="right"/>
    </xf>
    <xf numFmtId="166" fontId="0" fillId="0" borderId="58" xfId="0" applyNumberFormat="1" applyBorder="1" applyAlignment="1">
      <alignment horizontal="right"/>
    </xf>
    <xf numFmtId="166" fontId="0" fillId="0" borderId="63" xfId="0" applyNumberFormat="1" applyBorder="1" applyAlignment="1">
      <alignment horizontal="right"/>
    </xf>
    <xf numFmtId="166" fontId="0" fillId="0" borderId="34" xfId="0" applyNumberFormat="1" applyBorder="1" applyAlignment="1">
      <alignment horizontal="right"/>
    </xf>
    <xf numFmtId="0" fontId="8" fillId="0" borderId="55" xfId="0" applyFont="1" applyBorder="1"/>
    <xf numFmtId="0" fontId="0" fillId="0" borderId="63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5" xfId="0" applyBorder="1"/>
    <xf numFmtId="0" fontId="0" fillId="0" borderId="66" xfId="0" applyBorder="1"/>
    <xf numFmtId="0" fontId="0" fillId="0" borderId="0" xfId="0" applyAlignment="1"/>
    <xf numFmtId="0" fontId="0" fillId="0" borderId="0" xfId="0" applyAlignment="1">
      <alignment horizontal="center"/>
    </xf>
    <xf numFmtId="0" fontId="5" fillId="0" borderId="13" xfId="0" applyFont="1" applyFill="1" applyBorder="1" applyAlignment="1">
      <alignment horizontal="center"/>
    </xf>
    <xf numFmtId="10" fontId="0" fillId="0" borderId="14" xfId="4" applyNumberFormat="1" applyFont="1" applyFill="1" applyBorder="1" applyAlignment="1"/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166" fontId="0" fillId="0" borderId="14" xfId="0" applyNumberFormat="1" applyFill="1" applyBorder="1" applyAlignment="1"/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3" xfId="0" applyFill="1" applyBorder="1"/>
    <xf numFmtId="0" fontId="0" fillId="2" borderId="6" xfId="0" applyFill="1" applyBorder="1"/>
    <xf numFmtId="169" fontId="0" fillId="0" borderId="62" xfId="0" applyNumberFormat="1" applyBorder="1"/>
    <xf numFmtId="169" fontId="0" fillId="0" borderId="58" xfId="0" applyNumberFormat="1" applyBorder="1"/>
    <xf numFmtId="169" fontId="0" fillId="0" borderId="63" xfId="0" applyNumberFormat="1" applyBorder="1"/>
    <xf numFmtId="169" fontId="0" fillId="0" borderId="37" xfId="0" applyNumberFormat="1" applyBorder="1"/>
    <xf numFmtId="169" fontId="0" fillId="0" borderId="0" xfId="0" applyNumberFormat="1" applyBorder="1"/>
    <xf numFmtId="169" fontId="0" fillId="0" borderId="34" xfId="0" applyNumberFormat="1" applyBorder="1"/>
    <xf numFmtId="169" fontId="0" fillId="0" borderId="31" xfId="0" applyNumberFormat="1" applyBorder="1"/>
    <xf numFmtId="169" fontId="0" fillId="0" borderId="55" xfId="0" applyNumberFormat="1" applyBorder="1"/>
    <xf numFmtId="169" fontId="0" fillId="0" borderId="32" xfId="0" applyNumberFormat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67" xfId="0" applyBorder="1"/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6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68" xfId="0" applyBorder="1"/>
    <xf numFmtId="0" fontId="0" fillId="0" borderId="69" xfId="0" applyBorder="1" applyAlignment="1">
      <alignment horizontal="right"/>
    </xf>
    <xf numFmtId="0" fontId="0" fillId="0" borderId="60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62" xfId="0" applyFont="1" applyBorder="1"/>
    <xf numFmtId="0" fontId="0" fillId="0" borderId="63" xfId="0" applyFont="1" applyBorder="1"/>
    <xf numFmtId="0" fontId="0" fillId="0" borderId="31" xfId="0" applyFont="1" applyBorder="1" applyAlignment="1">
      <alignment horizontal="right"/>
    </xf>
    <xf numFmtId="0" fontId="0" fillId="0" borderId="32" xfId="0" applyFont="1" applyBorder="1" applyAlignment="1">
      <alignment horizontal="right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Border="1" applyAlignment="1">
      <alignment horizontal="center"/>
    </xf>
    <xf numFmtId="0" fontId="0" fillId="0" borderId="69" xfId="0" applyBorder="1"/>
    <xf numFmtId="0" fontId="0" fillId="0" borderId="69" xfId="0" applyBorder="1" applyAlignment="1">
      <alignment horizont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8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0" xfId="0" quotePrefix="1" applyAlignment="1">
      <alignment vertical="center"/>
    </xf>
    <xf numFmtId="0" fontId="0" fillId="0" borderId="0" xfId="0" applyAlignment="1">
      <alignment horizontal="center"/>
    </xf>
    <xf numFmtId="0" fontId="0" fillId="0" borderId="70" xfId="0" applyBorder="1"/>
    <xf numFmtId="0" fontId="0" fillId="0" borderId="0" xfId="0" applyBorder="1" applyAlignment="1">
      <alignment horizontal="center"/>
    </xf>
    <xf numFmtId="0" fontId="1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32" xfId="0" quotePrefix="1" applyNumberFormat="1" applyBorder="1" applyAlignment="1">
      <alignment horizontal="center"/>
    </xf>
    <xf numFmtId="16" fontId="0" fillId="0" borderId="32" xfId="0" quotePrefix="1" applyNumberFormat="1" applyBorder="1" applyAlignment="1">
      <alignment horizontal="center"/>
    </xf>
    <xf numFmtId="164" fontId="0" fillId="0" borderId="55" xfId="0" applyNumberFormat="1" applyBorder="1"/>
    <xf numFmtId="0" fontId="0" fillId="0" borderId="62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3" xfId="0" applyFill="1" applyBorder="1" applyAlignment="1">
      <alignment horizontal="right"/>
    </xf>
    <xf numFmtId="0" fontId="0" fillId="0" borderId="31" xfId="0" applyFill="1" applyBorder="1" applyAlignment="1">
      <alignment horizontal="right"/>
    </xf>
    <xf numFmtId="0" fontId="0" fillId="0" borderId="72" xfId="0" applyBorder="1"/>
    <xf numFmtId="0" fontId="0" fillId="0" borderId="73" xfId="0" applyBorder="1"/>
    <xf numFmtId="0" fontId="0" fillId="0" borderId="74" xfId="0" applyBorder="1"/>
    <xf numFmtId="0" fontId="0" fillId="0" borderId="75" xfId="0" applyBorder="1"/>
    <xf numFmtId="0" fontId="0" fillId="0" borderId="76" xfId="0" applyBorder="1"/>
    <xf numFmtId="0" fontId="0" fillId="0" borderId="77" xfId="0" applyBorder="1"/>
    <xf numFmtId="0" fontId="0" fillId="0" borderId="71" xfId="0" applyBorder="1"/>
    <xf numFmtId="0" fontId="0" fillId="0" borderId="7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/>
    </xf>
    <xf numFmtId="0" fontId="16" fillId="0" borderId="0" xfId="0" applyFont="1" applyBorder="1" applyAlignment="1">
      <alignment horizontal="center" vertical="top" wrapText="1"/>
    </xf>
    <xf numFmtId="0" fontId="16" fillId="0" borderId="55" xfId="0" applyFont="1" applyBorder="1" applyAlignment="1">
      <alignment horizontal="center" vertical="top" wrapText="1"/>
    </xf>
    <xf numFmtId="0" fontId="16" fillId="0" borderId="0" xfId="0" applyFont="1" applyFill="1" applyBorder="1" applyAlignment="1">
      <alignment horizontal="left" wrapText="1"/>
    </xf>
    <xf numFmtId="0" fontId="16" fillId="0" borderId="69" xfId="0" applyFont="1" applyBorder="1" applyAlignment="1">
      <alignment horizontal="center" wrapText="1"/>
    </xf>
    <xf numFmtId="0" fontId="16" fillId="0" borderId="0" xfId="0" applyFont="1" applyBorder="1" applyAlignment="1">
      <alignment horizontal="center" wrapText="1"/>
    </xf>
    <xf numFmtId="0" fontId="16" fillId="0" borderId="0" xfId="0" applyFont="1" applyFill="1" applyBorder="1" applyAlignment="1">
      <alignment horizontal="left"/>
    </xf>
    <xf numFmtId="0" fontId="16" fillId="0" borderId="32" xfId="0" applyFont="1" applyBorder="1" applyAlignment="1">
      <alignment horizontal="center" wrapText="1"/>
    </xf>
    <xf numFmtId="0" fontId="16" fillId="0" borderId="55" xfId="0" applyFont="1" applyBorder="1" applyAlignment="1">
      <alignment horizontal="center" wrapText="1"/>
    </xf>
    <xf numFmtId="0" fontId="16" fillId="0" borderId="31" xfId="0" applyFont="1" applyBorder="1" applyAlignment="1">
      <alignment horizontal="center" wrapText="1"/>
    </xf>
    <xf numFmtId="0" fontId="16" fillId="0" borderId="34" xfId="0" applyFont="1" applyBorder="1" applyAlignment="1">
      <alignment horizontal="center" wrapText="1"/>
    </xf>
    <xf numFmtId="0" fontId="16" fillId="0" borderId="37" xfId="0" applyFont="1" applyBorder="1" applyAlignment="1">
      <alignment horizontal="center" wrapText="1"/>
    </xf>
    <xf numFmtId="0" fontId="16" fillId="0" borderId="63" xfId="0" applyFont="1" applyBorder="1" applyAlignment="1">
      <alignment horizontal="center" wrapText="1"/>
    </xf>
    <xf numFmtId="0" fontId="16" fillId="0" borderId="2" xfId="0" applyFont="1" applyBorder="1" applyAlignment="1">
      <alignment horizontal="center" wrapText="1"/>
    </xf>
    <xf numFmtId="0" fontId="16" fillId="0" borderId="62" xfId="0" applyFont="1" applyBorder="1" applyAlignment="1">
      <alignment horizontal="center" wrapText="1"/>
    </xf>
    <xf numFmtId="0" fontId="16" fillId="0" borderId="0" xfId="0" applyFont="1" applyFill="1" applyBorder="1" applyAlignment="1">
      <alignment horizontal="center" wrapText="1"/>
    </xf>
    <xf numFmtId="0" fontId="0" fillId="0" borderId="78" xfId="0" applyBorder="1"/>
    <xf numFmtId="0" fontId="0" fillId="0" borderId="79" xfId="0" applyBorder="1"/>
    <xf numFmtId="0" fontId="0" fillId="0" borderId="80" xfId="0" applyBorder="1"/>
    <xf numFmtId="0" fontId="0" fillId="0" borderId="81" xfId="0" applyBorder="1"/>
    <xf numFmtId="0" fontId="16" fillId="0" borderId="82" xfId="0" applyFont="1" applyBorder="1" applyAlignment="1">
      <alignment horizontal="center" wrapText="1"/>
    </xf>
    <xf numFmtId="0" fontId="16" fillId="0" borderId="83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wrapText="1"/>
    </xf>
    <xf numFmtId="0" fontId="16" fillId="0" borderId="8" xfId="0" applyFont="1" applyBorder="1" applyAlignment="1">
      <alignment horizontal="center" wrapText="1"/>
    </xf>
    <xf numFmtId="0" fontId="16" fillId="0" borderId="47" xfId="0" applyFont="1" applyBorder="1" applyAlignment="1">
      <alignment horizontal="center" wrapText="1"/>
    </xf>
    <xf numFmtId="0" fontId="0" fillId="0" borderId="84" xfId="0" applyBorder="1"/>
    <xf numFmtId="0" fontId="0" fillId="0" borderId="85" xfId="0" applyBorder="1"/>
    <xf numFmtId="0" fontId="0" fillId="0" borderId="86" xfId="0" applyBorder="1"/>
    <xf numFmtId="0" fontId="0" fillId="0" borderId="87" xfId="0" applyBorder="1"/>
    <xf numFmtId="0" fontId="18" fillId="0" borderId="0" xfId="0" applyFont="1" applyFill="1" applyBorder="1" applyAlignment="1">
      <alignment horizontal="center" wrapText="1"/>
    </xf>
    <xf numFmtId="0" fontId="16" fillId="0" borderId="5" xfId="0" applyFont="1" applyBorder="1" applyAlignment="1">
      <alignment horizontal="center" wrapText="1"/>
    </xf>
    <xf numFmtId="0" fontId="0" fillId="0" borderId="82" xfId="0" applyBorder="1"/>
    <xf numFmtId="0" fontId="0" fillId="0" borderId="83" xfId="0" applyBorder="1"/>
    <xf numFmtId="0" fontId="0" fillId="0" borderId="88" xfId="0" applyBorder="1"/>
    <xf numFmtId="0" fontId="16" fillId="0" borderId="88" xfId="0" applyFont="1" applyBorder="1" applyAlignment="1">
      <alignment horizontal="center" wrapText="1"/>
    </xf>
    <xf numFmtId="0" fontId="0" fillId="0" borderId="89" xfId="0" applyBorder="1"/>
    <xf numFmtId="0" fontId="0" fillId="0" borderId="90" xfId="0" applyBorder="1"/>
    <xf numFmtId="0" fontId="0" fillId="0" borderId="91" xfId="0" applyBorder="1"/>
    <xf numFmtId="0" fontId="0" fillId="0" borderId="92" xfId="0" applyBorder="1"/>
    <xf numFmtId="0" fontId="0" fillId="0" borderId="93" xfId="0" applyBorder="1"/>
    <xf numFmtId="0" fontId="16" fillId="0" borderId="89" xfId="0" applyFont="1" applyFill="1" applyBorder="1" applyAlignment="1">
      <alignment horizontal="right" wrapText="1"/>
    </xf>
    <xf numFmtId="0" fontId="0" fillId="0" borderId="94" xfId="0" applyBorder="1"/>
    <xf numFmtId="0" fontId="16" fillId="0" borderId="36" xfId="0" applyFont="1" applyFill="1" applyBorder="1" applyAlignment="1">
      <alignment horizontal="right" wrapText="1"/>
    </xf>
    <xf numFmtId="0" fontId="16" fillId="0" borderId="94" xfId="0" applyFont="1" applyBorder="1" applyAlignment="1">
      <alignment horizontal="center" wrapText="1"/>
    </xf>
    <xf numFmtId="0" fontId="16" fillId="0" borderId="33" xfId="0" applyFont="1" applyFill="1" applyBorder="1" applyAlignment="1">
      <alignment horizontal="right" wrapText="1"/>
    </xf>
    <xf numFmtId="0" fontId="0" fillId="0" borderId="94" xfId="0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95" xfId="0" applyBorder="1"/>
    <xf numFmtId="0" fontId="0" fillId="0" borderId="96" xfId="0" applyBorder="1" applyAlignment="1">
      <alignment horizontal="center"/>
    </xf>
    <xf numFmtId="0" fontId="0" fillId="0" borderId="82" xfId="0" applyBorder="1" applyAlignment="1">
      <alignment horizontal="center"/>
    </xf>
    <xf numFmtId="0" fontId="0" fillId="0" borderId="97" xfId="0" applyBorder="1"/>
    <xf numFmtId="0" fontId="0" fillId="0" borderId="98" xfId="0" applyBorder="1"/>
    <xf numFmtId="0" fontId="0" fillId="0" borderId="99" xfId="0" applyBorder="1"/>
    <xf numFmtId="0" fontId="0" fillId="0" borderId="96" xfId="0" applyBorder="1"/>
    <xf numFmtId="0" fontId="4" fillId="0" borderId="0" xfId="0" applyFont="1" applyFill="1" applyBorder="1" applyAlignment="1">
      <alignment horizontal="right"/>
    </xf>
    <xf numFmtId="165" fontId="8" fillId="0" borderId="55" xfId="0" applyNumberFormat="1" applyFont="1" applyBorder="1"/>
    <xf numFmtId="0" fontId="15" fillId="0" borderId="57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93" xfId="0" applyFont="1" applyBorder="1"/>
    <xf numFmtId="0" fontId="8" fillId="0" borderId="51" xfId="0" applyFont="1" applyBorder="1"/>
    <xf numFmtId="0" fontId="8" fillId="0" borderId="55" xfId="0" applyFont="1" applyBorder="1" applyAlignment="1">
      <alignment horizontal="right"/>
    </xf>
    <xf numFmtId="0" fontId="8" fillId="0" borderId="46" xfId="0" applyFont="1" applyBorder="1"/>
    <xf numFmtId="0" fontId="8" fillId="0" borderId="5" xfId="0" applyFont="1" applyBorder="1"/>
    <xf numFmtId="0" fontId="8" fillId="0" borderId="0" xfId="0" quotePrefix="1" applyFont="1"/>
    <xf numFmtId="0" fontId="8" fillId="0" borderId="33" xfId="0" applyFont="1" applyBorder="1"/>
    <xf numFmtId="0" fontId="8" fillId="0" borderId="94" xfId="0" applyFont="1" applyBorder="1"/>
    <xf numFmtId="0" fontId="8" fillId="0" borderId="83" xfId="0" applyFont="1" applyBorder="1"/>
    <xf numFmtId="0" fontId="8" fillId="0" borderId="88" xfId="0" applyFont="1" applyBorder="1"/>
    <xf numFmtId="0" fontId="8" fillId="0" borderId="36" xfId="0" applyFont="1" applyBorder="1"/>
    <xf numFmtId="0" fontId="8" fillId="0" borderId="95" xfId="0" applyFont="1" applyBorder="1"/>
    <xf numFmtId="0" fontId="8" fillId="0" borderId="100" xfId="0" applyFont="1" applyBorder="1"/>
    <xf numFmtId="0" fontId="15" fillId="0" borderId="55" xfId="0" applyFont="1" applyBorder="1" applyAlignment="1">
      <alignment horizontal="center"/>
    </xf>
    <xf numFmtId="0" fontId="8" fillId="0" borderId="86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14" fillId="0" borderId="0" xfId="0" applyFont="1"/>
    <xf numFmtId="0" fontId="0" fillId="0" borderId="38" xfId="0" applyFill="1" applyBorder="1"/>
    <xf numFmtId="0" fontId="0" fillId="0" borderId="40" xfId="0" applyFill="1" applyBorder="1"/>
    <xf numFmtId="0" fontId="0" fillId="2" borderId="5" xfId="0" applyFill="1" applyBorder="1"/>
    <xf numFmtId="0" fontId="0" fillId="3" borderId="5" xfId="0" applyFill="1" applyBorder="1"/>
    <xf numFmtId="0" fontId="0" fillId="2" borderId="94" xfId="0" applyFill="1" applyBorder="1"/>
    <xf numFmtId="0" fontId="0" fillId="2" borderId="88" xfId="0" applyFill="1" applyBorder="1"/>
    <xf numFmtId="0" fontId="0" fillId="3" borderId="94" xfId="0" applyFill="1" applyBorder="1"/>
    <xf numFmtId="0" fontId="0" fillId="3" borderId="88" xfId="0" applyFill="1" applyBorder="1"/>
    <xf numFmtId="0" fontId="0" fillId="0" borderId="94" xfId="0" applyFill="1" applyBorder="1"/>
    <xf numFmtId="0" fontId="0" fillId="0" borderId="83" xfId="0" applyFill="1" applyBorder="1"/>
    <xf numFmtId="0" fontId="0" fillId="0" borderId="101" xfId="0" applyBorder="1"/>
    <xf numFmtId="0" fontId="0" fillId="0" borderId="102" xfId="0" applyBorder="1"/>
    <xf numFmtId="0" fontId="0" fillId="0" borderId="103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0" xfId="0" applyAlignment="1">
      <alignment horizontal="center"/>
    </xf>
    <xf numFmtId="0" fontId="20" fillId="0" borderId="0" xfId="0" applyFont="1"/>
    <xf numFmtId="0" fontId="21" fillId="0" borderId="15" xfId="0" applyFont="1" applyBorder="1"/>
    <xf numFmtId="0" fontId="21" fillId="0" borderId="15" xfId="0" applyFont="1" applyBorder="1" applyAlignment="1">
      <alignment horizontal="right"/>
    </xf>
    <xf numFmtId="0" fontId="22" fillId="0" borderId="0" xfId="0" applyFont="1"/>
    <xf numFmtId="0" fontId="21" fillId="0" borderId="0" xfId="0" applyFont="1"/>
    <xf numFmtId="0" fontId="21" fillId="0" borderId="0" xfId="2" applyFont="1" applyBorder="1" applyAlignment="1">
      <alignment horizontal="right"/>
    </xf>
    <xf numFmtId="165" fontId="21" fillId="0" borderId="0" xfId="2" quotePrefix="1" applyNumberFormat="1" applyFont="1" applyBorder="1" applyAlignment="1">
      <alignment horizontal="right"/>
    </xf>
    <xf numFmtId="167" fontId="21" fillId="0" borderId="0" xfId="2" applyNumberFormat="1" applyFont="1" applyBorder="1" applyAlignment="1">
      <alignment horizontal="right"/>
    </xf>
    <xf numFmtId="165" fontId="21" fillId="0" borderId="0" xfId="2" applyNumberFormat="1" applyFont="1" applyBorder="1" applyAlignment="1">
      <alignment horizontal="right"/>
    </xf>
    <xf numFmtId="0" fontId="21" fillId="0" borderId="18" xfId="0" applyFont="1" applyBorder="1"/>
    <xf numFmtId="0" fontId="21" fillId="0" borderId="18" xfId="2" applyFont="1" applyBorder="1" applyAlignment="1">
      <alignment horizontal="right"/>
    </xf>
    <xf numFmtId="165" fontId="21" fillId="0" borderId="18" xfId="2" quotePrefix="1" applyNumberFormat="1" applyFont="1" applyBorder="1" applyAlignment="1">
      <alignment horizontal="right"/>
    </xf>
    <xf numFmtId="0" fontId="5" fillId="0" borderId="0" xfId="0" applyFont="1" applyFill="1" applyBorder="1" applyAlignment="1"/>
    <xf numFmtId="0" fontId="5" fillId="0" borderId="14" xfId="0" applyFont="1" applyFill="1" applyBorder="1" applyAlignment="1"/>
    <xf numFmtId="0" fontId="0" fillId="0" borderId="0" xfId="0" quotePrefix="1" applyFont="1" applyFill="1" applyBorder="1" applyAlignment="1">
      <alignment horizontal="left"/>
    </xf>
    <xf numFmtId="0" fontId="8" fillId="0" borderId="102" xfId="0" applyFont="1" applyBorder="1"/>
    <xf numFmtId="0" fontId="0" fillId="0" borderId="103" xfId="0" applyBorder="1" applyAlignment="1">
      <alignment horizontal="right"/>
    </xf>
    <xf numFmtId="0" fontId="0" fillId="0" borderId="103" xfId="0" applyBorder="1"/>
    <xf numFmtId="0" fontId="0" fillId="0" borderId="55" xfId="0" applyBorder="1" applyAlignment="1">
      <alignment horizontal="center"/>
    </xf>
    <xf numFmtId="0" fontId="0" fillId="0" borderId="0" xfId="0" applyAlignment="1">
      <alignment horizontal="center"/>
    </xf>
    <xf numFmtId="168" fontId="0" fillId="0" borderId="0" xfId="4" applyNumberFormat="1" applyFont="1" applyBorder="1"/>
    <xf numFmtId="168" fontId="0" fillId="0" borderId="0" xfId="4" applyNumberFormat="1" applyFont="1" applyFill="1" applyBorder="1"/>
    <xf numFmtId="168" fontId="0" fillId="0" borderId="55" xfId="4" applyNumberFormat="1" applyFont="1" applyBorder="1"/>
    <xf numFmtId="0" fontId="21" fillId="0" borderId="0" xfId="0" applyFont="1" applyBorder="1"/>
    <xf numFmtId="0" fontId="0" fillId="0" borderId="102" xfId="0" applyFont="1" applyBorder="1"/>
    <xf numFmtId="0" fontId="0" fillId="0" borderId="0" xfId="0" applyAlignment="1">
      <alignment horizontal="center"/>
    </xf>
    <xf numFmtId="0" fontId="0" fillId="0" borderId="55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104" xfId="0" applyBorder="1"/>
    <xf numFmtId="0" fontId="0" fillId="0" borderId="105" xfId="0" applyBorder="1"/>
    <xf numFmtId="0" fontId="0" fillId="0" borderId="106" xfId="0" applyBorder="1"/>
    <xf numFmtId="0" fontId="0" fillId="0" borderId="55" xfId="0" applyFill="1" applyBorder="1" applyAlignment="1">
      <alignment horizontal="center"/>
    </xf>
    <xf numFmtId="0" fontId="0" fillId="0" borderId="107" xfId="0" applyBorder="1"/>
    <xf numFmtId="0" fontId="0" fillId="0" borderId="108" xfId="0" applyBorder="1"/>
    <xf numFmtId="0" fontId="0" fillId="0" borderId="109" xfId="0" applyBorder="1"/>
    <xf numFmtId="0" fontId="0" fillId="0" borderId="110" xfId="0" applyBorder="1"/>
    <xf numFmtId="0" fontId="0" fillId="0" borderId="107" xfId="0" applyBorder="1" applyAlignment="1">
      <alignment horizontal="center"/>
    </xf>
    <xf numFmtId="0" fontId="0" fillId="0" borderId="108" xfId="0" applyBorder="1" applyAlignment="1">
      <alignment horizontal="center"/>
    </xf>
    <xf numFmtId="0" fontId="0" fillId="0" borderId="109" xfId="0" applyBorder="1" applyAlignment="1">
      <alignment horizontal="center"/>
    </xf>
    <xf numFmtId="0" fontId="0" fillId="0" borderId="0" xfId="0" quotePrefix="1" applyBorder="1"/>
    <xf numFmtId="0" fontId="0" fillId="0" borderId="111" xfId="0" applyBorder="1"/>
    <xf numFmtId="0" fontId="0" fillId="0" borderId="67" xfId="0" applyBorder="1" applyAlignment="1">
      <alignment vertical="center"/>
    </xf>
    <xf numFmtId="0" fontId="0" fillId="0" borderId="0" xfId="0" applyAlignment="1">
      <alignment horizontal="center"/>
    </xf>
    <xf numFmtId="0" fontId="0" fillId="0" borderId="55" xfId="0" applyBorder="1" applyAlignment="1">
      <alignment horizontal="center"/>
    </xf>
    <xf numFmtId="1" fontId="0" fillId="4" borderId="112" xfId="0" applyNumberFormat="1" applyFill="1" applyBorder="1" applyProtection="1">
      <protection locked="0"/>
    </xf>
    <xf numFmtId="1" fontId="0" fillId="4" borderId="113" xfId="0" applyNumberFormat="1" applyFill="1" applyBorder="1" applyProtection="1">
      <protection locked="0"/>
    </xf>
    <xf numFmtId="1" fontId="0" fillId="4" borderId="114" xfId="0" applyNumberFormat="1" applyFill="1" applyBorder="1" applyProtection="1">
      <protection locked="0"/>
    </xf>
    <xf numFmtId="0" fontId="0" fillId="0" borderId="0" xfId="0" applyNumberFormat="1"/>
    <xf numFmtId="1" fontId="0" fillId="4" borderId="115" xfId="0" applyNumberFormat="1" applyFill="1" applyBorder="1" applyProtection="1">
      <protection locked="0"/>
    </xf>
    <xf numFmtId="1" fontId="0" fillId="4" borderId="0" xfId="0" applyNumberFormat="1" applyFill="1" applyBorder="1" applyProtection="1">
      <protection locked="0"/>
    </xf>
    <xf numFmtId="1" fontId="0" fillId="4" borderId="116" xfId="0" applyNumberFormat="1" applyFill="1" applyBorder="1" applyProtection="1">
      <protection locked="0"/>
    </xf>
    <xf numFmtId="1" fontId="0" fillId="4" borderId="117" xfId="0" applyNumberFormat="1" applyFill="1" applyBorder="1" applyProtection="1">
      <protection locked="0"/>
    </xf>
    <xf numFmtId="1" fontId="0" fillId="4" borderId="14" xfId="0" applyNumberFormat="1" applyFill="1" applyBorder="1" applyProtection="1">
      <protection locked="0"/>
    </xf>
    <xf numFmtId="1" fontId="0" fillId="4" borderId="118" xfId="0" applyNumberFormat="1" applyFill="1" applyBorder="1" applyProtection="1">
      <protection locked="0"/>
    </xf>
    <xf numFmtId="0" fontId="0" fillId="4" borderId="83" xfId="0" applyNumberFormat="1" applyFill="1" applyBorder="1" applyProtection="1">
      <protection locked="0"/>
    </xf>
    <xf numFmtId="0" fontId="0" fillId="0" borderId="0" xfId="0" applyNumberFormat="1" applyFill="1" applyBorder="1" applyProtection="1">
      <protection locked="0"/>
    </xf>
    <xf numFmtId="0" fontId="0" fillId="4" borderId="0" xfId="0" applyNumberFormat="1" applyFill="1" applyBorder="1" applyProtection="1">
      <protection locked="0"/>
    </xf>
    <xf numFmtId="0" fontId="0" fillId="4" borderId="34" xfId="0" applyNumberFormat="1" applyFill="1" applyBorder="1" applyProtection="1">
      <protection locked="0"/>
    </xf>
    <xf numFmtId="0" fontId="0" fillId="4" borderId="31" xfId="0" applyNumberFormat="1" applyFill="1" applyBorder="1" applyProtection="1">
      <protection locked="0"/>
    </xf>
    <xf numFmtId="0" fontId="0" fillId="4" borderId="55" xfId="0" applyNumberFormat="1" applyFill="1" applyBorder="1" applyProtection="1">
      <protection locked="0"/>
    </xf>
    <xf numFmtId="0" fontId="0" fillId="4" borderId="32" xfId="0" applyNumberFormat="1" applyFill="1" applyBorder="1" applyProtection="1">
      <protection locked="0"/>
    </xf>
    <xf numFmtId="0" fontId="0" fillId="0" borderId="104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5" borderId="104" xfId="0" applyFill="1" applyBorder="1"/>
    <xf numFmtId="0" fontId="0" fillId="5" borderId="0" xfId="0" applyFill="1" applyBorder="1"/>
    <xf numFmtId="0" fontId="0" fillId="5" borderId="16" xfId="0" applyFill="1" applyBorder="1"/>
    <xf numFmtId="0" fontId="0" fillId="5" borderId="35" xfId="0" applyFill="1" applyBorder="1"/>
    <xf numFmtId="0" fontId="0" fillId="5" borderId="105" xfId="0" applyFill="1" applyBorder="1"/>
    <xf numFmtId="0" fontId="0" fillId="5" borderId="53" xfId="0" applyFill="1" applyBorder="1"/>
    <xf numFmtId="0" fontId="0" fillId="0" borderId="8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55" xfId="0" applyBorder="1" applyAlignment="1">
      <alignment horizontal="center"/>
    </xf>
    <xf numFmtId="0" fontId="0" fillId="4" borderId="107" xfId="0" applyNumberFormat="1" applyFill="1" applyBorder="1" applyProtection="1">
      <protection locked="0"/>
    </xf>
    <xf numFmtId="0" fontId="0" fillId="4" borderId="109" xfId="0" applyNumberFormat="1" applyFill="1" applyBorder="1" applyProtection="1">
      <protection locked="0"/>
    </xf>
    <xf numFmtId="0" fontId="0" fillId="4" borderId="37" xfId="0" applyNumberFormat="1" applyFill="1" applyBorder="1" applyProtection="1">
      <protection locked="0"/>
    </xf>
    <xf numFmtId="0" fontId="0" fillId="4" borderId="108" xfId="0" applyNumberFormat="1" applyFill="1" applyBorder="1" applyProtection="1">
      <protection locked="0"/>
    </xf>
    <xf numFmtId="0" fontId="0" fillId="0" borderId="110" xfId="0" applyNumberFormat="1" applyFill="1" applyBorder="1" applyProtection="1">
      <protection locked="0"/>
    </xf>
    <xf numFmtId="0" fontId="0" fillId="0" borderId="36" xfId="0" applyNumberFormat="1" applyFill="1" applyBorder="1" applyProtection="1">
      <protection locked="0"/>
    </xf>
    <xf numFmtId="0" fontId="0" fillId="0" borderId="33" xfId="0" applyNumberFormat="1" applyFill="1" applyBorder="1" applyProtection="1">
      <protection locked="0"/>
    </xf>
    <xf numFmtId="0" fontId="0" fillId="0" borderId="107" xfId="0" applyNumberFormat="1" applyFill="1" applyBorder="1" applyProtection="1">
      <protection locked="0"/>
    </xf>
    <xf numFmtId="0" fontId="0" fillId="0" borderId="108" xfId="0" applyNumberFormat="1" applyFill="1" applyBorder="1" applyProtection="1">
      <protection locked="0"/>
    </xf>
    <xf numFmtId="0" fontId="0" fillId="0" borderId="109" xfId="0" applyNumberFormat="1" applyFill="1" applyBorder="1" applyProtection="1">
      <protection locked="0"/>
    </xf>
    <xf numFmtId="1" fontId="0" fillId="4" borderId="107" xfId="0" applyNumberFormat="1" applyFill="1" applyBorder="1" applyAlignment="1" applyProtection="1">
      <alignment horizontal="center"/>
      <protection locked="0"/>
    </xf>
    <xf numFmtId="1" fontId="0" fillId="4" borderId="110" xfId="0" applyNumberFormat="1" applyFill="1" applyBorder="1" applyAlignment="1" applyProtection="1">
      <alignment horizontal="center"/>
      <protection locked="0"/>
    </xf>
    <xf numFmtId="165" fontId="0" fillId="4" borderId="107" xfId="0" applyNumberFormat="1" applyFill="1" applyBorder="1" applyAlignment="1" applyProtection="1">
      <alignment horizontal="center"/>
      <protection locked="0"/>
    </xf>
    <xf numFmtId="165" fontId="0" fillId="4" borderId="110" xfId="0" applyNumberFormat="1" applyFill="1" applyBorder="1" applyAlignment="1" applyProtection="1">
      <alignment horizontal="center"/>
      <protection locked="0"/>
    </xf>
    <xf numFmtId="1" fontId="0" fillId="4" borderId="87" xfId="0" applyNumberFormat="1" applyFill="1" applyBorder="1" applyAlignment="1" applyProtection="1">
      <alignment horizontal="center"/>
      <protection locked="0"/>
    </xf>
    <xf numFmtId="1" fontId="0" fillId="4" borderId="67" xfId="0" applyNumberFormat="1" applyFill="1" applyBorder="1" applyAlignment="1" applyProtection="1">
      <alignment horizontal="center"/>
      <protection locked="0"/>
    </xf>
    <xf numFmtId="165" fontId="0" fillId="4" borderId="87" xfId="0" applyNumberFormat="1" applyFill="1" applyBorder="1" applyAlignment="1" applyProtection="1">
      <alignment horizontal="center"/>
      <protection locked="0"/>
    </xf>
    <xf numFmtId="165" fontId="0" fillId="4" borderId="67" xfId="0" applyNumberFormat="1" applyFill="1" applyBorder="1" applyAlignment="1" applyProtection="1">
      <alignment horizontal="center"/>
      <protection locked="0"/>
    </xf>
    <xf numFmtId="0" fontId="0" fillId="0" borderId="32" xfId="0" applyNumberFormat="1" applyFill="1" applyBorder="1" applyProtection="1">
      <protection locked="0"/>
    </xf>
    <xf numFmtId="0" fontId="0" fillId="0" borderId="34" xfId="0" applyNumberFormat="1" applyFill="1" applyBorder="1" applyProtection="1">
      <protection locked="0"/>
    </xf>
    <xf numFmtId="10" fontId="0" fillId="0" borderId="55" xfId="4" applyNumberFormat="1" applyFont="1" applyBorder="1"/>
    <xf numFmtId="10" fontId="0" fillId="0" borderId="0" xfId="4" applyNumberFormat="1" applyFont="1"/>
    <xf numFmtId="0" fontId="0" fillId="4" borderId="112" xfId="0" applyFill="1" applyBorder="1"/>
    <xf numFmtId="0" fontId="0" fillId="4" borderId="113" xfId="0" applyFill="1" applyBorder="1"/>
    <xf numFmtId="0" fontId="0" fillId="4" borderId="114" xfId="0" applyFill="1" applyBorder="1"/>
    <xf numFmtId="0" fontId="0" fillId="4" borderId="115" xfId="0" applyFill="1" applyBorder="1"/>
    <xf numFmtId="0" fontId="0" fillId="4" borderId="0" xfId="0" applyFill="1" applyBorder="1"/>
    <xf numFmtId="0" fontId="0" fillId="4" borderId="116" xfId="0" applyFill="1" applyBorder="1"/>
    <xf numFmtId="0" fontId="0" fillId="4" borderId="117" xfId="0" applyFill="1" applyBorder="1"/>
    <xf numFmtId="0" fontId="0" fillId="4" borderId="14" xfId="0" applyFill="1" applyBorder="1"/>
    <xf numFmtId="0" fontId="0" fillId="4" borderId="118" xfId="0" applyFill="1" applyBorder="1"/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Border="1"/>
    <xf numFmtId="10" fontId="0" fillId="0" borderId="55" xfId="0" applyNumberFormat="1" applyBorder="1"/>
    <xf numFmtId="1" fontId="0" fillId="0" borderId="0" xfId="0" applyNumberFormat="1" applyFill="1"/>
    <xf numFmtId="10" fontId="0" fillId="0" borderId="0" xfId="0" applyNumberFormat="1" applyBorder="1"/>
    <xf numFmtId="1" fontId="0" fillId="4" borderId="32" xfId="0" applyNumberFormat="1" applyFill="1" applyBorder="1" applyProtection="1">
      <protection locked="0"/>
    </xf>
    <xf numFmtId="1" fontId="0" fillId="4" borderId="55" xfId="0" applyNumberFormat="1" applyFill="1" applyBorder="1" applyProtection="1">
      <protection locked="0"/>
    </xf>
    <xf numFmtId="1" fontId="0" fillId="4" borderId="31" xfId="0" applyNumberFormat="1" applyFill="1" applyBorder="1" applyProtection="1">
      <protection locked="0"/>
    </xf>
    <xf numFmtId="0" fontId="0" fillId="0" borderId="0" xfId="0" applyFill="1" applyBorder="1" applyAlignment="1">
      <alignment horizontal="right"/>
    </xf>
    <xf numFmtId="0" fontId="0" fillId="0" borderId="36" xfId="0" applyFill="1" applyBorder="1" applyAlignment="1">
      <alignment horizontal="right"/>
    </xf>
    <xf numFmtId="1" fontId="0" fillId="4" borderId="34" xfId="0" applyNumberFormat="1" applyFill="1" applyBorder="1" applyProtection="1">
      <protection locked="0"/>
    </xf>
    <xf numFmtId="1" fontId="0" fillId="4" borderId="37" xfId="0" applyNumberFormat="1" applyFill="1" applyBorder="1" applyProtection="1">
      <protection locked="0"/>
    </xf>
    <xf numFmtId="1" fontId="0" fillId="0" borderId="110" xfId="0" applyNumberFormat="1" applyBorder="1"/>
    <xf numFmtId="1" fontId="0" fillId="4" borderId="109" xfId="0" applyNumberFormat="1" applyFill="1" applyBorder="1" applyProtection="1">
      <protection locked="0"/>
    </xf>
    <xf numFmtId="1" fontId="0" fillId="4" borderId="108" xfId="0" applyNumberFormat="1" applyFill="1" applyBorder="1" applyProtection="1">
      <protection locked="0"/>
    </xf>
    <xf numFmtId="1" fontId="0" fillId="4" borderId="107" xfId="0" applyNumberFormat="1" applyFill="1" applyBorder="1" applyProtection="1">
      <protection locked="0"/>
    </xf>
    <xf numFmtId="0" fontId="0" fillId="0" borderId="86" xfId="0" applyFill="1" applyBorder="1" applyAlignment="1">
      <alignment horizontal="center"/>
    </xf>
    <xf numFmtId="0" fontId="0" fillId="0" borderId="0" xfId="0" applyFill="1" applyAlignment="1">
      <alignment horizontal="right"/>
    </xf>
    <xf numFmtId="0" fontId="2" fillId="0" borderId="0" xfId="0" applyFont="1" applyFill="1" applyAlignment="1">
      <alignment horizontal="left"/>
    </xf>
    <xf numFmtId="0" fontId="0" fillId="0" borderId="86" xfId="0" applyBorder="1" applyAlignment="1">
      <alignment horizontal="right"/>
    </xf>
    <xf numFmtId="165" fontId="0" fillId="0" borderId="0" xfId="0" applyNumberFormat="1" applyAlignment="1">
      <alignment horizontal="center"/>
    </xf>
    <xf numFmtId="165" fontId="0" fillId="0" borderId="55" xfId="0" applyNumberFormat="1" applyBorder="1" applyAlignment="1">
      <alignment horizontal="center"/>
    </xf>
    <xf numFmtId="0" fontId="4" fillId="0" borderId="86" xfId="0" applyFont="1" applyBorder="1" applyAlignment="1">
      <alignment horizontal="right"/>
    </xf>
    <xf numFmtId="0" fontId="4" fillId="0" borderId="0" xfId="0" applyFont="1" applyBorder="1" applyAlignment="1">
      <alignment horizontal="right"/>
    </xf>
    <xf numFmtId="0" fontId="4" fillId="0" borderId="0" xfId="0" applyFont="1" applyBorder="1" applyAlignment="1"/>
    <xf numFmtId="0" fontId="0" fillId="0" borderId="0" xfId="0" applyAlignment="1">
      <alignment horizontal="center"/>
    </xf>
    <xf numFmtId="0" fontId="0" fillId="0" borderId="119" xfId="0" applyBorder="1"/>
    <xf numFmtId="0" fontId="0" fillId="4" borderId="107" xfId="0" applyFill="1" applyBorder="1"/>
    <xf numFmtId="0" fontId="0" fillId="4" borderId="108" xfId="0" applyFill="1" applyBorder="1"/>
    <xf numFmtId="0" fontId="0" fillId="4" borderId="109" xfId="0" applyFill="1" applyBorder="1"/>
    <xf numFmtId="0" fontId="0" fillId="4" borderId="110" xfId="0" applyFill="1" applyBorder="1"/>
    <xf numFmtId="0" fontId="0" fillId="4" borderId="37" xfId="0" applyFill="1" applyBorder="1"/>
    <xf numFmtId="0" fontId="0" fillId="4" borderId="0" xfId="0" applyFill="1"/>
    <xf numFmtId="0" fontId="0" fillId="4" borderId="34" xfId="0" applyFill="1" applyBorder="1"/>
    <xf numFmtId="0" fontId="0" fillId="4" borderId="36" xfId="0" applyFill="1" applyBorder="1"/>
    <xf numFmtId="0" fontId="0" fillId="4" borderId="31" xfId="0" applyFill="1" applyBorder="1"/>
    <xf numFmtId="0" fontId="0" fillId="4" borderId="55" xfId="0" applyFill="1" applyBorder="1"/>
    <xf numFmtId="0" fontId="0" fillId="4" borderId="32" xfId="0" applyFill="1" applyBorder="1"/>
    <xf numFmtId="0" fontId="0" fillId="4" borderId="33" xfId="0" applyFill="1" applyBorder="1"/>
    <xf numFmtId="1" fontId="0" fillId="0" borderId="0" xfId="0" applyNumberFormat="1" applyProtection="1">
      <protection locked="0"/>
    </xf>
    <xf numFmtId="1" fontId="0" fillId="0" borderId="0" xfId="0" applyNumberFormat="1"/>
    <xf numFmtId="0" fontId="0" fillId="4" borderId="87" xfId="0" applyFill="1" applyBorder="1"/>
    <xf numFmtId="0" fontId="0" fillId="4" borderId="86" xfId="0" applyFill="1" applyBorder="1"/>
    <xf numFmtId="0" fontId="0" fillId="4" borderId="85" xfId="0" applyFill="1" applyBorder="1"/>
    <xf numFmtId="0" fontId="0" fillId="5" borderId="0" xfId="0" applyFill="1"/>
    <xf numFmtId="0" fontId="0" fillId="5" borderId="54" xfId="0" applyFill="1" applyBorder="1"/>
    <xf numFmtId="0" fontId="0" fillId="5" borderId="52" xfId="0" applyFill="1" applyBorder="1"/>
    <xf numFmtId="0" fontId="0" fillId="5" borderId="106" xfId="0" applyFill="1" applyBorder="1"/>
    <xf numFmtId="0" fontId="0" fillId="4" borderId="107" xfId="0" applyFill="1" applyBorder="1" applyProtection="1">
      <protection locked="0"/>
    </xf>
    <xf numFmtId="0" fontId="0" fillId="4" borderId="108" xfId="0" applyFill="1" applyBorder="1" applyProtection="1">
      <protection locked="0"/>
    </xf>
    <xf numFmtId="0" fontId="0" fillId="4" borderId="109" xfId="0" applyFill="1" applyBorder="1" applyProtection="1">
      <protection locked="0"/>
    </xf>
    <xf numFmtId="0" fontId="0" fillId="4" borderId="37" xfId="0" applyFill="1" applyBorder="1" applyProtection="1">
      <protection locked="0"/>
    </xf>
    <xf numFmtId="0" fontId="0" fillId="4" borderId="0" xfId="0" applyFill="1" applyProtection="1">
      <protection locked="0"/>
    </xf>
    <xf numFmtId="0" fontId="0" fillId="4" borderId="34" xfId="0" applyFill="1" applyBorder="1" applyProtection="1">
      <protection locked="0"/>
    </xf>
    <xf numFmtId="0" fontId="0" fillId="4" borderId="31" xfId="0" applyFill="1" applyBorder="1" applyProtection="1">
      <protection locked="0"/>
    </xf>
    <xf numFmtId="0" fontId="0" fillId="4" borderId="55" xfId="0" applyFill="1" applyBorder="1" applyProtection="1">
      <protection locked="0"/>
    </xf>
    <xf numFmtId="0" fontId="0" fillId="4" borderId="32" xfId="0" applyFill="1" applyBorder="1" applyProtection="1">
      <protection locked="0"/>
    </xf>
    <xf numFmtId="0" fontId="0" fillId="4" borderId="110" xfId="0" applyFill="1" applyBorder="1" applyProtection="1">
      <protection locked="0"/>
    </xf>
    <xf numFmtId="0" fontId="0" fillId="0" borderId="0" xfId="0" applyProtection="1">
      <protection locked="0"/>
    </xf>
    <xf numFmtId="0" fontId="0" fillId="0" borderId="37" xfId="0" applyBorder="1" applyProtection="1">
      <protection locked="0"/>
    </xf>
    <xf numFmtId="0" fontId="0" fillId="4" borderId="36" xfId="0" applyFill="1" applyBorder="1" applyProtection="1">
      <protection locked="0"/>
    </xf>
    <xf numFmtId="0" fontId="0" fillId="4" borderId="33" xfId="0" applyFill="1" applyBorder="1" applyProtection="1">
      <protection locked="0"/>
    </xf>
    <xf numFmtId="0" fontId="0" fillId="0" borderId="31" xfId="0" applyBorder="1" applyProtection="1">
      <protection locked="0"/>
    </xf>
    <xf numFmtId="0" fontId="0" fillId="2" borderId="0" xfId="0" applyFill="1" applyProtection="1">
      <protection locked="0"/>
    </xf>
    <xf numFmtId="0" fontId="0" fillId="0" borderId="107" xfId="0" applyBorder="1" applyProtection="1">
      <protection locked="0"/>
    </xf>
    <xf numFmtId="0" fontId="0" fillId="0" borderId="108" xfId="0" applyBorder="1" applyProtection="1">
      <protection locked="0"/>
    </xf>
    <xf numFmtId="0" fontId="0" fillId="0" borderId="109" xfId="0" applyBorder="1" applyProtection="1">
      <protection locked="0"/>
    </xf>
    <xf numFmtId="0" fontId="0" fillId="0" borderId="0" xfId="0" applyAlignment="1">
      <alignment horizontal="center"/>
    </xf>
    <xf numFmtId="0" fontId="0" fillId="0" borderId="55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0" xfId="0" applyNumberFormat="1" applyAlignment="1">
      <alignment horizontal="center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3" xfId="3" xr:uid="{00000000-0005-0000-0000-000003000000}"/>
    <cellStyle name="Percent" xfId="4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eetMetadata" Target="metadata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1"/>
              <a:t>r</a:t>
            </a:r>
            <a:r>
              <a:rPr lang="en-GB"/>
              <a:t> = 0.976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Scatter!$A$4:$A$13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3</c:v>
                </c:pt>
                <c:pt idx="9">
                  <c:v>10</c:v>
                </c:pt>
              </c:numCache>
            </c:numRef>
          </c:xVal>
          <c:yVal>
            <c:numRef>
              <c:f>Scatter!$B$4:$B$13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10</c:v>
                </c:pt>
                <c:pt idx="3">
                  <c:v>8</c:v>
                </c:pt>
                <c:pt idx="4">
                  <c:v>12</c:v>
                </c:pt>
                <c:pt idx="5">
                  <c:v>9</c:v>
                </c:pt>
                <c:pt idx="6">
                  <c:v>16</c:v>
                </c:pt>
                <c:pt idx="7">
                  <c:v>21</c:v>
                </c:pt>
                <c:pt idx="8">
                  <c:v>6</c:v>
                </c:pt>
                <c:pt idx="9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AB-40D7-83D0-ED9501D64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613144"/>
        <c:axId val="748610792"/>
      </c:scatterChart>
      <c:valAx>
        <c:axId val="748613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10792"/>
        <c:crosses val="autoZero"/>
        <c:crossBetween val="midCat"/>
      </c:valAx>
      <c:valAx>
        <c:axId val="74861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13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1"/>
              <a:t>r</a:t>
            </a:r>
            <a:r>
              <a:rPr lang="en-GB"/>
              <a:t>  = .300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Scatter!$A$18:$A$27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3</c:v>
                </c:pt>
                <c:pt idx="9">
                  <c:v>10</c:v>
                </c:pt>
              </c:numCache>
            </c:numRef>
          </c:xVal>
          <c:yVal>
            <c:numRef>
              <c:f>Scatter!$B$18:$B$27</c:f>
              <c:numCache>
                <c:formatCode>General</c:formatCode>
                <c:ptCount val="10"/>
                <c:pt idx="0">
                  <c:v>3</c:v>
                </c:pt>
                <c:pt idx="1">
                  <c:v>6</c:v>
                </c:pt>
                <c:pt idx="2">
                  <c:v>12</c:v>
                </c:pt>
                <c:pt idx="3">
                  <c:v>15</c:v>
                </c:pt>
                <c:pt idx="4">
                  <c:v>15</c:v>
                </c:pt>
                <c:pt idx="5">
                  <c:v>21</c:v>
                </c:pt>
                <c:pt idx="6">
                  <c:v>15</c:v>
                </c:pt>
                <c:pt idx="7">
                  <c:v>8</c:v>
                </c:pt>
                <c:pt idx="8">
                  <c:v>3</c:v>
                </c:pt>
                <c:pt idx="9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B4-4DAA-84A3-0899EED97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158288"/>
        <c:axId val="734155152"/>
      </c:scatterChart>
      <c:valAx>
        <c:axId val="73415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155152"/>
        <c:crosses val="autoZero"/>
        <c:crossBetween val="midCat"/>
      </c:valAx>
      <c:valAx>
        <c:axId val="7341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15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1"/>
              <a:t>r </a:t>
            </a:r>
            <a:r>
              <a:rPr lang="en-GB"/>
              <a:t>= -0.912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Scatter!$A$32:$A$41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3</c:v>
                </c:pt>
                <c:pt idx="9">
                  <c:v>10</c:v>
                </c:pt>
              </c:numCache>
            </c:numRef>
          </c:xVal>
          <c:yVal>
            <c:numRef>
              <c:f>Scatter!$B$32:$B$41</c:f>
              <c:numCache>
                <c:formatCode>General</c:formatCode>
                <c:ptCount val="10"/>
                <c:pt idx="0">
                  <c:v>21</c:v>
                </c:pt>
                <c:pt idx="1">
                  <c:v>13</c:v>
                </c:pt>
                <c:pt idx="2">
                  <c:v>7</c:v>
                </c:pt>
                <c:pt idx="3">
                  <c:v>8</c:v>
                </c:pt>
                <c:pt idx="4">
                  <c:v>10</c:v>
                </c:pt>
                <c:pt idx="5">
                  <c:v>9</c:v>
                </c:pt>
                <c:pt idx="6">
                  <c:v>6</c:v>
                </c:pt>
                <c:pt idx="7">
                  <c:v>1</c:v>
                </c:pt>
                <c:pt idx="8">
                  <c:v>14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DF-4814-914A-8FD5D6202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157112"/>
        <c:axId val="734157896"/>
      </c:scatterChart>
      <c:valAx>
        <c:axId val="734157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157896"/>
        <c:crosses val="autoZero"/>
        <c:crossBetween val="midCat"/>
      </c:valAx>
      <c:valAx>
        <c:axId val="73415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157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1"/>
              <a:t>r</a:t>
            </a:r>
            <a:r>
              <a:rPr lang="en-GB"/>
              <a:t> = 0.068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Scatter!$A$46:$A$55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3</c:v>
                </c:pt>
                <c:pt idx="9">
                  <c:v>10</c:v>
                </c:pt>
              </c:numCache>
            </c:numRef>
          </c:xVal>
          <c:yVal>
            <c:numRef>
              <c:f>Scatter!$B$46:$B$55</c:f>
              <c:numCache>
                <c:formatCode>General</c:formatCode>
                <c:ptCount val="10"/>
                <c:pt idx="0">
                  <c:v>3</c:v>
                </c:pt>
                <c:pt idx="1">
                  <c:v>6</c:v>
                </c:pt>
                <c:pt idx="2">
                  <c:v>5</c:v>
                </c:pt>
                <c:pt idx="3">
                  <c:v>21</c:v>
                </c:pt>
                <c:pt idx="4">
                  <c:v>12</c:v>
                </c:pt>
                <c:pt idx="5">
                  <c:v>14</c:v>
                </c:pt>
                <c:pt idx="6">
                  <c:v>2</c:v>
                </c:pt>
                <c:pt idx="7">
                  <c:v>16</c:v>
                </c:pt>
                <c:pt idx="8">
                  <c:v>12</c:v>
                </c:pt>
                <c:pt idx="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12-4DED-96A4-A4CADF8C8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957232"/>
        <c:axId val="724958800"/>
      </c:scatterChart>
      <c:valAx>
        <c:axId val="72495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58800"/>
        <c:crosses val="autoZero"/>
        <c:crossBetween val="midCat"/>
      </c:valAx>
      <c:valAx>
        <c:axId val="7249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5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Non-linear Association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1'!$A$4:$A$13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8</c:v>
                </c:pt>
                <c:pt idx="8">
                  <c:v>3</c:v>
                </c:pt>
                <c:pt idx="9">
                  <c:v>10</c:v>
                </c:pt>
              </c:numCache>
            </c:numRef>
          </c:xVal>
          <c:yVal>
            <c:numRef>
              <c:f>'Scatter 1'!$B$4:$B$13</c:f>
              <c:numCache>
                <c:formatCode>General</c:formatCode>
                <c:ptCount val="10"/>
                <c:pt idx="0">
                  <c:v>66</c:v>
                </c:pt>
                <c:pt idx="1">
                  <c:v>16</c:v>
                </c:pt>
                <c:pt idx="2">
                  <c:v>45</c:v>
                </c:pt>
                <c:pt idx="3">
                  <c:v>15</c:v>
                </c:pt>
                <c:pt idx="4">
                  <c:v>68</c:v>
                </c:pt>
                <c:pt idx="5">
                  <c:v>23</c:v>
                </c:pt>
                <c:pt idx="6">
                  <c:v>78</c:v>
                </c:pt>
                <c:pt idx="7">
                  <c:v>62</c:v>
                </c:pt>
                <c:pt idx="8">
                  <c:v>36</c:v>
                </c:pt>
                <c:pt idx="9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48-49CD-8E2C-07AD01038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956448"/>
        <c:axId val="724957624"/>
      </c:scatterChart>
      <c:valAx>
        <c:axId val="72495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57624"/>
        <c:crosses val="autoZero"/>
        <c:crossBetween val="midCat"/>
      </c:valAx>
      <c:valAx>
        <c:axId val="72495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5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Scatter Plot - X1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'Scatter 2'!$A$4:$A$13</c:f>
              <c:numCache>
                <c:formatCode>0.0</c:formatCode>
                <c:ptCount val="10"/>
                <c:pt idx="0">
                  <c:v>4.4000000000000004</c:v>
                </c:pt>
                <c:pt idx="1">
                  <c:v>8.1</c:v>
                </c:pt>
                <c:pt idx="2">
                  <c:v>9.1999999999999993</c:v>
                </c:pt>
                <c:pt idx="3">
                  <c:v>4.9000000000000004</c:v>
                </c:pt>
                <c:pt idx="4">
                  <c:v>5.2</c:v>
                </c:pt>
                <c:pt idx="5">
                  <c:v>6.5</c:v>
                </c:pt>
                <c:pt idx="6">
                  <c:v>0.8</c:v>
                </c:pt>
                <c:pt idx="7">
                  <c:v>2.1</c:v>
                </c:pt>
                <c:pt idx="8">
                  <c:v>7.6</c:v>
                </c:pt>
                <c:pt idx="9">
                  <c:v>3.7</c:v>
                </c:pt>
              </c:numCache>
            </c:numRef>
          </c:xVal>
          <c:yVal>
            <c:numRef>
              <c:f>'Scatter 2'!$C$4:$C$13</c:f>
              <c:numCache>
                <c:formatCode>0.0</c:formatCode>
                <c:ptCount val="10"/>
                <c:pt idx="0">
                  <c:v>8.1999999999999993</c:v>
                </c:pt>
                <c:pt idx="1">
                  <c:v>5.9</c:v>
                </c:pt>
                <c:pt idx="2">
                  <c:v>9.1</c:v>
                </c:pt>
                <c:pt idx="3">
                  <c:v>1.1000000000000001</c:v>
                </c:pt>
                <c:pt idx="4">
                  <c:v>3.7</c:v>
                </c:pt>
                <c:pt idx="5">
                  <c:v>4.3</c:v>
                </c:pt>
                <c:pt idx="6">
                  <c:v>5.2</c:v>
                </c:pt>
                <c:pt idx="7">
                  <c:v>8.4</c:v>
                </c:pt>
                <c:pt idx="8">
                  <c:v>9.9</c:v>
                </c:pt>
                <c:pt idx="9">
                  <c:v>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CA-4186-8CBA-543462D8A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27728"/>
        <c:axId val="586128904"/>
      </c:scatterChart>
      <c:valAx>
        <c:axId val="586127728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crossAx val="586128904"/>
        <c:crosses val="autoZero"/>
        <c:crossBetween val="midCat"/>
      </c:valAx>
      <c:valAx>
        <c:axId val="58612890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586127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Scatter Plot - X2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'Scatter 2'!$B$4:$B$13</c:f>
              <c:numCache>
                <c:formatCode>0.0</c:formatCode>
                <c:ptCount val="10"/>
                <c:pt idx="0">
                  <c:v>5.9</c:v>
                </c:pt>
                <c:pt idx="1">
                  <c:v>3.6</c:v>
                </c:pt>
                <c:pt idx="2">
                  <c:v>6.5</c:v>
                </c:pt>
                <c:pt idx="3">
                  <c:v>0.5</c:v>
                </c:pt>
                <c:pt idx="4">
                  <c:v>2.5</c:v>
                </c:pt>
                <c:pt idx="5">
                  <c:v>2.8</c:v>
                </c:pt>
                <c:pt idx="6">
                  <c:v>4.2</c:v>
                </c:pt>
                <c:pt idx="7">
                  <c:v>3.2</c:v>
                </c:pt>
                <c:pt idx="8">
                  <c:v>7.3</c:v>
                </c:pt>
                <c:pt idx="9">
                  <c:v>5.0999999999999996</c:v>
                </c:pt>
              </c:numCache>
            </c:numRef>
          </c:xVal>
          <c:yVal>
            <c:numRef>
              <c:f>'Scatter 2'!$C$4:$C$13</c:f>
              <c:numCache>
                <c:formatCode>0.0</c:formatCode>
                <c:ptCount val="10"/>
                <c:pt idx="0">
                  <c:v>8.1999999999999993</c:v>
                </c:pt>
                <c:pt idx="1">
                  <c:v>5.9</c:v>
                </c:pt>
                <c:pt idx="2">
                  <c:v>9.1</c:v>
                </c:pt>
                <c:pt idx="3">
                  <c:v>1.1000000000000001</c:v>
                </c:pt>
                <c:pt idx="4">
                  <c:v>3.7</c:v>
                </c:pt>
                <c:pt idx="5">
                  <c:v>4.3</c:v>
                </c:pt>
                <c:pt idx="6">
                  <c:v>5.2</c:v>
                </c:pt>
                <c:pt idx="7">
                  <c:v>8.4</c:v>
                </c:pt>
                <c:pt idx="8">
                  <c:v>9.9</c:v>
                </c:pt>
                <c:pt idx="9">
                  <c:v>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A4-4A74-A676-D65BE4DB0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26944"/>
        <c:axId val="751004864"/>
      </c:scatterChart>
      <c:valAx>
        <c:axId val="586126944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crossAx val="751004864"/>
        <c:crosses val="autoZero"/>
        <c:crossBetween val="midCat"/>
      </c:valAx>
      <c:valAx>
        <c:axId val="75100486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586126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Longevity v. Smoking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'Corr 0'!$B$3</c:f>
              <c:strCache>
                <c:ptCount val="1"/>
                <c:pt idx="0">
                  <c:v>Life Exp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'Corr 0'!$A$4:$A$18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'Corr 0'!$B$4:$B$18</c:f>
              <c:numCache>
                <c:formatCode>General</c:formatCode>
                <c:ptCount val="15"/>
                <c:pt idx="0">
                  <c:v>80</c:v>
                </c:pt>
                <c:pt idx="1">
                  <c:v>78</c:v>
                </c:pt>
                <c:pt idx="2">
                  <c:v>60</c:v>
                </c:pt>
                <c:pt idx="3">
                  <c:v>53</c:v>
                </c:pt>
                <c:pt idx="4">
                  <c:v>85</c:v>
                </c:pt>
                <c:pt idx="5">
                  <c:v>84</c:v>
                </c:pt>
                <c:pt idx="6">
                  <c:v>73</c:v>
                </c:pt>
                <c:pt idx="7">
                  <c:v>79</c:v>
                </c:pt>
                <c:pt idx="8">
                  <c:v>81</c:v>
                </c:pt>
                <c:pt idx="9">
                  <c:v>75</c:v>
                </c:pt>
                <c:pt idx="10">
                  <c:v>68</c:v>
                </c:pt>
                <c:pt idx="11">
                  <c:v>72</c:v>
                </c:pt>
                <c:pt idx="12">
                  <c:v>58</c:v>
                </c:pt>
                <c:pt idx="13">
                  <c:v>92</c:v>
                </c:pt>
                <c:pt idx="1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C9-4E08-9632-FB51F1958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05648"/>
        <c:axId val="751006432"/>
      </c:scatterChart>
      <c:valAx>
        <c:axId val="751005648"/>
        <c:scaling>
          <c:orientation val="minMax"/>
          <c:max val="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Cigarettes Smoked (per day)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006432"/>
        <c:crosses val="autoZero"/>
        <c:crossBetween val="midCat"/>
      </c:valAx>
      <c:valAx>
        <c:axId val="751006432"/>
        <c:scaling>
          <c:orientation val="minMax"/>
          <c:min val="5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Life Expectancy (years)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005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 - Cigarettes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'Corr 0'!$H$43:$H$57</c:f>
              <c:numCache>
                <c:formatCode>General</c:formatCode>
                <c:ptCount val="15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8</c:v>
                </c:pt>
                <c:pt idx="4">
                  <c:v>11</c:v>
                </c:pt>
                <c:pt idx="5">
                  <c:v>14</c:v>
                </c:pt>
                <c:pt idx="6">
                  <c:v>17</c:v>
                </c:pt>
                <c:pt idx="7">
                  <c:v>19</c:v>
                </c:pt>
                <c:pt idx="8">
                  <c:v>23</c:v>
                </c:pt>
                <c:pt idx="9">
                  <c:v>23</c:v>
                </c:pt>
                <c:pt idx="10">
                  <c:v>25</c:v>
                </c:pt>
                <c:pt idx="11">
                  <c:v>26</c:v>
                </c:pt>
                <c:pt idx="12">
                  <c:v>29</c:v>
                </c:pt>
                <c:pt idx="13">
                  <c:v>35</c:v>
                </c:pt>
                <c:pt idx="14">
                  <c:v>48</c:v>
                </c:pt>
              </c:numCache>
            </c:numRef>
          </c:xVal>
          <c:yVal>
            <c:numRef>
              <c:f>'Corr 0'!$I$43:$I$57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1F-4584-B920-31851FB3B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09256"/>
        <c:axId val="460309648"/>
      </c:scatterChart>
      <c:valAx>
        <c:axId val="460309256"/>
        <c:scaling>
          <c:orientation val="minMax"/>
          <c:max val="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309648"/>
        <c:crosses val="autoZero"/>
        <c:crossBetween val="midCat"/>
      </c:valAx>
      <c:valAx>
        <c:axId val="4603096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309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 - Longevity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'Corr 0'!$H$67:$H$81</c:f>
              <c:numCache>
                <c:formatCode>General</c:formatCode>
                <c:ptCount val="15"/>
                <c:pt idx="0">
                  <c:v>53</c:v>
                </c:pt>
                <c:pt idx="1">
                  <c:v>58</c:v>
                </c:pt>
                <c:pt idx="2">
                  <c:v>60</c:v>
                </c:pt>
                <c:pt idx="3">
                  <c:v>65</c:v>
                </c:pt>
                <c:pt idx="4">
                  <c:v>68</c:v>
                </c:pt>
                <c:pt idx="5">
                  <c:v>72</c:v>
                </c:pt>
                <c:pt idx="6">
                  <c:v>73</c:v>
                </c:pt>
                <c:pt idx="7">
                  <c:v>75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84</c:v>
                </c:pt>
                <c:pt idx="13">
                  <c:v>85</c:v>
                </c:pt>
                <c:pt idx="14">
                  <c:v>92</c:v>
                </c:pt>
              </c:numCache>
            </c:numRef>
          </c:xVal>
          <c:yVal>
            <c:numRef>
              <c:f>'Corr 0'!$I$67:$I$81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54-4237-A060-5665DD28C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928648"/>
        <c:axId val="750930216"/>
      </c:scatterChart>
      <c:valAx>
        <c:axId val="750928648"/>
        <c:scaling>
          <c:orientation val="minMax"/>
          <c:min val="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0930216"/>
        <c:crosses val="autoZero"/>
        <c:crossBetween val="midCat"/>
      </c:valAx>
      <c:valAx>
        <c:axId val="750930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0928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'Corr 2'!$B$4:$B$53</c:f>
              <c:numCache>
                <c:formatCode>General</c:formatCode>
                <c:ptCount val="50"/>
                <c:pt idx="0">
                  <c:v>15.7</c:v>
                </c:pt>
                <c:pt idx="1">
                  <c:v>8.4</c:v>
                </c:pt>
                <c:pt idx="2">
                  <c:v>14.7</c:v>
                </c:pt>
                <c:pt idx="3">
                  <c:v>17.3</c:v>
                </c:pt>
                <c:pt idx="4">
                  <c:v>13.3</c:v>
                </c:pt>
                <c:pt idx="5">
                  <c:v>11.4</c:v>
                </c:pt>
                <c:pt idx="6">
                  <c:v>9.3000000000000007</c:v>
                </c:pt>
                <c:pt idx="7" formatCode="#,##0.0">
                  <c:v>10</c:v>
                </c:pt>
                <c:pt idx="8">
                  <c:v>13.2</c:v>
                </c:pt>
                <c:pt idx="9">
                  <c:v>14.7</c:v>
                </c:pt>
                <c:pt idx="10">
                  <c:v>9.1</c:v>
                </c:pt>
                <c:pt idx="11">
                  <c:v>12.6</c:v>
                </c:pt>
                <c:pt idx="12">
                  <c:v>12.2</c:v>
                </c:pt>
                <c:pt idx="13">
                  <c:v>13.1</c:v>
                </c:pt>
                <c:pt idx="14">
                  <c:v>11.5</c:v>
                </c:pt>
                <c:pt idx="15">
                  <c:v>11.3</c:v>
                </c:pt>
                <c:pt idx="16">
                  <c:v>17.3</c:v>
                </c:pt>
                <c:pt idx="17">
                  <c:v>17.3</c:v>
                </c:pt>
                <c:pt idx="18">
                  <c:v>12.3</c:v>
                </c:pt>
                <c:pt idx="19">
                  <c:v>8.1</c:v>
                </c:pt>
                <c:pt idx="20" formatCode="#,##0.0">
                  <c:v>10</c:v>
                </c:pt>
                <c:pt idx="21">
                  <c:v>14.4</c:v>
                </c:pt>
                <c:pt idx="22">
                  <c:v>9.6</c:v>
                </c:pt>
                <c:pt idx="23">
                  <c:v>21.2</c:v>
                </c:pt>
                <c:pt idx="24">
                  <c:v>13.4</c:v>
                </c:pt>
                <c:pt idx="25">
                  <c:v>14.8</c:v>
                </c:pt>
                <c:pt idx="26">
                  <c:v>10.8</c:v>
                </c:pt>
                <c:pt idx="27">
                  <c:v>11.3</c:v>
                </c:pt>
                <c:pt idx="28">
                  <c:v>7.6</c:v>
                </c:pt>
                <c:pt idx="29">
                  <c:v>8.6999999999999993</c:v>
                </c:pt>
                <c:pt idx="30">
                  <c:v>17.100000000000001</c:v>
                </c:pt>
                <c:pt idx="31">
                  <c:v>13.6</c:v>
                </c:pt>
                <c:pt idx="32">
                  <c:v>14.6</c:v>
                </c:pt>
                <c:pt idx="33" formatCode="0.0">
                  <c:v>12</c:v>
                </c:pt>
                <c:pt idx="34">
                  <c:v>13.4</c:v>
                </c:pt>
                <c:pt idx="35">
                  <c:v>15.9</c:v>
                </c:pt>
                <c:pt idx="36">
                  <c:v>13.6</c:v>
                </c:pt>
                <c:pt idx="37">
                  <c:v>12.1</c:v>
                </c:pt>
                <c:pt idx="38">
                  <c:v>11.7</c:v>
                </c:pt>
                <c:pt idx="39">
                  <c:v>15.7</c:v>
                </c:pt>
                <c:pt idx="40">
                  <c:v>12.5</c:v>
                </c:pt>
                <c:pt idx="41">
                  <c:v>15.5</c:v>
                </c:pt>
                <c:pt idx="42">
                  <c:v>15.8</c:v>
                </c:pt>
                <c:pt idx="43">
                  <c:v>9.6</c:v>
                </c:pt>
                <c:pt idx="44">
                  <c:v>10.6</c:v>
                </c:pt>
                <c:pt idx="45">
                  <c:v>10.199999999999999</c:v>
                </c:pt>
                <c:pt idx="46">
                  <c:v>11.3</c:v>
                </c:pt>
                <c:pt idx="47" formatCode="0.0">
                  <c:v>17</c:v>
                </c:pt>
                <c:pt idx="48">
                  <c:v>10.4</c:v>
                </c:pt>
                <c:pt idx="49">
                  <c:v>9.4</c:v>
                </c:pt>
              </c:numCache>
            </c:numRef>
          </c:xVal>
          <c:yVal>
            <c:numRef>
              <c:f>'Corr 2'!$C$4:$C$53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F1-4320-A2DA-16B7CF1E6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931000"/>
        <c:axId val="750929432"/>
      </c:scatterChart>
      <c:valAx>
        <c:axId val="750931000"/>
        <c:scaling>
          <c:orientation val="minMax"/>
          <c:max val="25"/>
          <c:min val="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Poverty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0929432"/>
        <c:crosses val="autoZero"/>
        <c:crossBetween val="midCat"/>
      </c:valAx>
      <c:valAx>
        <c:axId val="750929432"/>
        <c:scaling>
          <c:orientation val="minMax"/>
          <c:min val="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Infant Mortality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750931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Bootstrap Correlation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'Corr 3a'!$AE$5:$AE$31</c:f>
              <c:numCache>
                <c:formatCode>0.000</c:formatCode>
                <c:ptCount val="27"/>
                <c:pt idx="0" formatCode="General">
                  <c:v>0</c:v>
                </c:pt>
                <c:pt idx="1">
                  <c:v>0.875</c:v>
                </c:pt>
                <c:pt idx="2">
                  <c:v>0.88</c:v>
                </c:pt>
                <c:pt idx="3">
                  <c:v>0.88500000000000001</c:v>
                </c:pt>
                <c:pt idx="4">
                  <c:v>0.89</c:v>
                </c:pt>
                <c:pt idx="5">
                  <c:v>0.89500000000000002</c:v>
                </c:pt>
                <c:pt idx="6">
                  <c:v>0.9</c:v>
                </c:pt>
                <c:pt idx="7">
                  <c:v>0.90500000000000003</c:v>
                </c:pt>
                <c:pt idx="8">
                  <c:v>0.91</c:v>
                </c:pt>
                <c:pt idx="9">
                  <c:v>0.91500000000000004</c:v>
                </c:pt>
                <c:pt idx="10">
                  <c:v>0.92</c:v>
                </c:pt>
                <c:pt idx="11">
                  <c:v>0.92500000000000004</c:v>
                </c:pt>
                <c:pt idx="12">
                  <c:v>0.93</c:v>
                </c:pt>
                <c:pt idx="13">
                  <c:v>0.93500000000000005</c:v>
                </c:pt>
                <c:pt idx="14">
                  <c:v>0.94000000000000006</c:v>
                </c:pt>
                <c:pt idx="15">
                  <c:v>0.94500000000000006</c:v>
                </c:pt>
                <c:pt idx="16">
                  <c:v>0.95000000000000007</c:v>
                </c:pt>
                <c:pt idx="17">
                  <c:v>0.95500000000000007</c:v>
                </c:pt>
                <c:pt idx="18">
                  <c:v>0.96000000000000008</c:v>
                </c:pt>
                <c:pt idx="19">
                  <c:v>0.96500000000000008</c:v>
                </c:pt>
                <c:pt idx="20">
                  <c:v>0.97000000000000008</c:v>
                </c:pt>
                <c:pt idx="21">
                  <c:v>0.97500000000000009</c:v>
                </c:pt>
                <c:pt idx="22">
                  <c:v>0.98000000000000009</c:v>
                </c:pt>
                <c:pt idx="23">
                  <c:v>0.9850000000000001</c:v>
                </c:pt>
                <c:pt idx="24">
                  <c:v>0.9900000000000001</c:v>
                </c:pt>
                <c:pt idx="25">
                  <c:v>0.99500000000000011</c:v>
                </c:pt>
                <c:pt idx="26">
                  <c:v>1</c:v>
                </c:pt>
              </c:numCache>
            </c:numRef>
          </c:cat>
          <c:val>
            <c:numRef>
              <c:f>'Corr 3a'!$AH$5:$AH$31</c:f>
              <c:numCache>
                <c:formatCode>0.00%</c:formatCode>
                <c:ptCount val="27"/>
                <c:pt idx="0">
                  <c:v>5.0025012506253123E-4</c:v>
                </c:pt>
                <c:pt idx="1">
                  <c:v>1.8009004502251125E-2</c:v>
                </c:pt>
                <c:pt idx="2">
                  <c:v>1.5007503751875938E-3</c:v>
                </c:pt>
                <c:pt idx="3">
                  <c:v>2.0010005002501249E-3</c:v>
                </c:pt>
                <c:pt idx="4">
                  <c:v>0</c:v>
                </c:pt>
                <c:pt idx="5">
                  <c:v>3.0015007503751876E-3</c:v>
                </c:pt>
                <c:pt idx="6">
                  <c:v>4.5022511255627812E-3</c:v>
                </c:pt>
                <c:pt idx="7">
                  <c:v>1.0005002501250625E-3</c:v>
                </c:pt>
                <c:pt idx="8">
                  <c:v>5.5027513756878439E-3</c:v>
                </c:pt>
                <c:pt idx="9">
                  <c:v>3.0015007503751876E-3</c:v>
                </c:pt>
                <c:pt idx="10">
                  <c:v>1.0005002501250625E-2</c:v>
                </c:pt>
                <c:pt idx="11">
                  <c:v>9.0045022511255624E-3</c:v>
                </c:pt>
                <c:pt idx="12">
                  <c:v>7.0035017508754379E-3</c:v>
                </c:pt>
                <c:pt idx="13">
                  <c:v>1.5007503751875938E-3</c:v>
                </c:pt>
                <c:pt idx="14">
                  <c:v>1.0505252626313157E-2</c:v>
                </c:pt>
                <c:pt idx="15">
                  <c:v>8.0040020010004997E-3</c:v>
                </c:pt>
                <c:pt idx="16">
                  <c:v>1.150575287643822E-2</c:v>
                </c:pt>
                <c:pt idx="17">
                  <c:v>1.5507753876938469E-2</c:v>
                </c:pt>
                <c:pt idx="18">
                  <c:v>3.3516758379189597E-2</c:v>
                </c:pt>
                <c:pt idx="19">
                  <c:v>6.3531765882941474E-2</c:v>
                </c:pt>
                <c:pt idx="20">
                  <c:v>9.2546273136568283E-2</c:v>
                </c:pt>
                <c:pt idx="21">
                  <c:v>0.10055027513756878</c:v>
                </c:pt>
                <c:pt idx="22">
                  <c:v>0.13456728364182091</c:v>
                </c:pt>
                <c:pt idx="23">
                  <c:v>0.13606803401700851</c:v>
                </c:pt>
                <c:pt idx="24">
                  <c:v>0.10805402701350675</c:v>
                </c:pt>
                <c:pt idx="25">
                  <c:v>8.7043521760880441E-2</c:v>
                </c:pt>
                <c:pt idx="26">
                  <c:v>0.13206603301650827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9-440A-9216-0D1E4F621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0930608"/>
        <c:axId val="750927472"/>
      </c:barChart>
      <c:catAx>
        <c:axId val="750930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50927472"/>
        <c:crosses val="autoZero"/>
        <c:auto val="1"/>
        <c:lblAlgn val="ctr"/>
        <c:lblOffset val="100"/>
        <c:noMultiLvlLbl val="0"/>
      </c:catAx>
      <c:valAx>
        <c:axId val="75092747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7509306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'Corr 3a'!$AP$5:$AP$31</c:f>
              <c:strCache>
                <c:ptCount val="27"/>
                <c:pt idx="0">
                  <c:v>0.875</c:v>
                </c:pt>
                <c:pt idx="1">
                  <c:v>0.88</c:v>
                </c:pt>
                <c:pt idx="2">
                  <c:v>0.885</c:v>
                </c:pt>
                <c:pt idx="3">
                  <c:v>0.89</c:v>
                </c:pt>
                <c:pt idx="4">
                  <c:v>0.895</c:v>
                </c:pt>
                <c:pt idx="5">
                  <c:v>0.9</c:v>
                </c:pt>
                <c:pt idx="6">
                  <c:v>0.905</c:v>
                </c:pt>
                <c:pt idx="7">
                  <c:v>0.91</c:v>
                </c:pt>
                <c:pt idx="8">
                  <c:v>0.915</c:v>
                </c:pt>
                <c:pt idx="9">
                  <c:v>0.92</c:v>
                </c:pt>
                <c:pt idx="10">
                  <c:v>0.925</c:v>
                </c:pt>
                <c:pt idx="11">
                  <c:v>0.93</c:v>
                </c:pt>
                <c:pt idx="12">
                  <c:v>0.935</c:v>
                </c:pt>
                <c:pt idx="13">
                  <c:v>0.94</c:v>
                </c:pt>
                <c:pt idx="14">
                  <c:v>0.945</c:v>
                </c:pt>
                <c:pt idx="15">
                  <c:v>0.95</c:v>
                </c:pt>
                <c:pt idx="16">
                  <c:v>0.955</c:v>
                </c:pt>
                <c:pt idx="17">
                  <c:v>0.96</c:v>
                </c:pt>
                <c:pt idx="18">
                  <c:v>0.965</c:v>
                </c:pt>
                <c:pt idx="19">
                  <c:v>0.97</c:v>
                </c:pt>
                <c:pt idx="20">
                  <c:v>0.975</c:v>
                </c:pt>
                <c:pt idx="21">
                  <c:v>0.98</c:v>
                </c:pt>
                <c:pt idx="22">
                  <c:v>0.985</c:v>
                </c:pt>
                <c:pt idx="23">
                  <c:v>0.99</c:v>
                </c:pt>
                <c:pt idx="24">
                  <c:v>0.995</c:v>
                </c:pt>
                <c:pt idx="25">
                  <c:v>1</c:v>
                </c:pt>
                <c:pt idx="26">
                  <c:v>More</c:v>
                </c:pt>
              </c:strCache>
            </c:strRef>
          </c:cat>
          <c:val>
            <c:numRef>
              <c:f>'Corr 3a'!$AQ$5:$AQ$31</c:f>
              <c:numCache>
                <c:formatCode>General</c:formatCode>
                <c:ptCount val="27"/>
                <c:pt idx="0">
                  <c:v>30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5</c:v>
                </c:pt>
                <c:pt idx="5">
                  <c:v>8</c:v>
                </c:pt>
                <c:pt idx="6">
                  <c:v>4</c:v>
                </c:pt>
                <c:pt idx="7">
                  <c:v>5</c:v>
                </c:pt>
                <c:pt idx="8">
                  <c:v>8</c:v>
                </c:pt>
                <c:pt idx="9">
                  <c:v>6</c:v>
                </c:pt>
                <c:pt idx="10">
                  <c:v>21</c:v>
                </c:pt>
                <c:pt idx="11">
                  <c:v>14</c:v>
                </c:pt>
                <c:pt idx="12">
                  <c:v>4</c:v>
                </c:pt>
                <c:pt idx="13">
                  <c:v>29</c:v>
                </c:pt>
                <c:pt idx="14">
                  <c:v>11</c:v>
                </c:pt>
                <c:pt idx="15">
                  <c:v>32</c:v>
                </c:pt>
                <c:pt idx="16">
                  <c:v>31</c:v>
                </c:pt>
                <c:pt idx="17">
                  <c:v>64</c:v>
                </c:pt>
                <c:pt idx="18">
                  <c:v>119</c:v>
                </c:pt>
                <c:pt idx="19">
                  <c:v>181</c:v>
                </c:pt>
                <c:pt idx="20">
                  <c:v>195</c:v>
                </c:pt>
                <c:pt idx="21">
                  <c:v>300</c:v>
                </c:pt>
                <c:pt idx="22">
                  <c:v>280</c:v>
                </c:pt>
                <c:pt idx="23">
                  <c:v>231</c:v>
                </c:pt>
                <c:pt idx="24">
                  <c:v>187</c:v>
                </c:pt>
                <c:pt idx="25">
                  <c:v>226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1-4645-9A51-DCBB6BDCE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0929824"/>
        <c:axId val="748184976"/>
      </c:barChart>
      <c:catAx>
        <c:axId val="75092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748184976"/>
        <c:crosses val="autoZero"/>
        <c:auto val="1"/>
        <c:lblAlgn val="ctr"/>
        <c:lblOffset val="100"/>
        <c:noMultiLvlLbl val="0"/>
      </c:catAx>
      <c:valAx>
        <c:axId val="748184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0929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'Corr 3a'!$BD$5:$BD$46</c:f>
              <c:strCache>
                <c:ptCount val="42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</c:v>
                </c:pt>
                <c:pt idx="10">
                  <c:v>-0.5</c:v>
                </c:pt>
                <c:pt idx="11">
                  <c:v>-0.45</c:v>
                </c:pt>
                <c:pt idx="12">
                  <c:v>-0.4</c:v>
                </c:pt>
                <c:pt idx="13">
                  <c:v>-0.35</c:v>
                </c:pt>
                <c:pt idx="14">
                  <c:v>-0.3</c:v>
                </c:pt>
                <c:pt idx="15">
                  <c:v>-0.25</c:v>
                </c:pt>
                <c:pt idx="16">
                  <c:v>-0.2</c:v>
                </c:pt>
                <c:pt idx="17">
                  <c:v>-0.15</c:v>
                </c:pt>
                <c:pt idx="18">
                  <c:v>-0.1</c:v>
                </c:pt>
                <c:pt idx="19">
                  <c:v>-0.05</c:v>
                </c:pt>
                <c:pt idx="20">
                  <c:v>3.19189E-16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  <c:pt idx="41">
                  <c:v>More</c:v>
                </c:pt>
              </c:strCache>
            </c:strRef>
          </c:cat>
          <c:val>
            <c:numRef>
              <c:f>'Corr 3a'!$BE$5:$BE$46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7</c:v>
                </c:pt>
                <c:pt idx="3">
                  <c:v>17</c:v>
                </c:pt>
                <c:pt idx="4">
                  <c:v>19</c:v>
                </c:pt>
                <c:pt idx="5">
                  <c:v>24</c:v>
                </c:pt>
                <c:pt idx="6">
                  <c:v>19</c:v>
                </c:pt>
                <c:pt idx="7">
                  <c:v>17</c:v>
                </c:pt>
                <c:pt idx="8">
                  <c:v>40</c:v>
                </c:pt>
                <c:pt idx="9">
                  <c:v>57</c:v>
                </c:pt>
                <c:pt idx="10">
                  <c:v>35</c:v>
                </c:pt>
                <c:pt idx="11">
                  <c:v>75</c:v>
                </c:pt>
                <c:pt idx="12">
                  <c:v>76</c:v>
                </c:pt>
                <c:pt idx="13">
                  <c:v>69</c:v>
                </c:pt>
                <c:pt idx="14">
                  <c:v>61</c:v>
                </c:pt>
                <c:pt idx="15">
                  <c:v>68</c:v>
                </c:pt>
                <c:pt idx="16">
                  <c:v>106</c:v>
                </c:pt>
                <c:pt idx="17">
                  <c:v>81</c:v>
                </c:pt>
                <c:pt idx="18">
                  <c:v>54</c:v>
                </c:pt>
                <c:pt idx="19">
                  <c:v>64</c:v>
                </c:pt>
                <c:pt idx="20">
                  <c:v>66</c:v>
                </c:pt>
                <c:pt idx="21">
                  <c:v>75</c:v>
                </c:pt>
                <c:pt idx="22">
                  <c:v>73</c:v>
                </c:pt>
                <c:pt idx="23">
                  <c:v>97</c:v>
                </c:pt>
                <c:pt idx="24">
                  <c:v>95</c:v>
                </c:pt>
                <c:pt idx="25">
                  <c:v>101</c:v>
                </c:pt>
                <c:pt idx="26">
                  <c:v>112</c:v>
                </c:pt>
                <c:pt idx="27">
                  <c:v>70</c:v>
                </c:pt>
                <c:pt idx="28">
                  <c:v>50</c:v>
                </c:pt>
                <c:pt idx="29">
                  <c:v>53</c:v>
                </c:pt>
                <c:pt idx="30">
                  <c:v>53</c:v>
                </c:pt>
                <c:pt idx="31">
                  <c:v>35</c:v>
                </c:pt>
                <c:pt idx="32">
                  <c:v>46</c:v>
                </c:pt>
                <c:pt idx="33">
                  <c:v>71</c:v>
                </c:pt>
                <c:pt idx="34">
                  <c:v>33</c:v>
                </c:pt>
                <c:pt idx="35">
                  <c:v>24</c:v>
                </c:pt>
                <c:pt idx="36">
                  <c:v>33</c:v>
                </c:pt>
                <c:pt idx="37">
                  <c:v>5</c:v>
                </c:pt>
                <c:pt idx="38">
                  <c:v>3</c:v>
                </c:pt>
                <c:pt idx="39">
                  <c:v>9</c:v>
                </c:pt>
                <c:pt idx="40">
                  <c:v>7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8-42EB-9CA0-A8F1662EE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8185760"/>
        <c:axId val="748186152"/>
      </c:barChart>
      <c:catAx>
        <c:axId val="748185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748186152"/>
        <c:crosses val="autoZero"/>
        <c:auto val="1"/>
        <c:lblAlgn val="ctr"/>
        <c:lblOffset val="100"/>
        <c:noMultiLvlLbl val="0"/>
      </c:catAx>
      <c:valAx>
        <c:axId val="748186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185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'Corr 3b'!$D$6:$D$51</c:f>
              <c:strCache>
                <c:ptCount val="46"/>
                <c:pt idx="0">
                  <c:v>-1</c:v>
                </c:pt>
                <c:pt idx="1">
                  <c:v>-0.975</c:v>
                </c:pt>
                <c:pt idx="2">
                  <c:v>-0.95</c:v>
                </c:pt>
                <c:pt idx="3">
                  <c:v>-0.925</c:v>
                </c:pt>
                <c:pt idx="4">
                  <c:v>-0.9</c:v>
                </c:pt>
                <c:pt idx="5">
                  <c:v>-0.875</c:v>
                </c:pt>
                <c:pt idx="6">
                  <c:v>-0.85</c:v>
                </c:pt>
                <c:pt idx="7">
                  <c:v>-0.825</c:v>
                </c:pt>
                <c:pt idx="8">
                  <c:v>-0.8</c:v>
                </c:pt>
                <c:pt idx="9">
                  <c:v>-0.775</c:v>
                </c:pt>
                <c:pt idx="10">
                  <c:v>-0.75</c:v>
                </c:pt>
                <c:pt idx="11">
                  <c:v>-0.725</c:v>
                </c:pt>
                <c:pt idx="12">
                  <c:v>-0.7</c:v>
                </c:pt>
                <c:pt idx="13">
                  <c:v>-0.675</c:v>
                </c:pt>
                <c:pt idx="14">
                  <c:v>-0.65</c:v>
                </c:pt>
                <c:pt idx="15">
                  <c:v>-0.625</c:v>
                </c:pt>
                <c:pt idx="16">
                  <c:v>-0.6</c:v>
                </c:pt>
                <c:pt idx="17">
                  <c:v>-0.575</c:v>
                </c:pt>
                <c:pt idx="18">
                  <c:v>-0.55</c:v>
                </c:pt>
                <c:pt idx="19">
                  <c:v>-0.525</c:v>
                </c:pt>
                <c:pt idx="20">
                  <c:v>-0.5</c:v>
                </c:pt>
                <c:pt idx="21">
                  <c:v>-0.475</c:v>
                </c:pt>
                <c:pt idx="22">
                  <c:v>-0.45</c:v>
                </c:pt>
                <c:pt idx="23">
                  <c:v>-0.425</c:v>
                </c:pt>
                <c:pt idx="24">
                  <c:v>-0.4</c:v>
                </c:pt>
                <c:pt idx="25">
                  <c:v>-0.375</c:v>
                </c:pt>
                <c:pt idx="26">
                  <c:v>-0.35</c:v>
                </c:pt>
                <c:pt idx="27">
                  <c:v>-0.325</c:v>
                </c:pt>
                <c:pt idx="28">
                  <c:v>-0.3</c:v>
                </c:pt>
                <c:pt idx="29">
                  <c:v>-0.275</c:v>
                </c:pt>
                <c:pt idx="30">
                  <c:v>-0.25</c:v>
                </c:pt>
                <c:pt idx="31">
                  <c:v>-0.225</c:v>
                </c:pt>
                <c:pt idx="32">
                  <c:v>-0.2</c:v>
                </c:pt>
                <c:pt idx="33">
                  <c:v>-0.175</c:v>
                </c:pt>
                <c:pt idx="34">
                  <c:v>-0.15</c:v>
                </c:pt>
                <c:pt idx="35">
                  <c:v>-0.125</c:v>
                </c:pt>
                <c:pt idx="36">
                  <c:v>-0.1</c:v>
                </c:pt>
                <c:pt idx="37">
                  <c:v>-0.075</c:v>
                </c:pt>
                <c:pt idx="38">
                  <c:v>-0.05</c:v>
                </c:pt>
                <c:pt idx="39">
                  <c:v>-0.025</c:v>
                </c:pt>
                <c:pt idx="40">
                  <c:v>6.03684E-16</c:v>
                </c:pt>
                <c:pt idx="41">
                  <c:v>0.025</c:v>
                </c:pt>
                <c:pt idx="42">
                  <c:v>0.05</c:v>
                </c:pt>
                <c:pt idx="43">
                  <c:v>0.075</c:v>
                </c:pt>
                <c:pt idx="44">
                  <c:v>0.1</c:v>
                </c:pt>
                <c:pt idx="45">
                  <c:v>More</c:v>
                </c:pt>
              </c:strCache>
            </c:strRef>
          </c:cat>
          <c:val>
            <c:numRef>
              <c:f>'Corr 3b'!$E$6:$E$51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29</c:v>
                </c:pt>
                <c:pt idx="4">
                  <c:v>103</c:v>
                </c:pt>
                <c:pt idx="5">
                  <c:v>252</c:v>
                </c:pt>
                <c:pt idx="6">
                  <c:v>402</c:v>
                </c:pt>
                <c:pt idx="7">
                  <c:v>654</c:v>
                </c:pt>
                <c:pt idx="8">
                  <c:v>782</c:v>
                </c:pt>
                <c:pt idx="9">
                  <c:v>822</c:v>
                </c:pt>
                <c:pt idx="10">
                  <c:v>836</c:v>
                </c:pt>
                <c:pt idx="11">
                  <c:v>858</c:v>
                </c:pt>
                <c:pt idx="12">
                  <c:v>761</c:v>
                </c:pt>
                <c:pt idx="13">
                  <c:v>649</c:v>
                </c:pt>
                <c:pt idx="14">
                  <c:v>638</c:v>
                </c:pt>
                <c:pt idx="15">
                  <c:v>516</c:v>
                </c:pt>
                <c:pt idx="16">
                  <c:v>459</c:v>
                </c:pt>
                <c:pt idx="17">
                  <c:v>399</c:v>
                </c:pt>
                <c:pt idx="18">
                  <c:v>344</c:v>
                </c:pt>
                <c:pt idx="19">
                  <c:v>245</c:v>
                </c:pt>
                <c:pt idx="20">
                  <c:v>212</c:v>
                </c:pt>
                <c:pt idx="21">
                  <c:v>203</c:v>
                </c:pt>
                <c:pt idx="22">
                  <c:v>144</c:v>
                </c:pt>
                <c:pt idx="23">
                  <c:v>118</c:v>
                </c:pt>
                <c:pt idx="24">
                  <c:v>126</c:v>
                </c:pt>
                <c:pt idx="25">
                  <c:v>94</c:v>
                </c:pt>
                <c:pt idx="26">
                  <c:v>74</c:v>
                </c:pt>
                <c:pt idx="27">
                  <c:v>56</c:v>
                </c:pt>
                <c:pt idx="28">
                  <c:v>48</c:v>
                </c:pt>
                <c:pt idx="29">
                  <c:v>38</c:v>
                </c:pt>
                <c:pt idx="30">
                  <c:v>24</c:v>
                </c:pt>
                <c:pt idx="31">
                  <c:v>18</c:v>
                </c:pt>
                <c:pt idx="32">
                  <c:v>23</c:v>
                </c:pt>
                <c:pt idx="33">
                  <c:v>16</c:v>
                </c:pt>
                <c:pt idx="34">
                  <c:v>9</c:v>
                </c:pt>
                <c:pt idx="35">
                  <c:v>9</c:v>
                </c:pt>
                <c:pt idx="36">
                  <c:v>6</c:v>
                </c:pt>
                <c:pt idx="37">
                  <c:v>10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3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AA-437A-BBCC-A23191E53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8184192"/>
        <c:axId val="748186936"/>
      </c:barChart>
      <c:catAx>
        <c:axId val="74818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748186936"/>
        <c:crosses val="autoZero"/>
        <c:auto val="1"/>
        <c:lblAlgn val="ctr"/>
        <c:lblOffset val="100"/>
        <c:noMultiLvlLbl val="0"/>
      </c:catAx>
      <c:valAx>
        <c:axId val="748186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184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'Corr 3b'!$X$6:$X$47</c:f>
              <c:strCache>
                <c:ptCount val="42"/>
                <c:pt idx="0">
                  <c:v>-1</c:v>
                </c:pt>
                <c:pt idx="1">
                  <c:v>-0.975</c:v>
                </c:pt>
                <c:pt idx="2">
                  <c:v>-0.95</c:v>
                </c:pt>
                <c:pt idx="3">
                  <c:v>-0.925</c:v>
                </c:pt>
                <c:pt idx="4">
                  <c:v>-0.9</c:v>
                </c:pt>
                <c:pt idx="5">
                  <c:v>-0.875</c:v>
                </c:pt>
                <c:pt idx="6">
                  <c:v>-0.85</c:v>
                </c:pt>
                <c:pt idx="7">
                  <c:v>-0.825</c:v>
                </c:pt>
                <c:pt idx="8">
                  <c:v>-0.8</c:v>
                </c:pt>
                <c:pt idx="9">
                  <c:v>-0.775</c:v>
                </c:pt>
                <c:pt idx="10">
                  <c:v>-0.75</c:v>
                </c:pt>
                <c:pt idx="11">
                  <c:v>-0.725</c:v>
                </c:pt>
                <c:pt idx="12">
                  <c:v>-0.7</c:v>
                </c:pt>
                <c:pt idx="13">
                  <c:v>-0.675</c:v>
                </c:pt>
                <c:pt idx="14">
                  <c:v>-0.65</c:v>
                </c:pt>
                <c:pt idx="15">
                  <c:v>-0.625</c:v>
                </c:pt>
                <c:pt idx="16">
                  <c:v>-0.6</c:v>
                </c:pt>
                <c:pt idx="17">
                  <c:v>-0.575</c:v>
                </c:pt>
                <c:pt idx="18">
                  <c:v>-0.55</c:v>
                </c:pt>
                <c:pt idx="19">
                  <c:v>-0.525</c:v>
                </c:pt>
                <c:pt idx="20">
                  <c:v>-0.5</c:v>
                </c:pt>
                <c:pt idx="21">
                  <c:v>-0.475</c:v>
                </c:pt>
                <c:pt idx="22">
                  <c:v>-0.45</c:v>
                </c:pt>
                <c:pt idx="23">
                  <c:v>-0.425</c:v>
                </c:pt>
                <c:pt idx="24">
                  <c:v>-0.4</c:v>
                </c:pt>
                <c:pt idx="25">
                  <c:v>-0.375</c:v>
                </c:pt>
                <c:pt idx="26">
                  <c:v>-0.35</c:v>
                </c:pt>
                <c:pt idx="27">
                  <c:v>-0.325</c:v>
                </c:pt>
                <c:pt idx="28">
                  <c:v>-0.3</c:v>
                </c:pt>
                <c:pt idx="29">
                  <c:v>-0.275</c:v>
                </c:pt>
                <c:pt idx="30">
                  <c:v>-0.25</c:v>
                </c:pt>
                <c:pt idx="31">
                  <c:v>-0.225</c:v>
                </c:pt>
                <c:pt idx="32">
                  <c:v>-0.2</c:v>
                </c:pt>
                <c:pt idx="33">
                  <c:v>-0.175</c:v>
                </c:pt>
                <c:pt idx="34">
                  <c:v>-0.15</c:v>
                </c:pt>
                <c:pt idx="35">
                  <c:v>-0.125</c:v>
                </c:pt>
                <c:pt idx="36">
                  <c:v>-0.1</c:v>
                </c:pt>
                <c:pt idx="37">
                  <c:v>-0.075</c:v>
                </c:pt>
                <c:pt idx="38">
                  <c:v>-0.05</c:v>
                </c:pt>
                <c:pt idx="39">
                  <c:v>-0.025</c:v>
                </c:pt>
                <c:pt idx="40">
                  <c:v>6.03684E-16</c:v>
                </c:pt>
                <c:pt idx="41">
                  <c:v>More</c:v>
                </c:pt>
              </c:strCache>
            </c:strRef>
          </c:cat>
          <c:val>
            <c:numRef>
              <c:f>'Corr 3b'!$Y$6:$Y$47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19</c:v>
                </c:pt>
                <c:pt idx="5">
                  <c:v>47</c:v>
                </c:pt>
                <c:pt idx="6">
                  <c:v>96</c:v>
                </c:pt>
                <c:pt idx="7">
                  <c:v>106</c:v>
                </c:pt>
                <c:pt idx="8">
                  <c:v>160</c:v>
                </c:pt>
                <c:pt idx="9">
                  <c:v>172</c:v>
                </c:pt>
                <c:pt idx="10">
                  <c:v>165</c:v>
                </c:pt>
                <c:pt idx="11">
                  <c:v>169</c:v>
                </c:pt>
                <c:pt idx="12">
                  <c:v>174</c:v>
                </c:pt>
                <c:pt idx="13">
                  <c:v>137</c:v>
                </c:pt>
                <c:pt idx="14">
                  <c:v>100</c:v>
                </c:pt>
                <c:pt idx="15">
                  <c:v>106</c:v>
                </c:pt>
                <c:pt idx="16">
                  <c:v>90</c:v>
                </c:pt>
                <c:pt idx="17">
                  <c:v>79</c:v>
                </c:pt>
                <c:pt idx="18">
                  <c:v>57</c:v>
                </c:pt>
                <c:pt idx="19">
                  <c:v>62</c:v>
                </c:pt>
                <c:pt idx="20">
                  <c:v>43</c:v>
                </c:pt>
                <c:pt idx="21">
                  <c:v>30</c:v>
                </c:pt>
                <c:pt idx="22">
                  <c:v>40</c:v>
                </c:pt>
                <c:pt idx="23">
                  <c:v>30</c:v>
                </c:pt>
                <c:pt idx="24">
                  <c:v>21</c:v>
                </c:pt>
                <c:pt idx="25">
                  <c:v>11</c:v>
                </c:pt>
                <c:pt idx="26">
                  <c:v>14</c:v>
                </c:pt>
                <c:pt idx="27">
                  <c:v>18</c:v>
                </c:pt>
                <c:pt idx="28">
                  <c:v>9</c:v>
                </c:pt>
                <c:pt idx="29">
                  <c:v>8</c:v>
                </c:pt>
                <c:pt idx="30">
                  <c:v>8</c:v>
                </c:pt>
                <c:pt idx="31">
                  <c:v>5</c:v>
                </c:pt>
                <c:pt idx="32">
                  <c:v>4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0</c:v>
                </c:pt>
                <c:pt idx="4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C-465B-9869-7676FE60E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8183408"/>
        <c:axId val="748183800"/>
      </c:barChart>
      <c:catAx>
        <c:axId val="74818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748183800"/>
        <c:crosses val="autoZero"/>
        <c:auto val="1"/>
        <c:lblAlgn val="ctr"/>
        <c:lblOffset val="100"/>
        <c:noMultiLvlLbl val="0"/>
      </c:catAx>
      <c:valAx>
        <c:axId val="748183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183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'Corr 3b'!$R$6:$R$87</c:f>
              <c:strCache>
                <c:ptCount val="82"/>
                <c:pt idx="0">
                  <c:v>-1</c:v>
                </c:pt>
                <c:pt idx="1">
                  <c:v>-0.975</c:v>
                </c:pt>
                <c:pt idx="2">
                  <c:v>-0.95</c:v>
                </c:pt>
                <c:pt idx="3">
                  <c:v>-0.925</c:v>
                </c:pt>
                <c:pt idx="4">
                  <c:v>-0.9</c:v>
                </c:pt>
                <c:pt idx="5">
                  <c:v>-0.875</c:v>
                </c:pt>
                <c:pt idx="6">
                  <c:v>-0.85</c:v>
                </c:pt>
                <c:pt idx="7">
                  <c:v>-0.825</c:v>
                </c:pt>
                <c:pt idx="8">
                  <c:v>-0.8</c:v>
                </c:pt>
                <c:pt idx="9">
                  <c:v>-0.775</c:v>
                </c:pt>
                <c:pt idx="10">
                  <c:v>-0.75</c:v>
                </c:pt>
                <c:pt idx="11">
                  <c:v>-0.725</c:v>
                </c:pt>
                <c:pt idx="12">
                  <c:v>-0.7</c:v>
                </c:pt>
                <c:pt idx="13">
                  <c:v>-0.675</c:v>
                </c:pt>
                <c:pt idx="14">
                  <c:v>-0.65</c:v>
                </c:pt>
                <c:pt idx="15">
                  <c:v>-0.625</c:v>
                </c:pt>
                <c:pt idx="16">
                  <c:v>-0.6</c:v>
                </c:pt>
                <c:pt idx="17">
                  <c:v>-0.575</c:v>
                </c:pt>
                <c:pt idx="18">
                  <c:v>-0.55</c:v>
                </c:pt>
                <c:pt idx="19">
                  <c:v>-0.525</c:v>
                </c:pt>
                <c:pt idx="20">
                  <c:v>-0.5</c:v>
                </c:pt>
                <c:pt idx="21">
                  <c:v>-0.475</c:v>
                </c:pt>
                <c:pt idx="22">
                  <c:v>-0.45</c:v>
                </c:pt>
                <c:pt idx="23">
                  <c:v>-0.425</c:v>
                </c:pt>
                <c:pt idx="24">
                  <c:v>-0.4</c:v>
                </c:pt>
                <c:pt idx="25">
                  <c:v>-0.375</c:v>
                </c:pt>
                <c:pt idx="26">
                  <c:v>-0.35</c:v>
                </c:pt>
                <c:pt idx="27">
                  <c:v>-0.325</c:v>
                </c:pt>
                <c:pt idx="28">
                  <c:v>-0.3</c:v>
                </c:pt>
                <c:pt idx="29">
                  <c:v>-0.275</c:v>
                </c:pt>
                <c:pt idx="30">
                  <c:v>-0.25</c:v>
                </c:pt>
                <c:pt idx="31">
                  <c:v>-0.225</c:v>
                </c:pt>
                <c:pt idx="32">
                  <c:v>-0.2</c:v>
                </c:pt>
                <c:pt idx="33">
                  <c:v>-0.175</c:v>
                </c:pt>
                <c:pt idx="34">
                  <c:v>-0.15</c:v>
                </c:pt>
                <c:pt idx="35">
                  <c:v>-0.125</c:v>
                </c:pt>
                <c:pt idx="36">
                  <c:v>-0.1</c:v>
                </c:pt>
                <c:pt idx="37">
                  <c:v>-0.075</c:v>
                </c:pt>
                <c:pt idx="38">
                  <c:v>-0.05</c:v>
                </c:pt>
                <c:pt idx="39">
                  <c:v>-0.025</c:v>
                </c:pt>
                <c:pt idx="40">
                  <c:v>6.03684E-16</c:v>
                </c:pt>
                <c:pt idx="41">
                  <c:v>0.025</c:v>
                </c:pt>
                <c:pt idx="42">
                  <c:v>0.05</c:v>
                </c:pt>
                <c:pt idx="43">
                  <c:v>0.075</c:v>
                </c:pt>
                <c:pt idx="44">
                  <c:v>0.1</c:v>
                </c:pt>
                <c:pt idx="45">
                  <c:v>0.125</c:v>
                </c:pt>
                <c:pt idx="46">
                  <c:v>0.15</c:v>
                </c:pt>
                <c:pt idx="47">
                  <c:v>0.175</c:v>
                </c:pt>
                <c:pt idx="48">
                  <c:v>0.2</c:v>
                </c:pt>
                <c:pt idx="49">
                  <c:v>0.225</c:v>
                </c:pt>
                <c:pt idx="50">
                  <c:v>0.25</c:v>
                </c:pt>
                <c:pt idx="51">
                  <c:v>0.275</c:v>
                </c:pt>
                <c:pt idx="52">
                  <c:v>0.3</c:v>
                </c:pt>
                <c:pt idx="53">
                  <c:v>0.325</c:v>
                </c:pt>
                <c:pt idx="54">
                  <c:v>0.35</c:v>
                </c:pt>
                <c:pt idx="55">
                  <c:v>0.375</c:v>
                </c:pt>
                <c:pt idx="56">
                  <c:v>0.4</c:v>
                </c:pt>
                <c:pt idx="57">
                  <c:v>0.425</c:v>
                </c:pt>
                <c:pt idx="58">
                  <c:v>0.45</c:v>
                </c:pt>
                <c:pt idx="59">
                  <c:v>0.475</c:v>
                </c:pt>
                <c:pt idx="60">
                  <c:v>0.5</c:v>
                </c:pt>
                <c:pt idx="61">
                  <c:v>0.525</c:v>
                </c:pt>
                <c:pt idx="62">
                  <c:v>0.55</c:v>
                </c:pt>
                <c:pt idx="63">
                  <c:v>0.575</c:v>
                </c:pt>
                <c:pt idx="64">
                  <c:v>0.6</c:v>
                </c:pt>
                <c:pt idx="65">
                  <c:v>0.625</c:v>
                </c:pt>
                <c:pt idx="66">
                  <c:v>0.65</c:v>
                </c:pt>
                <c:pt idx="67">
                  <c:v>0.675</c:v>
                </c:pt>
                <c:pt idx="68">
                  <c:v>0.7</c:v>
                </c:pt>
                <c:pt idx="69">
                  <c:v>0.725</c:v>
                </c:pt>
                <c:pt idx="70">
                  <c:v>0.75</c:v>
                </c:pt>
                <c:pt idx="71">
                  <c:v>0.775</c:v>
                </c:pt>
                <c:pt idx="72">
                  <c:v>0.8</c:v>
                </c:pt>
                <c:pt idx="73">
                  <c:v>0.825</c:v>
                </c:pt>
                <c:pt idx="74">
                  <c:v>0.85</c:v>
                </c:pt>
                <c:pt idx="75">
                  <c:v>0.875</c:v>
                </c:pt>
                <c:pt idx="76">
                  <c:v>0.9</c:v>
                </c:pt>
                <c:pt idx="77">
                  <c:v>0.925</c:v>
                </c:pt>
                <c:pt idx="78">
                  <c:v>0.95</c:v>
                </c:pt>
                <c:pt idx="79">
                  <c:v>0.975</c:v>
                </c:pt>
                <c:pt idx="80">
                  <c:v>1</c:v>
                </c:pt>
                <c:pt idx="81">
                  <c:v>More</c:v>
                </c:pt>
              </c:strCache>
            </c:strRef>
          </c:cat>
          <c:val>
            <c:numRef>
              <c:f>'Corr 3b'!$S$6:$S$87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2</c:v>
                </c:pt>
                <c:pt idx="12">
                  <c:v>7</c:v>
                </c:pt>
                <c:pt idx="13">
                  <c:v>11</c:v>
                </c:pt>
                <c:pt idx="14">
                  <c:v>15</c:v>
                </c:pt>
                <c:pt idx="15">
                  <c:v>26</c:v>
                </c:pt>
                <c:pt idx="16">
                  <c:v>31</c:v>
                </c:pt>
                <c:pt idx="17">
                  <c:v>39</c:v>
                </c:pt>
                <c:pt idx="18">
                  <c:v>48</c:v>
                </c:pt>
                <c:pt idx="19">
                  <c:v>67</c:v>
                </c:pt>
                <c:pt idx="20">
                  <c:v>74</c:v>
                </c:pt>
                <c:pt idx="21">
                  <c:v>94</c:v>
                </c:pt>
                <c:pt idx="22">
                  <c:v>85</c:v>
                </c:pt>
                <c:pt idx="23">
                  <c:v>105</c:v>
                </c:pt>
                <c:pt idx="24">
                  <c:v>133</c:v>
                </c:pt>
                <c:pt idx="25">
                  <c:v>146</c:v>
                </c:pt>
                <c:pt idx="26">
                  <c:v>156</c:v>
                </c:pt>
                <c:pt idx="27">
                  <c:v>188</c:v>
                </c:pt>
                <c:pt idx="28">
                  <c:v>213</c:v>
                </c:pt>
                <c:pt idx="29">
                  <c:v>232</c:v>
                </c:pt>
                <c:pt idx="30">
                  <c:v>234</c:v>
                </c:pt>
                <c:pt idx="31">
                  <c:v>240</c:v>
                </c:pt>
                <c:pt idx="32">
                  <c:v>255</c:v>
                </c:pt>
                <c:pt idx="33">
                  <c:v>276</c:v>
                </c:pt>
                <c:pt idx="34">
                  <c:v>285</c:v>
                </c:pt>
                <c:pt idx="35">
                  <c:v>314</c:v>
                </c:pt>
                <c:pt idx="36">
                  <c:v>315</c:v>
                </c:pt>
                <c:pt idx="37">
                  <c:v>329</c:v>
                </c:pt>
                <c:pt idx="38">
                  <c:v>353</c:v>
                </c:pt>
                <c:pt idx="39">
                  <c:v>344</c:v>
                </c:pt>
                <c:pt idx="40">
                  <c:v>366</c:v>
                </c:pt>
                <c:pt idx="41">
                  <c:v>354</c:v>
                </c:pt>
                <c:pt idx="42">
                  <c:v>365</c:v>
                </c:pt>
                <c:pt idx="43">
                  <c:v>335</c:v>
                </c:pt>
                <c:pt idx="44">
                  <c:v>349</c:v>
                </c:pt>
                <c:pt idx="45">
                  <c:v>297</c:v>
                </c:pt>
                <c:pt idx="46">
                  <c:v>318</c:v>
                </c:pt>
                <c:pt idx="47">
                  <c:v>323</c:v>
                </c:pt>
                <c:pt idx="48">
                  <c:v>279</c:v>
                </c:pt>
                <c:pt idx="49">
                  <c:v>300</c:v>
                </c:pt>
                <c:pt idx="50">
                  <c:v>252</c:v>
                </c:pt>
                <c:pt idx="51">
                  <c:v>214</c:v>
                </c:pt>
                <c:pt idx="52">
                  <c:v>251</c:v>
                </c:pt>
                <c:pt idx="53">
                  <c:v>219</c:v>
                </c:pt>
                <c:pt idx="54">
                  <c:v>185</c:v>
                </c:pt>
                <c:pt idx="55">
                  <c:v>157</c:v>
                </c:pt>
                <c:pt idx="56">
                  <c:v>155</c:v>
                </c:pt>
                <c:pt idx="57">
                  <c:v>130</c:v>
                </c:pt>
                <c:pt idx="58">
                  <c:v>117</c:v>
                </c:pt>
                <c:pt idx="59">
                  <c:v>84</c:v>
                </c:pt>
                <c:pt idx="60">
                  <c:v>78</c:v>
                </c:pt>
                <c:pt idx="61">
                  <c:v>53</c:v>
                </c:pt>
                <c:pt idx="62">
                  <c:v>48</c:v>
                </c:pt>
                <c:pt idx="63">
                  <c:v>41</c:v>
                </c:pt>
                <c:pt idx="64">
                  <c:v>32</c:v>
                </c:pt>
                <c:pt idx="65">
                  <c:v>22</c:v>
                </c:pt>
                <c:pt idx="66">
                  <c:v>19</c:v>
                </c:pt>
                <c:pt idx="67">
                  <c:v>9</c:v>
                </c:pt>
                <c:pt idx="68">
                  <c:v>8</c:v>
                </c:pt>
                <c:pt idx="69">
                  <c:v>4</c:v>
                </c:pt>
                <c:pt idx="70">
                  <c:v>3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C-4FCF-B56A-0246FF012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5228312"/>
        <c:axId val="495229096"/>
      </c:barChart>
      <c:catAx>
        <c:axId val="495228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95229096"/>
        <c:crosses val="autoZero"/>
        <c:auto val="1"/>
        <c:lblAlgn val="ctr"/>
        <c:lblOffset val="100"/>
        <c:noMultiLvlLbl val="0"/>
      </c:catAx>
      <c:valAx>
        <c:axId val="495229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228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'Spearman Rho 1'!$A$4:$A$13</c:f>
              <c:numCache>
                <c:formatCode>General</c:formatCode>
                <c:ptCount val="10"/>
                <c:pt idx="0">
                  <c:v>99</c:v>
                </c:pt>
                <c:pt idx="1">
                  <c:v>120</c:v>
                </c:pt>
                <c:pt idx="2">
                  <c:v>98</c:v>
                </c:pt>
                <c:pt idx="3">
                  <c:v>102</c:v>
                </c:pt>
                <c:pt idx="4">
                  <c:v>123</c:v>
                </c:pt>
                <c:pt idx="5">
                  <c:v>105</c:v>
                </c:pt>
                <c:pt idx="6">
                  <c:v>85</c:v>
                </c:pt>
                <c:pt idx="7">
                  <c:v>110</c:v>
                </c:pt>
                <c:pt idx="8">
                  <c:v>117</c:v>
                </c:pt>
                <c:pt idx="9">
                  <c:v>90</c:v>
                </c:pt>
              </c:numCache>
            </c:numRef>
          </c:xVal>
          <c:yVal>
            <c:numRef>
              <c:f>'Spearman Rho 1'!$B$4:$B$13</c:f>
              <c:numCache>
                <c:formatCode>General</c:formatCode>
                <c:ptCount val="10"/>
                <c:pt idx="0">
                  <c:v>2</c:v>
                </c:pt>
                <c:pt idx="1">
                  <c:v>0</c:v>
                </c:pt>
                <c:pt idx="2">
                  <c:v>25</c:v>
                </c:pt>
                <c:pt idx="3">
                  <c:v>45</c:v>
                </c:pt>
                <c:pt idx="4">
                  <c:v>14</c:v>
                </c:pt>
                <c:pt idx="5">
                  <c:v>20</c:v>
                </c:pt>
                <c:pt idx="6">
                  <c:v>15</c:v>
                </c:pt>
                <c:pt idx="7">
                  <c:v>19</c:v>
                </c:pt>
                <c:pt idx="8">
                  <c:v>22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F-42D8-8730-52BEBBEA0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227920"/>
        <c:axId val="752806792"/>
      </c:scatterChart>
      <c:valAx>
        <c:axId val="495227920"/>
        <c:scaling>
          <c:orientation val="minMax"/>
          <c:min val="8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IQ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806792"/>
        <c:crosses val="autoZero"/>
        <c:crossBetween val="midCat"/>
      </c:valAx>
      <c:valAx>
        <c:axId val="752806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Rap Music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227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Ranked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'Spearman Rho 1'!$C$4:$C$13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'Spearman Rho 1'!$D$4:$D$13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43-4C84-A4CE-E9C075BD8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807576"/>
        <c:axId val="752807968"/>
      </c:scatterChart>
      <c:valAx>
        <c:axId val="752807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IQ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807968"/>
        <c:crosses val="autoZero"/>
        <c:crossBetween val="midCat"/>
      </c:valAx>
      <c:valAx>
        <c:axId val="752807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Rap Music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807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Non-linear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'Box-Cox 1'!$C$4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'Box-Cox 1'!$B$5:$B$14</c:f>
              <c:numCache>
                <c:formatCode>0.0</c:formatCode>
                <c:ptCount val="10"/>
                <c:pt idx="0">
                  <c:v>1.6</c:v>
                </c:pt>
                <c:pt idx="1">
                  <c:v>0.5</c:v>
                </c:pt>
                <c:pt idx="2">
                  <c:v>3.2</c:v>
                </c:pt>
                <c:pt idx="3">
                  <c:v>1.5</c:v>
                </c:pt>
                <c:pt idx="4">
                  <c:v>2</c:v>
                </c:pt>
                <c:pt idx="5">
                  <c:v>2.8</c:v>
                </c:pt>
                <c:pt idx="6">
                  <c:v>2.9</c:v>
                </c:pt>
                <c:pt idx="7">
                  <c:v>3.5</c:v>
                </c:pt>
                <c:pt idx="8">
                  <c:v>1</c:v>
                </c:pt>
                <c:pt idx="9">
                  <c:v>3.1</c:v>
                </c:pt>
              </c:numCache>
            </c:numRef>
          </c:xVal>
          <c:yVal>
            <c:numRef>
              <c:f>'Box-Cox 1'!$C$5:$C$14</c:f>
              <c:numCache>
                <c:formatCode>0.0</c:formatCode>
                <c:ptCount val="10"/>
                <c:pt idx="0">
                  <c:v>5</c:v>
                </c:pt>
                <c:pt idx="1">
                  <c:v>1.5</c:v>
                </c:pt>
                <c:pt idx="2">
                  <c:v>26</c:v>
                </c:pt>
                <c:pt idx="3">
                  <c:v>4.5</c:v>
                </c:pt>
                <c:pt idx="4">
                  <c:v>7.1</c:v>
                </c:pt>
                <c:pt idx="5">
                  <c:v>15</c:v>
                </c:pt>
                <c:pt idx="6">
                  <c:v>18.2</c:v>
                </c:pt>
                <c:pt idx="7">
                  <c:v>33</c:v>
                </c:pt>
                <c:pt idx="8">
                  <c:v>2.9</c:v>
                </c:pt>
                <c:pt idx="9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89-4E80-A834-E2534C027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809928"/>
        <c:axId val="752810320"/>
      </c:scatterChart>
      <c:valAx>
        <c:axId val="752809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810320"/>
        <c:crosses val="autoZero"/>
        <c:crossBetween val="midCat"/>
      </c:valAx>
      <c:valAx>
        <c:axId val="75281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809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'Box-Cox 2'!$AZ$11:$AZ$20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'Box-Cox 2'!$BA$11:$BA$20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4F-418F-B8C6-B5AC3CD57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808360"/>
        <c:axId val="752808752"/>
      </c:scatterChart>
      <c:valAx>
        <c:axId val="752808360"/>
        <c:scaling>
          <c:orientation val="minMax"/>
          <c:min val="0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808752"/>
        <c:crosses val="autoZero"/>
        <c:crossBetween val="midCat"/>
      </c:valAx>
      <c:valAx>
        <c:axId val="752808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808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'Box-Cox 2'!$Y$12:$Y$21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'Box-Cox 2'!$Z$12:$Z$21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A3-4CF3-BC89-2288D5274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981312"/>
        <c:axId val="734986800"/>
      </c:scatterChart>
      <c:valAx>
        <c:axId val="734981312"/>
        <c:scaling>
          <c:orientation val="minMax"/>
          <c:max val="2.5"/>
          <c:min val="0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986800"/>
        <c:crosses val="autoZero"/>
        <c:crossBetween val="midCat"/>
      </c:valAx>
      <c:valAx>
        <c:axId val="734986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9813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'Box-Cox 2'!$E$30:$E$39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'Box-Cox 2'!$F$30:$F$39</c:f>
              <c:numCache>
                <c:formatCode>General</c:formatCode>
                <c:ptCount val="10"/>
                <c:pt idx="0">
                  <c:v>-1.6448536269514726</c:v>
                </c:pt>
                <c:pt idx="1">
                  <c:v>-1.0364333894937898</c:v>
                </c:pt>
                <c:pt idx="2">
                  <c:v>-0.67448975019608193</c:v>
                </c:pt>
                <c:pt idx="3">
                  <c:v>-0.38532046640756784</c:v>
                </c:pt>
                <c:pt idx="4">
                  <c:v>-0.12566134685507402</c:v>
                </c:pt>
                <c:pt idx="5">
                  <c:v>0.12566134685507416</c:v>
                </c:pt>
                <c:pt idx="6">
                  <c:v>0.38532046640756784</c:v>
                </c:pt>
                <c:pt idx="7">
                  <c:v>0.67448975019608193</c:v>
                </c:pt>
                <c:pt idx="8">
                  <c:v>1.0364333894937898</c:v>
                </c:pt>
                <c:pt idx="9">
                  <c:v>1.6448536269514715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9B-40C2-B8F3-BBF0D9AA9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981704"/>
        <c:axId val="734982488"/>
      </c:scatterChart>
      <c:valAx>
        <c:axId val="734981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982488"/>
        <c:crosses val="autoZero"/>
        <c:crossBetween val="midCat"/>
      </c:valAx>
      <c:valAx>
        <c:axId val="734982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9817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'Box-Cox 2'!$J$24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'Box-Cox 2'!$K$23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'Box-Cox 2'!$K$24</c:f>
              <c:numCache>
                <c:formatCode>General</c:formatCode>
                <c:ptCount val="1"/>
                <c:pt idx="0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91-4C69-B543-9BD1C5D809EA}"/>
            </c:ext>
          </c:extLst>
        </c:ser>
        <c:ser>
          <c:idx val="1"/>
          <c:order val="1"/>
          <c:tx>
            <c:strRef>
              <c:f>'Box-Cox 2'!$J$25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'Box-Cox 2'!$K$23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'Box-Cox 2'!$K$25</c:f>
              <c:numCache>
                <c:formatCode>General</c:formatCode>
                <c:ptCount val="1"/>
                <c:pt idx="0">
                  <c:v>3.1000000000000005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91-4C69-B543-9BD1C5D809EA}"/>
            </c:ext>
          </c:extLst>
        </c:ser>
        <c:ser>
          <c:idx val="2"/>
          <c:order val="2"/>
          <c:tx>
            <c:strRef>
              <c:f>'Box-Cox 2'!$J$26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'Box-Cox 2'!$K$23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'Box-Cox 2'!$K$26</c:f>
              <c:numCache>
                <c:formatCode>General</c:formatCode>
                <c:ptCount val="1"/>
                <c:pt idx="0">
                  <c:v>3.8499999999999996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1-4C69-B543-9BD1C5D809EA}"/>
            </c:ext>
          </c:extLst>
        </c:ser>
        <c:ser>
          <c:idx val="3"/>
          <c:order val="3"/>
          <c:tx>
            <c:strRef>
              <c:f>'Box-Cox 2'!$J$27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'Box-Cox 2'!$K$28</c:f>
                <c:numCache>
                  <c:formatCode>General</c:formatCode>
                  <c:ptCount val="1"/>
                  <c:pt idx="0">
                    <c:v>59.6</c:v>
                  </c:pt>
                </c:numCache>
              </c:numRef>
            </c:plus>
          </c:errBars>
          <c:cat>
            <c:strRef>
              <c:f>'Box-Cox 2'!$K$23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'Box-Cox 2'!$K$27</c:f>
              <c:numCache>
                <c:formatCode>General</c:formatCode>
                <c:ptCount val="1"/>
                <c:pt idx="0">
                  <c:v>12.350000000000001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91-4C69-B543-9BD1C5D80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4979352"/>
        <c:axId val="734983664"/>
      </c:barChart>
      <c:catAx>
        <c:axId val="73497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34983664"/>
        <c:crosses val="autoZero"/>
        <c:auto val="1"/>
        <c:lblAlgn val="ctr"/>
        <c:lblOffset val="100"/>
        <c:noMultiLvlLbl val="0"/>
      </c:catAx>
      <c:valAx>
        <c:axId val="734983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34979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Correlation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Bland!$B$3</c:f>
              <c:strCache>
                <c:ptCount val="1"/>
                <c:pt idx="0">
                  <c:v>New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Bland!$A$4:$A$23</c:f>
              <c:numCache>
                <c:formatCode>0.0</c:formatCode>
                <c:ptCount val="20"/>
                <c:pt idx="0">
                  <c:v>38.799999999999997</c:v>
                </c:pt>
                <c:pt idx="1">
                  <c:v>43.7</c:v>
                </c:pt>
                <c:pt idx="2">
                  <c:v>45.8</c:v>
                </c:pt>
                <c:pt idx="3">
                  <c:v>50.3</c:v>
                </c:pt>
                <c:pt idx="4">
                  <c:v>56.5</c:v>
                </c:pt>
                <c:pt idx="5">
                  <c:v>61.5</c:v>
                </c:pt>
                <c:pt idx="6">
                  <c:v>62.2</c:v>
                </c:pt>
                <c:pt idx="7">
                  <c:v>62.8</c:v>
                </c:pt>
                <c:pt idx="8">
                  <c:v>63.7</c:v>
                </c:pt>
                <c:pt idx="9">
                  <c:v>64.5</c:v>
                </c:pt>
                <c:pt idx="10">
                  <c:v>66.2</c:v>
                </c:pt>
                <c:pt idx="11">
                  <c:v>67.3</c:v>
                </c:pt>
                <c:pt idx="12">
                  <c:v>68.3</c:v>
                </c:pt>
                <c:pt idx="13">
                  <c:v>68.400000000000006</c:v>
                </c:pt>
                <c:pt idx="14">
                  <c:v>69.3</c:v>
                </c:pt>
                <c:pt idx="15">
                  <c:v>69.5</c:v>
                </c:pt>
                <c:pt idx="16">
                  <c:v>72.5</c:v>
                </c:pt>
                <c:pt idx="17">
                  <c:v>73</c:v>
                </c:pt>
                <c:pt idx="18">
                  <c:v>75.3</c:v>
                </c:pt>
                <c:pt idx="19">
                  <c:v>77.2</c:v>
                </c:pt>
              </c:numCache>
            </c:numRef>
          </c:xVal>
          <c:yVal>
            <c:numRef>
              <c:f>Bland!$B$4:$B$23</c:f>
              <c:numCache>
                <c:formatCode>0.0</c:formatCode>
                <c:ptCount val="20"/>
                <c:pt idx="0">
                  <c:v>28.5</c:v>
                </c:pt>
                <c:pt idx="1">
                  <c:v>48.7</c:v>
                </c:pt>
                <c:pt idx="2">
                  <c:v>41.5</c:v>
                </c:pt>
                <c:pt idx="3">
                  <c:v>55.5</c:v>
                </c:pt>
                <c:pt idx="4">
                  <c:v>58.4</c:v>
                </c:pt>
                <c:pt idx="5">
                  <c:v>56.3</c:v>
                </c:pt>
                <c:pt idx="6">
                  <c:v>61.6</c:v>
                </c:pt>
                <c:pt idx="7">
                  <c:v>59.1</c:v>
                </c:pt>
                <c:pt idx="8">
                  <c:v>59.1</c:v>
                </c:pt>
                <c:pt idx="9">
                  <c:v>64.599999999999994</c:v>
                </c:pt>
                <c:pt idx="10">
                  <c:v>63.9</c:v>
                </c:pt>
                <c:pt idx="11">
                  <c:v>66.099999999999994</c:v>
                </c:pt>
                <c:pt idx="12">
                  <c:v>66.599999999999994</c:v>
                </c:pt>
                <c:pt idx="13">
                  <c:v>69.2</c:v>
                </c:pt>
                <c:pt idx="14">
                  <c:v>64.7</c:v>
                </c:pt>
                <c:pt idx="15">
                  <c:v>67</c:v>
                </c:pt>
                <c:pt idx="16">
                  <c:v>75.3</c:v>
                </c:pt>
                <c:pt idx="17">
                  <c:v>65.900000000000006</c:v>
                </c:pt>
                <c:pt idx="18">
                  <c:v>78.8</c:v>
                </c:pt>
                <c:pt idx="19">
                  <c:v>75.7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8C-437E-83E6-F51015114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986408"/>
        <c:axId val="734984840"/>
      </c:scatterChart>
      <c:valAx>
        <c:axId val="734986408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984840"/>
        <c:crosses val="autoZero"/>
        <c:crossBetween val="midCat"/>
      </c:valAx>
      <c:valAx>
        <c:axId val="73498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986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Bland-Altman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Bland!$E$4:$E$23</c:f>
              <c:numCache>
                <c:formatCode>General</c:formatCode>
                <c:ptCount val="20"/>
                <c:pt idx="0">
                  <c:v>33.65</c:v>
                </c:pt>
                <c:pt idx="1">
                  <c:v>46.2</c:v>
                </c:pt>
                <c:pt idx="2">
                  <c:v>43.65</c:v>
                </c:pt>
                <c:pt idx="3">
                  <c:v>52.9</c:v>
                </c:pt>
                <c:pt idx="4">
                  <c:v>57.45</c:v>
                </c:pt>
                <c:pt idx="5">
                  <c:v>58.9</c:v>
                </c:pt>
                <c:pt idx="6">
                  <c:v>61.900000000000006</c:v>
                </c:pt>
                <c:pt idx="7">
                  <c:v>60.95</c:v>
                </c:pt>
                <c:pt idx="8">
                  <c:v>61.400000000000006</c:v>
                </c:pt>
                <c:pt idx="9">
                  <c:v>64.55</c:v>
                </c:pt>
                <c:pt idx="10">
                  <c:v>65.05</c:v>
                </c:pt>
                <c:pt idx="11">
                  <c:v>66.699999999999989</c:v>
                </c:pt>
                <c:pt idx="12">
                  <c:v>67.449999999999989</c:v>
                </c:pt>
                <c:pt idx="13">
                  <c:v>68.800000000000011</c:v>
                </c:pt>
                <c:pt idx="14">
                  <c:v>67</c:v>
                </c:pt>
                <c:pt idx="15">
                  <c:v>68.25</c:v>
                </c:pt>
                <c:pt idx="16">
                  <c:v>73.900000000000006</c:v>
                </c:pt>
                <c:pt idx="17">
                  <c:v>69.45</c:v>
                </c:pt>
                <c:pt idx="18">
                  <c:v>77.05</c:v>
                </c:pt>
                <c:pt idx="19">
                  <c:v>76.45</c:v>
                </c:pt>
              </c:numCache>
            </c:numRef>
          </c:xVal>
          <c:yVal>
            <c:numRef>
              <c:f>Bland!$F$4:$F$23</c:f>
              <c:numCache>
                <c:formatCode>General</c:formatCode>
                <c:ptCount val="20"/>
                <c:pt idx="0">
                  <c:v>10.299999999999997</c:v>
                </c:pt>
                <c:pt idx="1">
                  <c:v>-5</c:v>
                </c:pt>
                <c:pt idx="2">
                  <c:v>4.2999999999999972</c:v>
                </c:pt>
                <c:pt idx="3">
                  <c:v>-5.2000000000000028</c:v>
                </c:pt>
                <c:pt idx="4">
                  <c:v>-1.8999999999999986</c:v>
                </c:pt>
                <c:pt idx="5">
                  <c:v>5.2000000000000028</c:v>
                </c:pt>
                <c:pt idx="6">
                  <c:v>0.60000000000000142</c:v>
                </c:pt>
                <c:pt idx="7">
                  <c:v>3.6999999999999957</c:v>
                </c:pt>
                <c:pt idx="8">
                  <c:v>4.6000000000000014</c:v>
                </c:pt>
                <c:pt idx="9">
                  <c:v>-9.9999999999994316E-2</c:v>
                </c:pt>
                <c:pt idx="10">
                  <c:v>2.3000000000000043</c:v>
                </c:pt>
                <c:pt idx="11">
                  <c:v>1.2000000000000028</c:v>
                </c:pt>
                <c:pt idx="12">
                  <c:v>1.7000000000000028</c:v>
                </c:pt>
                <c:pt idx="13">
                  <c:v>-0.79999999999999716</c:v>
                </c:pt>
                <c:pt idx="14">
                  <c:v>4.5999999999999943</c:v>
                </c:pt>
                <c:pt idx="15">
                  <c:v>2.5</c:v>
                </c:pt>
                <c:pt idx="16">
                  <c:v>-2.7999999999999972</c:v>
                </c:pt>
                <c:pt idx="17">
                  <c:v>7.0999999999999943</c:v>
                </c:pt>
                <c:pt idx="18">
                  <c:v>-3.5</c:v>
                </c:pt>
                <c:pt idx="19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85-432D-9943-F59804513B73}"/>
            </c:ext>
          </c:extLst>
        </c:ser>
        <c:ser>
          <c:idx val="1"/>
          <c:order val="1"/>
          <c:tx>
            <c:v>mean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Bland!$V$2:$V$3</c:f>
              <c:numCache>
                <c:formatCode>General</c:formatCode>
                <c:ptCount val="2"/>
                <c:pt idx="0">
                  <c:v>30</c:v>
                </c:pt>
                <c:pt idx="1">
                  <c:v>80</c:v>
                </c:pt>
              </c:numCache>
            </c:numRef>
          </c:xVal>
          <c:yVal>
            <c:numRef>
              <c:f>Bland!$W$2:$W$3</c:f>
              <c:numCache>
                <c:formatCode>General</c:formatCode>
                <c:ptCount val="2"/>
                <c:pt idx="0">
                  <c:v>1.5150000000000001</c:v>
                </c:pt>
                <c:pt idx="1">
                  <c:v>1.5150000000000001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85-432D-9943-F59804513B73}"/>
            </c:ext>
          </c:extLst>
        </c:ser>
        <c:ser>
          <c:idx val="2"/>
          <c:order val="2"/>
          <c:tx>
            <c:v>lower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Bland!$V$2:$V$3</c:f>
              <c:numCache>
                <c:formatCode>General</c:formatCode>
                <c:ptCount val="2"/>
                <c:pt idx="0">
                  <c:v>30</c:v>
                </c:pt>
                <c:pt idx="1">
                  <c:v>80</c:v>
                </c:pt>
              </c:numCache>
            </c:numRef>
          </c:xVal>
          <c:yVal>
            <c:numRef>
              <c:f>Bland!$X$2:$X$3</c:f>
              <c:numCache>
                <c:formatCode>General</c:formatCode>
                <c:ptCount val="2"/>
                <c:pt idx="0">
                  <c:v>-6.3635150416767488</c:v>
                </c:pt>
                <c:pt idx="1">
                  <c:v>-6.3635150416767488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85-432D-9943-F59804513B73}"/>
            </c:ext>
          </c:extLst>
        </c:ser>
        <c:ser>
          <c:idx val="3"/>
          <c:order val="3"/>
          <c:tx>
            <c:v>upper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Bland!$V$2:$V$3</c:f>
              <c:numCache>
                <c:formatCode>General</c:formatCode>
                <c:ptCount val="2"/>
                <c:pt idx="0">
                  <c:v>30</c:v>
                </c:pt>
                <c:pt idx="1">
                  <c:v>80</c:v>
                </c:pt>
              </c:numCache>
            </c:numRef>
          </c:xVal>
          <c:yVal>
            <c:numRef>
              <c:f>Bland!$Y$2:$Y$3</c:f>
              <c:numCache>
                <c:formatCode>General</c:formatCode>
                <c:ptCount val="2"/>
                <c:pt idx="0">
                  <c:v>9.3935150416767499</c:v>
                </c:pt>
                <c:pt idx="1">
                  <c:v>9.3935150416767499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85-432D-9943-F59804513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985232"/>
        <c:axId val="734985624"/>
      </c:scatterChart>
      <c:valAx>
        <c:axId val="734985232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985624"/>
        <c:crosses val="autoZero"/>
        <c:crossBetween val="midCat"/>
      </c:valAx>
      <c:valAx>
        <c:axId val="73498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985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Adjusted Box Plot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Bland!$AM$4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Bland!$AN$3</c:f>
              <c:strCache>
                <c:ptCount val="1"/>
                <c:pt idx="0">
                  <c:v>Y</c:v>
                </c:pt>
              </c:strCache>
            </c:strRef>
          </c:cat>
          <c:val>
            <c:numRef>
              <c:f>Bland!$AN$4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D-4ACA-AB90-5AD86565F848}"/>
            </c:ext>
          </c:extLst>
        </c:ser>
        <c:ser>
          <c:idx val="1"/>
          <c:order val="1"/>
          <c:tx>
            <c:strRef>
              <c:f>Bland!$AM$5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Bland!$AN$3</c:f>
              <c:strCache>
                <c:ptCount val="1"/>
                <c:pt idx="0">
                  <c:v>Y</c:v>
                </c:pt>
              </c:strCache>
            </c:strRef>
          </c:cat>
          <c:val>
            <c:numRef>
              <c:f>Bland!$AN$5</c:f>
              <c:numCache>
                <c:formatCode>General</c:formatCode>
                <c:ptCount val="1"/>
                <c:pt idx="0">
                  <c:v>4.1250000000000053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BD-4ACA-AB90-5AD86565F848}"/>
            </c:ext>
          </c:extLst>
        </c:ser>
        <c:ser>
          <c:idx val="2"/>
          <c:order val="2"/>
          <c:tx>
            <c:strRef>
              <c:f>Bland!$AM$6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Bland!$AN$3</c:f>
              <c:strCache>
                <c:ptCount val="1"/>
                <c:pt idx="0">
                  <c:v>Y</c:v>
                </c:pt>
              </c:strCache>
            </c:strRef>
          </c:cat>
          <c:val>
            <c:numRef>
              <c:f>Bland!$AN$6</c:f>
              <c:numCache>
                <c:formatCode>General</c:formatCode>
                <c:ptCount val="1"/>
                <c:pt idx="0">
                  <c:v>2.6749999999999989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BD-4ACA-AB90-5AD86565F848}"/>
            </c:ext>
          </c:extLst>
        </c:ser>
        <c:ser>
          <c:idx val="3"/>
          <c:order val="3"/>
          <c:tx>
            <c:strRef>
              <c:f>Bland!$AM$7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Bland!$AN$8</c:f>
                <c:numCache>
                  <c:formatCode>General</c:formatCode>
                  <c:ptCount val="1"/>
                  <c:pt idx="0">
                    <c:v>5.9250000000000007</c:v>
                  </c:pt>
                </c:numCache>
              </c:numRef>
            </c:plus>
          </c:errBars>
          <c:cat>
            <c:strRef>
              <c:f>Bland!$AN$3</c:f>
              <c:strCache>
                <c:ptCount val="1"/>
                <c:pt idx="0">
                  <c:v>Y</c:v>
                </c:pt>
              </c:strCache>
            </c:strRef>
          </c:cat>
          <c:val>
            <c:numRef>
              <c:f>Bland!$AN$7</c:f>
              <c:numCache>
                <c:formatCode>General</c:formatCode>
                <c:ptCount val="1"/>
                <c:pt idx="0">
                  <c:v>2.774999999999995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BD-4ACA-AB90-5AD86565F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4983272"/>
        <c:axId val="734982880"/>
      </c:barChart>
      <c:catAx>
        <c:axId val="73498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34982880"/>
        <c:crosses val="autoZero"/>
        <c:auto val="1"/>
        <c:lblAlgn val="ctr"/>
        <c:lblOffset val="100"/>
        <c:noMultiLvlLbl val="0"/>
      </c:catAx>
      <c:valAx>
        <c:axId val="734982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34983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Bland!$AQ$10:$AQ$29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xVal>
          <c:yVal>
            <c:numRef>
              <c:f>Bland!$AR$10:$AR$29</c:f>
              <c:numCache>
                <c:formatCode>General</c:formatCode>
                <c:ptCount val="20"/>
                <c:pt idx="0">
                  <c:v>-1.9599639845400538</c:v>
                </c:pt>
                <c:pt idx="1">
                  <c:v>-1.4395314709384572</c:v>
                </c:pt>
                <c:pt idx="2">
                  <c:v>-1.1503493803760083</c:v>
                </c:pt>
                <c:pt idx="3">
                  <c:v>-0.93458929107347943</c:v>
                </c:pt>
                <c:pt idx="4">
                  <c:v>-0.75541502636046909</c:v>
                </c:pt>
                <c:pt idx="5">
                  <c:v>-0.59776012604247841</c:v>
                </c:pt>
                <c:pt idx="6">
                  <c:v>-0.45376219016987951</c:v>
                </c:pt>
                <c:pt idx="7">
                  <c:v>-0.3186393639643752</c:v>
                </c:pt>
                <c:pt idx="8">
                  <c:v>-0.18911842627279254</c:v>
                </c:pt>
                <c:pt idx="9">
                  <c:v>-6.2706777943213846E-2</c:v>
                </c:pt>
                <c:pt idx="10">
                  <c:v>6.2706777943213846E-2</c:v>
                </c:pt>
                <c:pt idx="11">
                  <c:v>0.18911842627279243</c:v>
                </c:pt>
                <c:pt idx="12">
                  <c:v>0.3186393639643752</c:v>
                </c:pt>
                <c:pt idx="13">
                  <c:v>0.45376219016987968</c:v>
                </c:pt>
                <c:pt idx="14">
                  <c:v>0.59776012604247841</c:v>
                </c:pt>
                <c:pt idx="15">
                  <c:v>0.75541502636046909</c:v>
                </c:pt>
                <c:pt idx="16">
                  <c:v>0.9345892910734801</c:v>
                </c:pt>
                <c:pt idx="17">
                  <c:v>1.1503493803760083</c:v>
                </c:pt>
                <c:pt idx="18">
                  <c:v>1.4395314709384563</c:v>
                </c:pt>
                <c:pt idx="19">
                  <c:v>1.9599639845400536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0A-4DE7-8884-5CC87E09C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980528"/>
        <c:axId val="752605272"/>
      </c:scatterChart>
      <c:valAx>
        <c:axId val="73498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605272"/>
        <c:crosses val="autoZero"/>
        <c:crossBetween val="midCat"/>
      </c:valAx>
      <c:valAx>
        <c:axId val="752605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980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Bland-Altman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</c:v>
          </c:tx>
          <c:spPr>
            <a:ln w="28575">
              <a:noFill/>
            </a:ln>
          </c:spPr>
          <c:xVal>
            <c:numLit>
              <c:formatCode>General</c:formatCode>
              <c:ptCount val="20"/>
              <c:pt idx="0">
                <c:v>33.65</c:v>
              </c:pt>
              <c:pt idx="1">
                <c:v>46.2</c:v>
              </c:pt>
              <c:pt idx="2">
                <c:v>43.65</c:v>
              </c:pt>
              <c:pt idx="3">
                <c:v>52.9</c:v>
              </c:pt>
              <c:pt idx="4">
                <c:v>57.45</c:v>
              </c:pt>
              <c:pt idx="5">
                <c:v>58.9</c:v>
              </c:pt>
              <c:pt idx="6">
                <c:v>61.900000000000006</c:v>
              </c:pt>
              <c:pt idx="7">
                <c:v>60.95</c:v>
              </c:pt>
              <c:pt idx="8">
                <c:v>61.400000000000006</c:v>
              </c:pt>
              <c:pt idx="9">
                <c:v>64.55</c:v>
              </c:pt>
              <c:pt idx="10">
                <c:v>65.05</c:v>
              </c:pt>
              <c:pt idx="11">
                <c:v>66.699999999999989</c:v>
              </c:pt>
              <c:pt idx="12">
                <c:v>67.449999999999989</c:v>
              </c:pt>
              <c:pt idx="13">
                <c:v>68.800000000000011</c:v>
              </c:pt>
              <c:pt idx="14">
                <c:v>67</c:v>
              </c:pt>
              <c:pt idx="15">
                <c:v>68.25</c:v>
              </c:pt>
              <c:pt idx="16">
                <c:v>73.900000000000006</c:v>
              </c:pt>
              <c:pt idx="17">
                <c:v>69.45</c:v>
              </c:pt>
              <c:pt idx="18">
                <c:v>77.05</c:v>
              </c:pt>
              <c:pt idx="19">
                <c:v>76.45</c:v>
              </c:pt>
            </c:numLit>
          </c:xVal>
          <c:yVal>
            <c:numLit>
              <c:formatCode>General</c:formatCode>
              <c:ptCount val="20"/>
              <c:pt idx="0">
                <c:v>10.299999999999997</c:v>
              </c:pt>
              <c:pt idx="1">
                <c:v>-5</c:v>
              </c:pt>
              <c:pt idx="2">
                <c:v>4.2999999999999972</c:v>
              </c:pt>
              <c:pt idx="3">
                <c:v>-5.2000000000000028</c:v>
              </c:pt>
              <c:pt idx="4">
                <c:v>-1.8999999999999986</c:v>
              </c:pt>
              <c:pt idx="5">
                <c:v>5.2000000000000028</c:v>
              </c:pt>
              <c:pt idx="6">
                <c:v>0.60000000000000142</c:v>
              </c:pt>
              <c:pt idx="7">
                <c:v>3.6999999999999957</c:v>
              </c:pt>
              <c:pt idx="8">
                <c:v>4.6000000000000014</c:v>
              </c:pt>
              <c:pt idx="9">
                <c:v>-9.9999999999994316E-2</c:v>
              </c:pt>
              <c:pt idx="10">
                <c:v>2.3000000000000043</c:v>
              </c:pt>
              <c:pt idx="11">
                <c:v>1.2000000000000028</c:v>
              </c:pt>
              <c:pt idx="12">
                <c:v>1.7000000000000028</c:v>
              </c:pt>
              <c:pt idx="13">
                <c:v>-0.79999999999999716</c:v>
              </c:pt>
              <c:pt idx="14">
                <c:v>4.5999999999999943</c:v>
              </c:pt>
              <c:pt idx="15">
                <c:v>2.5</c:v>
              </c:pt>
              <c:pt idx="16">
                <c:v>-2.7999999999999972</c:v>
              </c:pt>
              <c:pt idx="17">
                <c:v>7.0999999999999943</c:v>
              </c:pt>
              <c:pt idx="18">
                <c:v>-3.5</c:v>
              </c:pt>
              <c:pt idx="19">
                <c:v>1.5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ADE-41D1-A493-AC4FC1AFB6B4}"/>
            </c:ext>
          </c:extLst>
        </c:ser>
        <c:ser>
          <c:idx val="1"/>
          <c:order val="1"/>
          <c:tx>
            <c:v>mean</c:v>
          </c:tx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1.5150000000000001</c:v>
              </c:pt>
              <c:pt idx="1">
                <c:v>1.5150000000000001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ADE-41D1-A493-AC4FC1AFB6B4}"/>
            </c:ext>
          </c:extLst>
        </c:ser>
        <c:ser>
          <c:idx val="2"/>
          <c:order val="2"/>
          <c:tx>
            <c:v>lower</c:v>
          </c:tx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-6.3635150416767488</c:v>
              </c:pt>
              <c:pt idx="1">
                <c:v>-6.3635150416767488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ADE-41D1-A493-AC4FC1AFB6B4}"/>
            </c:ext>
          </c:extLst>
        </c:ser>
        <c:ser>
          <c:idx val="3"/>
          <c:order val="3"/>
          <c:tx>
            <c:v>upper</c:v>
          </c:tx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9.3935150416767499</c:v>
              </c:pt>
              <c:pt idx="1">
                <c:v>9.3935150416767499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ADE-41D1-A493-AC4FC1AFB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2920"/>
        <c:axId val="752598608"/>
      </c:scatterChart>
      <c:valAx>
        <c:axId val="752602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means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598608"/>
        <c:crosses val="autoZero"/>
        <c:crossBetween val="midCat"/>
      </c:valAx>
      <c:valAx>
        <c:axId val="752598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differences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602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XY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Lin!$A$23:$A$24</c:f>
              <c:numCache>
                <c:formatCode>General</c:formatCode>
                <c:ptCount val="2"/>
                <c:pt idx="0">
                  <c:v>0</c:v>
                </c:pt>
                <c:pt idx="1">
                  <c:v>600</c:v>
                </c:pt>
              </c:numCache>
            </c:numRef>
          </c:xVal>
          <c:yVal>
            <c:numRef>
              <c:f>Lin!$B$23:$B$24</c:f>
              <c:numCache>
                <c:formatCode>General</c:formatCode>
                <c:ptCount val="2"/>
                <c:pt idx="0">
                  <c:v>0</c:v>
                </c:pt>
                <c:pt idx="1">
                  <c:v>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00-45EC-B425-82D3D50AD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598216"/>
        <c:axId val="752601352"/>
      </c:scatterChar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Lin!$A$4:$A$21</c:f>
              <c:numCache>
                <c:formatCode>General</c:formatCode>
                <c:ptCount val="18"/>
                <c:pt idx="0">
                  <c:v>347</c:v>
                </c:pt>
                <c:pt idx="1">
                  <c:v>249</c:v>
                </c:pt>
                <c:pt idx="2">
                  <c:v>369</c:v>
                </c:pt>
                <c:pt idx="3">
                  <c:v>286</c:v>
                </c:pt>
                <c:pt idx="4">
                  <c:v>329</c:v>
                </c:pt>
                <c:pt idx="5">
                  <c:v>410</c:v>
                </c:pt>
                <c:pt idx="6">
                  <c:v>267</c:v>
                </c:pt>
                <c:pt idx="7">
                  <c:v>295</c:v>
                </c:pt>
                <c:pt idx="8">
                  <c:v>500</c:v>
                </c:pt>
                <c:pt idx="9">
                  <c:v>286</c:v>
                </c:pt>
                <c:pt idx="10">
                  <c:v>271</c:v>
                </c:pt>
                <c:pt idx="11">
                  <c:v>506</c:v>
                </c:pt>
                <c:pt idx="12">
                  <c:v>117</c:v>
                </c:pt>
                <c:pt idx="13">
                  <c:v>329</c:v>
                </c:pt>
                <c:pt idx="14">
                  <c:v>132</c:v>
                </c:pt>
                <c:pt idx="15">
                  <c:v>274</c:v>
                </c:pt>
                <c:pt idx="16">
                  <c:v>277</c:v>
                </c:pt>
                <c:pt idx="17">
                  <c:v>198</c:v>
                </c:pt>
              </c:numCache>
            </c:numRef>
          </c:xVal>
          <c:yVal>
            <c:numRef>
              <c:f>Lin!$B$4:$B$21</c:f>
              <c:numCache>
                <c:formatCode>General</c:formatCode>
                <c:ptCount val="18"/>
                <c:pt idx="0">
                  <c:v>371</c:v>
                </c:pt>
                <c:pt idx="1">
                  <c:v>283</c:v>
                </c:pt>
                <c:pt idx="2">
                  <c:v>373</c:v>
                </c:pt>
                <c:pt idx="3">
                  <c:v>341</c:v>
                </c:pt>
                <c:pt idx="4">
                  <c:v>353</c:v>
                </c:pt>
                <c:pt idx="5">
                  <c:v>454</c:v>
                </c:pt>
                <c:pt idx="6">
                  <c:v>214</c:v>
                </c:pt>
                <c:pt idx="7">
                  <c:v>230</c:v>
                </c:pt>
                <c:pt idx="8">
                  <c:v>510</c:v>
                </c:pt>
                <c:pt idx="9">
                  <c:v>295</c:v>
                </c:pt>
                <c:pt idx="10">
                  <c:v>286</c:v>
                </c:pt>
                <c:pt idx="11">
                  <c:v>453</c:v>
                </c:pt>
                <c:pt idx="12">
                  <c:v>114</c:v>
                </c:pt>
                <c:pt idx="13">
                  <c:v>328</c:v>
                </c:pt>
                <c:pt idx="14">
                  <c:v>109</c:v>
                </c:pt>
                <c:pt idx="15">
                  <c:v>203</c:v>
                </c:pt>
                <c:pt idx="16">
                  <c:v>305</c:v>
                </c:pt>
                <c:pt idx="17">
                  <c:v>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00-45EC-B425-82D3D50AD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598216"/>
        <c:axId val="752601352"/>
      </c:scatterChart>
      <c:valAx>
        <c:axId val="752598216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01352"/>
        <c:crosses val="autoZero"/>
        <c:crossBetween val="midCat"/>
      </c:valAx>
      <c:valAx>
        <c:axId val="75260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598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Wright 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Ability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'Rasch A'!$BA$3:$BA$11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xVal>
          <c:yVal>
            <c:numRef>
              <c:f>'Rasch A'!$BB$3:$BB$11</c:f>
              <c:numCache>
                <c:formatCode>General</c:formatCode>
                <c:ptCount val="9"/>
                <c:pt idx="0">
                  <c:v>4.0931461415557076</c:v>
                </c:pt>
                <c:pt idx="1">
                  <c:v>2.5933721629415407</c:v>
                </c:pt>
                <c:pt idx="2">
                  <c:v>1.3931219057051234</c:v>
                </c:pt>
                <c:pt idx="3">
                  <c:v>1.3931219057051234</c:v>
                </c:pt>
                <c:pt idx="4">
                  <c:v>0.50039128089596274</c:v>
                </c:pt>
                <c:pt idx="5">
                  <c:v>0.50039128089596274</c:v>
                </c:pt>
                <c:pt idx="6">
                  <c:v>-0.9860954409705589</c:v>
                </c:pt>
                <c:pt idx="7">
                  <c:v>-0.9860954409705589</c:v>
                </c:pt>
                <c:pt idx="8">
                  <c:v>-2.5075167478240079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B8-4245-9C88-7C46CE38A5DE}"/>
            </c:ext>
          </c:extLst>
        </c:ser>
        <c:ser>
          <c:idx val="1"/>
          <c:order val="1"/>
          <c:tx>
            <c:v>Difficulty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'Rasch A'!$BA$13:$BA$22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</c:numCache>
            </c:numRef>
          </c:xVal>
          <c:yVal>
            <c:numRef>
              <c:f>'Rasch A'!$BB$13:$BB$22</c:f>
              <c:numCache>
                <c:formatCode>General</c:formatCode>
                <c:ptCount val="10"/>
                <c:pt idx="0">
                  <c:v>-2.5040776135700167</c:v>
                </c:pt>
                <c:pt idx="1">
                  <c:v>-2.5060881893049185</c:v>
                </c:pt>
                <c:pt idx="2">
                  <c:v>-2.5060881893049185</c:v>
                </c:pt>
                <c:pt idx="3">
                  <c:v>-1.3462382348173467</c:v>
                </c:pt>
                <c:pt idx="4">
                  <c:v>-0.47786678044112318</c:v>
                </c:pt>
                <c:pt idx="5">
                  <c:v>0.28117487130438812</c:v>
                </c:pt>
                <c:pt idx="6">
                  <c:v>0.28117487130438806</c:v>
                </c:pt>
                <c:pt idx="7">
                  <c:v>1.0052994923337806</c:v>
                </c:pt>
                <c:pt idx="8">
                  <c:v>3.8874479465539626</c:v>
                </c:pt>
                <c:pt idx="9">
                  <c:v>3.8874479465539626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B8-4245-9C88-7C46CE38A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998728"/>
        <c:axId val="461997944"/>
      </c:scatterChart>
      <c:valAx>
        <c:axId val="461998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97944"/>
        <c:crosses val="autoZero"/>
        <c:crossBetween val="midCat"/>
      </c:valAx>
      <c:valAx>
        <c:axId val="46199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98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'Rasch C'!$B$1</c:f>
              <c:strCache>
                <c:ptCount val="1"/>
                <c:pt idx="0">
                  <c:v>logit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'Rasch C'!$A$2:$A$22</c:f>
              <c:numCache>
                <c:formatCode>General</c:formatCode>
                <c:ptCount val="2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</c:numCache>
            </c:numRef>
          </c:xVal>
          <c:yVal>
            <c:numRef>
              <c:f>'Rasch C'!$B$2:$B$22</c:f>
              <c:numCache>
                <c:formatCode>General</c:formatCode>
                <c:ptCount val="21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3.3535013046647816E-4</c:v>
                </c:pt>
                <c:pt idx="3">
                  <c:v>9.1105119440064539E-4</c:v>
                </c:pt>
                <c:pt idx="4">
                  <c:v>2.4726231566347748E-3</c:v>
                </c:pt>
                <c:pt idx="5">
                  <c:v>6.6928509242848563E-3</c:v>
                </c:pt>
                <c:pt idx="6">
                  <c:v>1.7986209962091555E-2</c:v>
                </c:pt>
                <c:pt idx="7">
                  <c:v>4.7425873177566788E-2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0.88079707797788243</c:v>
                </c:pt>
                <c:pt idx="13">
                  <c:v>0.95257412682243325</c:v>
                </c:pt>
                <c:pt idx="14">
                  <c:v>0.98201379003790845</c:v>
                </c:pt>
                <c:pt idx="15">
                  <c:v>0.99330714907571516</c:v>
                </c:pt>
                <c:pt idx="16">
                  <c:v>0.99752737684336523</c:v>
                </c:pt>
                <c:pt idx="17">
                  <c:v>0.9990889488055994</c:v>
                </c:pt>
                <c:pt idx="18">
                  <c:v>0.99966464986953352</c:v>
                </c:pt>
                <c:pt idx="19">
                  <c:v>0.9998766054240138</c:v>
                </c:pt>
                <c:pt idx="20">
                  <c:v>0.99995460213129761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FC-4C3F-A109-2C41E3464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003824"/>
        <c:axId val="462003432"/>
      </c:scatterChart>
      <c:valAx>
        <c:axId val="462003824"/>
        <c:scaling>
          <c:orientation val="minMax"/>
          <c:max val="5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03432"/>
        <c:crosses val="autoZero"/>
        <c:crossBetween val="midCat"/>
      </c:valAx>
      <c:valAx>
        <c:axId val="4620034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0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</xdr:row>
      <xdr:rowOff>185737</xdr:rowOff>
    </xdr:from>
    <xdr:to>
      <xdr:col>10</xdr:col>
      <xdr:colOff>504825</xdr:colOff>
      <xdr:row>16</xdr:row>
      <xdr:rowOff>71437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200025</xdr:colOff>
      <xdr:row>16</xdr:row>
      <xdr:rowOff>90487</xdr:rowOff>
    </xdr:from>
    <xdr:to>
      <xdr:col>10</xdr:col>
      <xdr:colOff>504825</xdr:colOff>
      <xdr:row>30</xdr:row>
      <xdr:rowOff>166687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523875</xdr:colOff>
      <xdr:row>16</xdr:row>
      <xdr:rowOff>80962</xdr:rowOff>
    </xdr:from>
    <xdr:to>
      <xdr:col>18</xdr:col>
      <xdr:colOff>219075</xdr:colOff>
      <xdr:row>30</xdr:row>
      <xdr:rowOff>157162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523875</xdr:colOff>
      <xdr:row>2</xdr:row>
      <xdr:rowOff>4762</xdr:rowOff>
    </xdr:from>
    <xdr:to>
      <xdr:col>18</xdr:col>
      <xdr:colOff>219075</xdr:colOff>
      <xdr:row>16</xdr:row>
      <xdr:rowOff>80962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2</xdr:row>
      <xdr:rowOff>4762</xdr:rowOff>
    </xdr:from>
    <xdr:to>
      <xdr:col>10</xdr:col>
      <xdr:colOff>504825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</xdr:row>
      <xdr:rowOff>42862</xdr:rowOff>
    </xdr:from>
    <xdr:to>
      <xdr:col>9</xdr:col>
      <xdr:colOff>542925</xdr:colOff>
      <xdr:row>13</xdr:row>
      <xdr:rowOff>162877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542926</xdr:colOff>
      <xdr:row>1</xdr:row>
      <xdr:rowOff>42862</xdr:rowOff>
    </xdr:from>
    <xdr:to>
      <xdr:col>16</xdr:col>
      <xdr:colOff>284164</xdr:colOff>
      <xdr:row>13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152400</xdr:colOff>
      <xdr:row>1</xdr:row>
      <xdr:rowOff>33337</xdr:rowOff>
    </xdr:from>
    <xdr:to>
      <xdr:col>25</xdr:col>
      <xdr:colOff>457200</xdr:colOff>
      <xdr:row>15</xdr:row>
      <xdr:rowOff>71437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161925</xdr:colOff>
      <xdr:row>31</xdr:row>
      <xdr:rowOff>52387</xdr:rowOff>
    </xdr:from>
    <xdr:to>
      <xdr:col>25</xdr:col>
      <xdr:colOff>466725</xdr:colOff>
      <xdr:row>45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152400</xdr:colOff>
      <xdr:row>16</xdr:row>
      <xdr:rowOff>14287</xdr:rowOff>
    </xdr:from>
    <xdr:to>
      <xdr:col>25</xdr:col>
      <xdr:colOff>495300</xdr:colOff>
      <xdr:row>30</xdr:row>
      <xdr:rowOff>113347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10583</xdr:colOff>
      <xdr:row>2</xdr:row>
      <xdr:rowOff>0</xdr:rowOff>
    </xdr:from>
    <xdr:to>
      <xdr:col>15</xdr:col>
      <xdr:colOff>285750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78828</xdr:colOff>
      <xdr:row>8</xdr:row>
      <xdr:rowOff>13356</xdr:rowOff>
    </xdr:from>
    <xdr:to>
      <xdr:col>39</xdr:col>
      <xdr:colOff>3172811</xdr:colOff>
      <xdr:row>22</xdr:row>
      <xdr:rowOff>150867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381000</xdr:colOff>
      <xdr:row>3</xdr:row>
      <xdr:rowOff>61912</xdr:rowOff>
    </xdr:from>
    <xdr:to>
      <xdr:col>54</xdr:col>
      <xdr:colOff>76200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60</xdr:col>
      <xdr:colOff>323850</xdr:colOff>
      <xdr:row>3</xdr:row>
      <xdr:rowOff>109537</xdr:rowOff>
    </xdr:from>
    <xdr:to>
      <xdr:col>68</xdr:col>
      <xdr:colOff>19050</xdr:colOff>
      <xdr:row>17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200025</xdr:colOff>
      <xdr:row>2</xdr:row>
      <xdr:rowOff>71437</xdr:rowOff>
    </xdr:from>
    <xdr:to>
      <xdr:col>15</xdr:col>
      <xdr:colOff>504825</xdr:colOff>
      <xdr:row>16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200025</xdr:colOff>
      <xdr:row>2</xdr:row>
      <xdr:rowOff>14287</xdr:rowOff>
    </xdr:from>
    <xdr:to>
      <xdr:col>35</xdr:col>
      <xdr:colOff>504825</xdr:colOff>
      <xdr:row>16</xdr:row>
      <xdr:rowOff>71437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180975</xdr:colOff>
      <xdr:row>17</xdr:row>
      <xdr:rowOff>100012</xdr:rowOff>
    </xdr:from>
    <xdr:to>
      <xdr:col>15</xdr:col>
      <xdr:colOff>485775</xdr:colOff>
      <xdr:row>31</xdr:row>
      <xdr:rowOff>176212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1</xdr:row>
      <xdr:rowOff>176212</xdr:rowOff>
    </xdr:from>
    <xdr:to>
      <xdr:col>12</xdr:col>
      <xdr:colOff>276225</xdr:colOff>
      <xdr:row>16</xdr:row>
      <xdr:rowOff>61912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400050</xdr:colOff>
      <xdr:row>1</xdr:row>
      <xdr:rowOff>176212</xdr:rowOff>
    </xdr:from>
    <xdr:to>
      <xdr:col>20</xdr:col>
      <xdr:colOff>95250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2</xdr:row>
      <xdr:rowOff>52387</xdr:rowOff>
    </xdr:from>
    <xdr:to>
      <xdr:col>11</xdr:col>
      <xdr:colOff>514350</xdr:colOff>
      <xdr:row>16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247650</xdr:colOff>
      <xdr:row>2</xdr:row>
      <xdr:rowOff>61912</xdr:rowOff>
    </xdr:from>
    <xdr:to>
      <xdr:col>64</xdr:col>
      <xdr:colOff>552450</xdr:colOff>
      <xdr:row>16</xdr:row>
      <xdr:rowOff>138112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276225</xdr:colOff>
      <xdr:row>2</xdr:row>
      <xdr:rowOff>71437</xdr:rowOff>
    </xdr:from>
    <xdr:to>
      <xdr:col>37</xdr:col>
      <xdr:colOff>581025</xdr:colOff>
      <xdr:row>16</xdr:row>
      <xdr:rowOff>147637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47625</xdr:colOff>
      <xdr:row>1</xdr:row>
      <xdr:rowOff>14287</xdr:rowOff>
    </xdr:from>
    <xdr:to>
      <xdr:col>12</xdr:col>
      <xdr:colOff>352425</xdr:colOff>
      <xdr:row>15</xdr:row>
      <xdr:rowOff>90487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552450</xdr:colOff>
      <xdr:row>19</xdr:row>
      <xdr:rowOff>157162</xdr:rowOff>
    </xdr:from>
    <xdr:to>
      <xdr:col>21</xdr:col>
      <xdr:colOff>257175</xdr:colOff>
      <xdr:row>34</xdr:row>
      <xdr:rowOff>42862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3</xdr:row>
      <xdr:rowOff>128587</xdr:rowOff>
    </xdr:from>
    <xdr:to>
      <xdr:col>2</xdr:col>
      <xdr:colOff>4667250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180975</xdr:colOff>
      <xdr:row>3</xdr:row>
      <xdr:rowOff>119062</xdr:rowOff>
    </xdr:from>
    <xdr:to>
      <xdr:col>13</xdr:col>
      <xdr:colOff>485775</xdr:colOff>
      <xdr:row>17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200025</xdr:colOff>
      <xdr:row>14</xdr:row>
      <xdr:rowOff>128587</xdr:rowOff>
    </xdr:from>
    <xdr:to>
      <xdr:col>55</xdr:col>
      <xdr:colOff>504825</xdr:colOff>
      <xdr:row>28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4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209550</xdr:colOff>
      <xdr:row>0</xdr:row>
      <xdr:rowOff>42862</xdr:rowOff>
    </xdr:from>
    <xdr:to>
      <xdr:col>55</xdr:col>
      <xdr:colOff>514350</xdr:colOff>
      <xdr:row>14</xdr:row>
      <xdr:rowOff>52387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4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2</xdr:row>
      <xdr:rowOff>23812</xdr:rowOff>
    </xdr:from>
    <xdr:to>
      <xdr:col>15</xdr:col>
      <xdr:colOff>495300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3</xdr:row>
      <xdr:rowOff>157162</xdr:rowOff>
    </xdr:from>
    <xdr:to>
      <xdr:col>15</xdr:col>
      <xdr:colOff>495300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133350</xdr:colOff>
      <xdr:row>3</xdr:row>
      <xdr:rowOff>147637</xdr:rowOff>
    </xdr:from>
    <xdr:to>
      <xdr:col>61</xdr:col>
      <xdr:colOff>438150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1</xdr:row>
      <xdr:rowOff>185737</xdr:rowOff>
    </xdr:from>
    <xdr:to>
      <xdr:col>10</xdr:col>
      <xdr:colOff>428625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york.ac.uk/depts/maths/tables/kendall.pdf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41"/>
  <dimension ref="A1:B12"/>
  <sheetViews>
    <sheetView tabSelected="1" zoomScaleNormal="100" workbookViewId="0"/>
  </sheetViews>
  <sheetFormatPr defaultRowHeight="14.5" x14ac:dyDescent="0.35"/>
  <cols>
    <col min="1" max="1" width="64.1796875" customWidth="1"/>
  </cols>
  <sheetData>
    <row r="1" spans="1:2" x14ac:dyDescent="0.35">
      <c r="A1" s="1" t="s">
        <v>853</v>
      </c>
      <c r="B1" s="1"/>
    </row>
    <row r="2" spans="1:2" x14ac:dyDescent="0.35">
      <c r="A2" s="1" t="s">
        <v>1008</v>
      </c>
      <c r="B2" s="1"/>
    </row>
    <row r="3" spans="1:2" x14ac:dyDescent="0.35">
      <c r="A3" s="1"/>
      <c r="B3" s="1"/>
    </row>
    <row r="4" spans="1:2" x14ac:dyDescent="0.35">
      <c r="A4" s="146" t="s">
        <v>993</v>
      </c>
    </row>
    <row r="6" spans="1:2" x14ac:dyDescent="0.35">
      <c r="A6" s="1" t="s">
        <v>313</v>
      </c>
    </row>
    <row r="8" spans="1:2" x14ac:dyDescent="0.35">
      <c r="A8" s="2" t="s">
        <v>245</v>
      </c>
    </row>
    <row r="9" spans="1:2" x14ac:dyDescent="0.35">
      <c r="A9" s="2" t="s">
        <v>580</v>
      </c>
    </row>
    <row r="10" spans="1:2" x14ac:dyDescent="0.35">
      <c r="A10" s="2" t="s">
        <v>581</v>
      </c>
    </row>
    <row r="11" spans="1:2" x14ac:dyDescent="0.35">
      <c r="A11" s="2" t="s">
        <v>582</v>
      </c>
    </row>
    <row r="12" spans="1:2" x14ac:dyDescent="0.35">
      <c r="A12" s="2" t="s">
        <v>314</v>
      </c>
    </row>
  </sheetData>
  <hyperlinks>
    <hyperlink ref="A12" location="TOC!A201" display="Tables" xr:uid="{00000000-0004-0000-0000-000000000000}"/>
    <hyperlink ref="A11" location="TOC!A169" display="Item Analysis" xr:uid="{00000000-0004-0000-0000-000001000000}"/>
    <hyperlink ref="A8" location="TOC!A8" display="Correlation" xr:uid="{00000000-0004-0000-0000-000002000000}"/>
    <hyperlink ref="A10" location="TOC!A125" display="Interrater Reliability" xr:uid="{00000000-0004-0000-0000-000003000000}"/>
    <hyperlink ref="A9" location="TOC!A102" display="Internal Consistency Reliability" xr:uid="{00000000-0004-0000-0000-000004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B204"/>
  <sheetViews>
    <sheetView zoomScaleNormal="100" workbookViewId="0"/>
  </sheetViews>
  <sheetFormatPr defaultRowHeight="15" customHeight="1" x14ac:dyDescent="0.35"/>
  <cols>
    <col min="1" max="1" width="4" customWidth="1"/>
    <col min="2" max="2" width="85.54296875" customWidth="1"/>
  </cols>
  <sheetData>
    <row r="1" spans="1:2" ht="14.5" x14ac:dyDescent="0.35">
      <c r="A1" s="1" t="s">
        <v>853</v>
      </c>
      <c r="B1" s="1"/>
    </row>
    <row r="2" spans="1:2" ht="14.5" x14ac:dyDescent="0.35">
      <c r="A2" s="1" t="s">
        <v>1008</v>
      </c>
      <c r="B2" s="1"/>
    </row>
    <row r="3" spans="1:2" ht="14.5" x14ac:dyDescent="0.35">
      <c r="A3" s="1"/>
      <c r="B3" s="1"/>
    </row>
    <row r="4" spans="1:2" ht="14.5" x14ac:dyDescent="0.35">
      <c r="A4" s="146" t="s">
        <v>993</v>
      </c>
    </row>
    <row r="6" spans="1:2" ht="15" customHeight="1" x14ac:dyDescent="0.35">
      <c r="A6" s="1" t="s">
        <v>0</v>
      </c>
    </row>
    <row r="7" spans="1:2" ht="15" customHeight="1" x14ac:dyDescent="0.35">
      <c r="A7" s="1"/>
    </row>
    <row r="8" spans="1:2" ht="15" customHeight="1" x14ac:dyDescent="0.35">
      <c r="A8" s="1" t="s">
        <v>245</v>
      </c>
      <c r="B8" s="2"/>
    </row>
    <row r="9" spans="1:2" ht="15" customHeight="1" x14ac:dyDescent="0.35">
      <c r="A9" s="1"/>
      <c r="B9" s="2"/>
    </row>
    <row r="10" spans="1:2" ht="15" customHeight="1" x14ac:dyDescent="0.35">
      <c r="A10" s="9" t="s">
        <v>317</v>
      </c>
      <c r="B10" s="2"/>
    </row>
    <row r="11" spans="1:2" ht="15" customHeight="1" x14ac:dyDescent="0.35">
      <c r="A11" s="9"/>
      <c r="B11" s="2" t="s">
        <v>488</v>
      </c>
    </row>
    <row r="12" spans="1:2" ht="15" customHeight="1" x14ac:dyDescent="0.35">
      <c r="A12" s="9"/>
      <c r="B12" s="2" t="s">
        <v>363</v>
      </c>
    </row>
    <row r="13" spans="1:2" ht="15" customHeight="1" x14ac:dyDescent="0.35">
      <c r="A13" s="9"/>
      <c r="B13" s="2" t="s">
        <v>516</v>
      </c>
    </row>
    <row r="14" spans="1:2" ht="15" customHeight="1" x14ac:dyDescent="0.35">
      <c r="B14" s="2" t="s">
        <v>962</v>
      </c>
    </row>
    <row r="15" spans="1:2" ht="15" customHeight="1" x14ac:dyDescent="0.35">
      <c r="B15" s="2"/>
    </row>
    <row r="16" spans="1:2" ht="15" customHeight="1" x14ac:dyDescent="0.35">
      <c r="A16" t="s">
        <v>319</v>
      </c>
      <c r="B16" s="2"/>
    </row>
    <row r="17" spans="1:2" ht="15" customHeight="1" x14ac:dyDescent="0.35">
      <c r="B17" s="2" t="s">
        <v>320</v>
      </c>
    </row>
    <row r="18" spans="1:2" ht="15" customHeight="1" x14ac:dyDescent="0.35">
      <c r="B18" s="2" t="s">
        <v>968</v>
      </c>
    </row>
    <row r="19" spans="1:2" ht="15" customHeight="1" x14ac:dyDescent="0.35">
      <c r="B19" s="2" t="s">
        <v>969</v>
      </c>
    </row>
    <row r="20" spans="1:2" ht="15" customHeight="1" x14ac:dyDescent="0.35">
      <c r="B20" s="2" t="s">
        <v>970</v>
      </c>
    </row>
    <row r="21" spans="1:2" ht="15" customHeight="1" x14ac:dyDescent="0.35">
      <c r="B21" s="2"/>
    </row>
    <row r="22" spans="1:2" ht="15" customHeight="1" x14ac:dyDescent="0.35">
      <c r="A22" t="s">
        <v>321</v>
      </c>
      <c r="B22" s="2"/>
    </row>
    <row r="23" spans="1:2" ht="15" customHeight="1" x14ac:dyDescent="0.35">
      <c r="B23" s="2" t="s">
        <v>330</v>
      </c>
    </row>
    <row r="24" spans="1:2" ht="15" customHeight="1" x14ac:dyDescent="0.35">
      <c r="B24" s="2" t="s">
        <v>331</v>
      </c>
    </row>
    <row r="25" spans="1:2" ht="15" customHeight="1" x14ac:dyDescent="0.35">
      <c r="B25" s="2" t="s">
        <v>542</v>
      </c>
    </row>
    <row r="26" spans="1:2" ht="15" customHeight="1" x14ac:dyDescent="0.35">
      <c r="B26" s="2" t="s">
        <v>332</v>
      </c>
    </row>
    <row r="27" spans="1:2" ht="15" customHeight="1" x14ac:dyDescent="0.35">
      <c r="B27" s="2" t="s">
        <v>333</v>
      </c>
    </row>
    <row r="28" spans="1:2" ht="15" customHeight="1" x14ac:dyDescent="0.35">
      <c r="B28" s="2" t="s">
        <v>419</v>
      </c>
    </row>
    <row r="29" spans="1:2" ht="15" customHeight="1" x14ac:dyDescent="0.35">
      <c r="B29" s="2" t="s">
        <v>519</v>
      </c>
    </row>
    <row r="30" spans="1:2" ht="15" customHeight="1" x14ac:dyDescent="0.35">
      <c r="B30" s="2" t="s">
        <v>334</v>
      </c>
    </row>
    <row r="31" spans="1:2" ht="15" customHeight="1" x14ac:dyDescent="0.35">
      <c r="B31" s="2" t="s">
        <v>335</v>
      </c>
    </row>
    <row r="32" spans="1:2" ht="15" customHeight="1" x14ac:dyDescent="0.35">
      <c r="B32" s="2"/>
    </row>
    <row r="33" spans="1:2" ht="15" customHeight="1" x14ac:dyDescent="0.35">
      <c r="A33" t="s">
        <v>322</v>
      </c>
      <c r="B33" s="2"/>
    </row>
    <row r="34" spans="1:2" ht="15" customHeight="1" x14ac:dyDescent="0.35">
      <c r="B34" s="2" t="s">
        <v>342</v>
      </c>
    </row>
    <row r="35" spans="1:2" ht="15" customHeight="1" x14ac:dyDescent="0.35">
      <c r="B35" s="70" t="s">
        <v>837</v>
      </c>
    </row>
    <row r="36" spans="1:2" ht="15" customHeight="1" x14ac:dyDescent="0.35">
      <c r="B36" s="70" t="s">
        <v>838</v>
      </c>
    </row>
    <row r="37" spans="1:2" ht="15" customHeight="1" x14ac:dyDescent="0.35">
      <c r="B37" s="70" t="s">
        <v>839</v>
      </c>
    </row>
    <row r="38" spans="1:2" ht="15" customHeight="1" x14ac:dyDescent="0.35">
      <c r="B38" s="70"/>
    </row>
    <row r="39" spans="1:2" ht="15" customHeight="1" x14ac:dyDescent="0.35">
      <c r="A39" t="s">
        <v>323</v>
      </c>
    </row>
    <row r="40" spans="1:2" ht="15" customHeight="1" x14ac:dyDescent="0.35">
      <c r="B40" s="2" t="s">
        <v>324</v>
      </c>
    </row>
    <row r="41" spans="1:2" ht="15" customHeight="1" x14ac:dyDescent="0.35">
      <c r="B41" s="2" t="s">
        <v>325</v>
      </c>
    </row>
    <row r="42" spans="1:2" ht="15" customHeight="1" x14ac:dyDescent="0.35">
      <c r="B42" s="2" t="s">
        <v>326</v>
      </c>
    </row>
    <row r="43" spans="1:2" ht="15" customHeight="1" x14ac:dyDescent="0.35">
      <c r="B43" s="2" t="s">
        <v>336</v>
      </c>
    </row>
    <row r="44" spans="1:2" ht="15" customHeight="1" x14ac:dyDescent="0.35">
      <c r="B44" s="2"/>
    </row>
    <row r="45" spans="1:2" ht="15" customHeight="1" x14ac:dyDescent="0.35">
      <c r="A45" t="s">
        <v>377</v>
      </c>
      <c r="B45" s="2"/>
    </row>
    <row r="46" spans="1:2" ht="15" customHeight="1" x14ac:dyDescent="0.35">
      <c r="B46" s="2" t="s">
        <v>338</v>
      </c>
    </row>
    <row r="47" spans="1:2" ht="15" customHeight="1" x14ac:dyDescent="0.35">
      <c r="B47" s="2" t="s">
        <v>339</v>
      </c>
    </row>
    <row r="48" spans="1:2" ht="15" customHeight="1" x14ac:dyDescent="0.35">
      <c r="B48" s="2" t="s">
        <v>340</v>
      </c>
    </row>
    <row r="49" spans="1:2" ht="15" customHeight="1" x14ac:dyDescent="0.35">
      <c r="B49" s="2" t="s">
        <v>497</v>
      </c>
    </row>
    <row r="50" spans="1:2" ht="15" customHeight="1" x14ac:dyDescent="0.35">
      <c r="B50" s="2" t="s">
        <v>262</v>
      </c>
    </row>
    <row r="51" spans="1:2" ht="15" customHeight="1" x14ac:dyDescent="0.35">
      <c r="B51" s="2"/>
    </row>
    <row r="52" spans="1:2" ht="15" customHeight="1" x14ac:dyDescent="0.35">
      <c r="A52" t="s">
        <v>376</v>
      </c>
      <c r="B52" s="2"/>
    </row>
    <row r="53" spans="1:2" ht="15" customHeight="1" x14ac:dyDescent="0.35">
      <c r="B53" s="2" t="s">
        <v>341</v>
      </c>
    </row>
    <row r="54" spans="1:2" ht="15" customHeight="1" x14ac:dyDescent="0.35">
      <c r="B54" s="2" t="s">
        <v>437</v>
      </c>
    </row>
    <row r="55" spans="1:2" ht="15" customHeight="1" x14ac:dyDescent="0.35">
      <c r="B55" s="2" t="s">
        <v>446</v>
      </c>
    </row>
    <row r="56" spans="1:2" ht="15" customHeight="1" x14ac:dyDescent="0.35">
      <c r="B56" s="2" t="s">
        <v>374</v>
      </c>
    </row>
    <row r="57" spans="1:2" ht="15" customHeight="1" x14ac:dyDescent="0.35">
      <c r="B57" s="2" t="s">
        <v>375</v>
      </c>
    </row>
    <row r="58" spans="1:2" ht="15" customHeight="1" x14ac:dyDescent="0.35">
      <c r="B58" s="2"/>
    </row>
    <row r="59" spans="1:2" ht="15" customHeight="1" x14ac:dyDescent="0.35">
      <c r="A59" t="s">
        <v>477</v>
      </c>
      <c r="B59" s="2"/>
    </row>
    <row r="60" spans="1:2" ht="15" customHeight="1" x14ac:dyDescent="0.35">
      <c r="B60" s="2" t="s">
        <v>327</v>
      </c>
    </row>
    <row r="61" spans="1:2" ht="15" customHeight="1" x14ac:dyDescent="0.35">
      <c r="B61" s="2" t="s">
        <v>307</v>
      </c>
    </row>
    <row r="62" spans="1:2" ht="15" customHeight="1" x14ac:dyDescent="0.35">
      <c r="B62" s="2" t="s">
        <v>505</v>
      </c>
    </row>
    <row r="63" spans="1:2" ht="15" customHeight="1" x14ac:dyDescent="0.35">
      <c r="B63" s="2"/>
    </row>
    <row r="64" spans="1:2" ht="15" customHeight="1" x14ac:dyDescent="0.35">
      <c r="A64" t="s">
        <v>478</v>
      </c>
      <c r="B64" s="2"/>
    </row>
    <row r="65" spans="1:2" ht="15" customHeight="1" x14ac:dyDescent="0.35">
      <c r="B65" s="2" t="s">
        <v>328</v>
      </c>
    </row>
    <row r="66" spans="1:2" ht="15" customHeight="1" x14ac:dyDescent="0.35">
      <c r="B66" s="2" t="s">
        <v>329</v>
      </c>
    </row>
    <row r="67" spans="1:2" ht="15" customHeight="1" x14ac:dyDescent="0.35">
      <c r="B67" s="2" t="s">
        <v>337</v>
      </c>
    </row>
    <row r="68" spans="1:2" ht="15" customHeight="1" x14ac:dyDescent="0.35">
      <c r="B68" s="2"/>
    </row>
    <row r="69" spans="1:2" ht="15" customHeight="1" x14ac:dyDescent="0.35">
      <c r="A69" t="s">
        <v>318</v>
      </c>
      <c r="B69" s="2"/>
    </row>
    <row r="70" spans="1:2" ht="15" customHeight="1" x14ac:dyDescent="0.35">
      <c r="B70" s="2" t="s">
        <v>468</v>
      </c>
    </row>
    <row r="71" spans="1:2" ht="15" customHeight="1" x14ac:dyDescent="0.35">
      <c r="B71" s="2" t="s">
        <v>361</v>
      </c>
    </row>
    <row r="72" spans="1:2" ht="15" customHeight="1" x14ac:dyDescent="0.35">
      <c r="B72" s="2" t="s">
        <v>476</v>
      </c>
    </row>
    <row r="73" spans="1:2" ht="15" customHeight="1" x14ac:dyDescent="0.35">
      <c r="B73" s="2"/>
    </row>
    <row r="74" spans="1:2" ht="15" customHeight="1" x14ac:dyDescent="0.35">
      <c r="A74" t="s">
        <v>526</v>
      </c>
      <c r="B74" s="2"/>
    </row>
    <row r="75" spans="1:2" ht="15" customHeight="1" x14ac:dyDescent="0.35">
      <c r="B75" s="2" t="s">
        <v>525</v>
      </c>
    </row>
    <row r="76" spans="1:2" ht="15" customHeight="1" x14ac:dyDescent="0.35">
      <c r="B76" s="2"/>
    </row>
    <row r="77" spans="1:2" ht="15" customHeight="1" x14ac:dyDescent="0.35">
      <c r="A77" t="s">
        <v>350</v>
      </c>
      <c r="B77" s="2"/>
    </row>
    <row r="78" spans="1:2" ht="15" customHeight="1" x14ac:dyDescent="0.35">
      <c r="B78" s="2" t="s">
        <v>451</v>
      </c>
    </row>
    <row r="79" spans="1:2" ht="15" customHeight="1" x14ac:dyDescent="0.35">
      <c r="B79" s="2" t="s">
        <v>453</v>
      </c>
    </row>
    <row r="80" spans="1:2" ht="15" customHeight="1" x14ac:dyDescent="0.35">
      <c r="B80" s="2" t="s">
        <v>452</v>
      </c>
    </row>
    <row r="81" spans="1:2" ht="15" customHeight="1" x14ac:dyDescent="0.35">
      <c r="B81" s="2" t="s">
        <v>469</v>
      </c>
    </row>
    <row r="82" spans="1:2" ht="15" customHeight="1" x14ac:dyDescent="0.35">
      <c r="B82" s="2" t="s">
        <v>470</v>
      </c>
    </row>
    <row r="83" spans="1:2" ht="15" customHeight="1" x14ac:dyDescent="0.35">
      <c r="B83" s="2"/>
    </row>
    <row r="84" spans="1:2" ht="15" customHeight="1" x14ac:dyDescent="0.35">
      <c r="A84" t="s">
        <v>529</v>
      </c>
      <c r="B84" s="2"/>
    </row>
    <row r="85" spans="1:2" ht="15" customHeight="1" x14ac:dyDescent="0.35">
      <c r="B85" s="2" t="s">
        <v>531</v>
      </c>
    </row>
    <row r="86" spans="1:2" ht="15" customHeight="1" x14ac:dyDescent="0.35">
      <c r="B86" s="2" t="s">
        <v>532</v>
      </c>
    </row>
    <row r="87" spans="1:2" ht="15" customHeight="1" x14ac:dyDescent="0.35">
      <c r="B87" s="2" t="s">
        <v>533</v>
      </c>
    </row>
    <row r="88" spans="1:2" ht="15" customHeight="1" x14ac:dyDescent="0.35">
      <c r="B88" s="2"/>
    </row>
    <row r="89" spans="1:2" ht="15" customHeight="1" x14ac:dyDescent="0.35">
      <c r="A89" t="s">
        <v>545</v>
      </c>
      <c r="B89" s="2"/>
    </row>
    <row r="90" spans="1:2" ht="15" customHeight="1" x14ac:dyDescent="0.35">
      <c r="B90" s="2" t="s">
        <v>317</v>
      </c>
    </row>
    <row r="91" spans="1:2" ht="15" customHeight="1" x14ac:dyDescent="0.35">
      <c r="B91" s="2" t="s">
        <v>557</v>
      </c>
    </row>
    <row r="92" spans="1:2" ht="15" customHeight="1" x14ac:dyDescent="0.35">
      <c r="B92" s="2" t="s">
        <v>558</v>
      </c>
    </row>
    <row r="93" spans="1:2" ht="15" customHeight="1" x14ac:dyDescent="0.35">
      <c r="B93" s="2" t="s">
        <v>574</v>
      </c>
    </row>
    <row r="94" spans="1:2" ht="15" customHeight="1" x14ac:dyDescent="0.35">
      <c r="B94" s="2" t="s">
        <v>350</v>
      </c>
    </row>
    <row r="95" spans="1:2" ht="15" customHeight="1" x14ac:dyDescent="0.35">
      <c r="B95" s="2"/>
    </row>
    <row r="96" spans="1:2" ht="15" customHeight="1" x14ac:dyDescent="0.35">
      <c r="A96" t="s">
        <v>854</v>
      </c>
      <c r="B96" s="2"/>
    </row>
    <row r="97" spans="1:2" ht="15" customHeight="1" x14ac:dyDescent="0.35">
      <c r="B97" s="2" t="s">
        <v>855</v>
      </c>
    </row>
    <row r="98" spans="1:2" ht="15" customHeight="1" x14ac:dyDescent="0.35">
      <c r="B98" s="2" t="s">
        <v>857</v>
      </c>
    </row>
    <row r="99" spans="1:2" ht="15" customHeight="1" x14ac:dyDescent="0.35">
      <c r="B99" s="2" t="s">
        <v>856</v>
      </c>
    </row>
    <row r="100" spans="1:2" ht="15" customHeight="1" x14ac:dyDescent="0.35">
      <c r="B100" s="2" t="s">
        <v>858</v>
      </c>
    </row>
    <row r="101" spans="1:2" ht="15" customHeight="1" x14ac:dyDescent="0.35">
      <c r="B101" s="2"/>
    </row>
    <row r="102" spans="1:2" s="1" customFormat="1" ht="15" customHeight="1" x14ac:dyDescent="0.35">
      <c r="A102" s="1" t="s">
        <v>580</v>
      </c>
      <c r="B102" s="149"/>
    </row>
    <row r="103" spans="1:2" ht="15" customHeight="1" x14ac:dyDescent="0.35">
      <c r="B103" s="2"/>
    </row>
    <row r="104" spans="1:2" ht="15" customHeight="1" x14ac:dyDescent="0.35">
      <c r="A104" t="s">
        <v>583</v>
      </c>
    </row>
    <row r="105" spans="1:2" ht="15" customHeight="1" x14ac:dyDescent="0.35">
      <c r="B105" s="2" t="s">
        <v>584</v>
      </c>
    </row>
    <row r="106" spans="1:2" ht="15" customHeight="1" x14ac:dyDescent="0.35">
      <c r="B106" s="2" t="s">
        <v>585</v>
      </c>
    </row>
    <row r="107" spans="1:2" ht="15" customHeight="1" x14ac:dyDescent="0.35">
      <c r="B107" s="2" t="s">
        <v>586</v>
      </c>
    </row>
    <row r="108" spans="1:2" ht="15" customHeight="1" x14ac:dyDescent="0.35">
      <c r="B108" s="2" t="s">
        <v>587</v>
      </c>
    </row>
    <row r="109" spans="1:2" ht="15" customHeight="1" x14ac:dyDescent="0.35">
      <c r="B109" s="2" t="s">
        <v>350</v>
      </c>
    </row>
    <row r="111" spans="1:2" ht="15" customHeight="1" x14ac:dyDescent="0.35">
      <c r="A111" t="s">
        <v>588</v>
      </c>
    </row>
    <row r="112" spans="1:2" ht="15" customHeight="1" x14ac:dyDescent="0.35">
      <c r="B112" s="2" t="s">
        <v>589</v>
      </c>
    </row>
    <row r="114" spans="1:2" ht="15" customHeight="1" x14ac:dyDescent="0.35">
      <c r="A114" t="s">
        <v>590</v>
      </c>
    </row>
    <row r="115" spans="1:2" ht="15" customHeight="1" x14ac:dyDescent="0.35">
      <c r="B115" s="2" t="s">
        <v>591</v>
      </c>
    </row>
    <row r="116" spans="1:2" ht="15" customHeight="1" x14ac:dyDescent="0.35">
      <c r="B116" s="2" t="s">
        <v>592</v>
      </c>
    </row>
    <row r="117" spans="1:2" ht="15" customHeight="1" x14ac:dyDescent="0.35">
      <c r="B117" s="2" t="s">
        <v>593</v>
      </c>
    </row>
    <row r="118" spans="1:2" ht="15" customHeight="1" x14ac:dyDescent="0.35">
      <c r="B118" s="2" t="s">
        <v>594</v>
      </c>
    </row>
    <row r="119" spans="1:2" ht="15" customHeight="1" x14ac:dyDescent="0.35">
      <c r="B119" s="2" t="s">
        <v>595</v>
      </c>
    </row>
    <row r="120" spans="1:2" ht="15" customHeight="1" x14ac:dyDescent="0.35">
      <c r="B120" s="2" t="s">
        <v>596</v>
      </c>
    </row>
    <row r="121" spans="1:2" ht="15" customHeight="1" x14ac:dyDescent="0.35">
      <c r="B121" s="2" t="s">
        <v>597</v>
      </c>
    </row>
    <row r="122" spans="1:2" ht="15" customHeight="1" x14ac:dyDescent="0.35">
      <c r="B122" s="2" t="s">
        <v>598</v>
      </c>
    </row>
    <row r="123" spans="1:2" ht="15" customHeight="1" x14ac:dyDescent="0.35">
      <c r="B123" s="2" t="s">
        <v>599</v>
      </c>
    </row>
    <row r="124" spans="1:2" ht="15" customHeight="1" x14ac:dyDescent="0.35">
      <c r="B124" s="2"/>
    </row>
    <row r="125" spans="1:2" ht="15" customHeight="1" x14ac:dyDescent="0.35">
      <c r="A125" s="1" t="s">
        <v>581</v>
      </c>
      <c r="B125" s="2"/>
    </row>
    <row r="126" spans="1:2" ht="15" customHeight="1" x14ac:dyDescent="0.35">
      <c r="B126" s="2"/>
    </row>
    <row r="127" spans="1:2" ht="15" customHeight="1" x14ac:dyDescent="0.35">
      <c r="A127" t="s">
        <v>600</v>
      </c>
    </row>
    <row r="128" spans="1:2" ht="15" customHeight="1" x14ac:dyDescent="0.35">
      <c r="B128" s="2" t="s">
        <v>601</v>
      </c>
    </row>
    <row r="129" spans="1:2" ht="15" customHeight="1" x14ac:dyDescent="0.35">
      <c r="B129" s="2" t="s">
        <v>602</v>
      </c>
    </row>
    <row r="130" spans="1:2" ht="15" customHeight="1" x14ac:dyDescent="0.35">
      <c r="B130" s="2" t="s">
        <v>603</v>
      </c>
    </row>
    <row r="131" spans="1:2" ht="15" customHeight="1" x14ac:dyDescent="0.35">
      <c r="B131" s="2" t="s">
        <v>974</v>
      </c>
    </row>
    <row r="132" spans="1:2" ht="15" customHeight="1" x14ac:dyDescent="0.35">
      <c r="B132" s="2"/>
    </row>
    <row r="133" spans="1:2" ht="15" customHeight="1" x14ac:dyDescent="0.35">
      <c r="A133" t="s">
        <v>604</v>
      </c>
      <c r="B133" s="2"/>
    </row>
    <row r="134" spans="1:2" ht="15" customHeight="1" x14ac:dyDescent="0.35">
      <c r="B134" s="2" t="s">
        <v>605</v>
      </c>
    </row>
    <row r="135" spans="1:2" ht="15" customHeight="1" x14ac:dyDescent="0.35">
      <c r="B135" s="2" t="s">
        <v>606</v>
      </c>
    </row>
    <row r="136" spans="1:2" ht="15" customHeight="1" x14ac:dyDescent="0.35">
      <c r="B136" s="2" t="s">
        <v>607</v>
      </c>
    </row>
    <row r="137" spans="1:2" ht="15" customHeight="1" x14ac:dyDescent="0.35">
      <c r="B137" s="2"/>
    </row>
    <row r="138" spans="1:2" ht="15" customHeight="1" x14ac:dyDescent="0.35">
      <c r="A138" t="s">
        <v>623</v>
      </c>
      <c r="B138" s="2"/>
    </row>
    <row r="139" spans="1:2" ht="15" customHeight="1" x14ac:dyDescent="0.35">
      <c r="B139" s="2" t="s">
        <v>608</v>
      </c>
    </row>
    <row r="140" spans="1:2" ht="15" customHeight="1" x14ac:dyDescent="0.35">
      <c r="B140" s="2" t="s">
        <v>609</v>
      </c>
    </row>
    <row r="141" spans="1:2" ht="15" customHeight="1" x14ac:dyDescent="0.35">
      <c r="B141" s="2" t="s">
        <v>610</v>
      </c>
    </row>
    <row r="142" spans="1:2" ht="15" customHeight="1" x14ac:dyDescent="0.35">
      <c r="B142" s="2"/>
    </row>
    <row r="143" spans="1:2" ht="15" customHeight="1" x14ac:dyDescent="0.35">
      <c r="A143" t="s">
        <v>611</v>
      </c>
      <c r="B143" s="2"/>
    </row>
    <row r="144" spans="1:2" ht="15" customHeight="1" x14ac:dyDescent="0.35">
      <c r="B144" s="2" t="s">
        <v>612</v>
      </c>
    </row>
    <row r="145" spans="1:2" ht="15" customHeight="1" x14ac:dyDescent="0.35">
      <c r="B145" s="2" t="s">
        <v>613</v>
      </c>
    </row>
    <row r="146" spans="1:2" ht="15" customHeight="1" x14ac:dyDescent="0.35">
      <c r="B146" s="2" t="s">
        <v>614</v>
      </c>
    </row>
    <row r="147" spans="1:2" ht="15" customHeight="1" x14ac:dyDescent="0.35">
      <c r="B147" s="2"/>
    </row>
    <row r="148" spans="1:2" ht="15" customHeight="1" x14ac:dyDescent="0.35">
      <c r="A148" t="s">
        <v>622</v>
      </c>
      <c r="B148" s="2"/>
    </row>
    <row r="149" spans="1:2" ht="15" customHeight="1" x14ac:dyDescent="0.35">
      <c r="B149" s="2" t="s">
        <v>801</v>
      </c>
    </row>
    <row r="150" spans="1:2" ht="15" customHeight="1" x14ac:dyDescent="0.35">
      <c r="B150" s="2" t="s">
        <v>821</v>
      </c>
    </row>
    <row r="151" spans="1:2" ht="15" customHeight="1" x14ac:dyDescent="0.35">
      <c r="B151" s="2" t="s">
        <v>802</v>
      </c>
    </row>
    <row r="152" spans="1:2" ht="15" customHeight="1" x14ac:dyDescent="0.35">
      <c r="B152" s="2" t="s">
        <v>800</v>
      </c>
    </row>
    <row r="153" spans="1:2" ht="15" customHeight="1" x14ac:dyDescent="0.35">
      <c r="B153" s="2" t="s">
        <v>803</v>
      </c>
    </row>
    <row r="154" spans="1:2" ht="15" customHeight="1" x14ac:dyDescent="0.35">
      <c r="B154" s="2" t="s">
        <v>808</v>
      </c>
    </row>
    <row r="155" spans="1:2" ht="15" customHeight="1" x14ac:dyDescent="0.35">
      <c r="B155" s="2" t="s">
        <v>273</v>
      </c>
    </row>
    <row r="156" spans="1:2" ht="15" customHeight="1" x14ac:dyDescent="0.35">
      <c r="B156" s="2"/>
    </row>
    <row r="157" spans="1:2" ht="15" customHeight="1" x14ac:dyDescent="0.35">
      <c r="A157" t="s">
        <v>804</v>
      </c>
      <c r="B157" s="2"/>
    </row>
    <row r="158" spans="1:2" ht="15" customHeight="1" x14ac:dyDescent="0.35">
      <c r="B158" s="2" t="s">
        <v>801</v>
      </c>
    </row>
    <row r="159" spans="1:2" ht="15" customHeight="1" x14ac:dyDescent="0.35">
      <c r="B159" s="2" t="s">
        <v>800</v>
      </c>
    </row>
    <row r="160" spans="1:2" ht="15" customHeight="1" x14ac:dyDescent="0.35">
      <c r="B160" s="2" t="s">
        <v>815</v>
      </c>
    </row>
    <row r="161" spans="1:2" ht="15" customHeight="1" x14ac:dyDescent="0.35">
      <c r="B161" s="2"/>
    </row>
    <row r="162" spans="1:2" ht="15" customHeight="1" x14ac:dyDescent="0.35">
      <c r="A162" t="s">
        <v>615</v>
      </c>
      <c r="B162" s="2"/>
    </row>
    <row r="163" spans="1:2" ht="15" customHeight="1" x14ac:dyDescent="0.35">
      <c r="B163" s="2" t="s">
        <v>616</v>
      </c>
    </row>
    <row r="164" spans="1:2" ht="15" customHeight="1" x14ac:dyDescent="0.35">
      <c r="B164" s="2" t="s">
        <v>350</v>
      </c>
    </row>
    <row r="165" spans="1:2" ht="15" customHeight="1" x14ac:dyDescent="0.35">
      <c r="B165" s="2"/>
    </row>
    <row r="166" spans="1:2" ht="15" customHeight="1" x14ac:dyDescent="0.35">
      <c r="A166" t="s">
        <v>918</v>
      </c>
      <c r="B166" s="2"/>
    </row>
    <row r="167" spans="1:2" ht="15" customHeight="1" x14ac:dyDescent="0.35">
      <c r="B167" s="2" t="s">
        <v>919</v>
      </c>
    </row>
    <row r="168" spans="1:2" ht="15" customHeight="1" x14ac:dyDescent="0.35">
      <c r="B168" s="2"/>
    </row>
    <row r="169" spans="1:2" ht="15" customHeight="1" x14ac:dyDescent="0.35">
      <c r="A169" s="1" t="s">
        <v>582</v>
      </c>
      <c r="B169" s="2"/>
    </row>
    <row r="170" spans="1:2" ht="15" customHeight="1" x14ac:dyDescent="0.35">
      <c r="A170" s="1"/>
      <c r="B170" s="2"/>
    </row>
    <row r="171" spans="1:2" ht="15" customHeight="1" x14ac:dyDescent="0.35">
      <c r="A171" s="9" t="s">
        <v>926</v>
      </c>
      <c r="B171" s="2"/>
    </row>
    <row r="172" spans="1:2" ht="15" customHeight="1" x14ac:dyDescent="0.35">
      <c r="B172" s="2" t="s">
        <v>617</v>
      </c>
    </row>
    <row r="173" spans="1:2" ht="15" customHeight="1" x14ac:dyDescent="0.35">
      <c r="B173" s="2" t="s">
        <v>618</v>
      </c>
    </row>
    <row r="174" spans="1:2" ht="15" customHeight="1" x14ac:dyDescent="0.35">
      <c r="B174" s="2" t="s">
        <v>619</v>
      </c>
    </row>
    <row r="175" spans="1:2" ht="15" customHeight="1" x14ac:dyDescent="0.35">
      <c r="B175" s="2" t="s">
        <v>620</v>
      </c>
    </row>
    <row r="176" spans="1:2" ht="15" customHeight="1" x14ac:dyDescent="0.35">
      <c r="B176" s="2" t="s">
        <v>621</v>
      </c>
    </row>
    <row r="177" spans="1:2" ht="15" customHeight="1" x14ac:dyDescent="0.35">
      <c r="B177" s="2"/>
    </row>
    <row r="178" spans="1:2" ht="15" customHeight="1" x14ac:dyDescent="0.35">
      <c r="A178" t="s">
        <v>994</v>
      </c>
      <c r="B178" s="2"/>
    </row>
    <row r="179" spans="1:2" ht="15" customHeight="1" x14ac:dyDescent="0.35">
      <c r="B179" s="2" t="s">
        <v>930</v>
      </c>
    </row>
    <row r="180" spans="1:2" ht="15" customHeight="1" x14ac:dyDescent="0.35">
      <c r="B180" s="2" t="s">
        <v>936</v>
      </c>
    </row>
    <row r="181" spans="1:2" ht="15" customHeight="1" x14ac:dyDescent="0.35">
      <c r="B181" s="2" t="s">
        <v>931</v>
      </c>
    </row>
    <row r="182" spans="1:2" ht="15" customHeight="1" x14ac:dyDescent="0.35">
      <c r="B182" s="2" t="s">
        <v>935</v>
      </c>
    </row>
    <row r="183" spans="1:2" ht="15" customHeight="1" x14ac:dyDescent="0.35">
      <c r="B183" s="2" t="s">
        <v>932</v>
      </c>
    </row>
    <row r="184" spans="1:2" ht="15" customHeight="1" x14ac:dyDescent="0.35">
      <c r="B184" s="2" t="s">
        <v>933</v>
      </c>
    </row>
    <row r="185" spans="1:2" ht="15" customHeight="1" x14ac:dyDescent="0.35">
      <c r="B185" s="2" t="s">
        <v>917</v>
      </c>
    </row>
    <row r="186" spans="1:2" ht="15" customHeight="1" x14ac:dyDescent="0.35">
      <c r="B186" s="2" t="s">
        <v>942</v>
      </c>
    </row>
    <row r="187" spans="1:2" ht="15" customHeight="1" x14ac:dyDescent="0.35">
      <c r="B187" s="2" t="s">
        <v>944</v>
      </c>
    </row>
    <row r="188" spans="1:2" ht="15" customHeight="1" x14ac:dyDescent="0.35">
      <c r="B188" s="2" t="s">
        <v>943</v>
      </c>
    </row>
    <row r="189" spans="1:2" ht="15" customHeight="1" x14ac:dyDescent="0.35">
      <c r="B189" s="2"/>
    </row>
    <row r="190" spans="1:2" ht="15" customHeight="1" x14ac:dyDescent="0.35">
      <c r="A190" t="s">
        <v>934</v>
      </c>
      <c r="B190" s="2"/>
    </row>
    <row r="191" spans="1:2" ht="15" customHeight="1" x14ac:dyDescent="0.35">
      <c r="B191" s="2" t="s">
        <v>959</v>
      </c>
    </row>
    <row r="192" spans="1:2" ht="15" customHeight="1" x14ac:dyDescent="0.35">
      <c r="B192" s="2" t="s">
        <v>961</v>
      </c>
    </row>
    <row r="193" spans="1:2" ht="15" customHeight="1" x14ac:dyDescent="0.35">
      <c r="B193" s="2" t="s">
        <v>960</v>
      </c>
    </row>
    <row r="194" spans="1:2" ht="15" customHeight="1" x14ac:dyDescent="0.35">
      <c r="B194" s="2"/>
    </row>
    <row r="195" spans="1:2" ht="15" customHeight="1" x14ac:dyDescent="0.35">
      <c r="A195" t="s">
        <v>1004</v>
      </c>
      <c r="B195" s="2"/>
    </row>
    <row r="196" spans="1:2" ht="15" customHeight="1" x14ac:dyDescent="0.35">
      <c r="B196" s="2" t="s">
        <v>1005</v>
      </c>
    </row>
    <row r="197" spans="1:2" ht="15" customHeight="1" x14ac:dyDescent="0.35">
      <c r="B197" s="2" t="s">
        <v>1006</v>
      </c>
    </row>
    <row r="198" spans="1:2" ht="15" customHeight="1" x14ac:dyDescent="0.35">
      <c r="B198" s="2" t="s">
        <v>1007</v>
      </c>
    </row>
    <row r="199" spans="1:2" ht="15" customHeight="1" x14ac:dyDescent="0.35">
      <c r="B199" s="2" t="s">
        <v>350</v>
      </c>
    </row>
    <row r="200" spans="1:2" ht="15" customHeight="1" x14ac:dyDescent="0.35">
      <c r="B200" s="2"/>
    </row>
    <row r="201" spans="1:2" ht="15" customHeight="1" x14ac:dyDescent="0.35">
      <c r="A201" s="1" t="s">
        <v>314</v>
      </c>
    </row>
    <row r="202" spans="1:2" ht="15" customHeight="1" x14ac:dyDescent="0.35">
      <c r="B202" s="2" t="s">
        <v>482</v>
      </c>
    </row>
    <row r="203" spans="1:2" ht="15" customHeight="1" x14ac:dyDescent="0.35">
      <c r="B203" s="2" t="s">
        <v>315</v>
      </c>
    </row>
    <row r="204" spans="1:2" ht="15" customHeight="1" x14ac:dyDescent="0.35">
      <c r="B204" s="2" t="s">
        <v>316</v>
      </c>
    </row>
  </sheetData>
  <hyperlinks>
    <hyperlink ref="B203" location="'Sp Rho Table'!A1" display="'Sp Rho Table'!A1" xr:uid="{00000000-0004-0000-0100-000000000000}"/>
    <hyperlink ref="B204" location="'Ken Tau Table'!A1" display="E11 - Kendall's Tau Table" xr:uid="{00000000-0004-0000-0100-000001000000}"/>
    <hyperlink ref="B17" location="Scatter!A1" display="Scatter diagrams (Figure 1)" xr:uid="{00000000-0004-0000-0100-000002000000}"/>
    <hyperlink ref="B23" location="'Corr 0'!D1" display="One sample testing of correlation coefficient (Example 1)" xr:uid="{00000000-0004-0000-0100-000003000000}"/>
    <hyperlink ref="B26" location="'Corr 3'!A1" display="Hypothesis testing using Fisher transformation (Example 3)" xr:uid="{00000000-0004-0000-0100-000004000000}"/>
    <hyperlink ref="B28" location="'Corr 1a'!I1" display="Hypothesis testing (extra example)" xr:uid="{00000000-0004-0000-0100-000005000000}"/>
    <hyperlink ref="B34" location="'2 Corr'!A1" display="Two sample testing of correlation coefficients (Example 17.5)" xr:uid="{00000000-0004-0000-0100-000006000000}"/>
    <hyperlink ref="B40" location="'Corr 2'!L1" display="Correlation data analysis tool (Example 17.6)" xr:uid="{00000000-0004-0000-0100-000007000000}"/>
    <hyperlink ref="B42" location="'Corr 2'!L28" display="Partial and semi-partial correlation (Example 17.7)" xr:uid="{00000000-0004-0000-0100-000008000000}"/>
    <hyperlink ref="B41" location="'Corr 2'!L15" display="Multiple correlation coefficient (Example 17.6)" xr:uid="{00000000-0004-0000-0100-000009000000}"/>
    <hyperlink ref="B60" location="'Corr and T'!A1" display="Dummy variables and two sample t test (Example 17.9)" xr:uid="{00000000-0004-0000-0100-00000A000000}"/>
    <hyperlink ref="B24" location="'Corr 1'!A1" display="One sample testing of correlation coefficient (Example 17.1)" xr:uid="{00000000-0004-0000-0100-00000B000000}"/>
    <hyperlink ref="B46" location="'Spearman Rho 1'!A1" display="Spearman's rho (Example E4.2)" xr:uid="{00000000-0004-0000-0100-00000C000000}"/>
    <hyperlink ref="B47" location="'Spearman Rho 1'!A18" display="Alternative way of calculating Spearman's rho (Example E4.3)" xr:uid="{00000000-0004-0000-0100-00000D000000}"/>
    <hyperlink ref="B48" location="'Spearman Rho 2a'!A1" display="Hypothesis testing using Spearman's rho (Example 3)" xr:uid="{00000000-0004-0000-0100-00000E000000}"/>
    <hyperlink ref="B53" location="'Kendall Tau 1'!A1" display="Kendall's tau (Example 1)" xr:uid="{00000000-0004-0000-0100-00000F000000}"/>
    <hyperlink ref="B43" location="'Corr 2'!V29" display="Partial and semi-partial correlation (Example 17.8)" xr:uid="{00000000-0004-0000-0100-000010000000}"/>
    <hyperlink ref="B61" location="'Corr and T'!AA14" display="Dummy variables and two sample t test (Example 17.9)" xr:uid="{00000000-0004-0000-0100-000011000000}"/>
    <hyperlink ref="B65" location="'Corr and Chi-sq'!A1" display="Point-biserial correlation coefficient (Example 17.10)" xr:uid="{00000000-0004-0000-0100-000012000000}"/>
    <hyperlink ref="B66" location="'Corr and Chi-sq'!Q3" display="Alternative approach for performing chi-square test (Example 17.11)" xr:uid="{00000000-0004-0000-0100-000013000000}"/>
    <hyperlink ref="B67" location="'Corr and Chi-sq'!J3" display="Calculation of point-biserial correlation coefficient (Example 17.10)" xr:uid="{00000000-0004-0000-0100-000014000000}"/>
    <hyperlink ref="B35" location="'2 Corr Dep 1'!A1" display="Comparing the correlation coefficients of two overlapping dependent samples (t test)" xr:uid="{00000000-0004-0000-0100-000015000000}"/>
    <hyperlink ref="B56:B57" location="'Kendall Tau'!A1" display="Kendall's tau (Example E4.5)" xr:uid="{00000000-0004-0000-0100-000016000000}"/>
    <hyperlink ref="B56" location="'Kendall Tau 2'!A1" display="Kendall's tau with ties (Example 2)" xr:uid="{00000000-0004-0000-0100-000017000000}"/>
    <hyperlink ref="B57" location="'Kendall Tau 3'!A1" display="Kendall's tau with ties (Example 3)" xr:uid="{00000000-0004-0000-0100-000018000000}"/>
    <hyperlink ref="B12" location="Corr!L1" display="Correlation coefficient (Example 1)" xr:uid="{00000000-0004-0000-0100-000019000000}"/>
    <hyperlink ref="B19" location="'Corr 0'!U1" display="Scatter diagrams (Example 1)" xr:uid="{00000000-0004-0000-0100-00001A000000}"/>
    <hyperlink ref="B27" location="'Corr 1'!X1" display="Hypothesis testing using Fisher transformation (Example 4)" xr:uid="{00000000-0004-0000-0100-00001B000000}"/>
    <hyperlink ref="B54" location="'Kendall Tau 1'!R1" display="Real Statistics Kendall's tau function (Example 1)" xr:uid="{00000000-0004-0000-0100-00001C000000}"/>
    <hyperlink ref="B55" location="'Kendall Tau 1'!U1" display="Real Statistics data analysis tool (Example 1)" xr:uid="{00000000-0004-0000-0100-00001D000000}"/>
    <hyperlink ref="B78" location="'Corr 0a'!A1" display="Real Statistics data analysis tool (Example 1)" xr:uid="{00000000-0004-0000-0100-00001E000000}"/>
    <hyperlink ref="B79" location="'Spearman Rho 2'!M1" display="Spearman's (rho) correlation (Example 2)" xr:uid="{00000000-0004-0000-0100-00001F000000}"/>
    <hyperlink ref="B80" location="'Kendall Tau 1'!S1" display="Kendall's (tau) correlation (Example 3)" xr:uid="{00000000-0004-0000-0100-000020000000}"/>
    <hyperlink ref="B30" location="'Corr Power'!A1" display="Power of test of correlation coefficient (Example 5)" xr:uid="{00000000-0004-0000-0100-000021000000}"/>
    <hyperlink ref="B31" location="'Corr Power'!A16" display="Sample size required to test correlation coefficient (Example 5)" xr:uid="{00000000-0004-0000-0100-000022000000}"/>
    <hyperlink ref="B81" location="'Corr 3b'!A1" display="Bootstrapping (Example 4)" xr:uid="{00000000-0004-0000-0100-000023000000}"/>
    <hyperlink ref="B82" location="'Corr 3b'!R1" display="Randomization (Example 5)" xr:uid="{00000000-0004-0000-0100-000024000000}"/>
    <hyperlink ref="B70" location="'Corr 3a'!A1" display="Resampling (Example 1)" xr:uid="{00000000-0004-0000-0100-000025000000}"/>
    <hyperlink ref="B71" location="'Corr 3a'!AP1" display="Data analysis tool" xr:uid="{00000000-0004-0000-0100-000026000000}"/>
    <hyperlink ref="B72" location="'Corr 3b'!A1" display="Extra example" xr:uid="{00000000-0004-0000-0100-000027000000}"/>
    <hyperlink ref="B202" location="'Pearson Table'!A1" display="Pearson's Correlation Table" xr:uid="{00000000-0004-0000-0100-000028000000}"/>
    <hyperlink ref="B11" location="Cov!A1" display="Covariance and independence (Figure 1)" xr:uid="{00000000-0004-0000-0100-000029000000}"/>
    <hyperlink ref="B49" location="'Spearman Rho 1a'!A1" display="Hypothesis testing using Spearman's rho (extra example corresponding to Example 1)" xr:uid="{00000000-0004-0000-0100-00002A000000}"/>
    <hyperlink ref="B62" location="'Corr and T'!P1" display="Point biserial correlation coefficient" xr:uid="{00000000-0004-0000-0100-00002B000000}"/>
    <hyperlink ref="B29" location="'Corr 5'!A1" display="Exect Test" xr:uid="{00000000-0004-0000-0100-00002C000000}"/>
    <hyperlink ref="B13" location="'Corr A'!A1" display="Unbiased estimates for correlation coefficient" xr:uid="{00000000-0004-0000-0100-00002D000000}"/>
    <hyperlink ref="B75" location="Biserial!A1" display="Biserial correlation coefficient" xr:uid="{00000000-0004-0000-0100-00002E000000}"/>
    <hyperlink ref="B85" location="'Box-Cox 1'!A1" display="Transformation for Linearity (Example 1)" xr:uid="{00000000-0004-0000-0100-00002F000000}"/>
    <hyperlink ref="B86" location="'Box-Cox 2'!A1" display="Transformation for Normality (Example 2)" xr:uid="{00000000-0004-0000-0100-000030000000}"/>
    <hyperlink ref="B87" location="'Box-Cox 3'!A1" display="Transformation for Normality (Example 3)" xr:uid="{00000000-0004-0000-0100-000031000000}"/>
    <hyperlink ref="B25" location="'Corr 0b'!A1" display="F test (Example 1)" xr:uid="{00000000-0004-0000-0100-000032000000}"/>
    <hyperlink ref="B90" location="'Polychoric 1'!A1" display="Basic concepts" xr:uid="{00000000-0004-0000-0100-000033000000}"/>
    <hyperlink ref="B91" location="'Polychoric 2'!A1" display="Polychoric correlation using Solver" xr:uid="{00000000-0004-0000-0100-000034000000}"/>
    <hyperlink ref="B92" location="'Polychoric 3'!A1" display="Polychoric correlation, improved version" xr:uid="{00000000-0004-0000-0100-000035000000}"/>
    <hyperlink ref="B93" location="'Polychoric 4'!A1" display="Tetrachoric correlation, using Solver and estimates" xr:uid="{00000000-0004-0000-0100-000036000000}"/>
    <hyperlink ref="B94" location="'Polychoric 5'!A1" display="Real Statistics data analysis tool" xr:uid="{00000000-0004-0000-0100-000037000000}"/>
    <hyperlink ref="B115" location="Cronbach!A1" display="Cronbach's Alpha (Example 24.3)" xr:uid="{00000000-0004-0000-0100-000038000000}"/>
    <hyperlink ref="B116" location="Cronbach!A24" display="Cronbach's alpha with one question removed (Example 24.4)" xr:uid="{00000000-0004-0000-0100-000039000000}"/>
    <hyperlink ref="B117" location="Cronbach!O32" display="Cronbach's alpha using ANOVA (Example 24.5)" xr:uid="{00000000-0004-0000-0100-00003A000000}"/>
    <hyperlink ref="B128" location="Kappa!A1" display="Cohen's kappa (Example 24.6)" xr:uid="{00000000-0004-0000-0100-00003B000000}"/>
    <hyperlink ref="B118" location="'Cronbach 1'!A1" display="Cronbach's alpha using ANOVA (Example 4)" xr:uid="{00000000-0004-0000-0100-00003C000000}"/>
    <hyperlink ref="B139" location="FKappa!A1" display="Fleiss' kappa (Example 1)" xr:uid="{00000000-0004-0000-0100-00003D000000}"/>
    <hyperlink ref="B140" location="FKappa!K1" display="Extra example (Fleiss' kappa for Example 1 of Cohen's kappa)" xr:uid="{00000000-0004-0000-0100-00003E000000}"/>
    <hyperlink ref="B172" location="Item!A1" display="Item analysis (Example 1)" xr:uid="{00000000-0004-0000-0100-00003F000000}"/>
    <hyperlink ref="B173" location="Item!F1" display="Item analysis for multiple choice tests (Example 2)" xr:uid="{00000000-0004-0000-0100-000040000000}"/>
    <hyperlink ref="B134" location="'Kappa 0'!A1" display="Weighted kappa (Example 1)" xr:uid="{00000000-0004-0000-0100-000041000000}"/>
    <hyperlink ref="B135" location="'Kappa 0'!L1" display="Unweighted kappa using a weighted approach (Figure " xr:uid="{00000000-0004-0000-0100-000042000000}"/>
    <hyperlink ref="B144" location="'Kendall W'!A1" display="Kendall's W (Example 1)" xr:uid="{00000000-0004-0000-0100-000043000000}"/>
    <hyperlink ref="B146" location="'Kendall W 1'!A1" display="Kendall's W with ties (Example 2)" xr:uid="{00000000-0004-0000-0100-000044000000}"/>
    <hyperlink ref="B105" location="'Split-half'!A1" display="Split-half methodology for reliability (Example 24.1)" xr:uid="{00000000-0004-0000-0100-000045000000}"/>
    <hyperlink ref="B112" location="'KRF20'!A1" display="Kuder and Richardson Formula 20 (Example 24.2)" xr:uid="{00000000-0004-0000-0100-000046000000}"/>
    <hyperlink ref="B141" location="FKappa!S1" display="Extra example (Fleiss' kappa for Example 1 of Intraclass correlation)" xr:uid="{00000000-0004-0000-0100-000047000000}"/>
    <hyperlink ref="B106" location="'Split-half 1'!A1" display="Split-half methodology for reliability (Example 2)" xr:uid="{00000000-0004-0000-0100-000048000000}"/>
    <hyperlink ref="B119" location="'Cronbach 2'!A1" display="Real Statistics function (Example 4)" xr:uid="{00000000-0004-0000-0100-000049000000}"/>
    <hyperlink ref="B175" location="Item!Y1" display="Partial credit (Example 4)" xr:uid="{00000000-0004-0000-0100-00004A000000}"/>
    <hyperlink ref="B176" location="Item!AF1" display="Real Statistics data analysis tool (Example 5)" xr:uid="{00000000-0004-0000-0100-00004B000000}"/>
    <hyperlink ref="B174" location="Item!T1" display="Real Statistics function (Example 3)" xr:uid="{00000000-0004-0000-0100-00004C000000}"/>
    <hyperlink ref="B145" location="'Kendall W'!M14" display="Kendall's W (Example 1)" xr:uid="{00000000-0004-0000-0100-00004D000000}"/>
    <hyperlink ref="B120" location="'Cronbach 3'!A1" display="Hypothesis testing (Example 5)" xr:uid="{00000000-0004-0000-0100-00004E000000}"/>
    <hyperlink ref="B121" location="'Cronbach 3'!R1" display="Sample size to achieve confidence width (Example 6)" xr:uid="{00000000-0004-0000-0100-00004F000000}"/>
    <hyperlink ref="B122" location="'Cronbach 4'!A1" display="Statistical power (Example 7)" xr:uid="{00000000-0004-0000-0100-000050000000}"/>
    <hyperlink ref="B123" location="'Cronbach 5'!A1" display="Sample size (Example 8)" xr:uid="{00000000-0004-0000-0100-000051000000}"/>
    <hyperlink ref="B136" location="'Kappa 1'!A1" display="Standard error and confidence interval (Example 2)" xr:uid="{00000000-0004-0000-0100-000052000000}"/>
    <hyperlink ref="B129" location="Kappa!L1" display="Standard error and confidence interval (Figure 5)" xr:uid="{00000000-0004-0000-0100-000053000000}"/>
    <hyperlink ref="B130" location="Kappa!W1" display="Real Statistics function and data analysis tool (Figure 7)" xr:uid="{00000000-0004-0000-0100-000054000000}"/>
    <hyperlink ref="B163" location="Bland!A1" display="Bland-Altman (Example 1)" xr:uid="{00000000-0004-0000-0100-000055000000}"/>
    <hyperlink ref="B107" location="'Split-half 2'!A1" display="Guttman's lambda 4 (Example 4)" xr:uid="{00000000-0004-0000-0100-000056000000}"/>
    <hyperlink ref="B108" location="'Split-half 3'!A1" display="Guttman's reliability (Example 5)" xr:uid="{00000000-0004-0000-0100-000057000000}"/>
    <hyperlink ref="B109" location="'Split-half 4'!A1" display="Real Statistics data analysis tool" xr:uid="{00000000-0004-0000-0100-000058000000}"/>
    <hyperlink ref="B149" location="'Krip cat'!A1" display="Categorical ratings" xr:uid="{00000000-0004-0000-0100-000059000000}"/>
    <hyperlink ref="B151" location="'Krip ord'!A1" display="Ordinal ratings" xr:uid="{00000000-0004-0000-0100-00005A000000}"/>
    <hyperlink ref="B152" location="'Krip int'!A1" display="Interval ratings" xr:uid="{00000000-0004-0000-0100-00005B000000}"/>
    <hyperlink ref="B153" location="'Krip ratio'!A1" display="Ratio ratings" xr:uid="{00000000-0004-0000-0100-00005C000000}"/>
    <hyperlink ref="B154" location="'K rating'!A1" display="Explicit rating values" xr:uid="{00000000-0004-0000-0100-00005D000000}"/>
    <hyperlink ref="B155" location="'K summary'!A1" display="Summary" xr:uid="{00000000-0004-0000-0100-00005E000000}"/>
    <hyperlink ref="B158" location="'Gwet cat'!A1" display="Categorical ratings" xr:uid="{00000000-0004-0000-0100-00005F000000}"/>
    <hyperlink ref="B159" location="'Gwet int'!A1" display="Interval ratings" xr:uid="{00000000-0004-0000-0100-000060000000}"/>
    <hyperlink ref="B160" location="Gwet!A1" display="Real Statistic functions" xr:uid="{00000000-0004-0000-0100-000061000000}"/>
    <hyperlink ref="B150" location="'Krip ser'!A1" display="Calculation of standard error for ratings" xr:uid="{00000000-0004-0000-0100-000062000000}"/>
    <hyperlink ref="B36" location="'2 Corr Dep 2'!A1" display="Comparing the correlation coefficients of two overlapping dependent samples (Fisher approach)" xr:uid="{00000000-0004-0000-0100-000063000000}"/>
    <hyperlink ref="B37" location="'2 Corr Dep 3'!A1" display="Comparing the correlation coefficients of two non-overlapping dependent samples (Fisher approach)" xr:uid="{00000000-0004-0000-0100-000064000000}"/>
    <hyperlink ref="B164" location="'Bland 1'!A1" display="Real Statistics data analysis tool" xr:uid="{00000000-0004-0000-0100-000065000000}"/>
    <hyperlink ref="B97" location="OChisq!A1" display="Normal chi-square test of independence" xr:uid="{00000000-0004-0000-0100-000066000000}"/>
    <hyperlink ref="B98" location="'OChiSq 1'!A1" display="Ordered M-square test" xr:uid="{00000000-0004-0000-0100-000067000000}"/>
    <hyperlink ref="B99" location="'OChiSq 1'!R1" display="Kendall's correlation test" xr:uid="{00000000-0004-0000-0100-000068000000}"/>
    <hyperlink ref="B100" location="'OChisq 2'!A1" display="Real Statistics support" xr:uid="{00000000-0004-0000-0100-000069000000}"/>
    <hyperlink ref="B179" location="'Rasch A'!A1" display="Building a Rasch model" xr:uid="{00000000-0004-0000-0100-00006A000000}"/>
    <hyperlink ref="B184" location="'Rasch C'!A1" display="Logit curve" xr:uid="{00000000-0004-0000-0100-00006B000000}"/>
    <hyperlink ref="B185" location="'Rasch D'!A1" display="Rasch Item Response Analysis data analysis tool" xr:uid="{00000000-0004-0000-0100-00006C000000}"/>
    <hyperlink ref="B167" location="Lin!A1" display="Lin's CCC " xr:uid="{00000000-0004-0000-0100-00006D000000}"/>
    <hyperlink ref="B181" location="'Rasch A'!BA1" display="Wright Map" xr:uid="{00000000-0004-0000-0100-00006E000000}"/>
    <hyperlink ref="B183" location="'Rasch B'!A1" display="Real Statistics functions for building a Rasch model" xr:uid="{00000000-0004-0000-0100-00006F000000}"/>
    <hyperlink ref="B180" location="'Rasch A'!BM25" display="Model Fit" xr:uid="{00000000-0004-0000-0100-000070000000}"/>
    <hyperlink ref="B182" location="'Rasch E'!A1" display="Guessing" xr:uid="{00000000-0004-0000-0100-000071000000}"/>
    <hyperlink ref="B186" location="'Rasch F'!A1" display="Building a Rasch model from ability and difficulty parameters" xr:uid="{00000000-0004-0000-0100-000072000000}"/>
    <hyperlink ref="B187" location="'Rasch F'!M16" display="RASCH_SUBJ and RASCH_ITEM functions" xr:uid="{00000000-0004-0000-0100-000073000000}"/>
    <hyperlink ref="B188" location="'Rasch G'!A1" display="Remove zero and perfect scores" xr:uid="{00000000-0004-0000-0100-000074000000}"/>
    <hyperlink ref="B191" location="PROX!A1" display="Building a PROX model" xr:uid="{00000000-0004-0000-0100-000075000000}"/>
    <hyperlink ref="B192:B193" location="PROX!A1" display="Building a PROX model" xr:uid="{00000000-0004-0000-0100-000076000000}"/>
    <hyperlink ref="B192" location="PROX!AJ1" display="PROX_SUBJ and PROX_ITEM functions" xr:uid="{00000000-0004-0000-0100-000077000000}"/>
    <hyperlink ref="B193" location="PROX!AT1" display="PROXX_SUBJ and PROXX_ITEM functions" xr:uid="{00000000-0004-0000-0100-000078000000}"/>
    <hyperlink ref="B14" location="'Corr B'!A1" display="Correlation with frequency table" xr:uid="{00000000-0004-0000-0100-000079000000}"/>
    <hyperlink ref="B18" location="'Scatter 1'!A1" display="Scatter non-linear" xr:uid="{00000000-0004-0000-0100-00007A000000}"/>
    <hyperlink ref="B20" location="'Scatter 2'!A1" display="Creating scatter diagrams using Real Statistics" xr:uid="{00000000-0004-0000-0100-00007B000000}"/>
    <hyperlink ref="B131" location="' Kappa A'!A1" display="Power and sample size" xr:uid="{00000000-0004-0000-0100-00007C000000}"/>
    <hyperlink ref="B196" location="UCON!A1" display="Building a UCON model" xr:uid="{0A160895-CECA-41F5-85EC-4AF17A5A05D0}"/>
    <hyperlink ref="B199" location="UCON!BF1" display="Real Statistics data analysis tool" xr:uid="{7DC81504-9AE3-4279-B287-4BEB0FF4A4C2}"/>
    <hyperlink ref="B197" location="UCON!AR1" display="Real Statistics functions" xr:uid="{14D8157C-031A-45B9-906D-51ED0619DA93}"/>
    <hyperlink ref="B198" location="UCON!BT1" display="Real Statistics functions UCON_SUBJ, UCON_ITEM and UCON_THRESH" xr:uid="{C1404ADB-A644-40A9-916D-EC3504FA6978}"/>
    <hyperlink ref="B50" location="'Spearman Rho 3'!A1" display="Confidence interval" xr:uid="{5C753AF8-2B35-4F72-A950-5A622F68BEF5}"/>
  </hyperlink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28"/>
  <dimension ref="A1:H6"/>
  <sheetViews>
    <sheetView workbookViewId="0">
      <selection activeCell="N4" sqref="N4"/>
    </sheetView>
  </sheetViews>
  <sheetFormatPr defaultRowHeight="14.5" x14ac:dyDescent="0.35"/>
  <cols>
    <col min="1" max="1" width="4.1796875" customWidth="1"/>
    <col min="2" max="3" width="5.54296875" customWidth="1"/>
    <col min="4" max="4" width="5.81640625" customWidth="1"/>
    <col min="6" max="6" width="5.26953125" customWidth="1"/>
    <col min="7" max="7" width="2.7265625" customWidth="1"/>
    <col min="8" max="8" width="20.54296875" customWidth="1"/>
  </cols>
  <sheetData>
    <row r="1" spans="1:8" x14ac:dyDescent="0.35">
      <c r="A1" s="1" t="s">
        <v>487</v>
      </c>
    </row>
    <row r="3" spans="1:8" x14ac:dyDescent="0.35">
      <c r="B3" s="6" t="s">
        <v>3</v>
      </c>
      <c r="C3" s="6" t="s">
        <v>107</v>
      </c>
    </row>
    <row r="4" spans="1:8" x14ac:dyDescent="0.35">
      <c r="A4">
        <v>1</v>
      </c>
      <c r="B4" s="186">
        <v>-1</v>
      </c>
      <c r="C4" s="187">
        <f>B4^2</f>
        <v>1</v>
      </c>
      <c r="E4" t="s">
        <v>259</v>
      </c>
      <c r="F4" s="249">
        <f>COVAR(B4:B6,C4:C6)</f>
        <v>0</v>
      </c>
      <c r="H4" s="7" t="e" cm="1">
        <f t="array" aca="1" ref="H4" ca="1">FTEXT(F4)</f>
        <v>#NAME?</v>
      </c>
    </row>
    <row r="5" spans="1:8" x14ac:dyDescent="0.35">
      <c r="A5">
        <f t="shared" ref="A5:A6" si="0">A4+1</f>
        <v>2</v>
      </c>
      <c r="B5" s="101">
        <v>0</v>
      </c>
      <c r="C5" s="102">
        <f t="shared" ref="C5:C6" si="1">B5^2</f>
        <v>0</v>
      </c>
    </row>
    <row r="6" spans="1:8" x14ac:dyDescent="0.35">
      <c r="A6">
        <f t="shared" si="0"/>
        <v>3</v>
      </c>
      <c r="B6" s="89">
        <v>1</v>
      </c>
      <c r="C6" s="93">
        <f t="shared" si="1"/>
        <v>1</v>
      </c>
      <c r="E6" t="s">
        <v>543</v>
      </c>
      <c r="F6" s="109">
        <f>CORREL(B4:B6,C4:C6)</f>
        <v>0</v>
      </c>
      <c r="H6" s="7" t="e" cm="1">
        <f t="array" aca="1" ref="H6" ca="1">FTEXT(F6)</f>
        <v>#NAME?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91"/>
  <dimension ref="A1:G12"/>
  <sheetViews>
    <sheetView workbookViewId="0"/>
  </sheetViews>
  <sheetFormatPr defaultRowHeight="14.5" x14ac:dyDescent="0.35"/>
  <cols>
    <col min="2" max="2" width="9.81640625" customWidth="1"/>
    <col min="3" max="3" width="9.1796875" customWidth="1"/>
    <col min="4" max="4" width="6.1796875" customWidth="1"/>
    <col min="6" max="6" width="9.81640625" customWidth="1"/>
    <col min="7" max="7" width="9.1796875" customWidth="1"/>
  </cols>
  <sheetData>
    <row r="1" spans="1:7" x14ac:dyDescent="0.35">
      <c r="A1" s="1" t="s">
        <v>364</v>
      </c>
    </row>
    <row r="3" spans="1:7" x14ac:dyDescent="0.35">
      <c r="A3" s="388" t="s">
        <v>365</v>
      </c>
      <c r="B3" s="407" t="s">
        <v>845</v>
      </c>
      <c r="C3" s="407" t="s">
        <v>846</v>
      </c>
      <c r="E3" s="408" t="s">
        <v>365</v>
      </c>
      <c r="F3" s="407" t="s">
        <v>845</v>
      </c>
      <c r="G3" s="407" t="s">
        <v>846</v>
      </c>
    </row>
    <row r="4" spans="1:7" x14ac:dyDescent="0.35">
      <c r="A4" s="194">
        <v>1</v>
      </c>
      <c r="B4" s="411">
        <v>0.02</v>
      </c>
      <c r="C4" s="411">
        <v>5.6000000000000001E-2</v>
      </c>
      <c r="E4" s="194">
        <v>1</v>
      </c>
      <c r="F4" s="411">
        <v>0.02</v>
      </c>
      <c r="G4" s="411">
        <v>5.6000000000000001E-2</v>
      </c>
    </row>
    <row r="5" spans="1:7" x14ac:dyDescent="0.35">
      <c r="A5" s="194">
        <f t="shared" ref="A5:A10" si="0">A4+1</f>
        <v>2</v>
      </c>
      <c r="B5" s="411">
        <v>-0.04</v>
      </c>
      <c r="C5" s="411">
        <v>6.9000000000000006E-2</v>
      </c>
      <c r="E5" s="194">
        <v>2</v>
      </c>
      <c r="F5" s="411">
        <v>-0.04</v>
      </c>
      <c r="G5" s="411">
        <v>6.9000000000000006E-2</v>
      </c>
    </row>
    <row r="6" spans="1:7" x14ac:dyDescent="0.35">
      <c r="A6" s="194">
        <f t="shared" si="0"/>
        <v>3</v>
      </c>
      <c r="B6" s="411">
        <v>0.12</v>
      </c>
      <c r="C6" s="411">
        <v>0.25</v>
      </c>
      <c r="E6" s="194">
        <v>3</v>
      </c>
      <c r="F6" s="411">
        <v>0.12</v>
      </c>
      <c r="G6" s="411">
        <v>0.25</v>
      </c>
    </row>
    <row r="7" spans="1:7" x14ac:dyDescent="0.35">
      <c r="A7" s="194">
        <f t="shared" si="0"/>
        <v>4</v>
      </c>
      <c r="B7" s="412">
        <v>0.45</v>
      </c>
      <c r="C7" s="4"/>
      <c r="E7" s="194">
        <v>5</v>
      </c>
      <c r="F7" s="411">
        <v>0.25</v>
      </c>
      <c r="G7" s="411">
        <v>0.62</v>
      </c>
    </row>
    <row r="8" spans="1:7" x14ac:dyDescent="0.35">
      <c r="A8" s="194">
        <f t="shared" si="0"/>
        <v>5</v>
      </c>
      <c r="B8" s="411">
        <v>0.25</v>
      </c>
      <c r="C8" s="411">
        <v>0.62</v>
      </c>
      <c r="E8" s="409">
        <v>7</v>
      </c>
      <c r="F8" s="413">
        <v>0.08</v>
      </c>
      <c r="G8" s="413">
        <v>0.18</v>
      </c>
    </row>
    <row r="9" spans="1:7" x14ac:dyDescent="0.35">
      <c r="A9" s="194">
        <f t="shared" si="0"/>
        <v>6</v>
      </c>
      <c r="B9" s="4"/>
      <c r="C9" s="412">
        <v>0.35</v>
      </c>
    </row>
    <row r="10" spans="1:7" x14ac:dyDescent="0.35">
      <c r="A10" s="409">
        <f t="shared" si="0"/>
        <v>7</v>
      </c>
      <c r="B10" s="413">
        <v>0.08</v>
      </c>
      <c r="C10" s="413">
        <v>0.18</v>
      </c>
      <c r="F10" s="410" t="s">
        <v>847</v>
      </c>
      <c r="G10" s="109">
        <f>CORREL(F4:F8,G4:G8)</f>
        <v>0.95761867712197379</v>
      </c>
    </row>
    <row r="12" spans="1:7" x14ac:dyDescent="0.35">
      <c r="B12" s="410" t="s">
        <v>847</v>
      </c>
      <c r="C12" s="109">
        <f>CORREL(B4:B10,C4:C10)</f>
        <v>0.95761867712197379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3"/>
  <dimension ref="A1:G19"/>
  <sheetViews>
    <sheetView workbookViewId="0"/>
  </sheetViews>
  <sheetFormatPr defaultRowHeight="14.5" x14ac:dyDescent="0.35"/>
  <cols>
    <col min="6" max="6" width="4" customWidth="1"/>
    <col min="7" max="7" width="27.453125" customWidth="1"/>
  </cols>
  <sheetData>
    <row r="1" spans="1:7" x14ac:dyDescent="0.35">
      <c r="A1" s="1" t="s">
        <v>364</v>
      </c>
    </row>
    <row r="3" spans="1:7" x14ac:dyDescent="0.35">
      <c r="A3" s="72" t="s">
        <v>391</v>
      </c>
      <c r="B3" s="72" t="s">
        <v>239</v>
      </c>
      <c r="D3" t="s">
        <v>95</v>
      </c>
      <c r="E3" s="254">
        <f>CORREL(A4:A18,B4:B18)</f>
        <v>-0.71343017438658085</v>
      </c>
      <c r="G3" t="e" cm="1">
        <f t="array" aca="1" ref="G3" ca="1">FTEXT(E3)</f>
        <v>#NAME?</v>
      </c>
    </row>
    <row r="4" spans="1:7" ht="15" customHeight="1" x14ac:dyDescent="0.35">
      <c r="A4" s="264">
        <v>5</v>
      </c>
      <c r="B4" s="73">
        <v>80</v>
      </c>
      <c r="D4" t="s">
        <v>258</v>
      </c>
      <c r="E4" s="94">
        <f>RSQ(A4:A18,B4:B18)</f>
        <v>0.50898261372526721</v>
      </c>
      <c r="G4" t="e" cm="1">
        <f t="array" aca="1" ref="G4" ca="1">FTEXT(E4)</f>
        <v>#NAME?</v>
      </c>
    </row>
    <row r="5" spans="1:7" x14ac:dyDescent="0.35">
      <c r="A5" s="264">
        <v>23</v>
      </c>
      <c r="B5" s="264">
        <v>78</v>
      </c>
    </row>
    <row r="6" spans="1:7" x14ac:dyDescent="0.35">
      <c r="A6" s="264">
        <v>25</v>
      </c>
      <c r="B6" s="264">
        <v>60</v>
      </c>
      <c r="D6" t="s">
        <v>518</v>
      </c>
      <c r="E6" s="254" t="e" cm="1">
        <f t="array" aca="1" ref="E6" ca="1">CORREL_ADJ(A4:A18,B4:B18)</f>
        <v>#NAME?</v>
      </c>
      <c r="G6" t="e" cm="1">
        <f t="array" aca="1" ref="G6" ca="1">FTEXT(E6)</f>
        <v>#NAME?</v>
      </c>
    </row>
    <row r="7" spans="1:7" ht="15" customHeight="1" x14ac:dyDescent="0.35">
      <c r="A7" s="264">
        <v>48</v>
      </c>
      <c r="B7" s="264">
        <v>53</v>
      </c>
      <c r="D7" t="s">
        <v>517</v>
      </c>
      <c r="E7" s="94" t="e" cm="1">
        <f t="array" aca="1" ref="E7" ca="1">RSQ_ADJ(A4:A18,B4:B18)</f>
        <v>#NAME?</v>
      </c>
      <c r="G7" t="e" cm="1">
        <f t="array" aca="1" ref="G7" ca="1">FTEXT(E7)</f>
        <v>#NAME?</v>
      </c>
    </row>
    <row r="8" spans="1:7" x14ac:dyDescent="0.35">
      <c r="A8" s="74">
        <v>17</v>
      </c>
      <c r="B8" s="264">
        <v>85</v>
      </c>
    </row>
    <row r="9" spans="1:7" x14ac:dyDescent="0.35">
      <c r="A9" s="74">
        <v>8</v>
      </c>
      <c r="B9" s="264">
        <v>84</v>
      </c>
      <c r="D9" t="s">
        <v>31</v>
      </c>
      <c r="E9" s="254" t="e" cm="1">
        <f t="array" aca="1" ref="E9" ca="1">CountPairs(A4:A18,B4:B18)</f>
        <v>#NAME?</v>
      </c>
      <c r="G9" t="e" cm="1">
        <f t="array" aca="1" ref="G9" ca="1">FTEXT(E9)</f>
        <v>#NAME?</v>
      </c>
    </row>
    <row r="10" spans="1:7" x14ac:dyDescent="0.35">
      <c r="A10" s="264">
        <v>4</v>
      </c>
      <c r="B10" s="264">
        <v>73</v>
      </c>
      <c r="D10" t="s">
        <v>518</v>
      </c>
      <c r="E10" s="100" t="e" cm="1">
        <f t="array" aca="1" ref="E10" ca="1">CORREL_ADJ(E3,E9)</f>
        <v>#NAME?</v>
      </c>
      <c r="G10" t="e" cm="1">
        <f t="array" aca="1" ref="G10" ca="1">FTEXT(E10)</f>
        <v>#NAME?</v>
      </c>
    </row>
    <row r="11" spans="1:7" ht="15" customHeight="1" x14ac:dyDescent="0.35">
      <c r="A11" s="264">
        <v>26</v>
      </c>
      <c r="B11" s="264">
        <v>79</v>
      </c>
      <c r="D11" t="s">
        <v>517</v>
      </c>
      <c r="E11" s="94" t="e" cm="1">
        <f t="array" aca="1" ref="E11" ca="1">RSQ_ADJ(E3,E9)</f>
        <v>#NAME?</v>
      </c>
      <c r="G11" t="e" cm="1">
        <f t="array" aca="1" ref="G11" ca="1">FTEXT(E11)</f>
        <v>#NAME?</v>
      </c>
    </row>
    <row r="12" spans="1:7" x14ac:dyDescent="0.35">
      <c r="A12" s="264">
        <v>11</v>
      </c>
      <c r="B12" s="264">
        <v>81</v>
      </c>
    </row>
    <row r="13" spans="1:7" x14ac:dyDescent="0.35">
      <c r="A13" s="264">
        <v>19</v>
      </c>
      <c r="B13" s="264">
        <v>75</v>
      </c>
    </row>
    <row r="14" spans="1:7" x14ac:dyDescent="0.35">
      <c r="A14" s="264">
        <v>14</v>
      </c>
      <c r="B14" s="264">
        <v>68</v>
      </c>
    </row>
    <row r="15" spans="1:7" x14ac:dyDescent="0.35">
      <c r="A15" s="264">
        <v>35</v>
      </c>
      <c r="B15" s="264">
        <v>72</v>
      </c>
    </row>
    <row r="16" spans="1:7" x14ac:dyDescent="0.35">
      <c r="A16" s="264">
        <v>29</v>
      </c>
      <c r="B16" s="264">
        <v>58</v>
      </c>
    </row>
    <row r="17" spans="1:2" x14ac:dyDescent="0.35">
      <c r="A17" s="264">
        <v>4</v>
      </c>
      <c r="B17" s="264">
        <v>92</v>
      </c>
    </row>
    <row r="18" spans="1:2" x14ac:dyDescent="0.35">
      <c r="A18" s="253">
        <v>23</v>
      </c>
      <c r="B18" s="253">
        <v>65</v>
      </c>
    </row>
    <row r="19" spans="1:2" x14ac:dyDescent="0.35">
      <c r="A19" s="264"/>
      <c r="B19" s="26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6"/>
  <dimension ref="A1:I9"/>
  <sheetViews>
    <sheetView workbookViewId="0"/>
  </sheetViews>
  <sheetFormatPr defaultRowHeight="14.5" x14ac:dyDescent="0.35"/>
  <cols>
    <col min="1" max="3" width="5.7265625" customWidth="1"/>
    <col min="4" max="4" width="3.1796875" customWidth="1"/>
    <col min="5" max="5" width="7.81640625" customWidth="1"/>
    <col min="8" max="8" width="3.54296875" customWidth="1"/>
    <col min="9" max="9" width="54.1796875" customWidth="1"/>
  </cols>
  <sheetData>
    <row r="1" spans="1:9" x14ac:dyDescent="0.35">
      <c r="A1" s="1" t="s">
        <v>963</v>
      </c>
    </row>
    <row r="2" spans="1:9" x14ac:dyDescent="0.35">
      <c r="F2" s="6" t="str">
        <f>A3</f>
        <v>s1</v>
      </c>
      <c r="G2" s="6" t="str">
        <f>B3</f>
        <v>s2</v>
      </c>
    </row>
    <row r="3" spans="1:9" x14ac:dyDescent="0.35">
      <c r="A3" s="515" t="s">
        <v>964</v>
      </c>
      <c r="B3" s="515" t="s">
        <v>965</v>
      </c>
      <c r="C3" s="515" t="s">
        <v>28</v>
      </c>
      <c r="E3" t="s">
        <v>246</v>
      </c>
      <c r="F3" s="423">
        <f>SUM(C4:C8)</f>
        <v>15</v>
      </c>
      <c r="G3" s="425">
        <f>F3</f>
        <v>15</v>
      </c>
      <c r="I3" t="e" cm="1">
        <f t="array" aca="1" ref="I3" ca="1">FTEXT(F3)</f>
        <v>#NAME?</v>
      </c>
    </row>
    <row r="4" spans="1:9" x14ac:dyDescent="0.35">
      <c r="A4">
        <v>4</v>
      </c>
      <c r="B4">
        <v>9</v>
      </c>
      <c r="C4">
        <v>3</v>
      </c>
      <c r="E4" t="s">
        <v>5</v>
      </c>
      <c r="F4" s="101">
        <f>SUMPRODUCT(A4:A8,$C4:$C8)/F3</f>
        <v>8.5333333333333332</v>
      </c>
      <c r="G4" s="102">
        <f>SUMPRODUCT(B4:B8,$C4:$C8)/G3</f>
        <v>-0.93333333333333335</v>
      </c>
      <c r="I4" t="e" cm="1">
        <f t="array" aca="1" ref="I4" ca="1">FTEXT(F4)</f>
        <v>#NAME?</v>
      </c>
    </row>
    <row r="5" spans="1:9" x14ac:dyDescent="0.35">
      <c r="A5">
        <v>5</v>
      </c>
      <c r="B5">
        <v>0</v>
      </c>
      <c r="C5">
        <v>2</v>
      </c>
      <c r="E5" t="s">
        <v>966</v>
      </c>
      <c r="F5" s="89">
        <f>SQRT(SUMPRODUCT((A4:A8-F4)^2,$C4:$C8)/(F3-1))</f>
        <v>4.4056241112382493</v>
      </c>
      <c r="G5" s="93">
        <f>SQRT(SUMPRODUCT((B4:B8-G4)^2,$C4:$C8)/(G3-1))</f>
        <v>5.7004594635202954</v>
      </c>
      <c r="I5" t="e" cm="1">
        <f t="array" aca="1" ref="I5" ca="1">FTEXT(F5)</f>
        <v>#NAME?</v>
      </c>
    </row>
    <row r="6" spans="1:9" x14ac:dyDescent="0.35">
      <c r="A6">
        <v>7</v>
      </c>
      <c r="B6">
        <v>-2</v>
      </c>
      <c r="C6">
        <v>5</v>
      </c>
    </row>
    <row r="7" spans="1:9" x14ac:dyDescent="0.35">
      <c r="A7">
        <v>11</v>
      </c>
      <c r="B7">
        <v>-3</v>
      </c>
      <c r="C7">
        <v>1</v>
      </c>
      <c r="E7" t="s">
        <v>883</v>
      </c>
      <c r="F7" s="426">
        <f>SUMPRODUCT(A4:A8-F4,B4:B8-G4,C4:C8)/(F3-1)</f>
        <v>-21.109523809523807</v>
      </c>
      <c r="I7" t="e" cm="1">
        <f t="array" aca="1" ref="I7" ca="1">FTEXT(F7)</f>
        <v>#NAME?</v>
      </c>
    </row>
    <row r="8" spans="1:9" x14ac:dyDescent="0.35">
      <c r="A8" s="159">
        <v>15</v>
      </c>
      <c r="B8" s="159">
        <v>-7</v>
      </c>
      <c r="C8" s="159">
        <v>4</v>
      </c>
      <c r="E8" t="s">
        <v>381</v>
      </c>
      <c r="F8" s="94">
        <f>F7/(F5*G5)</f>
        <v>-0.84054532024338557</v>
      </c>
      <c r="I8" t="e" cm="1">
        <f t="array" aca="1" ref="I8" ca="1">FTEXT(F8)</f>
        <v>#NAME?</v>
      </c>
    </row>
    <row r="9" spans="1:9" x14ac:dyDescent="0.35">
      <c r="I9" s="7" t="s">
        <v>967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4"/>
  <dimension ref="A1:C57"/>
  <sheetViews>
    <sheetView zoomScaleNormal="100" workbookViewId="0"/>
  </sheetViews>
  <sheetFormatPr defaultRowHeight="14.5" x14ac:dyDescent="0.35"/>
  <cols>
    <col min="1" max="2" width="8.54296875" customWidth="1"/>
  </cols>
  <sheetData>
    <row r="1" spans="1:3" x14ac:dyDescent="0.35">
      <c r="A1" s="1" t="s">
        <v>108</v>
      </c>
    </row>
    <row r="2" spans="1:3" x14ac:dyDescent="0.35">
      <c r="A2" s="1"/>
    </row>
    <row r="3" spans="1:3" x14ac:dyDescent="0.35">
      <c r="A3" s="115" t="s">
        <v>3</v>
      </c>
      <c r="B3" s="115" t="s">
        <v>107</v>
      </c>
    </row>
    <row r="4" spans="1:3" x14ac:dyDescent="0.35">
      <c r="A4" s="112">
        <v>2</v>
      </c>
      <c r="B4" s="112">
        <v>2</v>
      </c>
    </row>
    <row r="5" spans="1:3" x14ac:dyDescent="0.35">
      <c r="A5" s="112">
        <v>4</v>
      </c>
      <c r="B5" s="112">
        <v>4</v>
      </c>
    </row>
    <row r="6" spans="1:3" x14ac:dyDescent="0.35">
      <c r="A6" s="112">
        <v>7</v>
      </c>
      <c r="B6" s="112">
        <v>10</v>
      </c>
    </row>
    <row r="7" spans="1:3" x14ac:dyDescent="0.35">
      <c r="A7" s="112">
        <v>5</v>
      </c>
      <c r="B7" s="112">
        <v>8</v>
      </c>
    </row>
    <row r="8" spans="1:3" x14ac:dyDescent="0.35">
      <c r="A8" s="112">
        <v>8</v>
      </c>
      <c r="B8" s="112">
        <v>12</v>
      </c>
    </row>
    <row r="9" spans="1:3" x14ac:dyDescent="0.35">
      <c r="A9" s="112">
        <v>6</v>
      </c>
      <c r="B9" s="112">
        <f>A9*2-3</f>
        <v>9</v>
      </c>
    </row>
    <row r="10" spans="1:3" x14ac:dyDescent="0.35">
      <c r="A10" s="112">
        <v>9</v>
      </c>
      <c r="B10" s="112">
        <v>16</v>
      </c>
    </row>
    <row r="11" spans="1:3" x14ac:dyDescent="0.35">
      <c r="A11" s="112">
        <v>12</v>
      </c>
      <c r="B11" s="112">
        <f>A11*2-3</f>
        <v>21</v>
      </c>
    </row>
    <row r="12" spans="1:3" x14ac:dyDescent="0.35">
      <c r="A12" s="112">
        <v>3</v>
      </c>
      <c r="B12" s="112">
        <v>6</v>
      </c>
    </row>
    <row r="13" spans="1:3" x14ac:dyDescent="0.35">
      <c r="A13" s="113">
        <v>10</v>
      </c>
      <c r="B13" s="113">
        <v>15</v>
      </c>
    </row>
    <row r="15" spans="1:3" x14ac:dyDescent="0.35">
      <c r="A15" t="s">
        <v>109</v>
      </c>
      <c r="C15" s="109">
        <f>CORREL(A4:A13,B4:B13)</f>
        <v>0.97634993655136637</v>
      </c>
    </row>
    <row r="17" spans="1:3" x14ac:dyDescent="0.35">
      <c r="A17" s="115" t="s">
        <v>3</v>
      </c>
      <c r="B17" s="115" t="s">
        <v>107</v>
      </c>
    </row>
    <row r="18" spans="1:3" x14ac:dyDescent="0.35">
      <c r="A18" s="112">
        <v>2</v>
      </c>
      <c r="B18" s="112">
        <v>3</v>
      </c>
    </row>
    <row r="19" spans="1:3" x14ac:dyDescent="0.35">
      <c r="A19" s="112">
        <v>4</v>
      </c>
      <c r="B19" s="112">
        <v>6</v>
      </c>
    </row>
    <row r="20" spans="1:3" x14ac:dyDescent="0.35">
      <c r="A20" s="112">
        <v>7</v>
      </c>
      <c r="B20" s="112">
        <v>12</v>
      </c>
    </row>
    <row r="21" spans="1:3" x14ac:dyDescent="0.35">
      <c r="A21" s="112">
        <v>5</v>
      </c>
      <c r="B21" s="112">
        <v>15</v>
      </c>
    </row>
    <row r="22" spans="1:3" x14ac:dyDescent="0.35">
      <c r="A22" s="112">
        <v>8</v>
      </c>
      <c r="B22" s="112">
        <v>15</v>
      </c>
    </row>
    <row r="23" spans="1:3" x14ac:dyDescent="0.35">
      <c r="A23" s="112">
        <v>6</v>
      </c>
      <c r="B23" s="112">
        <v>21</v>
      </c>
    </row>
    <row r="24" spans="1:3" x14ac:dyDescent="0.35">
      <c r="A24" s="112">
        <v>9</v>
      </c>
      <c r="B24" s="112">
        <v>15</v>
      </c>
    </row>
    <row r="25" spans="1:3" x14ac:dyDescent="0.35">
      <c r="A25" s="112">
        <v>12</v>
      </c>
      <c r="B25" s="112">
        <v>8</v>
      </c>
    </row>
    <row r="26" spans="1:3" x14ac:dyDescent="0.35">
      <c r="A26" s="112">
        <v>3</v>
      </c>
      <c r="B26" s="112">
        <v>3</v>
      </c>
    </row>
    <row r="27" spans="1:3" x14ac:dyDescent="0.35">
      <c r="A27" s="113">
        <v>10</v>
      </c>
      <c r="B27" s="113">
        <v>7</v>
      </c>
    </row>
    <row r="29" spans="1:3" x14ac:dyDescent="0.35">
      <c r="A29" t="s">
        <v>109</v>
      </c>
      <c r="C29" s="109">
        <f>CORREL(A18:A27,B18:B27)</f>
        <v>0.30030323280047089</v>
      </c>
    </row>
    <row r="31" spans="1:3" x14ac:dyDescent="0.35">
      <c r="A31" s="115" t="s">
        <v>3</v>
      </c>
      <c r="B31" s="115" t="s">
        <v>107</v>
      </c>
    </row>
    <row r="32" spans="1:3" x14ac:dyDescent="0.35">
      <c r="A32" s="112">
        <v>2</v>
      </c>
      <c r="B32" s="112">
        <v>21</v>
      </c>
    </row>
    <row r="33" spans="1:3" x14ac:dyDescent="0.35">
      <c r="A33" s="112">
        <v>4</v>
      </c>
      <c r="B33" s="112">
        <v>13</v>
      </c>
    </row>
    <row r="34" spans="1:3" x14ac:dyDescent="0.35">
      <c r="A34" s="112">
        <v>7</v>
      </c>
      <c r="B34" s="112">
        <v>7</v>
      </c>
    </row>
    <row r="35" spans="1:3" x14ac:dyDescent="0.35">
      <c r="A35" s="112">
        <v>5</v>
      </c>
      <c r="B35" s="112">
        <v>8</v>
      </c>
    </row>
    <row r="36" spans="1:3" x14ac:dyDescent="0.35">
      <c r="A36" s="112">
        <v>8</v>
      </c>
      <c r="B36" s="112">
        <v>10</v>
      </c>
    </row>
    <row r="37" spans="1:3" x14ac:dyDescent="0.35">
      <c r="A37" s="112">
        <v>6</v>
      </c>
      <c r="B37" s="112">
        <v>9</v>
      </c>
    </row>
    <row r="38" spans="1:3" x14ac:dyDescent="0.35">
      <c r="A38" s="112">
        <v>9</v>
      </c>
      <c r="B38" s="112">
        <v>6</v>
      </c>
    </row>
    <row r="39" spans="1:3" x14ac:dyDescent="0.35">
      <c r="A39" s="112">
        <v>12</v>
      </c>
      <c r="B39" s="112">
        <v>1</v>
      </c>
    </row>
    <row r="40" spans="1:3" x14ac:dyDescent="0.35">
      <c r="A40" s="112">
        <v>3</v>
      </c>
      <c r="B40" s="112">
        <f>20-A40*2</f>
        <v>14</v>
      </c>
    </row>
    <row r="41" spans="1:3" x14ac:dyDescent="0.35">
      <c r="A41" s="113">
        <v>10</v>
      </c>
      <c r="B41" s="113">
        <v>4</v>
      </c>
    </row>
    <row r="43" spans="1:3" x14ac:dyDescent="0.35">
      <c r="A43" t="s">
        <v>109</v>
      </c>
      <c r="C43" s="109">
        <f>CORREL(A32:A41,B32:B41)</f>
        <v>-0.91200100405576845</v>
      </c>
    </row>
    <row r="45" spans="1:3" x14ac:dyDescent="0.35">
      <c r="A45" s="115" t="s">
        <v>3</v>
      </c>
      <c r="B45" s="115" t="s">
        <v>107</v>
      </c>
    </row>
    <row r="46" spans="1:3" x14ac:dyDescent="0.35">
      <c r="A46" s="112">
        <v>2</v>
      </c>
      <c r="B46" s="112">
        <v>3</v>
      </c>
    </row>
    <row r="47" spans="1:3" x14ac:dyDescent="0.35">
      <c r="A47" s="112">
        <v>4</v>
      </c>
      <c r="B47" s="112">
        <v>6</v>
      </c>
    </row>
    <row r="48" spans="1:3" x14ac:dyDescent="0.35">
      <c r="A48" s="112">
        <v>7</v>
      </c>
      <c r="B48" s="112">
        <v>5</v>
      </c>
    </row>
    <row r="49" spans="1:3" x14ac:dyDescent="0.35">
      <c r="A49" s="112">
        <v>5</v>
      </c>
      <c r="B49" s="112">
        <v>21</v>
      </c>
    </row>
    <row r="50" spans="1:3" x14ac:dyDescent="0.35">
      <c r="A50" s="112">
        <v>8</v>
      </c>
      <c r="B50" s="112">
        <v>12</v>
      </c>
    </row>
    <row r="51" spans="1:3" x14ac:dyDescent="0.35">
      <c r="A51" s="112">
        <v>6</v>
      </c>
      <c r="B51" s="112">
        <v>14</v>
      </c>
    </row>
    <row r="52" spans="1:3" x14ac:dyDescent="0.35">
      <c r="A52" s="112">
        <v>9</v>
      </c>
      <c r="B52" s="112">
        <v>2</v>
      </c>
    </row>
    <row r="53" spans="1:3" x14ac:dyDescent="0.35">
      <c r="A53" s="112">
        <v>12</v>
      </c>
      <c r="B53" s="112">
        <v>16</v>
      </c>
    </row>
    <row r="54" spans="1:3" x14ac:dyDescent="0.35">
      <c r="A54" s="112">
        <v>3</v>
      </c>
      <c r="B54" s="112">
        <v>12</v>
      </c>
    </row>
    <row r="55" spans="1:3" x14ac:dyDescent="0.35">
      <c r="A55" s="113">
        <v>10</v>
      </c>
      <c r="B55" s="113">
        <v>5</v>
      </c>
    </row>
    <row r="57" spans="1:3" x14ac:dyDescent="0.35">
      <c r="A57" t="s">
        <v>109</v>
      </c>
      <c r="C57" s="109">
        <f>CORREL(A46:A55,B46:B55)</f>
        <v>6.8139932506416284E-2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29"/>
  <dimension ref="A1:B15"/>
  <sheetViews>
    <sheetView workbookViewId="0">
      <selection activeCell="O17" sqref="O17"/>
    </sheetView>
  </sheetViews>
  <sheetFormatPr defaultRowHeight="14.5" x14ac:dyDescent="0.35"/>
  <sheetData>
    <row r="1" spans="1:2" x14ac:dyDescent="0.35">
      <c r="A1" s="1" t="s">
        <v>489</v>
      </c>
    </row>
    <row r="3" spans="1:2" x14ac:dyDescent="0.35">
      <c r="A3" s="115" t="s">
        <v>3</v>
      </c>
      <c r="B3" s="115" t="s">
        <v>107</v>
      </c>
    </row>
    <row r="4" spans="1:2" x14ac:dyDescent="0.35">
      <c r="A4" s="247">
        <v>2</v>
      </c>
      <c r="B4" s="247">
        <v>66</v>
      </c>
    </row>
    <row r="5" spans="1:2" x14ac:dyDescent="0.35">
      <c r="A5" s="247">
        <v>4</v>
      </c>
      <c r="B5" s="247">
        <v>16</v>
      </c>
    </row>
    <row r="6" spans="1:2" x14ac:dyDescent="0.35">
      <c r="A6" s="247">
        <v>7</v>
      </c>
      <c r="B6" s="247">
        <v>45</v>
      </c>
    </row>
    <row r="7" spans="1:2" x14ac:dyDescent="0.35">
      <c r="A7" s="247">
        <v>5</v>
      </c>
      <c r="B7" s="247">
        <v>15</v>
      </c>
    </row>
    <row r="8" spans="1:2" x14ac:dyDescent="0.35">
      <c r="A8" s="247">
        <v>8</v>
      </c>
      <c r="B8" s="247">
        <v>68</v>
      </c>
    </row>
    <row r="9" spans="1:2" x14ac:dyDescent="0.35">
      <c r="A9" s="247">
        <v>6</v>
      </c>
      <c r="B9" s="247">
        <v>23</v>
      </c>
    </row>
    <row r="10" spans="1:2" x14ac:dyDescent="0.35">
      <c r="A10" s="247">
        <v>9</v>
      </c>
      <c r="B10" s="247">
        <v>78</v>
      </c>
    </row>
    <row r="11" spans="1:2" x14ac:dyDescent="0.35">
      <c r="A11" s="247">
        <v>8</v>
      </c>
      <c r="B11" s="247">
        <v>62</v>
      </c>
    </row>
    <row r="12" spans="1:2" x14ac:dyDescent="0.35">
      <c r="A12" s="247">
        <v>3</v>
      </c>
      <c r="B12" s="247">
        <v>36</v>
      </c>
    </row>
    <row r="13" spans="1:2" x14ac:dyDescent="0.35">
      <c r="A13" s="248">
        <v>10</v>
      </c>
      <c r="B13" s="248">
        <v>93</v>
      </c>
    </row>
    <row r="15" spans="1:2" x14ac:dyDescent="0.35">
      <c r="B15">
        <f>CORREL(A4:A13,B4:B13)</f>
        <v>0.60045294712212205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7"/>
  <dimension ref="A1:C13"/>
  <sheetViews>
    <sheetView workbookViewId="0"/>
  </sheetViews>
  <sheetFormatPr defaultRowHeight="14.5" x14ac:dyDescent="0.35"/>
  <cols>
    <col min="1" max="3" width="5.54296875" customWidth="1"/>
  </cols>
  <sheetData>
    <row r="1" spans="1:3" x14ac:dyDescent="0.35">
      <c r="A1" s="1" t="s">
        <v>971</v>
      </c>
    </row>
    <row r="3" spans="1:3" x14ac:dyDescent="0.35">
      <c r="A3" s="460" t="s">
        <v>972</v>
      </c>
      <c r="B3" s="460" t="s">
        <v>973</v>
      </c>
      <c r="C3" s="460" t="s">
        <v>521</v>
      </c>
    </row>
    <row r="4" spans="1:3" x14ac:dyDescent="0.35">
      <c r="A4" s="516">
        <v>4.4000000000000004</v>
      </c>
      <c r="B4" s="516">
        <v>5.9</v>
      </c>
      <c r="C4" s="516">
        <v>8.1999999999999993</v>
      </c>
    </row>
    <row r="5" spans="1:3" x14ac:dyDescent="0.35">
      <c r="A5" s="516">
        <v>8.1</v>
      </c>
      <c r="B5" s="516">
        <v>3.6</v>
      </c>
      <c r="C5" s="516">
        <v>5.9</v>
      </c>
    </row>
    <row r="6" spans="1:3" x14ac:dyDescent="0.35">
      <c r="A6" s="516">
        <v>9.1999999999999993</v>
      </c>
      <c r="B6" s="516">
        <v>6.5</v>
      </c>
      <c r="C6" s="516">
        <v>9.1</v>
      </c>
    </row>
    <row r="7" spans="1:3" x14ac:dyDescent="0.35">
      <c r="A7" s="516">
        <v>4.9000000000000004</v>
      </c>
      <c r="B7" s="516">
        <v>0.5</v>
      </c>
      <c r="C7" s="516">
        <v>1.1000000000000001</v>
      </c>
    </row>
    <row r="8" spans="1:3" x14ac:dyDescent="0.35">
      <c r="A8" s="516">
        <v>5.2</v>
      </c>
      <c r="B8" s="516">
        <v>2.5</v>
      </c>
      <c r="C8" s="516">
        <v>3.7</v>
      </c>
    </row>
    <row r="9" spans="1:3" x14ac:dyDescent="0.35">
      <c r="A9" s="516">
        <v>6.5</v>
      </c>
      <c r="B9" s="516">
        <v>2.8</v>
      </c>
      <c r="C9" s="516">
        <v>4.3</v>
      </c>
    </row>
    <row r="10" spans="1:3" x14ac:dyDescent="0.35">
      <c r="A10" s="516">
        <v>0.8</v>
      </c>
      <c r="B10" s="516">
        <v>4.2</v>
      </c>
      <c r="C10" s="516">
        <v>5.2</v>
      </c>
    </row>
    <row r="11" spans="1:3" x14ac:dyDescent="0.35">
      <c r="A11" s="516">
        <v>2.1</v>
      </c>
      <c r="B11" s="516">
        <v>3.2</v>
      </c>
      <c r="C11" s="516">
        <v>8.4</v>
      </c>
    </row>
    <row r="12" spans="1:3" x14ac:dyDescent="0.35">
      <c r="A12" s="516">
        <v>7.6</v>
      </c>
      <c r="B12" s="516">
        <v>7.3</v>
      </c>
      <c r="C12" s="516">
        <v>9.9</v>
      </c>
    </row>
    <row r="13" spans="1:3" x14ac:dyDescent="0.35">
      <c r="A13" s="517">
        <v>3.7</v>
      </c>
      <c r="B13" s="517">
        <v>5.0999999999999996</v>
      </c>
      <c r="C13" s="517">
        <v>6.2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5"/>
  <dimension ref="A1:AI81"/>
  <sheetViews>
    <sheetView topLeftCell="C1" workbookViewId="0">
      <selection activeCell="Q10" sqref="Q10"/>
    </sheetView>
  </sheetViews>
  <sheetFormatPr defaultRowHeight="14.5" x14ac:dyDescent="0.35"/>
  <cols>
    <col min="1" max="2" width="8.81640625" customWidth="1"/>
    <col min="3" max="3" width="6.81640625" customWidth="1"/>
    <col min="4" max="4" width="9.1796875" customWidth="1"/>
    <col min="6" max="6" width="3.1796875" customWidth="1"/>
    <col min="7" max="7" width="23.453125" customWidth="1"/>
    <col min="11" max="11" width="3.26953125" customWidth="1"/>
    <col min="12" max="12" width="25.453125" customWidth="1"/>
    <col min="13" max="13" width="5.7265625" customWidth="1"/>
    <col min="16" max="16" width="3.26953125" customWidth="1"/>
    <col min="17" max="17" width="16.453125" customWidth="1"/>
    <col min="18" max="18" width="4.26953125" customWidth="1"/>
    <col min="29" max="29" width="3" customWidth="1"/>
    <col min="30" max="30" width="22.26953125" customWidth="1"/>
    <col min="34" max="34" width="4" customWidth="1"/>
    <col min="35" max="35" width="36.7265625" customWidth="1"/>
  </cols>
  <sheetData>
    <row r="1" spans="1:35" x14ac:dyDescent="0.35">
      <c r="A1" s="1" t="s">
        <v>414</v>
      </c>
      <c r="B1" s="1"/>
    </row>
    <row r="3" spans="1:35" s="28" customFormat="1" x14ac:dyDescent="0.35">
      <c r="A3" s="72" t="s">
        <v>391</v>
      </c>
      <c r="B3" s="72" t="s">
        <v>239</v>
      </c>
      <c r="C3"/>
      <c r="D3" s="9" t="s">
        <v>406</v>
      </c>
      <c r="E3" s="9"/>
      <c r="F3"/>
      <c r="G3"/>
      <c r="H3"/>
      <c r="I3" s="64" t="s">
        <v>396</v>
      </c>
      <c r="J3" s="9"/>
      <c r="K3" s="9"/>
      <c r="L3" s="9"/>
      <c r="M3" s="9"/>
      <c r="N3" s="64" t="s">
        <v>191</v>
      </c>
      <c r="O3" s="9"/>
      <c r="P3" s="9"/>
      <c r="Q3" s="9"/>
      <c r="S3"/>
      <c r="T3"/>
      <c r="U3"/>
      <c r="V3"/>
      <c r="AB3" s="28" t="s">
        <v>388</v>
      </c>
      <c r="AF3" s="28" t="s">
        <v>459</v>
      </c>
    </row>
    <row r="4" spans="1:35" x14ac:dyDescent="0.35">
      <c r="A4" s="195">
        <v>5</v>
      </c>
      <c r="B4" s="73">
        <v>80</v>
      </c>
      <c r="D4" s="9"/>
      <c r="E4" s="9"/>
      <c r="I4" s="9"/>
      <c r="J4" s="9"/>
      <c r="K4" s="9"/>
      <c r="L4" s="9"/>
      <c r="M4" s="9"/>
      <c r="N4" s="9"/>
      <c r="O4" s="9"/>
      <c r="P4" s="9"/>
      <c r="Q4" s="9"/>
    </row>
    <row r="5" spans="1:35" x14ac:dyDescent="0.35">
      <c r="A5" s="195">
        <v>23</v>
      </c>
      <c r="B5" s="195">
        <v>78</v>
      </c>
      <c r="D5" s="66" t="s">
        <v>95</v>
      </c>
      <c r="E5" s="107">
        <f>CORREL(A4:A18,B4:B18)</f>
        <v>-0.71343017438658085</v>
      </c>
      <c r="G5" t="e" cm="1">
        <f t="array" aca="1" ref="G5" ca="1">FTEXT(E5)</f>
        <v>#NAME?</v>
      </c>
      <c r="I5" s="86" t="s">
        <v>95</v>
      </c>
      <c r="J5" s="197">
        <f>E5</f>
        <v>-0.71343017438658085</v>
      </c>
      <c r="K5" s="66"/>
      <c r="L5" s="66" t="e" cm="1">
        <f t="array" aca="1" ref="L5" ca="1">FTEXT(J5)</f>
        <v>#NAME?</v>
      </c>
      <c r="M5" s="9"/>
      <c r="N5" s="64" t="s">
        <v>181</v>
      </c>
      <c r="O5" s="116">
        <f>J7</f>
        <v>-0.89413518216034948</v>
      </c>
      <c r="P5" s="9"/>
      <c r="Q5" s="9" t="e" cm="1">
        <f t="array" aca="1" ref="Q5" ca="1">FTEXT(O5)</f>
        <v>#NAME?</v>
      </c>
      <c r="AB5" s="185" t="e" cm="1">
        <f t="array" aca="1" ref="AB5" ca="1">CorrTTest(E5,E7,2)</f>
        <v>#NAME?</v>
      </c>
      <c r="AD5" t="e" cm="1">
        <f t="array" aca="1" ref="AD5" ca="1">FTEXT(AB5)</f>
        <v>#NAME?</v>
      </c>
      <c r="AF5" t="e">
        <f t="array" aca="1" ref="AF5:AG8" ca="1">CorrelTTest(E5,E7,E11,TRUE)</f>
        <v>#NAME?</v>
      </c>
      <c r="AG5" s="185" t="e">
        <f ca="1"/>
        <v>#NAME?</v>
      </c>
      <c r="AI5" t="e" cm="1">
        <f t="array" aca="1" ref="AI5" ca="1">FTEXT(AF5)</f>
        <v>#NAME?</v>
      </c>
    </row>
    <row r="6" spans="1:35" x14ac:dyDescent="0.35">
      <c r="A6" s="195">
        <v>25</v>
      </c>
      <c r="B6" s="195">
        <v>60</v>
      </c>
      <c r="D6" s="91" t="s">
        <v>179</v>
      </c>
      <c r="E6" s="117">
        <v>0</v>
      </c>
      <c r="I6" s="121" t="s">
        <v>179</v>
      </c>
      <c r="J6" s="117">
        <f>E6</f>
        <v>0</v>
      </c>
      <c r="K6" s="66"/>
      <c r="L6" s="66" t="e" cm="1">
        <f t="array" aca="1" ref="L6" ca="1">FTEXT(J6)</f>
        <v>#NAME?</v>
      </c>
      <c r="M6" s="9"/>
      <c r="N6" s="64" t="s">
        <v>185</v>
      </c>
      <c r="O6" s="117">
        <f>ABS(J14)</f>
        <v>1.9599639845400538</v>
      </c>
      <c r="P6" s="9"/>
      <c r="Q6" s="9" t="e" cm="1">
        <f t="array" aca="1" ref="Q6" ca="1">FTEXT(O6)</f>
        <v>#NAME?</v>
      </c>
      <c r="AB6" s="94" t="e" cm="1">
        <f t="array" aca="1" ref="AB6" ca="1">CorrTTest(E5,E7,1)</f>
        <v>#NAME?</v>
      </c>
      <c r="AD6" t="e" cm="1">
        <f t="array" aca="1" ref="AD6" ca="1">FTEXT(AB6)</f>
        <v>#NAME?</v>
      </c>
      <c r="AF6" t="e">
        <f ca="1"/>
        <v>#NAME?</v>
      </c>
      <c r="AG6" s="100" t="e">
        <f ca="1"/>
        <v>#NAME?</v>
      </c>
    </row>
    <row r="7" spans="1:35" ht="16.5" x14ac:dyDescent="0.45">
      <c r="A7" s="195">
        <v>48</v>
      </c>
      <c r="B7" s="195">
        <v>53</v>
      </c>
      <c r="D7" s="66" t="s">
        <v>31</v>
      </c>
      <c r="E7" s="100">
        <f>COUNT(A4:A18)</f>
        <v>15</v>
      </c>
      <c r="G7" t="e" cm="1">
        <f t="array" aca="1" ref="G7" ca="1">FTEXT(E7)</f>
        <v>#NAME?</v>
      </c>
      <c r="I7" s="122" t="s">
        <v>181</v>
      </c>
      <c r="J7" s="117">
        <f>FISHER(J5)</f>
        <v>-0.89413518216034948</v>
      </c>
      <c r="K7" s="66"/>
      <c r="L7" s="66" t="e" cm="1">
        <f t="array" aca="1" ref="L7" ca="1">FTEXT(J7)</f>
        <v>#NAME?</v>
      </c>
      <c r="M7" s="66"/>
      <c r="N7" s="67" t="s">
        <v>183</v>
      </c>
      <c r="O7" s="118">
        <f>J11</f>
        <v>0.28867513459481292</v>
      </c>
      <c r="P7" s="9"/>
      <c r="Q7" s="9" t="e" cm="1">
        <f t="array" aca="1" ref="Q7" ca="1">FTEXT(O7)</f>
        <v>#NAME?</v>
      </c>
      <c r="AF7" t="e">
        <f ca="1"/>
        <v>#NAME?</v>
      </c>
      <c r="AG7" s="100" t="e">
        <f ca="1"/>
        <v>#NAME?</v>
      </c>
    </row>
    <row r="8" spans="1:35" x14ac:dyDescent="0.35">
      <c r="A8" s="74">
        <v>17</v>
      </c>
      <c r="B8" s="195">
        <v>85</v>
      </c>
      <c r="D8" s="66" t="s">
        <v>53</v>
      </c>
      <c r="E8" s="100">
        <f>E7-2</f>
        <v>13</v>
      </c>
      <c r="G8" t="e" cm="1">
        <f t="array" aca="1" ref="G8" ca="1">FTEXT(E8)</f>
        <v>#NAME?</v>
      </c>
      <c r="I8" s="121" t="s">
        <v>182</v>
      </c>
      <c r="J8" s="118">
        <f>FISHER(J6)</f>
        <v>0</v>
      </c>
      <c r="K8" s="66"/>
      <c r="L8" s="66" t="e" cm="1">
        <f t="array" aca="1" ref="L8" ca="1">FTEXT(J8)</f>
        <v>#NAME?</v>
      </c>
      <c r="M8" s="9"/>
      <c r="N8" s="9"/>
      <c r="O8" s="9"/>
      <c r="P8" s="9"/>
      <c r="Q8" s="9" t="e" cm="1">
        <f t="array" aca="1" ref="Q8" ca="1">FTEXT(O8)</f>
        <v>#NAME?</v>
      </c>
      <c r="AB8" s="185" t="e" cm="1">
        <f t="array" aca="1" ref="AB8" ca="1">CorrTest(J6,J5,J10,2)</f>
        <v>#NAME?</v>
      </c>
      <c r="AD8" t="e" cm="1">
        <f t="array" aca="1" ref="AD8" ca="1">FTEXT(AB8)</f>
        <v>#NAME?</v>
      </c>
      <c r="AF8" t="e">
        <f ca="1"/>
        <v>#NAME?</v>
      </c>
      <c r="AG8" s="94" t="e">
        <f ca="1"/>
        <v>#NAME?</v>
      </c>
    </row>
    <row r="9" spans="1:35" ht="16.5" x14ac:dyDescent="0.45">
      <c r="A9" s="74">
        <v>8</v>
      </c>
      <c r="B9" s="195">
        <v>84</v>
      </c>
      <c r="D9" s="66" t="s">
        <v>104</v>
      </c>
      <c r="E9" s="100">
        <f>SQRT((1-E5^2)/E8)</f>
        <v>0.1943465157263681</v>
      </c>
      <c r="G9" t="e" cm="1">
        <f t="array" aca="1" ref="G9" ca="1">FTEXT(E9)</f>
        <v>#NAME?</v>
      </c>
      <c r="I9" s="9"/>
      <c r="J9" s="9"/>
      <c r="K9" s="9"/>
      <c r="L9" s="66" t="e" cm="1">
        <f t="array" aca="1" ref="L9" ca="1">FTEXT(J9)</f>
        <v>#NAME?</v>
      </c>
      <c r="M9" s="9"/>
      <c r="N9" s="64" t="s">
        <v>186</v>
      </c>
      <c r="O9" s="197">
        <f>O5-O6*O7</f>
        <v>-1.4599280491984352</v>
      </c>
      <c r="P9" s="9"/>
      <c r="Q9" s="9" t="e" cm="1">
        <f t="array" aca="1" ref="Q9" ca="1">FTEXT(O9)</f>
        <v>#NAME?</v>
      </c>
      <c r="AB9" s="94" t="e" cm="1">
        <f t="array" aca="1" ref="AB9" ca="1">CorrTest(J6,J5,J10,1)</f>
        <v>#NAME?</v>
      </c>
      <c r="AD9" t="e" cm="1">
        <f t="array" aca="1" ref="AD9" ca="1">FTEXT(AB9)</f>
        <v>#NAME?</v>
      </c>
    </row>
    <row r="10" spans="1:35" x14ac:dyDescent="0.35">
      <c r="A10" s="195">
        <v>4</v>
      </c>
      <c r="B10" s="195">
        <v>73</v>
      </c>
      <c r="D10" s="66" t="s">
        <v>56</v>
      </c>
      <c r="E10" s="100">
        <f>E5/E9</f>
        <v>-3.6709182653475567</v>
      </c>
      <c r="G10" t="e" cm="1">
        <f t="array" aca="1" ref="G10" ca="1">FTEXT(E10)</f>
        <v>#NAME?</v>
      </c>
      <c r="I10" s="67" t="s">
        <v>31</v>
      </c>
      <c r="J10" s="107">
        <f>E7</f>
        <v>15</v>
      </c>
      <c r="K10" s="4"/>
      <c r="L10" s="66" t="e" cm="1">
        <f t="array" aca="1" ref="L10" ca="1">FTEXT(J10)</f>
        <v>#NAME?</v>
      </c>
      <c r="M10" s="66"/>
      <c r="N10" s="64" t="s">
        <v>187</v>
      </c>
      <c r="O10" s="117">
        <f>O5+O6*O7</f>
        <v>-0.32834231512226364</v>
      </c>
      <c r="P10" s="9"/>
      <c r="Q10" s="9" t="e" cm="1">
        <f t="array" aca="1" ref="Q10" ca="1">FTEXT(O10)</f>
        <v>#NAME?</v>
      </c>
    </row>
    <row r="11" spans="1:35" ht="16.5" x14ac:dyDescent="0.45">
      <c r="A11" s="195">
        <v>26</v>
      </c>
      <c r="B11" s="195">
        <v>79</v>
      </c>
      <c r="D11" s="66" t="s">
        <v>44</v>
      </c>
      <c r="E11" s="100">
        <v>0.05</v>
      </c>
      <c r="I11" s="67" t="s">
        <v>183</v>
      </c>
      <c r="J11" s="100">
        <f>1/SQRT(J10-3)</f>
        <v>0.28867513459481292</v>
      </c>
      <c r="K11" s="4"/>
      <c r="L11" s="66" t="e" cm="1">
        <f t="array" aca="1" ref="L11" ca="1">FTEXT(J11)</f>
        <v>#NAME?</v>
      </c>
      <c r="M11" s="66"/>
      <c r="N11" s="64" t="s">
        <v>188</v>
      </c>
      <c r="O11" s="117">
        <f>FISHERINV(O9)</f>
        <v>-0.89763862299200325</v>
      </c>
      <c r="P11" s="9"/>
      <c r="Q11" s="9" t="e" cm="1">
        <f t="array" aca="1" ref="Q11" ca="1">FTEXT(O11)</f>
        <v>#NAME?</v>
      </c>
      <c r="AB11" s="185" t="e" cm="1">
        <f t="array" aca="1" ref="AB11" ca="1">CorrTLower(E5,E7,E11)</f>
        <v>#NAME?</v>
      </c>
      <c r="AD11" t="e" cm="1">
        <f t="array" aca="1" ref="AD11" ca="1">FTEXT(AB11)</f>
        <v>#NAME?</v>
      </c>
      <c r="AF11" t="e">
        <f t="array" aca="1" ref="AF11:AG14" ca="1">CorrelTest(J5,J10,J6,J13,TRUE)</f>
        <v>#NAME?</v>
      </c>
      <c r="AG11" s="185" t="e">
        <f ca="1"/>
        <v>#NAME?</v>
      </c>
      <c r="AI11" t="e" cm="1">
        <f t="array" aca="1" ref="AI11" ca="1">FTEXT(AF11)</f>
        <v>#NAME?</v>
      </c>
    </row>
    <row r="12" spans="1:35" x14ac:dyDescent="0.35">
      <c r="A12" s="195">
        <v>11</v>
      </c>
      <c r="B12" s="195">
        <v>81</v>
      </c>
      <c r="D12" s="66" t="s">
        <v>60</v>
      </c>
      <c r="E12" s="100">
        <f>TINV(E11,E8)</f>
        <v>2.1603686564627926</v>
      </c>
      <c r="G12" s="7" t="s">
        <v>392</v>
      </c>
      <c r="I12" s="66" t="s">
        <v>36</v>
      </c>
      <c r="J12" s="117">
        <f>(J7-J8)/J11</f>
        <v>-3.0973751286731566</v>
      </c>
      <c r="K12" s="66"/>
      <c r="L12" s="66" t="e" cm="1">
        <f t="array" aca="1" ref="L12" ca="1">FTEXT(J12)</f>
        <v>#NAME?</v>
      </c>
      <c r="M12" s="66"/>
      <c r="N12" s="64" t="s">
        <v>189</v>
      </c>
      <c r="O12" s="118">
        <f>FISHERINV(O10)</f>
        <v>-0.3170304877306484</v>
      </c>
      <c r="P12" s="9"/>
      <c r="Q12" s="9" t="e" cm="1">
        <f t="array" aca="1" ref="Q12" ca="1">FTEXT(O12)</f>
        <v>#NAME?</v>
      </c>
      <c r="AB12" s="94" t="e" cm="1">
        <f t="array" aca="1" ref="AB12" ca="1">CorrTUpper(E5,E7,E11)</f>
        <v>#NAME?</v>
      </c>
      <c r="AD12" t="e" cm="1">
        <f t="array" aca="1" ref="AD12" ca="1">FTEXT(AB12)</f>
        <v>#NAME?</v>
      </c>
      <c r="AF12" t="e">
        <f ca="1"/>
        <v>#NAME?</v>
      </c>
      <c r="AG12" s="100" t="e">
        <f ca="1"/>
        <v>#NAME?</v>
      </c>
    </row>
    <row r="13" spans="1:35" x14ac:dyDescent="0.35">
      <c r="A13" s="195">
        <v>19</v>
      </c>
      <c r="B13" s="195">
        <v>75</v>
      </c>
      <c r="D13" s="66" t="s">
        <v>59</v>
      </c>
      <c r="E13" s="117">
        <f>TDIST(ABS(E10),E8,2)</f>
        <v>2.822342990071231E-3</v>
      </c>
      <c r="G13" s="7" t="s">
        <v>393</v>
      </c>
      <c r="I13" s="66" t="s">
        <v>44</v>
      </c>
      <c r="J13" s="117">
        <v>0.05</v>
      </c>
      <c r="K13" s="66"/>
      <c r="L13" s="66"/>
      <c r="M13" s="66"/>
      <c r="N13" s="66"/>
      <c r="O13" s="9"/>
      <c r="P13" s="9"/>
      <c r="Q13" s="9"/>
      <c r="AF13" t="e">
        <f ca="1"/>
        <v>#NAME?</v>
      </c>
      <c r="AG13" s="100" t="e">
        <f ca="1"/>
        <v>#NAME?</v>
      </c>
    </row>
    <row r="14" spans="1:35" x14ac:dyDescent="0.35">
      <c r="A14" s="195">
        <v>14</v>
      </c>
      <c r="B14" s="195">
        <v>68</v>
      </c>
      <c r="D14" s="66" t="s">
        <v>270</v>
      </c>
      <c r="E14" s="120" t="str">
        <f>IF(E13&lt;E11,"yes","no")</f>
        <v>yes</v>
      </c>
      <c r="G14" t="e" cm="1">
        <f t="array" aca="1" ref="G14" ca="1">FTEXT(E14)</f>
        <v>#NAME?</v>
      </c>
      <c r="I14" s="66" t="s">
        <v>185</v>
      </c>
      <c r="J14" s="117">
        <f>NORMSINV(J13/2)</f>
        <v>-1.9599639845400538</v>
      </c>
      <c r="K14" s="66"/>
      <c r="L14" s="198" t="s">
        <v>412</v>
      </c>
      <c r="M14" s="66"/>
      <c r="N14" s="66"/>
      <c r="O14" s="9"/>
      <c r="P14" s="9"/>
      <c r="Q14" s="9"/>
      <c r="AB14" s="185" t="e" cm="1">
        <f t="array" aca="1" ref="AB14" ca="1">CorrLower(E5,E7,E11)</f>
        <v>#NAME?</v>
      </c>
      <c r="AD14" t="e" cm="1">
        <f t="array" aca="1" ref="AD14" ca="1">FTEXT(AB14)</f>
        <v>#NAME?</v>
      </c>
      <c r="AF14" t="e">
        <f ca="1"/>
        <v>#NAME?</v>
      </c>
      <c r="AG14" s="94" t="e">
        <f ca="1"/>
        <v>#NAME?</v>
      </c>
    </row>
    <row r="15" spans="1:35" x14ac:dyDescent="0.35">
      <c r="A15" s="195">
        <v>35</v>
      </c>
      <c r="B15" s="195">
        <v>72</v>
      </c>
      <c r="I15" s="66" t="s">
        <v>59</v>
      </c>
      <c r="J15" s="117">
        <f>2*NORMSDIST(J12)</f>
        <v>1.9524263310825908E-3</v>
      </c>
      <c r="K15" s="66"/>
      <c r="L15" s="198" t="s">
        <v>407</v>
      </c>
      <c r="M15" s="66"/>
      <c r="N15" s="66"/>
      <c r="O15" s="9"/>
      <c r="P15" s="9"/>
      <c r="Q15" s="9"/>
      <c r="AB15" s="94" t="e" cm="1">
        <f t="array" aca="1" ref="AB15" ca="1">CorrUpper(E5,E7,E11)</f>
        <v>#NAME?</v>
      </c>
      <c r="AD15" t="e" cm="1">
        <f t="array" aca="1" ref="AD15" ca="1">FTEXT(AB15)</f>
        <v>#NAME?</v>
      </c>
    </row>
    <row r="16" spans="1:35" x14ac:dyDescent="0.35">
      <c r="A16" s="195">
        <v>29</v>
      </c>
      <c r="B16" s="195">
        <v>58</v>
      </c>
      <c r="D16" t="s">
        <v>29</v>
      </c>
      <c r="E16" s="185">
        <f>E5-E12*E9</f>
        <v>-1.1332902954545796</v>
      </c>
      <c r="G16" t="e" cm="1">
        <f t="array" aca="1" ref="G16" ca="1">FTEXT(E16)</f>
        <v>#NAME?</v>
      </c>
      <c r="I16" s="66" t="s">
        <v>270</v>
      </c>
      <c r="J16" s="120" t="str">
        <f>IF(J15&lt;J13,"yes","no")</f>
        <v>yes</v>
      </c>
      <c r="K16" s="145"/>
      <c r="L16" s="66" t="e" cm="1">
        <f t="array" aca="1" ref="L16" ca="1">FTEXT(J16)</f>
        <v>#NAME?</v>
      </c>
      <c r="M16" s="66"/>
      <c r="N16" s="66"/>
      <c r="O16" s="9"/>
      <c r="P16" s="9"/>
      <c r="Q16" s="9"/>
    </row>
    <row r="17" spans="1:35" x14ac:dyDescent="0.35">
      <c r="A17" s="195">
        <v>4</v>
      </c>
      <c r="B17" s="195">
        <v>92</v>
      </c>
      <c r="D17" t="s">
        <v>30</v>
      </c>
      <c r="E17" s="94">
        <f>E5+E12*E9</f>
        <v>-0.29357005331858199</v>
      </c>
      <c r="G17" t="e" cm="1">
        <f t="array" aca="1" ref="G17" ca="1">FTEXT(E17)</f>
        <v>#NAME?</v>
      </c>
      <c r="N17" s="66"/>
      <c r="O17" s="9"/>
      <c r="P17" s="9"/>
      <c r="Q17" s="9"/>
      <c r="AF17" t="e">
        <f t="array" aca="1" ref="AF17:AG20" ca="1">CorrelTTest(A4:A18,B4:B18,E11,TRUE)</f>
        <v>#NAME?</v>
      </c>
      <c r="AG17" s="185" t="e">
        <f ca="1"/>
        <v>#NAME?</v>
      </c>
      <c r="AI17" t="e" cm="1">
        <f t="array" aca="1" ref="AI17" ca="1">FTEXT(AF17)</f>
        <v>#NAME?</v>
      </c>
    </row>
    <row r="18" spans="1:35" x14ac:dyDescent="0.35">
      <c r="A18" s="196">
        <v>23</v>
      </c>
      <c r="B18" s="196">
        <v>65</v>
      </c>
      <c r="N18" s="66"/>
      <c r="O18" s="9"/>
      <c r="P18" s="9"/>
      <c r="Q18" s="9"/>
      <c r="AF18" t="e">
        <f ca="1"/>
        <v>#NAME?</v>
      </c>
      <c r="AG18" s="100" t="e">
        <f ca="1"/>
        <v>#NAME?</v>
      </c>
    </row>
    <row r="19" spans="1:35" x14ac:dyDescent="0.35">
      <c r="A19" s="195"/>
      <c r="B19" s="195"/>
      <c r="N19" s="66"/>
      <c r="O19" s="9"/>
      <c r="P19" s="9"/>
      <c r="Q19" s="9"/>
      <c r="AF19" t="e">
        <f ca="1"/>
        <v>#NAME?</v>
      </c>
      <c r="AG19" s="100" t="e">
        <f ca="1"/>
        <v>#NAME?</v>
      </c>
    </row>
    <row r="20" spans="1:35" x14ac:dyDescent="0.35">
      <c r="A20" s="195"/>
      <c r="B20" s="195"/>
      <c r="D20" s="9" t="s">
        <v>408</v>
      </c>
      <c r="E20" s="9"/>
      <c r="I20" s="64" t="s">
        <v>399</v>
      </c>
      <c r="J20" s="9"/>
      <c r="K20" s="9"/>
      <c r="L20" s="9"/>
      <c r="N20" s="66"/>
      <c r="O20" s="9"/>
      <c r="P20" s="9"/>
      <c r="Q20" s="9"/>
      <c r="AF20" t="e">
        <f ca="1"/>
        <v>#NAME?</v>
      </c>
      <c r="AG20" s="94" t="e">
        <f ca="1"/>
        <v>#NAME?</v>
      </c>
    </row>
    <row r="21" spans="1:35" x14ac:dyDescent="0.35">
      <c r="A21" s="195"/>
      <c r="B21" s="195"/>
      <c r="D21" s="9"/>
      <c r="E21" s="9"/>
      <c r="I21" s="9"/>
      <c r="J21" s="9"/>
      <c r="K21" s="9"/>
      <c r="L21" s="9"/>
      <c r="N21" s="66"/>
      <c r="O21" s="9"/>
      <c r="P21" s="9"/>
      <c r="Q21" s="9"/>
    </row>
    <row r="22" spans="1:35" x14ac:dyDescent="0.35">
      <c r="A22" s="195"/>
      <c r="B22" s="195"/>
      <c r="D22" s="66" t="s">
        <v>95</v>
      </c>
      <c r="E22" s="107">
        <f>CORREL(A4:A18,B4:B18)</f>
        <v>-0.71343017438658085</v>
      </c>
      <c r="G22" t="e" cm="1">
        <f t="array" aca="1" ref="G22" ca="1">FTEXT(E22)</f>
        <v>#NAME?</v>
      </c>
      <c r="I22" s="86" t="s">
        <v>95</v>
      </c>
      <c r="J22" s="197">
        <f>E22</f>
        <v>-0.71343017438658085</v>
      </c>
      <c r="K22" s="66"/>
      <c r="L22" s="66" t="e" cm="1">
        <f t="array" aca="1" ref="L22" ca="1">FTEXT(J22)</f>
        <v>#NAME?</v>
      </c>
    </row>
    <row r="23" spans="1:35" x14ac:dyDescent="0.35">
      <c r="A23" s="195"/>
      <c r="B23" s="195"/>
      <c r="D23" s="91" t="s">
        <v>179</v>
      </c>
      <c r="E23" s="117">
        <v>0</v>
      </c>
      <c r="I23" s="121" t="s">
        <v>179</v>
      </c>
      <c r="J23" s="117">
        <f>E23</f>
        <v>0</v>
      </c>
      <c r="K23" s="66"/>
      <c r="L23" s="66" t="e" cm="1">
        <f t="array" aca="1" ref="L23" ca="1">FTEXT(J23)</f>
        <v>#NAME?</v>
      </c>
      <c r="AF23" t="e">
        <f t="array" aca="1" ref="AF23:AG26" ca="1">CorrelTest(A4:A18,B4:B18,J6,J13,TRUE)</f>
        <v>#NAME?</v>
      </c>
      <c r="AG23" s="185" t="e">
        <f ca="1"/>
        <v>#NAME?</v>
      </c>
      <c r="AI23" t="e" cm="1">
        <f t="array" aca="1" ref="AI23" ca="1">FTEXT(AF23)</f>
        <v>#NAME?</v>
      </c>
    </row>
    <row r="24" spans="1:35" x14ac:dyDescent="0.35">
      <c r="A24" s="195"/>
      <c r="B24" s="195"/>
      <c r="D24" s="66" t="s">
        <v>31</v>
      </c>
      <c r="E24" s="100">
        <f>COUNT(A4:A18)</f>
        <v>15</v>
      </c>
      <c r="G24" t="e" cm="1">
        <f t="array" aca="1" ref="G24" ca="1">FTEXT(E24)</f>
        <v>#NAME?</v>
      </c>
      <c r="I24" s="122" t="s">
        <v>181</v>
      </c>
      <c r="J24" s="117">
        <f>FISHER(J22)</f>
        <v>-0.89413518216034948</v>
      </c>
      <c r="K24" s="66"/>
      <c r="L24" s="66" t="e" cm="1">
        <f t="array" aca="1" ref="L24" ca="1">FTEXT(J24)</f>
        <v>#NAME?</v>
      </c>
      <c r="AF24" t="e">
        <f ca="1"/>
        <v>#NAME?</v>
      </c>
      <c r="AG24" s="100" t="e">
        <f ca="1"/>
        <v>#NAME?</v>
      </c>
    </row>
    <row r="25" spans="1:35" x14ac:dyDescent="0.35">
      <c r="A25" s="195"/>
      <c r="B25" s="195"/>
      <c r="D25" s="66" t="s">
        <v>53</v>
      </c>
      <c r="E25" s="100">
        <f>E24-2</f>
        <v>13</v>
      </c>
      <c r="G25" t="e" cm="1">
        <f t="array" aca="1" ref="G25" ca="1">FTEXT(E25)</f>
        <v>#NAME?</v>
      </c>
      <c r="I25" s="121" t="s">
        <v>182</v>
      </c>
      <c r="J25" s="118">
        <f>FISHER(J23)</f>
        <v>0</v>
      </c>
      <c r="K25" s="66"/>
      <c r="L25" s="66" t="e" cm="1">
        <f t="array" aca="1" ref="L25" ca="1">FTEXT(J25)</f>
        <v>#NAME?</v>
      </c>
      <c r="AF25" t="e">
        <f ca="1"/>
        <v>#NAME?</v>
      </c>
      <c r="AG25" s="100" t="e">
        <f ca="1"/>
        <v>#NAME?</v>
      </c>
    </row>
    <row r="26" spans="1:35" ht="16.5" x14ac:dyDescent="0.45">
      <c r="A26" s="195"/>
      <c r="B26" s="195"/>
      <c r="D26" s="66" t="s">
        <v>104</v>
      </c>
      <c r="E26" s="100">
        <f>SQRT((1-E22^2)/E25)</f>
        <v>0.1943465157263681</v>
      </c>
      <c r="G26" t="e" cm="1">
        <f t="array" aca="1" ref="G26" ca="1">FTEXT(E26)</f>
        <v>#NAME?</v>
      </c>
      <c r="I26" s="9"/>
      <c r="J26" s="9"/>
      <c r="K26" s="9"/>
      <c r="L26" s="66" t="e" cm="1">
        <f t="array" aca="1" ref="L26" ca="1">FTEXT(J26)</f>
        <v>#NAME?</v>
      </c>
      <c r="AF26" t="e">
        <f ca="1"/>
        <v>#NAME?</v>
      </c>
      <c r="AG26" s="94" t="e">
        <f ca="1"/>
        <v>#NAME?</v>
      </c>
    </row>
    <row r="27" spans="1:35" x14ac:dyDescent="0.35">
      <c r="A27" s="195"/>
      <c r="B27" s="195"/>
      <c r="D27" s="66" t="s">
        <v>56</v>
      </c>
      <c r="E27" s="100">
        <f>E22/E26</f>
        <v>-3.6709182653475567</v>
      </c>
      <c r="G27" t="e" cm="1">
        <f t="array" aca="1" ref="G27" ca="1">FTEXT(E27)</f>
        <v>#NAME?</v>
      </c>
      <c r="I27" s="67" t="s">
        <v>31</v>
      </c>
      <c r="J27" s="107">
        <f>E24</f>
        <v>15</v>
      </c>
      <c r="K27" s="4"/>
      <c r="L27" s="66" t="e" cm="1">
        <f t="array" aca="1" ref="L27" ca="1">FTEXT(J27)</f>
        <v>#NAME?</v>
      </c>
    </row>
    <row r="28" spans="1:35" ht="16.5" x14ac:dyDescent="0.45">
      <c r="A28" s="195"/>
      <c r="B28" s="195"/>
      <c r="D28" s="66" t="s">
        <v>44</v>
      </c>
      <c r="E28" s="100">
        <v>0.05</v>
      </c>
      <c r="I28" s="67" t="s">
        <v>183</v>
      </c>
      <c r="J28" s="100">
        <f>1/SQRT(J27-3)</f>
        <v>0.28867513459481292</v>
      </c>
      <c r="K28" s="4"/>
      <c r="L28" s="66" t="e" cm="1">
        <f t="array" aca="1" ref="L28" ca="1">FTEXT(J28)</f>
        <v>#NAME?</v>
      </c>
    </row>
    <row r="29" spans="1:35" x14ac:dyDescent="0.35">
      <c r="A29" s="195"/>
      <c r="B29" s="195"/>
      <c r="D29" s="66" t="s">
        <v>60</v>
      </c>
      <c r="E29" s="100">
        <f>TINV(2*E28,E25)</f>
        <v>1.7709333959868729</v>
      </c>
      <c r="G29" s="7" t="s">
        <v>409</v>
      </c>
      <c r="I29" s="66" t="s">
        <v>36</v>
      </c>
      <c r="J29" s="117">
        <f>(J24-J25)/J28</f>
        <v>-3.0973751286731566</v>
      </c>
      <c r="K29" s="66"/>
      <c r="L29" s="66" t="e" cm="1">
        <f t="array" aca="1" ref="L29" ca="1">FTEXT(J29)</f>
        <v>#NAME?</v>
      </c>
    </row>
    <row r="30" spans="1:35" x14ac:dyDescent="0.35">
      <c r="A30" s="195"/>
      <c r="B30" s="195"/>
      <c r="D30" s="66" t="s">
        <v>59</v>
      </c>
      <c r="E30" s="117">
        <f>TDIST(ABS(E27),E25,1)</f>
        <v>1.4111714950356155E-3</v>
      </c>
      <c r="G30" s="7" t="s">
        <v>410</v>
      </c>
      <c r="I30" s="66" t="s">
        <v>44</v>
      </c>
      <c r="J30" s="117">
        <v>0.05</v>
      </c>
      <c r="K30" s="66"/>
      <c r="L30" s="66"/>
    </row>
    <row r="31" spans="1:35" x14ac:dyDescent="0.35">
      <c r="A31" s="195"/>
      <c r="B31" s="195"/>
      <c r="D31" s="66" t="s">
        <v>270</v>
      </c>
      <c r="E31" s="120" t="str">
        <f>IF(E30&lt;E28,"yes","no")</f>
        <v>yes</v>
      </c>
      <c r="G31" t="e" cm="1">
        <f t="array" aca="1" ref="G31" ca="1">FTEXT(E31)</f>
        <v>#NAME?</v>
      </c>
      <c r="I31" s="66" t="s">
        <v>185</v>
      </c>
      <c r="J31" s="117">
        <f>NORMSINV(J30)</f>
        <v>-1.6448536269514726</v>
      </c>
      <c r="K31" s="66"/>
      <c r="L31" s="198" t="s">
        <v>413</v>
      </c>
    </row>
    <row r="32" spans="1:35" x14ac:dyDescent="0.35">
      <c r="A32" s="195"/>
      <c r="B32" s="195"/>
      <c r="I32" s="66" t="s">
        <v>59</v>
      </c>
      <c r="J32" s="117">
        <f>NORMSDIST(J29)</f>
        <v>9.7621316554129538E-4</v>
      </c>
      <c r="K32" s="66"/>
      <c r="L32" s="198" t="s">
        <v>411</v>
      </c>
    </row>
    <row r="33" spans="7:12" x14ac:dyDescent="0.35">
      <c r="I33" s="66" t="s">
        <v>270</v>
      </c>
      <c r="J33" s="120" t="str">
        <f>IF(J32&lt;J30,"yes","no")</f>
        <v>yes</v>
      </c>
      <c r="K33" s="145"/>
      <c r="L33" s="66" t="e" cm="1">
        <f t="array" aca="1" ref="L33" ca="1">FTEXT(J33)</f>
        <v>#NAME?</v>
      </c>
    </row>
    <row r="36" spans="7:12" x14ac:dyDescent="0.35">
      <c r="G36" t="s">
        <v>65</v>
      </c>
    </row>
    <row r="38" spans="7:12" x14ac:dyDescent="0.35">
      <c r="G38" t="s">
        <v>20</v>
      </c>
      <c r="H38">
        <f>COUNT(A4:A18)</f>
        <v>15</v>
      </c>
      <c r="I38">
        <f>2*H38</f>
        <v>30</v>
      </c>
    </row>
    <row r="39" spans="7:12" x14ac:dyDescent="0.35">
      <c r="G39" t="s">
        <v>8</v>
      </c>
      <c r="H39">
        <f>AVERAGE(A4:A18)</f>
        <v>19.399999999999999</v>
      </c>
    </row>
    <row r="40" spans="7:12" x14ac:dyDescent="0.35">
      <c r="G40" t="s">
        <v>52</v>
      </c>
      <c r="H40">
        <f>STDEV(A4:A18)</f>
        <v>12.45448857698644</v>
      </c>
    </row>
    <row r="42" spans="7:12" x14ac:dyDescent="0.35">
      <c r="G42" t="s">
        <v>66</v>
      </c>
      <c r="H42" t="s">
        <v>67</v>
      </c>
      <c r="I42" t="s">
        <v>247</v>
      </c>
      <c r="J42" t="s">
        <v>68</v>
      </c>
    </row>
    <row r="43" spans="7:12" x14ac:dyDescent="0.35">
      <c r="G43">
        <v>1</v>
      </c>
      <c r="H43">
        <v>4</v>
      </c>
      <c r="I43">
        <f t="shared" ref="I43:I57" si="0">NORMSINV(G43/I$38)</f>
        <v>-1.8339146358159142</v>
      </c>
      <c r="J43">
        <f t="shared" ref="J43:J57" si="1">STANDARDIZE(H43,H$39,H$40)</f>
        <v>-1.2365019972362663</v>
      </c>
    </row>
    <row r="44" spans="7:12" x14ac:dyDescent="0.35">
      <c r="G44">
        <f>G43+2</f>
        <v>3</v>
      </c>
      <c r="H44">
        <v>4</v>
      </c>
      <c r="I44">
        <f t="shared" si="0"/>
        <v>-1.2815515655446006</v>
      </c>
      <c r="J44">
        <f t="shared" si="1"/>
        <v>-1.2365019972362663</v>
      </c>
    </row>
    <row r="45" spans="7:12" x14ac:dyDescent="0.35">
      <c r="G45">
        <f t="shared" ref="G45:G57" si="2">G44+2</f>
        <v>5</v>
      </c>
      <c r="H45">
        <v>5</v>
      </c>
      <c r="I45">
        <f t="shared" si="0"/>
        <v>-0.96742156610170071</v>
      </c>
      <c r="J45">
        <f t="shared" si="1"/>
        <v>-1.156209659753392</v>
      </c>
    </row>
    <row r="46" spans="7:12" x14ac:dyDescent="0.35">
      <c r="G46">
        <f t="shared" si="2"/>
        <v>7</v>
      </c>
      <c r="H46">
        <v>8</v>
      </c>
      <c r="I46">
        <f t="shared" si="0"/>
        <v>-0.72791329088164469</v>
      </c>
      <c r="J46">
        <f t="shared" si="1"/>
        <v>-0.9153326473047686</v>
      </c>
    </row>
    <row r="47" spans="7:12" x14ac:dyDescent="0.35">
      <c r="G47">
        <f t="shared" si="2"/>
        <v>9</v>
      </c>
      <c r="H47">
        <v>11</v>
      </c>
      <c r="I47">
        <f t="shared" si="0"/>
        <v>-0.52440051270804089</v>
      </c>
      <c r="J47">
        <f t="shared" si="1"/>
        <v>-0.67445563485614524</v>
      </c>
    </row>
    <row r="48" spans="7:12" x14ac:dyDescent="0.35">
      <c r="G48">
        <f t="shared" si="2"/>
        <v>11</v>
      </c>
      <c r="H48">
        <v>14</v>
      </c>
      <c r="I48">
        <f t="shared" si="0"/>
        <v>-0.34069482708779553</v>
      </c>
      <c r="J48">
        <f t="shared" si="1"/>
        <v>-0.43357862240752187</v>
      </c>
    </row>
    <row r="49" spans="7:10" x14ac:dyDescent="0.35">
      <c r="G49">
        <f t="shared" si="2"/>
        <v>13</v>
      </c>
      <c r="H49">
        <v>17</v>
      </c>
      <c r="I49">
        <f t="shared" si="0"/>
        <v>-0.16789400478810546</v>
      </c>
      <c r="J49">
        <f t="shared" si="1"/>
        <v>-0.19270160995889857</v>
      </c>
    </row>
    <row r="50" spans="7:10" x14ac:dyDescent="0.35">
      <c r="G50">
        <f t="shared" si="2"/>
        <v>15</v>
      </c>
      <c r="H50">
        <v>19</v>
      </c>
      <c r="I50">
        <f t="shared" si="0"/>
        <v>0</v>
      </c>
      <c r="J50">
        <f t="shared" si="1"/>
        <v>-3.2116934993149666E-2</v>
      </c>
    </row>
    <row r="51" spans="7:10" x14ac:dyDescent="0.35">
      <c r="G51">
        <f t="shared" si="2"/>
        <v>17</v>
      </c>
      <c r="H51">
        <v>23</v>
      </c>
      <c r="I51">
        <f t="shared" si="0"/>
        <v>0.16789400478810546</v>
      </c>
      <c r="J51">
        <f t="shared" si="1"/>
        <v>0.2890524149383481</v>
      </c>
    </row>
    <row r="52" spans="7:10" x14ac:dyDescent="0.35">
      <c r="G52">
        <f t="shared" si="2"/>
        <v>19</v>
      </c>
      <c r="H52">
        <v>23</v>
      </c>
      <c r="I52">
        <f t="shared" si="0"/>
        <v>0.34069482708779542</v>
      </c>
      <c r="J52">
        <f t="shared" si="1"/>
        <v>0.2890524149383481</v>
      </c>
    </row>
    <row r="53" spans="7:10" x14ac:dyDescent="0.35">
      <c r="G53">
        <f t="shared" si="2"/>
        <v>21</v>
      </c>
      <c r="H53">
        <v>25</v>
      </c>
      <c r="I53">
        <f t="shared" si="0"/>
        <v>0.52440051270804078</v>
      </c>
      <c r="J53">
        <f t="shared" si="1"/>
        <v>0.44963708990409701</v>
      </c>
    </row>
    <row r="54" spans="7:10" x14ac:dyDescent="0.35">
      <c r="G54">
        <f t="shared" si="2"/>
        <v>23</v>
      </c>
      <c r="H54">
        <v>26</v>
      </c>
      <c r="I54">
        <f t="shared" si="0"/>
        <v>0.72791329088164458</v>
      </c>
      <c r="J54">
        <f t="shared" si="1"/>
        <v>0.52992942738697146</v>
      </c>
    </row>
    <row r="55" spans="7:10" x14ac:dyDescent="0.35">
      <c r="G55">
        <f t="shared" si="2"/>
        <v>25</v>
      </c>
      <c r="H55">
        <v>29</v>
      </c>
      <c r="I55">
        <f t="shared" si="0"/>
        <v>0.96742156610170071</v>
      </c>
      <c r="J55">
        <f t="shared" si="1"/>
        <v>0.77080643983559483</v>
      </c>
    </row>
    <row r="56" spans="7:10" x14ac:dyDescent="0.35">
      <c r="G56">
        <f t="shared" si="2"/>
        <v>27</v>
      </c>
      <c r="H56">
        <v>35</v>
      </c>
      <c r="I56">
        <f t="shared" si="0"/>
        <v>1.2815515655446006</v>
      </c>
      <c r="J56">
        <f t="shared" si="1"/>
        <v>1.2525604647328414</v>
      </c>
    </row>
    <row r="57" spans="7:10" x14ac:dyDescent="0.35">
      <c r="G57">
        <f t="shared" si="2"/>
        <v>29</v>
      </c>
      <c r="H57">
        <v>48</v>
      </c>
      <c r="I57">
        <f t="shared" si="0"/>
        <v>1.8339146358159142</v>
      </c>
      <c r="J57">
        <f t="shared" si="1"/>
        <v>2.2963608520102095</v>
      </c>
    </row>
    <row r="60" spans="7:10" x14ac:dyDescent="0.35">
      <c r="G60" t="s">
        <v>65</v>
      </c>
    </row>
    <row r="62" spans="7:10" x14ac:dyDescent="0.35">
      <c r="G62" t="s">
        <v>20</v>
      </c>
      <c r="H62">
        <f>COUNT(B4:B18)</f>
        <v>15</v>
      </c>
      <c r="I62">
        <f>2*H62</f>
        <v>30</v>
      </c>
    </row>
    <row r="63" spans="7:10" x14ac:dyDescent="0.35">
      <c r="G63" t="s">
        <v>8</v>
      </c>
      <c r="H63">
        <f>AVERAGE(B4:B18)</f>
        <v>73.533333333333331</v>
      </c>
    </row>
    <row r="64" spans="7:10" x14ac:dyDescent="0.35">
      <c r="G64" t="s">
        <v>52</v>
      </c>
      <c r="H64">
        <f>STDEV(B4:B18)</f>
        <v>10.966616007988378</v>
      </c>
    </row>
    <row r="66" spans="7:10" x14ac:dyDescent="0.35">
      <c r="G66" t="s">
        <v>66</v>
      </c>
      <c r="H66" t="s">
        <v>67</v>
      </c>
      <c r="I66" t="s">
        <v>247</v>
      </c>
      <c r="J66" t="s">
        <v>68</v>
      </c>
    </row>
    <row r="67" spans="7:10" x14ac:dyDescent="0.35">
      <c r="G67">
        <v>1</v>
      </c>
      <c r="H67">
        <v>53</v>
      </c>
      <c r="I67">
        <f t="shared" ref="I67:I81" si="3">NORMSINV(G67/I$62)</f>
        <v>-1.8339146358159142</v>
      </c>
      <c r="J67">
        <f t="shared" ref="J67:J81" si="4">STANDARDIZE(H67,H$63,H$64)</f>
        <v>-1.8723490745345965</v>
      </c>
    </row>
    <row r="68" spans="7:10" x14ac:dyDescent="0.35">
      <c r="G68">
        <f>G67+2</f>
        <v>3</v>
      </c>
      <c r="H68">
        <v>58</v>
      </c>
      <c r="I68">
        <f t="shared" si="3"/>
        <v>-1.2815515655446006</v>
      </c>
      <c r="J68">
        <f t="shared" si="4"/>
        <v>-1.4164199167745486</v>
      </c>
    </row>
    <row r="69" spans="7:10" x14ac:dyDescent="0.35">
      <c r="G69">
        <f t="shared" ref="G69:G81" si="5">G68+2</f>
        <v>5</v>
      </c>
      <c r="H69">
        <v>60</v>
      </c>
      <c r="I69">
        <f t="shared" si="3"/>
        <v>-0.96742156610170071</v>
      </c>
      <c r="J69">
        <f t="shared" si="4"/>
        <v>-1.2340482536705295</v>
      </c>
    </row>
    <row r="70" spans="7:10" x14ac:dyDescent="0.35">
      <c r="G70">
        <f t="shared" si="5"/>
        <v>7</v>
      </c>
      <c r="H70">
        <v>65</v>
      </c>
      <c r="I70">
        <f t="shared" si="3"/>
        <v>-0.72791329088164469</v>
      </c>
      <c r="J70">
        <f t="shared" si="4"/>
        <v>-0.77811909591048156</v>
      </c>
    </row>
    <row r="71" spans="7:10" x14ac:dyDescent="0.35">
      <c r="G71">
        <f t="shared" si="5"/>
        <v>9</v>
      </c>
      <c r="H71">
        <v>68</v>
      </c>
      <c r="I71">
        <f t="shared" si="3"/>
        <v>-0.52440051270804089</v>
      </c>
      <c r="J71">
        <f t="shared" si="4"/>
        <v>-0.50456160125445282</v>
      </c>
    </row>
    <row r="72" spans="7:10" x14ac:dyDescent="0.35">
      <c r="G72">
        <f t="shared" si="5"/>
        <v>11</v>
      </c>
      <c r="H72">
        <v>72</v>
      </c>
      <c r="I72">
        <f t="shared" si="3"/>
        <v>-0.34069482708779553</v>
      </c>
      <c r="J72">
        <f t="shared" si="4"/>
        <v>-0.13981827504641453</v>
      </c>
    </row>
    <row r="73" spans="7:10" x14ac:dyDescent="0.35">
      <c r="G73">
        <f t="shared" si="5"/>
        <v>13</v>
      </c>
      <c r="H73">
        <v>73</v>
      </c>
      <c r="I73">
        <f t="shared" si="3"/>
        <v>-0.16789400478810546</v>
      </c>
      <c r="J73">
        <f t="shared" si="4"/>
        <v>-4.8632443494404938E-2</v>
      </c>
    </row>
    <row r="74" spans="7:10" x14ac:dyDescent="0.35">
      <c r="G74">
        <f t="shared" si="5"/>
        <v>15</v>
      </c>
      <c r="H74">
        <v>75</v>
      </c>
      <c r="I74">
        <f t="shared" si="3"/>
        <v>0</v>
      </c>
      <c r="J74">
        <f t="shared" si="4"/>
        <v>0.13373921960961421</v>
      </c>
    </row>
    <row r="75" spans="7:10" x14ac:dyDescent="0.35">
      <c r="G75">
        <f t="shared" si="5"/>
        <v>17</v>
      </c>
      <c r="H75">
        <v>78</v>
      </c>
      <c r="I75">
        <f t="shared" si="3"/>
        <v>0.16789400478810546</v>
      </c>
      <c r="J75">
        <f t="shared" si="4"/>
        <v>0.40729671426564296</v>
      </c>
    </row>
    <row r="76" spans="7:10" x14ac:dyDescent="0.35">
      <c r="G76">
        <f t="shared" si="5"/>
        <v>19</v>
      </c>
      <c r="H76">
        <v>79</v>
      </c>
      <c r="I76">
        <f t="shared" si="3"/>
        <v>0.34069482708779542</v>
      </c>
      <c r="J76">
        <f t="shared" si="4"/>
        <v>0.49848254581765256</v>
      </c>
    </row>
    <row r="77" spans="7:10" x14ac:dyDescent="0.35">
      <c r="G77">
        <f t="shared" si="5"/>
        <v>21</v>
      </c>
      <c r="H77">
        <v>80</v>
      </c>
      <c r="I77">
        <f t="shared" si="3"/>
        <v>0.52440051270804078</v>
      </c>
      <c r="J77">
        <f t="shared" si="4"/>
        <v>0.58966837736966216</v>
      </c>
    </row>
    <row r="78" spans="7:10" x14ac:dyDescent="0.35">
      <c r="G78">
        <f t="shared" si="5"/>
        <v>23</v>
      </c>
      <c r="H78">
        <v>81</v>
      </c>
      <c r="I78">
        <f t="shared" si="3"/>
        <v>0.72791329088164458</v>
      </c>
      <c r="J78">
        <f t="shared" si="4"/>
        <v>0.6808542089216717</v>
      </c>
    </row>
    <row r="79" spans="7:10" x14ac:dyDescent="0.35">
      <c r="G79">
        <f t="shared" si="5"/>
        <v>25</v>
      </c>
      <c r="H79">
        <v>84</v>
      </c>
      <c r="I79">
        <f t="shared" si="3"/>
        <v>0.96742156610170071</v>
      </c>
      <c r="J79">
        <f t="shared" si="4"/>
        <v>0.95441170357770044</v>
      </c>
    </row>
    <row r="80" spans="7:10" x14ac:dyDescent="0.35">
      <c r="G80">
        <f t="shared" si="5"/>
        <v>27</v>
      </c>
      <c r="H80">
        <v>85</v>
      </c>
      <c r="I80">
        <f t="shared" si="3"/>
        <v>1.2815515655446006</v>
      </c>
      <c r="J80">
        <f t="shared" si="4"/>
        <v>1.04559753512971</v>
      </c>
    </row>
    <row r="81" spans="7:10" x14ac:dyDescent="0.35">
      <c r="G81">
        <f t="shared" si="5"/>
        <v>29</v>
      </c>
      <c r="H81">
        <v>92</v>
      </c>
      <c r="I81">
        <f t="shared" si="3"/>
        <v>1.8339146358159142</v>
      </c>
      <c r="J81">
        <f t="shared" si="4"/>
        <v>1.683898355993777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60"/>
  <dimension ref="A1:N20"/>
  <sheetViews>
    <sheetView workbookViewId="0"/>
  </sheetViews>
  <sheetFormatPr defaultRowHeight="14.5" x14ac:dyDescent="0.35"/>
  <cols>
    <col min="3" max="3" width="9.1796875" customWidth="1"/>
    <col min="4" max="4" width="10.54296875" customWidth="1"/>
    <col min="6" max="6" width="7" customWidth="1"/>
    <col min="10" max="10" width="10.54296875" customWidth="1"/>
    <col min="12" max="12" width="6.81640625" customWidth="1"/>
  </cols>
  <sheetData>
    <row r="1" spans="1:14" x14ac:dyDescent="0.35">
      <c r="A1" s="1" t="s">
        <v>441</v>
      </c>
      <c r="B1" s="1"/>
    </row>
    <row r="3" spans="1:14" x14ac:dyDescent="0.35">
      <c r="A3" s="72" t="s">
        <v>391</v>
      </c>
      <c r="B3" s="72" t="s">
        <v>239</v>
      </c>
      <c r="D3" t="s">
        <v>439</v>
      </c>
      <c r="J3" t="s">
        <v>439</v>
      </c>
    </row>
    <row r="4" spans="1:14" x14ac:dyDescent="0.35">
      <c r="A4" s="201">
        <v>5</v>
      </c>
      <c r="B4" s="73">
        <v>80</v>
      </c>
    </row>
    <row r="5" spans="1:14" x14ac:dyDescent="0.35">
      <c r="A5" s="201">
        <v>23</v>
      </c>
      <c r="B5" s="201">
        <v>78</v>
      </c>
      <c r="D5" t="s">
        <v>203</v>
      </c>
      <c r="E5" s="199">
        <f>CORREL(A4:A18,B4:B18)</f>
        <v>-0.71343017438658085</v>
      </c>
      <c r="J5" t="s">
        <v>203</v>
      </c>
      <c r="K5" s="199">
        <f>CORREL(A4:A18,B4:B18)</f>
        <v>-0.71343017438658085</v>
      </c>
    </row>
    <row r="6" spans="1:14" x14ac:dyDescent="0.35">
      <c r="A6" s="201">
        <v>25</v>
      </c>
      <c r="B6" s="201">
        <v>60</v>
      </c>
      <c r="D6" t="s">
        <v>204</v>
      </c>
      <c r="E6" s="147" t="e" cm="1">
        <f t="array" aca="1" ref="E6" ca="1">SCORREL(A4:A18,B4:B18)</f>
        <v>#NAME?</v>
      </c>
      <c r="J6" t="s">
        <v>204</v>
      </c>
      <c r="K6" s="147" t="e" cm="1">
        <f t="array" aca="1" ref="K6" ca="1">SCORREL(A4:A18,B4:B18)</f>
        <v>#NAME?</v>
      </c>
    </row>
    <row r="7" spans="1:14" x14ac:dyDescent="0.35">
      <c r="A7" s="201">
        <v>48</v>
      </c>
      <c r="B7" s="201">
        <v>53</v>
      </c>
      <c r="D7" t="s">
        <v>440</v>
      </c>
      <c r="E7" s="155" t="e" cm="1">
        <f t="array" aca="1" ref="E7" ca="1">KCORREL(A4:A18,B4:B18)</f>
        <v>#NAME?</v>
      </c>
      <c r="J7" t="s">
        <v>440</v>
      </c>
      <c r="K7" s="155" t="e" cm="1">
        <f t="array" aca="1" ref="K7" ca="1">KCORREL(A4:A18,B4:B18)</f>
        <v>#NAME?</v>
      </c>
    </row>
    <row r="8" spans="1:14" x14ac:dyDescent="0.35">
      <c r="A8" s="74">
        <v>17</v>
      </c>
      <c r="B8" s="201">
        <v>85</v>
      </c>
    </row>
    <row r="9" spans="1:14" x14ac:dyDescent="0.35">
      <c r="A9" s="74">
        <v>8</v>
      </c>
      <c r="B9" s="201">
        <v>84</v>
      </c>
      <c r="D9" t="s">
        <v>443</v>
      </c>
      <c r="G9" t="s">
        <v>444</v>
      </c>
      <c r="J9" t="s">
        <v>443</v>
      </c>
      <c r="M9" t="s">
        <v>444</v>
      </c>
    </row>
    <row r="10" spans="1:14" x14ac:dyDescent="0.35">
      <c r="A10" s="201">
        <v>4</v>
      </c>
      <c r="B10" s="201">
        <v>73</v>
      </c>
    </row>
    <row r="11" spans="1:14" x14ac:dyDescent="0.35">
      <c r="A11" s="201">
        <v>26</v>
      </c>
      <c r="B11" s="201">
        <v>79</v>
      </c>
      <c r="D11" t="s">
        <v>35</v>
      </c>
      <c r="E11" s="199">
        <v>0.05</v>
      </c>
      <c r="G11" t="s">
        <v>445</v>
      </c>
      <c r="H11" s="199">
        <v>0</v>
      </c>
      <c r="J11" t="s">
        <v>35</v>
      </c>
      <c r="K11" s="199">
        <v>0.05</v>
      </c>
      <c r="M11" t="s">
        <v>445</v>
      </c>
      <c r="N11" s="199">
        <v>0</v>
      </c>
    </row>
    <row r="12" spans="1:14" x14ac:dyDescent="0.35">
      <c r="A12" s="201">
        <v>11</v>
      </c>
      <c r="B12" s="201">
        <v>81</v>
      </c>
      <c r="D12" t="s">
        <v>442</v>
      </c>
      <c r="E12" s="155">
        <v>1</v>
      </c>
      <c r="G12" t="s">
        <v>35</v>
      </c>
      <c r="H12" s="147">
        <v>0.05</v>
      </c>
      <c r="J12" t="s">
        <v>442</v>
      </c>
      <c r="K12" s="155">
        <v>2</v>
      </c>
      <c r="M12" t="s">
        <v>35</v>
      </c>
      <c r="N12" s="147">
        <v>0.05</v>
      </c>
    </row>
    <row r="13" spans="1:14" x14ac:dyDescent="0.35">
      <c r="A13" s="201">
        <v>19</v>
      </c>
      <c r="B13" s="201">
        <v>75</v>
      </c>
      <c r="G13" t="s">
        <v>442</v>
      </c>
      <c r="H13" s="155">
        <v>1</v>
      </c>
      <c r="M13" t="s">
        <v>442</v>
      </c>
      <c r="N13" s="155">
        <v>2</v>
      </c>
    </row>
    <row r="14" spans="1:14" x14ac:dyDescent="0.35">
      <c r="A14" s="201">
        <v>14</v>
      </c>
      <c r="B14" s="201">
        <v>68</v>
      </c>
      <c r="D14" t="s">
        <v>381</v>
      </c>
      <c r="E14" s="199">
        <f>E5</f>
        <v>-0.71343017438658085</v>
      </c>
      <c r="J14" t="s">
        <v>381</v>
      </c>
      <c r="K14" s="199">
        <f>K5</f>
        <v>-0.71343017438658085</v>
      </c>
    </row>
    <row r="15" spans="1:14" x14ac:dyDescent="0.35">
      <c r="A15" s="201">
        <v>35</v>
      </c>
      <c r="B15" s="201">
        <v>72</v>
      </c>
      <c r="D15" t="s">
        <v>284</v>
      </c>
      <c r="E15" s="147" t="e">
        <f ca="1">E14/E16</f>
        <v>#NAME?</v>
      </c>
      <c r="G15" t="s">
        <v>381</v>
      </c>
      <c r="H15" s="199">
        <f>E5</f>
        <v>-0.71343017438658085</v>
      </c>
      <c r="J15" t="s">
        <v>284</v>
      </c>
      <c r="K15" s="147" t="e">
        <f ca="1">K14/K16</f>
        <v>#NAME?</v>
      </c>
      <c r="M15" t="s">
        <v>381</v>
      </c>
      <c r="N15" s="199">
        <f>K5</f>
        <v>-0.71343017438658085</v>
      </c>
    </row>
    <row r="16" spans="1:14" x14ac:dyDescent="0.35">
      <c r="A16" s="201">
        <v>29</v>
      </c>
      <c r="B16" s="201">
        <v>58</v>
      </c>
      <c r="D16" t="e">
        <f t="array" aca="1" ref="D16:E19" ca="1">CorrelTTest(A4:A18,B4:B18,E11,TRUE,E12)</f>
        <v>#NAME?</v>
      </c>
      <c r="E16" s="147" t="e">
        <f ca="1"/>
        <v>#NAME?</v>
      </c>
      <c r="G16" t="s">
        <v>284</v>
      </c>
      <c r="H16" s="147" t="e" cm="1">
        <f t="array" aca="1" ref="H16" ca="1">1/SQRT(CountPairs(A4:A18,B4:B18,FALSE)-1)</f>
        <v>#NAME?</v>
      </c>
      <c r="J16" t="e">
        <f t="array" aca="1" ref="J16:K19" ca="1">CorrelTTest(A4:A18,B4:B18,K11,TRUE,K12)</f>
        <v>#NAME?</v>
      </c>
      <c r="K16" s="147" t="e">
        <f ca="1"/>
        <v>#NAME?</v>
      </c>
      <c r="M16" t="s">
        <v>284</v>
      </c>
      <c r="N16" s="147" t="e" cm="1">
        <f t="array" aca="1" ref="N16" ca="1">1/SQRT(CountPairs(A4:A18,B4:B18,FALSE)-1)</f>
        <v>#NAME?</v>
      </c>
    </row>
    <row r="17" spans="1:14" x14ac:dyDescent="0.35">
      <c r="A17" s="201">
        <v>4</v>
      </c>
      <c r="B17" s="201">
        <v>92</v>
      </c>
      <c r="D17" t="e">
        <f ca="1"/>
        <v>#NAME?</v>
      </c>
      <c r="E17" s="147" t="e">
        <f ca="1"/>
        <v>#NAME?</v>
      </c>
      <c r="G17" t="e">
        <f t="array" aca="1" ref="G17:H20" ca="1">CorrelTest(A4:A18,B4:B18,H11,H12,TRUE,E12)</f>
        <v>#NAME?</v>
      </c>
      <c r="H17" s="147" t="e">
        <f ca="1"/>
        <v>#NAME?</v>
      </c>
      <c r="J17" t="e">
        <f ca="1"/>
        <v>#NAME?</v>
      </c>
      <c r="K17" s="147" t="e">
        <f ca="1"/>
        <v>#NAME?</v>
      </c>
      <c r="M17" t="e">
        <f t="array" aca="1" ref="M17:N20" ca="1">CorrelTest(A4:A18,B4:B18,N11,N12,TRUE,K12)</f>
        <v>#NAME?</v>
      </c>
      <c r="N17" s="147" t="e">
        <f ca="1"/>
        <v>#NAME?</v>
      </c>
    </row>
    <row r="18" spans="1:14" x14ac:dyDescent="0.35">
      <c r="A18" s="202">
        <v>23</v>
      </c>
      <c r="B18" s="202">
        <v>65</v>
      </c>
      <c r="D18" t="e">
        <f ca="1"/>
        <v>#NAME?</v>
      </c>
      <c r="E18" s="147" t="e">
        <f ca="1"/>
        <v>#NAME?</v>
      </c>
      <c r="G18" t="e">
        <f ca="1"/>
        <v>#NAME?</v>
      </c>
      <c r="H18" s="147" t="e">
        <f ca="1"/>
        <v>#NAME?</v>
      </c>
      <c r="J18" t="e">
        <f ca="1"/>
        <v>#NAME?</v>
      </c>
      <c r="K18" s="147" t="e">
        <f ca="1"/>
        <v>#NAME?</v>
      </c>
      <c r="M18" t="e">
        <f ca="1"/>
        <v>#NAME?</v>
      </c>
      <c r="N18" s="147" t="e">
        <f ca="1"/>
        <v>#NAME?</v>
      </c>
    </row>
    <row r="19" spans="1:14" x14ac:dyDescent="0.35">
      <c r="D19" t="e">
        <f ca="1"/>
        <v>#NAME?</v>
      </c>
      <c r="E19" s="155" t="e">
        <f ca="1"/>
        <v>#NAME?</v>
      </c>
      <c r="G19" t="e">
        <f ca="1"/>
        <v>#NAME?</v>
      </c>
      <c r="H19" s="147" t="e">
        <f ca="1"/>
        <v>#NAME?</v>
      </c>
      <c r="J19" t="e">
        <f ca="1"/>
        <v>#NAME?</v>
      </c>
      <c r="K19" s="155" t="e">
        <f ca="1"/>
        <v>#NAME?</v>
      </c>
      <c r="M19" t="e">
        <f ca="1"/>
        <v>#NAME?</v>
      </c>
      <c r="N19" s="147" t="e">
        <f ca="1"/>
        <v>#NAME?</v>
      </c>
    </row>
    <row r="20" spans="1:14" x14ac:dyDescent="0.35">
      <c r="G20" t="e">
        <f ca="1"/>
        <v>#NAME?</v>
      </c>
      <c r="H20" s="155" t="e">
        <f ca="1"/>
        <v>#NAME?</v>
      </c>
      <c r="M20" t="e">
        <f ca="1"/>
        <v>#NAME?</v>
      </c>
      <c r="N20" s="155" t="e">
        <f ca="1"/>
        <v>#NAME?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3"/>
  <dimension ref="A1:G32"/>
  <sheetViews>
    <sheetView workbookViewId="0"/>
  </sheetViews>
  <sheetFormatPr defaultRowHeight="14.5" x14ac:dyDescent="0.35"/>
  <cols>
    <col min="1" max="2" width="8.81640625" customWidth="1"/>
    <col min="3" max="3" width="6.81640625" customWidth="1"/>
    <col min="4" max="4" width="9.1796875" customWidth="1"/>
    <col min="6" max="6" width="3.1796875" customWidth="1"/>
    <col min="7" max="7" width="36.1796875" customWidth="1"/>
  </cols>
  <sheetData>
    <row r="1" spans="1:7" x14ac:dyDescent="0.35">
      <c r="A1" s="1" t="s">
        <v>414</v>
      </c>
      <c r="B1" s="1"/>
    </row>
    <row r="3" spans="1:7" x14ac:dyDescent="0.35">
      <c r="A3" s="72" t="s">
        <v>391</v>
      </c>
      <c r="B3" s="72" t="s">
        <v>239</v>
      </c>
      <c r="D3" s="9" t="s">
        <v>539</v>
      </c>
      <c r="E3" s="9"/>
    </row>
    <row r="4" spans="1:7" x14ac:dyDescent="0.35">
      <c r="A4" s="278">
        <v>5</v>
      </c>
      <c r="B4" s="73">
        <v>80</v>
      </c>
      <c r="D4" s="9"/>
      <c r="E4" s="9"/>
    </row>
    <row r="5" spans="1:7" x14ac:dyDescent="0.35">
      <c r="A5" s="278">
        <v>23</v>
      </c>
      <c r="B5" s="278">
        <v>78</v>
      </c>
      <c r="D5" s="66" t="s">
        <v>95</v>
      </c>
      <c r="E5" s="107">
        <f>CORREL(A4:A18,B4:B18)</f>
        <v>-0.71343017438658085</v>
      </c>
      <c r="G5" t="e" cm="1">
        <f t="array" aca="1" ref="G5" ca="1">FTEXT(E5)</f>
        <v>#NAME?</v>
      </c>
    </row>
    <row r="6" spans="1:7" x14ac:dyDescent="0.35">
      <c r="A6" s="278">
        <v>25</v>
      </c>
      <c r="B6" s="278">
        <v>60</v>
      </c>
      <c r="D6" s="91" t="s">
        <v>179</v>
      </c>
      <c r="E6" s="117">
        <v>0</v>
      </c>
    </row>
    <row r="7" spans="1:7" x14ac:dyDescent="0.35">
      <c r="A7" s="278">
        <v>48</v>
      </c>
      <c r="B7" s="278">
        <v>53</v>
      </c>
      <c r="D7" s="66" t="s">
        <v>31</v>
      </c>
      <c r="E7" s="100">
        <f>COUNT(A4:A18)</f>
        <v>15</v>
      </c>
      <c r="G7" t="e" cm="1">
        <f t="array" aca="1" ref="G7" ca="1">FTEXT(E7)</f>
        <v>#NAME?</v>
      </c>
    </row>
    <row r="8" spans="1:7" x14ac:dyDescent="0.35">
      <c r="A8" s="74">
        <v>17</v>
      </c>
      <c r="B8" s="278">
        <v>85</v>
      </c>
      <c r="D8" s="66" t="s">
        <v>53</v>
      </c>
      <c r="E8" s="100">
        <f>E7-2</f>
        <v>13</v>
      </c>
      <c r="G8" t="e" cm="1">
        <f t="array" aca="1" ref="G8" ca="1">FTEXT(E8)</f>
        <v>#NAME?</v>
      </c>
    </row>
    <row r="9" spans="1:7" x14ac:dyDescent="0.35">
      <c r="A9" s="74">
        <v>8</v>
      </c>
      <c r="B9" s="278">
        <v>84</v>
      </c>
      <c r="D9" s="66" t="s">
        <v>101</v>
      </c>
      <c r="E9" s="100">
        <f>(1+ABS(E5))/(1-ABS(E5))</f>
        <v>5.9791018496762014</v>
      </c>
      <c r="G9" t="e" cm="1">
        <f t="array" aca="1" ref="G9" ca="1">FTEXT(E9)</f>
        <v>#NAME?</v>
      </c>
    </row>
    <row r="10" spans="1:7" x14ac:dyDescent="0.35">
      <c r="A10" s="278">
        <v>4</v>
      </c>
      <c r="B10" s="278">
        <v>73</v>
      </c>
      <c r="D10" s="66" t="s">
        <v>44</v>
      </c>
      <c r="E10" s="100">
        <v>0.05</v>
      </c>
    </row>
    <row r="11" spans="1:7" x14ac:dyDescent="0.35">
      <c r="A11" s="278">
        <v>26</v>
      </c>
      <c r="B11" s="278">
        <v>79</v>
      </c>
      <c r="D11" s="66" t="s">
        <v>261</v>
      </c>
      <c r="E11" s="100">
        <f>FINV(E10/2,E8,E8)</f>
        <v>3.1150356932304772</v>
      </c>
      <c r="G11" s="7" t="s">
        <v>540</v>
      </c>
    </row>
    <row r="12" spans="1:7" x14ac:dyDescent="0.35">
      <c r="A12" s="278">
        <v>11</v>
      </c>
      <c r="B12" s="278">
        <v>81</v>
      </c>
      <c r="D12" s="66" t="s">
        <v>59</v>
      </c>
      <c r="E12" s="117">
        <f>2*FDIST(E9,E8,E8)</f>
        <v>2.8223429900712275E-3</v>
      </c>
      <c r="G12" s="7" t="s">
        <v>541</v>
      </c>
    </row>
    <row r="13" spans="1:7" x14ac:dyDescent="0.35">
      <c r="A13" s="278">
        <v>19</v>
      </c>
      <c r="B13" s="278">
        <v>75</v>
      </c>
      <c r="D13" s="66" t="s">
        <v>270</v>
      </c>
      <c r="E13" s="120" t="str">
        <f>IF(E12&lt;E10,"yes","no")</f>
        <v>yes</v>
      </c>
      <c r="G13" t="e" cm="1">
        <f t="array" aca="1" ref="G13" ca="1">FTEXT(E13)</f>
        <v>#NAME?</v>
      </c>
    </row>
    <row r="14" spans="1:7" x14ac:dyDescent="0.35">
      <c r="A14" s="278">
        <v>14</v>
      </c>
      <c r="B14" s="278">
        <v>68</v>
      </c>
    </row>
    <row r="15" spans="1:7" x14ac:dyDescent="0.35">
      <c r="A15" s="278">
        <v>35</v>
      </c>
      <c r="B15" s="278">
        <v>72</v>
      </c>
      <c r="D15" t="s">
        <v>29</v>
      </c>
      <c r="E15" s="185">
        <f>((1+E11)*E5+(1-E11))/((1+E11)+E5*(1-E11))</f>
        <v>-0.89808977266171242</v>
      </c>
      <c r="G15" t="e" cm="1">
        <f t="array" aca="1" ref="G15" ca="1">FTEXT(E15)</f>
        <v>#NAME?</v>
      </c>
    </row>
    <row r="16" spans="1:7" x14ac:dyDescent="0.35">
      <c r="A16" s="278">
        <v>29</v>
      </c>
      <c r="B16" s="278">
        <v>58</v>
      </c>
      <c r="D16" t="s">
        <v>30</v>
      </c>
      <c r="E16" s="94">
        <f>((1+E11)*E5-(1-E11))/((1+E11)-E5*(1-E11))</f>
        <v>-0.3149354342765206</v>
      </c>
      <c r="G16" t="e" cm="1">
        <f t="array" aca="1" ref="G16" ca="1">FTEXT(E16)</f>
        <v>#NAME?</v>
      </c>
    </row>
    <row r="17" spans="1:2" x14ac:dyDescent="0.35">
      <c r="A17" s="278">
        <v>4</v>
      </c>
      <c r="B17" s="278">
        <v>92</v>
      </c>
    </row>
    <row r="18" spans="1:2" x14ac:dyDescent="0.35">
      <c r="A18" s="253">
        <v>23</v>
      </c>
      <c r="B18" s="253">
        <v>65</v>
      </c>
    </row>
    <row r="19" spans="1:2" x14ac:dyDescent="0.35">
      <c r="A19" s="278"/>
      <c r="B19" s="278"/>
    </row>
    <row r="20" spans="1:2" x14ac:dyDescent="0.35">
      <c r="A20" s="278"/>
      <c r="B20" s="278"/>
    </row>
    <row r="21" spans="1:2" x14ac:dyDescent="0.35">
      <c r="A21" s="278"/>
      <c r="B21" s="278"/>
    </row>
    <row r="22" spans="1:2" x14ac:dyDescent="0.35">
      <c r="A22" s="278"/>
      <c r="B22" s="278"/>
    </row>
    <row r="23" spans="1:2" x14ac:dyDescent="0.35">
      <c r="A23" s="278"/>
      <c r="B23" s="278"/>
    </row>
    <row r="24" spans="1:2" x14ac:dyDescent="0.35">
      <c r="A24" s="278"/>
      <c r="B24" s="278"/>
    </row>
    <row r="25" spans="1:2" x14ac:dyDescent="0.35">
      <c r="A25" s="278"/>
      <c r="B25" s="278"/>
    </row>
    <row r="26" spans="1:2" x14ac:dyDescent="0.35">
      <c r="A26" s="278"/>
      <c r="B26" s="278"/>
    </row>
    <row r="27" spans="1:2" x14ac:dyDescent="0.35">
      <c r="A27" s="278"/>
      <c r="B27" s="278"/>
    </row>
    <row r="28" spans="1:2" x14ac:dyDescent="0.35">
      <c r="A28" s="278"/>
      <c r="B28" s="278"/>
    </row>
    <row r="29" spans="1:2" x14ac:dyDescent="0.35">
      <c r="A29" s="278"/>
      <c r="B29" s="278"/>
    </row>
    <row r="30" spans="1:2" x14ac:dyDescent="0.35">
      <c r="A30" s="278"/>
      <c r="B30" s="278"/>
    </row>
    <row r="31" spans="1:2" x14ac:dyDescent="0.35">
      <c r="A31" s="278"/>
      <c r="B31" s="278"/>
    </row>
    <row r="32" spans="1:2" x14ac:dyDescent="0.35">
      <c r="A32" s="278"/>
      <c r="B32" s="27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6"/>
  <dimension ref="A1:AF55"/>
  <sheetViews>
    <sheetView zoomScale="97" zoomScaleNormal="97" workbookViewId="0"/>
  </sheetViews>
  <sheetFormatPr defaultRowHeight="14.5" x14ac:dyDescent="0.35"/>
  <cols>
    <col min="1" max="1" width="15" style="9" customWidth="1"/>
    <col min="2" max="3" width="11.26953125" style="9" customWidth="1"/>
    <col min="4" max="4" width="7.54296875" style="9" customWidth="1"/>
    <col min="5" max="5" width="15.453125" style="9" customWidth="1"/>
    <col min="6" max="7" width="11.26953125" style="9" customWidth="1"/>
    <col min="8" max="9" width="9.1796875" style="9"/>
    <col min="10" max="10" width="10.26953125" style="9" customWidth="1"/>
    <col min="11" max="17" width="9.1796875" style="9"/>
    <col min="18" max="18" width="8.26953125" style="9" customWidth="1"/>
    <col min="19" max="19" width="10.1796875" style="9" customWidth="1"/>
    <col min="20" max="20" width="5.1796875" style="9" customWidth="1"/>
    <col min="21" max="21" width="22.26953125" style="9" customWidth="1"/>
    <col min="22" max="24" width="9.1796875" style="9"/>
    <col min="25" max="25" width="9.1796875" style="9" customWidth="1"/>
    <col min="26" max="26" width="3.26953125" style="9" customWidth="1"/>
    <col min="27" max="27" width="28" style="9" customWidth="1"/>
    <col min="28" max="30" width="9.1796875" style="9"/>
    <col min="31" max="31" width="3.26953125" style="9" customWidth="1"/>
    <col min="32" max="32" width="17.26953125" style="9" customWidth="1"/>
    <col min="33" max="249" width="9.1796875" style="9"/>
    <col min="250" max="250" width="15" style="9" customWidth="1"/>
    <col min="251" max="259" width="11.26953125" style="9" customWidth="1"/>
    <col min="260" max="505" width="9.1796875" style="9"/>
    <col min="506" max="506" width="15" style="9" customWidth="1"/>
    <col min="507" max="515" width="11.26953125" style="9" customWidth="1"/>
    <col min="516" max="761" width="9.1796875" style="9"/>
    <col min="762" max="762" width="15" style="9" customWidth="1"/>
    <col min="763" max="771" width="11.26953125" style="9" customWidth="1"/>
    <col min="772" max="1017" width="9.1796875" style="9"/>
    <col min="1018" max="1018" width="15" style="9" customWidth="1"/>
    <col min="1019" max="1027" width="11.26953125" style="9" customWidth="1"/>
    <col min="1028" max="1273" width="9.1796875" style="9"/>
    <col min="1274" max="1274" width="15" style="9" customWidth="1"/>
    <col min="1275" max="1283" width="11.26953125" style="9" customWidth="1"/>
    <col min="1284" max="1529" width="9.1796875" style="9"/>
    <col min="1530" max="1530" width="15" style="9" customWidth="1"/>
    <col min="1531" max="1539" width="11.26953125" style="9" customWidth="1"/>
    <col min="1540" max="1785" width="9.1796875" style="9"/>
    <col min="1786" max="1786" width="15" style="9" customWidth="1"/>
    <col min="1787" max="1795" width="11.26953125" style="9" customWidth="1"/>
    <col min="1796" max="2041" width="9.1796875" style="9"/>
    <col min="2042" max="2042" width="15" style="9" customWidth="1"/>
    <col min="2043" max="2051" width="11.26953125" style="9" customWidth="1"/>
    <col min="2052" max="2297" width="9.1796875" style="9"/>
    <col min="2298" max="2298" width="15" style="9" customWidth="1"/>
    <col min="2299" max="2307" width="11.26953125" style="9" customWidth="1"/>
    <col min="2308" max="2553" width="9.1796875" style="9"/>
    <col min="2554" max="2554" width="15" style="9" customWidth="1"/>
    <col min="2555" max="2563" width="11.26953125" style="9" customWidth="1"/>
    <col min="2564" max="2809" width="9.1796875" style="9"/>
    <col min="2810" max="2810" width="15" style="9" customWidth="1"/>
    <col min="2811" max="2819" width="11.26953125" style="9" customWidth="1"/>
    <col min="2820" max="3065" width="9.1796875" style="9"/>
    <col min="3066" max="3066" width="15" style="9" customWidth="1"/>
    <col min="3067" max="3075" width="11.26953125" style="9" customWidth="1"/>
    <col min="3076" max="3321" width="9.1796875" style="9"/>
    <col min="3322" max="3322" width="15" style="9" customWidth="1"/>
    <col min="3323" max="3331" width="11.26953125" style="9" customWidth="1"/>
    <col min="3332" max="3577" width="9.1796875" style="9"/>
    <col min="3578" max="3578" width="15" style="9" customWidth="1"/>
    <col min="3579" max="3587" width="11.26953125" style="9" customWidth="1"/>
    <col min="3588" max="3833" width="9.1796875" style="9"/>
    <col min="3834" max="3834" width="15" style="9" customWidth="1"/>
    <col min="3835" max="3843" width="11.26953125" style="9" customWidth="1"/>
    <col min="3844" max="4089" width="9.1796875" style="9"/>
    <col min="4090" max="4090" width="15" style="9" customWidth="1"/>
    <col min="4091" max="4099" width="11.26953125" style="9" customWidth="1"/>
    <col min="4100" max="4345" width="9.1796875" style="9"/>
    <col min="4346" max="4346" width="15" style="9" customWidth="1"/>
    <col min="4347" max="4355" width="11.26953125" style="9" customWidth="1"/>
    <col min="4356" max="4601" width="9.1796875" style="9"/>
    <col min="4602" max="4602" width="15" style="9" customWidth="1"/>
    <col min="4603" max="4611" width="11.26953125" style="9" customWidth="1"/>
    <col min="4612" max="4857" width="9.1796875" style="9"/>
    <col min="4858" max="4858" width="15" style="9" customWidth="1"/>
    <col min="4859" max="4867" width="11.26953125" style="9" customWidth="1"/>
    <col min="4868" max="5113" width="9.1796875" style="9"/>
    <col min="5114" max="5114" width="15" style="9" customWidth="1"/>
    <col min="5115" max="5123" width="11.26953125" style="9" customWidth="1"/>
    <col min="5124" max="5369" width="9.1796875" style="9"/>
    <col min="5370" max="5370" width="15" style="9" customWidth="1"/>
    <col min="5371" max="5379" width="11.26953125" style="9" customWidth="1"/>
    <col min="5380" max="5625" width="9.1796875" style="9"/>
    <col min="5626" max="5626" width="15" style="9" customWidth="1"/>
    <col min="5627" max="5635" width="11.26953125" style="9" customWidth="1"/>
    <col min="5636" max="5881" width="9.1796875" style="9"/>
    <col min="5882" max="5882" width="15" style="9" customWidth="1"/>
    <col min="5883" max="5891" width="11.26953125" style="9" customWidth="1"/>
    <col min="5892" max="6137" width="9.1796875" style="9"/>
    <col min="6138" max="6138" width="15" style="9" customWidth="1"/>
    <col min="6139" max="6147" width="11.26953125" style="9" customWidth="1"/>
    <col min="6148" max="6393" width="9.1796875" style="9"/>
    <col min="6394" max="6394" width="15" style="9" customWidth="1"/>
    <col min="6395" max="6403" width="11.26953125" style="9" customWidth="1"/>
    <col min="6404" max="6649" width="9.1796875" style="9"/>
    <col min="6650" max="6650" width="15" style="9" customWidth="1"/>
    <col min="6651" max="6659" width="11.26953125" style="9" customWidth="1"/>
    <col min="6660" max="6905" width="9.1796875" style="9"/>
    <col min="6906" max="6906" width="15" style="9" customWidth="1"/>
    <col min="6907" max="6915" width="11.26953125" style="9" customWidth="1"/>
    <col min="6916" max="7161" width="9.1796875" style="9"/>
    <col min="7162" max="7162" width="15" style="9" customWidth="1"/>
    <col min="7163" max="7171" width="11.26953125" style="9" customWidth="1"/>
    <col min="7172" max="7417" width="9.1796875" style="9"/>
    <col min="7418" max="7418" width="15" style="9" customWidth="1"/>
    <col min="7419" max="7427" width="11.26953125" style="9" customWidth="1"/>
    <col min="7428" max="7673" width="9.1796875" style="9"/>
    <col min="7674" max="7674" width="15" style="9" customWidth="1"/>
    <col min="7675" max="7683" width="11.26953125" style="9" customWidth="1"/>
    <col min="7684" max="7929" width="9.1796875" style="9"/>
    <col min="7930" max="7930" width="15" style="9" customWidth="1"/>
    <col min="7931" max="7939" width="11.26953125" style="9" customWidth="1"/>
    <col min="7940" max="8185" width="9.1796875" style="9"/>
    <col min="8186" max="8186" width="15" style="9" customWidth="1"/>
    <col min="8187" max="8195" width="11.26953125" style="9" customWidth="1"/>
    <col min="8196" max="8441" width="9.1796875" style="9"/>
    <col min="8442" max="8442" width="15" style="9" customWidth="1"/>
    <col min="8443" max="8451" width="11.26953125" style="9" customWidth="1"/>
    <col min="8452" max="8697" width="9.1796875" style="9"/>
    <col min="8698" max="8698" width="15" style="9" customWidth="1"/>
    <col min="8699" max="8707" width="11.26953125" style="9" customWidth="1"/>
    <col min="8708" max="8953" width="9.1796875" style="9"/>
    <col min="8954" max="8954" width="15" style="9" customWidth="1"/>
    <col min="8955" max="8963" width="11.26953125" style="9" customWidth="1"/>
    <col min="8964" max="9209" width="9.1796875" style="9"/>
    <col min="9210" max="9210" width="15" style="9" customWidth="1"/>
    <col min="9211" max="9219" width="11.26953125" style="9" customWidth="1"/>
    <col min="9220" max="9465" width="9.1796875" style="9"/>
    <col min="9466" max="9466" width="15" style="9" customWidth="1"/>
    <col min="9467" max="9475" width="11.26953125" style="9" customWidth="1"/>
    <col min="9476" max="9721" width="9.1796875" style="9"/>
    <col min="9722" max="9722" width="15" style="9" customWidth="1"/>
    <col min="9723" max="9731" width="11.26953125" style="9" customWidth="1"/>
    <col min="9732" max="9977" width="9.1796875" style="9"/>
    <col min="9978" max="9978" width="15" style="9" customWidth="1"/>
    <col min="9979" max="9987" width="11.26953125" style="9" customWidth="1"/>
    <col min="9988" max="10233" width="9.1796875" style="9"/>
    <col min="10234" max="10234" width="15" style="9" customWidth="1"/>
    <col min="10235" max="10243" width="11.26953125" style="9" customWidth="1"/>
    <col min="10244" max="10489" width="9.1796875" style="9"/>
    <col min="10490" max="10490" width="15" style="9" customWidth="1"/>
    <col min="10491" max="10499" width="11.26953125" style="9" customWidth="1"/>
    <col min="10500" max="10745" width="9.1796875" style="9"/>
    <col min="10746" max="10746" width="15" style="9" customWidth="1"/>
    <col min="10747" max="10755" width="11.26953125" style="9" customWidth="1"/>
    <col min="10756" max="11001" width="9.1796875" style="9"/>
    <col min="11002" max="11002" width="15" style="9" customWidth="1"/>
    <col min="11003" max="11011" width="11.26953125" style="9" customWidth="1"/>
    <col min="11012" max="11257" width="9.1796875" style="9"/>
    <col min="11258" max="11258" width="15" style="9" customWidth="1"/>
    <col min="11259" max="11267" width="11.26953125" style="9" customWidth="1"/>
    <col min="11268" max="11513" width="9.1796875" style="9"/>
    <col min="11514" max="11514" width="15" style="9" customWidth="1"/>
    <col min="11515" max="11523" width="11.26953125" style="9" customWidth="1"/>
    <col min="11524" max="11769" width="9.1796875" style="9"/>
    <col min="11770" max="11770" width="15" style="9" customWidth="1"/>
    <col min="11771" max="11779" width="11.26953125" style="9" customWidth="1"/>
    <col min="11780" max="12025" width="9.1796875" style="9"/>
    <col min="12026" max="12026" width="15" style="9" customWidth="1"/>
    <col min="12027" max="12035" width="11.26953125" style="9" customWidth="1"/>
    <col min="12036" max="12281" width="9.1796875" style="9"/>
    <col min="12282" max="12282" width="15" style="9" customWidth="1"/>
    <col min="12283" max="12291" width="11.26953125" style="9" customWidth="1"/>
    <col min="12292" max="12537" width="9.1796875" style="9"/>
    <col min="12538" max="12538" width="15" style="9" customWidth="1"/>
    <col min="12539" max="12547" width="11.26953125" style="9" customWidth="1"/>
    <col min="12548" max="12793" width="9.1796875" style="9"/>
    <col min="12794" max="12794" width="15" style="9" customWidth="1"/>
    <col min="12795" max="12803" width="11.26953125" style="9" customWidth="1"/>
    <col min="12804" max="13049" width="9.1796875" style="9"/>
    <col min="13050" max="13050" width="15" style="9" customWidth="1"/>
    <col min="13051" max="13059" width="11.26953125" style="9" customWidth="1"/>
    <col min="13060" max="13305" width="9.1796875" style="9"/>
    <col min="13306" max="13306" width="15" style="9" customWidth="1"/>
    <col min="13307" max="13315" width="11.26953125" style="9" customWidth="1"/>
    <col min="13316" max="13561" width="9.1796875" style="9"/>
    <col min="13562" max="13562" width="15" style="9" customWidth="1"/>
    <col min="13563" max="13571" width="11.26953125" style="9" customWidth="1"/>
    <col min="13572" max="13817" width="9.1796875" style="9"/>
    <col min="13818" max="13818" width="15" style="9" customWidth="1"/>
    <col min="13819" max="13827" width="11.26953125" style="9" customWidth="1"/>
    <col min="13828" max="14073" width="9.1796875" style="9"/>
    <col min="14074" max="14074" width="15" style="9" customWidth="1"/>
    <col min="14075" max="14083" width="11.26953125" style="9" customWidth="1"/>
    <col min="14084" max="14329" width="9.1796875" style="9"/>
    <col min="14330" max="14330" width="15" style="9" customWidth="1"/>
    <col min="14331" max="14339" width="11.26953125" style="9" customWidth="1"/>
    <col min="14340" max="14585" width="9.1796875" style="9"/>
    <col min="14586" max="14586" width="15" style="9" customWidth="1"/>
    <col min="14587" max="14595" width="11.26953125" style="9" customWidth="1"/>
    <col min="14596" max="14841" width="9.1796875" style="9"/>
    <col min="14842" max="14842" width="15" style="9" customWidth="1"/>
    <col min="14843" max="14851" width="11.26953125" style="9" customWidth="1"/>
    <col min="14852" max="15097" width="9.1796875" style="9"/>
    <col min="15098" max="15098" width="15" style="9" customWidth="1"/>
    <col min="15099" max="15107" width="11.26953125" style="9" customWidth="1"/>
    <col min="15108" max="15353" width="9.1796875" style="9"/>
    <col min="15354" max="15354" width="15" style="9" customWidth="1"/>
    <col min="15355" max="15363" width="11.26953125" style="9" customWidth="1"/>
    <col min="15364" max="15609" width="9.1796875" style="9"/>
    <col min="15610" max="15610" width="15" style="9" customWidth="1"/>
    <col min="15611" max="15619" width="11.26953125" style="9" customWidth="1"/>
    <col min="15620" max="15865" width="9.1796875" style="9"/>
    <col min="15866" max="15866" width="15" style="9" customWidth="1"/>
    <col min="15867" max="15875" width="11.26953125" style="9" customWidth="1"/>
    <col min="15876" max="16121" width="9.1796875" style="9"/>
    <col min="16122" max="16122" width="15" style="9" customWidth="1"/>
    <col min="16123" max="16131" width="11.26953125" style="9" customWidth="1"/>
    <col min="16132" max="16384" width="9.1796875" style="9"/>
  </cols>
  <sheetData>
    <row r="1" spans="1:32" ht="15.5" x14ac:dyDescent="0.35">
      <c r="A1" s="391" t="s">
        <v>177</v>
      </c>
      <c r="B1" s="33"/>
      <c r="C1" s="33"/>
    </row>
    <row r="2" spans="1:32" x14ac:dyDescent="0.35">
      <c r="A2" s="33"/>
      <c r="B2" s="33"/>
      <c r="C2" s="33"/>
    </row>
    <row r="3" spans="1:32" ht="15.5" x14ac:dyDescent="0.35">
      <c r="A3" s="392" t="s">
        <v>178</v>
      </c>
      <c r="B3" s="393" t="s">
        <v>110</v>
      </c>
      <c r="C3" s="393" t="s">
        <v>111</v>
      </c>
      <c r="D3" s="394"/>
      <c r="E3" s="392" t="s">
        <v>178</v>
      </c>
      <c r="F3" s="393" t="s">
        <v>110</v>
      </c>
      <c r="G3" s="393" t="s">
        <v>111</v>
      </c>
      <c r="R3" s="9" t="s">
        <v>398</v>
      </c>
      <c r="X3" s="64" t="s">
        <v>396</v>
      </c>
      <c r="AC3" s="64" t="s">
        <v>191</v>
      </c>
    </row>
    <row r="4" spans="1:32" ht="15.5" x14ac:dyDescent="0.35">
      <c r="A4" s="395" t="s">
        <v>118</v>
      </c>
      <c r="B4" s="396">
        <v>15.7</v>
      </c>
      <c r="C4" s="397">
        <v>9</v>
      </c>
      <c r="D4" s="394"/>
      <c r="E4" s="395" t="s">
        <v>143</v>
      </c>
      <c r="F4" s="396">
        <v>14.8</v>
      </c>
      <c r="G4" s="397">
        <v>5.8</v>
      </c>
    </row>
    <row r="5" spans="1:32" ht="15.5" x14ac:dyDescent="0.35">
      <c r="A5" s="395" t="s">
        <v>119</v>
      </c>
      <c r="B5" s="396">
        <v>8.4</v>
      </c>
      <c r="C5" s="397">
        <v>6.9</v>
      </c>
      <c r="D5" s="394"/>
      <c r="E5" s="395" t="s">
        <v>144</v>
      </c>
      <c r="F5" s="396">
        <v>10.8</v>
      </c>
      <c r="G5" s="397">
        <v>5.6</v>
      </c>
      <c r="R5" s="66" t="s">
        <v>95</v>
      </c>
      <c r="S5" s="116">
        <f>CORREL(B4:B53,C4:C53)</f>
        <v>0.56442956793415189</v>
      </c>
      <c r="U5" s="9" t="e" cm="1">
        <f t="array" aca="1" ref="U5" ca="1">FTEXT(S5)</f>
        <v>#NAME?</v>
      </c>
      <c r="X5" s="86" t="s">
        <v>95</v>
      </c>
      <c r="Y5" s="197">
        <f>S5</f>
        <v>0.56442956793415189</v>
      </c>
      <c r="Z5" s="66"/>
      <c r="AA5" s="66" t="e" cm="1">
        <f t="array" aca="1" ref="AA5" ca="1">FTEXT(Y5)</f>
        <v>#NAME?</v>
      </c>
      <c r="AC5" s="64" t="s">
        <v>181</v>
      </c>
      <c r="AD5" s="116">
        <f>Y7</f>
        <v>0.63931001653968411</v>
      </c>
      <c r="AF5" s="9" t="e" cm="1">
        <f t="array" aca="1" ref="AF5" ca="1">FTEXT(AD5)</f>
        <v>#NAME?</v>
      </c>
    </row>
    <row r="6" spans="1:32" ht="15.5" x14ac:dyDescent="0.35">
      <c r="A6" s="395" t="s">
        <v>120</v>
      </c>
      <c r="B6" s="396">
        <v>14.7</v>
      </c>
      <c r="C6" s="397">
        <v>6.4</v>
      </c>
      <c r="D6" s="394"/>
      <c r="E6" s="395" t="s">
        <v>145</v>
      </c>
      <c r="F6" s="396">
        <v>11.3</v>
      </c>
      <c r="G6" s="397">
        <v>6.4</v>
      </c>
      <c r="R6" s="91" t="s">
        <v>179</v>
      </c>
      <c r="S6" s="117">
        <v>0</v>
      </c>
      <c r="X6" s="121" t="s">
        <v>179</v>
      </c>
      <c r="Y6" s="117">
        <f>S6</f>
        <v>0</v>
      </c>
      <c r="Z6" s="66"/>
      <c r="AA6" s="66" t="e" cm="1">
        <f t="array" aca="1" ref="AA6" ca="1">FTEXT(Y6)</f>
        <v>#NAME?</v>
      </c>
      <c r="AC6" s="64" t="s">
        <v>185</v>
      </c>
      <c r="AD6" s="117">
        <f>Y14</f>
        <v>1.9599639845400536</v>
      </c>
      <c r="AF6" s="9" t="e" cm="1">
        <f t="array" aca="1" ref="AF6" ca="1">FTEXT(AD6)</f>
        <v>#NAME?</v>
      </c>
    </row>
    <row r="7" spans="1:32" ht="16.5" x14ac:dyDescent="0.45">
      <c r="A7" s="395" t="s">
        <v>121</v>
      </c>
      <c r="B7" s="396">
        <v>17.3</v>
      </c>
      <c r="C7" s="397">
        <v>8.5</v>
      </c>
      <c r="D7" s="394"/>
      <c r="E7" s="395" t="s">
        <v>146</v>
      </c>
      <c r="F7" s="396">
        <v>7.6</v>
      </c>
      <c r="G7" s="397">
        <v>6.1</v>
      </c>
      <c r="R7" s="66" t="s">
        <v>31</v>
      </c>
      <c r="S7" s="117">
        <f>COUNT(B4:B53)</f>
        <v>50</v>
      </c>
      <c r="U7" s="9" t="e" cm="1">
        <f t="array" aca="1" ref="U7" ca="1">FTEXT(S7)</f>
        <v>#NAME?</v>
      </c>
      <c r="X7" s="122" t="s">
        <v>181</v>
      </c>
      <c r="Y7" s="117">
        <f>FISHER(Y5)</f>
        <v>0.63931001653968411</v>
      </c>
      <c r="Z7" s="66"/>
      <c r="AA7" s="66" t="e" cm="1">
        <f t="array" aca="1" ref="AA7" ca="1">FTEXT(Y7)</f>
        <v>#NAME?</v>
      </c>
      <c r="AB7" s="66"/>
      <c r="AC7" s="67" t="s">
        <v>183</v>
      </c>
      <c r="AD7" s="118">
        <f>Y11</f>
        <v>0.14586499149789456</v>
      </c>
      <c r="AF7" s="9" t="e" cm="1">
        <f t="array" aca="1" ref="AF7" ca="1">FTEXT(AD7)</f>
        <v>#NAME?</v>
      </c>
    </row>
    <row r="8" spans="1:32" ht="15.5" x14ac:dyDescent="0.35">
      <c r="A8" s="395" t="s">
        <v>122</v>
      </c>
      <c r="B8" s="396">
        <v>13.3</v>
      </c>
      <c r="C8" s="397">
        <v>5</v>
      </c>
      <c r="D8" s="394"/>
      <c r="E8" s="395" t="s">
        <v>147</v>
      </c>
      <c r="F8" s="396">
        <v>8.6999999999999993</v>
      </c>
      <c r="G8" s="397">
        <v>5.5</v>
      </c>
      <c r="R8" s="66" t="s">
        <v>53</v>
      </c>
      <c r="S8" s="117">
        <f>S7-2</f>
        <v>48</v>
      </c>
      <c r="U8" s="9" t="e" cm="1">
        <f t="array" aca="1" ref="U8" ca="1">FTEXT(S8)</f>
        <v>#NAME?</v>
      </c>
      <c r="X8" s="121" t="s">
        <v>182</v>
      </c>
      <c r="Y8" s="118">
        <f>FISHER(Y6)</f>
        <v>0</v>
      </c>
      <c r="Z8" s="66"/>
      <c r="AA8" s="66" t="e" cm="1">
        <f t="array" aca="1" ref="AA8" ca="1">FTEXT(Y8)</f>
        <v>#NAME?</v>
      </c>
      <c r="AF8" s="9" t="e" cm="1">
        <f t="array" aca="1" ref="AF8" ca="1">FTEXT(AD8)</f>
        <v>#NAME?</v>
      </c>
    </row>
    <row r="9" spans="1:32" ht="16.5" x14ac:dyDescent="0.45">
      <c r="A9" s="395" t="s">
        <v>123</v>
      </c>
      <c r="B9" s="396">
        <v>11.4</v>
      </c>
      <c r="C9" s="397">
        <v>5.7</v>
      </c>
      <c r="D9" s="394"/>
      <c r="E9" s="395" t="s">
        <v>148</v>
      </c>
      <c r="F9" s="396">
        <v>17.100000000000001</v>
      </c>
      <c r="G9" s="397">
        <v>5.8</v>
      </c>
      <c r="R9" s="66" t="s">
        <v>104</v>
      </c>
      <c r="S9" s="117">
        <f>SQRT((1-S5^2)/S8)</f>
        <v>0.11914795274168466</v>
      </c>
      <c r="U9" s="9" t="e" cm="1">
        <f t="array" aca="1" ref="U9" ca="1">FTEXT(S9)</f>
        <v>#NAME?</v>
      </c>
      <c r="AA9" s="66" t="e" cm="1">
        <f t="array" aca="1" ref="AA9" ca="1">FTEXT(Y9)</f>
        <v>#NAME?</v>
      </c>
      <c r="AC9" s="64" t="s">
        <v>186</v>
      </c>
      <c r="AD9" s="197">
        <f>AD5-AD6*AD7</f>
        <v>0.35341988659856965</v>
      </c>
      <c r="AF9" s="9" t="e" cm="1">
        <f t="array" aca="1" ref="AF9" ca="1">FTEXT(AD9)</f>
        <v>#NAME?</v>
      </c>
    </row>
    <row r="10" spans="1:32" ht="15.5" x14ac:dyDescent="0.35">
      <c r="A10" s="395" t="s">
        <v>124</v>
      </c>
      <c r="B10" s="396">
        <v>9.3000000000000007</v>
      </c>
      <c r="C10" s="397">
        <v>6.2</v>
      </c>
      <c r="D10" s="394"/>
      <c r="E10" s="395" t="s">
        <v>149</v>
      </c>
      <c r="F10" s="396">
        <v>13.6</v>
      </c>
      <c r="G10" s="397">
        <v>5.6</v>
      </c>
      <c r="R10" s="66" t="s">
        <v>56</v>
      </c>
      <c r="S10" s="117">
        <f>(S5-S6)/S9</f>
        <v>4.7372158307902064</v>
      </c>
      <c r="U10" s="9" t="e" cm="1">
        <f t="array" aca="1" ref="U10" ca="1">FTEXT(S10)</f>
        <v>#NAME?</v>
      </c>
      <c r="X10" s="67" t="s">
        <v>31</v>
      </c>
      <c r="Y10" s="107">
        <f>S7</f>
        <v>50</v>
      </c>
      <c r="Z10" s="4"/>
      <c r="AA10" s="66" t="e" cm="1">
        <f t="array" aca="1" ref="AA10" ca="1">FTEXT(Y10)</f>
        <v>#NAME?</v>
      </c>
      <c r="AB10" s="66"/>
      <c r="AC10" s="64" t="s">
        <v>187</v>
      </c>
      <c r="AD10" s="117">
        <f>AD5+AD6*AD7</f>
        <v>0.92520014648079862</v>
      </c>
      <c r="AF10" s="9" t="e" cm="1">
        <f t="array" aca="1" ref="AF10" ca="1">FTEXT(AD10)</f>
        <v>#NAME?</v>
      </c>
    </row>
    <row r="11" spans="1:32" ht="16.5" x14ac:dyDescent="0.45">
      <c r="A11" s="395" t="s">
        <v>125</v>
      </c>
      <c r="B11" s="398">
        <v>10</v>
      </c>
      <c r="C11" s="397">
        <v>8.3000000000000007</v>
      </c>
      <c r="D11" s="394"/>
      <c r="E11" s="395" t="s">
        <v>150</v>
      </c>
      <c r="F11" s="396">
        <v>14.6</v>
      </c>
      <c r="G11" s="397">
        <v>8.1</v>
      </c>
      <c r="R11" s="66" t="s">
        <v>44</v>
      </c>
      <c r="S11" s="117">
        <v>0.05</v>
      </c>
      <c r="X11" s="67" t="s">
        <v>183</v>
      </c>
      <c r="Y11" s="100">
        <f>1/SQRT(Y10-3)</f>
        <v>0.14586499149789456</v>
      </c>
      <c r="Z11" s="4"/>
      <c r="AA11" s="66" t="e" cm="1">
        <f t="array" aca="1" ref="AA11" ca="1">FTEXT(Y11)</f>
        <v>#NAME?</v>
      </c>
      <c r="AB11" s="66"/>
      <c r="AC11" s="64" t="s">
        <v>188</v>
      </c>
      <c r="AD11" s="117">
        <f>FISHERINV(AD9)</f>
        <v>0.33940497910297668</v>
      </c>
      <c r="AF11" s="9" t="e" cm="1">
        <f t="array" aca="1" ref="AF11" ca="1">FTEXT(AD11)</f>
        <v>#NAME?</v>
      </c>
    </row>
    <row r="12" spans="1:32" ht="15.5" x14ac:dyDescent="0.35">
      <c r="A12" s="395" t="s">
        <v>126</v>
      </c>
      <c r="B12" s="396">
        <v>13.2</v>
      </c>
      <c r="C12" s="397">
        <v>7.3</v>
      </c>
      <c r="D12" s="394"/>
      <c r="E12" s="395" t="s">
        <v>151</v>
      </c>
      <c r="F12" s="399">
        <v>12</v>
      </c>
      <c r="G12" s="397">
        <v>5.8</v>
      </c>
      <c r="R12" s="66" t="s">
        <v>60</v>
      </c>
      <c r="S12" s="117">
        <f>TINV(S11,S8)</f>
        <v>2.0106347576242314</v>
      </c>
      <c r="U12" s="168" t="s">
        <v>403</v>
      </c>
      <c r="X12" s="66" t="s">
        <v>36</v>
      </c>
      <c r="Y12" s="117">
        <f>(Y7-Y8)/Y11</f>
        <v>4.3828886559727529</v>
      </c>
      <c r="Z12" s="66"/>
      <c r="AA12" s="66" t="e" cm="1">
        <f t="array" aca="1" ref="AA12" ca="1">FTEXT(Y12)</f>
        <v>#NAME?</v>
      </c>
      <c r="AB12" s="66"/>
      <c r="AC12" s="64" t="s">
        <v>189</v>
      </c>
      <c r="AD12" s="118">
        <f>FISHERINV(AD10)</f>
        <v>0.72834819023803221</v>
      </c>
      <c r="AF12" s="9" t="e" cm="1">
        <f t="array" aca="1" ref="AF12" ca="1">FTEXT(AD12)</f>
        <v>#NAME?</v>
      </c>
    </row>
    <row r="13" spans="1:32" ht="15.5" x14ac:dyDescent="0.35">
      <c r="A13" s="395" t="s">
        <v>127</v>
      </c>
      <c r="B13" s="396">
        <v>14.7</v>
      </c>
      <c r="C13" s="397">
        <v>8.1</v>
      </c>
      <c r="D13" s="394"/>
      <c r="E13" s="395" t="s">
        <v>152</v>
      </c>
      <c r="F13" s="396">
        <v>13.4</v>
      </c>
      <c r="G13" s="397">
        <v>7.8</v>
      </c>
      <c r="R13" s="66" t="s">
        <v>59</v>
      </c>
      <c r="S13" s="117">
        <f>TDIST(S10,S8,2)</f>
        <v>1.960732728695657E-5</v>
      </c>
      <c r="U13" s="168" t="s">
        <v>402</v>
      </c>
      <c r="X13" s="66" t="s">
        <v>44</v>
      </c>
      <c r="Y13" s="117">
        <v>0.05</v>
      </c>
      <c r="Z13" s="66"/>
      <c r="AA13" s="66"/>
      <c r="AB13" s="66"/>
      <c r="AC13" s="66"/>
    </row>
    <row r="14" spans="1:32" ht="15.5" x14ac:dyDescent="0.35">
      <c r="A14" s="395" t="s">
        <v>128</v>
      </c>
      <c r="B14" s="396">
        <v>9.1</v>
      </c>
      <c r="C14" s="397">
        <v>5.6</v>
      </c>
      <c r="D14" s="394"/>
      <c r="E14" s="395" t="s">
        <v>153</v>
      </c>
      <c r="F14" s="396">
        <v>15.9</v>
      </c>
      <c r="G14" s="397">
        <v>8</v>
      </c>
      <c r="R14" s="66" t="s">
        <v>270</v>
      </c>
      <c r="S14" s="120" t="str">
        <f>IF(S13&lt;S11,"yes","no")</f>
        <v>yes</v>
      </c>
      <c r="U14" s="9" t="e" cm="1">
        <f t="array" aca="1" ref="U14" ca="1">FTEXT(S14)</f>
        <v>#NAME?</v>
      </c>
      <c r="X14" s="66" t="s">
        <v>185</v>
      </c>
      <c r="Y14" s="117">
        <f>NORMSINV(1-Y13/2)</f>
        <v>1.9599639845400536</v>
      </c>
      <c r="Z14" s="66"/>
      <c r="AA14" s="198" t="s">
        <v>395</v>
      </c>
      <c r="AB14" s="66"/>
      <c r="AC14" s="66"/>
    </row>
    <row r="15" spans="1:32" ht="15.5" x14ac:dyDescent="0.35">
      <c r="A15" s="395" t="s">
        <v>129</v>
      </c>
      <c r="B15" s="396">
        <v>12.6</v>
      </c>
      <c r="C15" s="397">
        <v>6.8</v>
      </c>
      <c r="D15" s="394"/>
      <c r="E15" s="395" t="s">
        <v>154</v>
      </c>
      <c r="F15" s="396">
        <v>13.6</v>
      </c>
      <c r="G15" s="397">
        <v>5.5</v>
      </c>
      <c r="R15" s="64" t="s">
        <v>29</v>
      </c>
      <c r="S15" s="197">
        <f>S5-S12*S9</f>
        <v>0.32486655285195137</v>
      </c>
      <c r="U15" s="9" t="e" cm="1">
        <f t="array" aca="1" ref="U15" ca="1">FTEXT(S15)</f>
        <v>#NAME?</v>
      </c>
      <c r="X15" s="66" t="s">
        <v>59</v>
      </c>
      <c r="Y15" s="117">
        <f>2*(1-NORMSDIST(Y12))</f>
        <v>1.1711597685204467E-5</v>
      </c>
      <c r="Z15" s="66"/>
      <c r="AA15" s="198" t="s">
        <v>394</v>
      </c>
      <c r="AB15" s="66"/>
      <c r="AC15" s="66"/>
    </row>
    <row r="16" spans="1:32" ht="15.5" x14ac:dyDescent="0.35">
      <c r="A16" s="395" t="s">
        <v>130</v>
      </c>
      <c r="B16" s="396">
        <v>12.2</v>
      </c>
      <c r="C16" s="397">
        <v>7.3</v>
      </c>
      <c r="D16" s="394"/>
      <c r="E16" s="395" t="s">
        <v>155</v>
      </c>
      <c r="F16" s="396">
        <v>12.1</v>
      </c>
      <c r="G16" s="397">
        <v>7.6</v>
      </c>
      <c r="R16" s="64" t="s">
        <v>30</v>
      </c>
      <c r="S16" s="118">
        <f>S5+S12*S9</f>
        <v>0.80399258301635235</v>
      </c>
      <c r="U16" s="9" t="e" cm="1">
        <f t="array" aca="1" ref="U16" ca="1">FTEXT(S16)</f>
        <v>#NAME?</v>
      </c>
      <c r="X16" s="66" t="s">
        <v>270</v>
      </c>
      <c r="Y16" s="120" t="str">
        <f>IF(Y15&lt;Y13,"yes","no")</f>
        <v>yes</v>
      </c>
      <c r="Z16" s="145"/>
      <c r="AA16" s="66" t="e" cm="1">
        <f t="array" aca="1" ref="AA16" ca="1">FTEXT(Y16)</f>
        <v>#NAME?</v>
      </c>
      <c r="AB16" s="66"/>
      <c r="AC16" s="66"/>
    </row>
    <row r="17" spans="1:29" ht="15.5" x14ac:dyDescent="0.35">
      <c r="A17" s="395" t="s">
        <v>131</v>
      </c>
      <c r="B17" s="396">
        <v>13.1</v>
      </c>
      <c r="C17" s="397">
        <v>8</v>
      </c>
      <c r="D17" s="394"/>
      <c r="E17" s="395" t="s">
        <v>156</v>
      </c>
      <c r="F17" s="396">
        <v>11.7</v>
      </c>
      <c r="G17" s="397">
        <v>6.1</v>
      </c>
      <c r="AA17" s="66" t="e" cm="1">
        <f t="array" aca="1" ref="AA17" ca="1">FTEXT(Y17)</f>
        <v>#NAME?</v>
      </c>
      <c r="AB17" s="66"/>
      <c r="AC17" s="66"/>
    </row>
    <row r="18" spans="1:29" ht="15.5" x14ac:dyDescent="0.35">
      <c r="A18" s="395" t="s">
        <v>132</v>
      </c>
      <c r="B18" s="396">
        <v>11.5</v>
      </c>
      <c r="C18" s="397">
        <v>5.0999999999999996</v>
      </c>
      <c r="D18" s="394"/>
      <c r="E18" s="395" t="s">
        <v>157</v>
      </c>
      <c r="F18" s="396">
        <v>15.7</v>
      </c>
      <c r="G18" s="397">
        <v>8.4</v>
      </c>
      <c r="R18" s="9" t="s">
        <v>397</v>
      </c>
      <c r="X18" s="64" t="s">
        <v>399</v>
      </c>
      <c r="AB18" s="66"/>
      <c r="AC18" s="66"/>
    </row>
    <row r="19" spans="1:29" ht="15.5" x14ac:dyDescent="0.35">
      <c r="A19" s="395" t="s">
        <v>133</v>
      </c>
      <c r="B19" s="396">
        <v>11.3</v>
      </c>
      <c r="C19" s="397">
        <v>7.1</v>
      </c>
      <c r="D19" s="394"/>
      <c r="E19" s="395" t="s">
        <v>158</v>
      </c>
      <c r="F19" s="396">
        <v>12.5</v>
      </c>
      <c r="G19" s="397">
        <v>6.9</v>
      </c>
      <c r="AB19" s="66"/>
      <c r="AC19" s="66"/>
    </row>
    <row r="20" spans="1:29" ht="15.5" x14ac:dyDescent="0.35">
      <c r="A20" s="395" t="s">
        <v>134</v>
      </c>
      <c r="B20" s="396">
        <v>17.3</v>
      </c>
      <c r="C20" s="397">
        <v>7.5</v>
      </c>
      <c r="D20" s="394"/>
      <c r="E20" s="395" t="s">
        <v>159</v>
      </c>
      <c r="F20" s="396">
        <v>15.5</v>
      </c>
      <c r="G20" s="397">
        <v>8.6999999999999993</v>
      </c>
      <c r="R20" s="66" t="s">
        <v>95</v>
      </c>
      <c r="S20" s="116">
        <f>CORREL(B4:B53,C4:C53)</f>
        <v>0.56442956793415189</v>
      </c>
      <c r="U20" s="9" t="e" cm="1">
        <f t="array" aca="1" ref="U20" ca="1">FTEXT(S20)</f>
        <v>#NAME?</v>
      </c>
      <c r="X20" s="86" t="s">
        <v>95</v>
      </c>
      <c r="Y20" s="197">
        <f>S20</f>
        <v>0.56442956793415189</v>
      </c>
      <c r="Z20" s="66"/>
      <c r="AA20" s="66" t="e" cm="1">
        <f t="array" aca="1" ref="AA20" ca="1">FTEXT(Y20)</f>
        <v>#NAME?</v>
      </c>
      <c r="AB20" s="66"/>
      <c r="AC20" s="66"/>
    </row>
    <row r="21" spans="1:29" ht="15.5" x14ac:dyDescent="0.35">
      <c r="A21" s="395" t="s">
        <v>135</v>
      </c>
      <c r="B21" s="396">
        <v>17.3</v>
      </c>
      <c r="C21" s="397">
        <v>9.9</v>
      </c>
      <c r="D21" s="394"/>
      <c r="E21" s="395" t="s">
        <v>160</v>
      </c>
      <c r="F21" s="396">
        <v>15.8</v>
      </c>
      <c r="G21" s="397">
        <v>6.2</v>
      </c>
      <c r="R21" s="91" t="s">
        <v>179</v>
      </c>
      <c r="S21" s="117">
        <v>0</v>
      </c>
      <c r="X21" s="121" t="s">
        <v>179</v>
      </c>
      <c r="Y21" s="117">
        <f>S21</f>
        <v>0</v>
      </c>
      <c r="Z21" s="66"/>
      <c r="AA21" s="66" t="e" cm="1">
        <f t="array" aca="1" ref="AA21" ca="1">FTEXT(Y21)</f>
        <v>#NAME?</v>
      </c>
      <c r="AB21" s="66"/>
      <c r="AC21" s="66"/>
    </row>
    <row r="22" spans="1:29" ht="15.5" x14ac:dyDescent="0.35">
      <c r="A22" s="395" t="s">
        <v>136</v>
      </c>
      <c r="B22" s="396">
        <v>12.3</v>
      </c>
      <c r="C22" s="397">
        <v>6.3</v>
      </c>
      <c r="D22" s="394"/>
      <c r="E22" s="395" t="s">
        <v>161</v>
      </c>
      <c r="F22" s="396">
        <v>9.6</v>
      </c>
      <c r="G22" s="397">
        <v>5.0999999999999996</v>
      </c>
      <c r="R22" s="66" t="s">
        <v>31</v>
      </c>
      <c r="S22" s="117">
        <f>COUNT(B4:B53)</f>
        <v>50</v>
      </c>
      <c r="U22" s="9" t="e" cm="1">
        <f t="array" aca="1" ref="U22" ca="1">FTEXT(S22)</f>
        <v>#NAME?</v>
      </c>
      <c r="X22" s="122" t="s">
        <v>181</v>
      </c>
      <c r="Y22" s="117">
        <f>FISHER(Y20)</f>
        <v>0.63931001653968411</v>
      </c>
      <c r="Z22" s="66"/>
      <c r="AA22" s="66" t="e" cm="1">
        <f t="array" aca="1" ref="AA22" ca="1">FTEXT(Y22)</f>
        <v>#NAME?</v>
      </c>
      <c r="AB22" s="66"/>
      <c r="AC22" s="66"/>
    </row>
    <row r="23" spans="1:29" ht="15.5" x14ac:dyDescent="0.35">
      <c r="A23" s="395" t="s">
        <v>137</v>
      </c>
      <c r="B23" s="396">
        <v>8.1</v>
      </c>
      <c r="C23" s="397">
        <v>8</v>
      </c>
      <c r="D23" s="394"/>
      <c r="E23" s="395" t="s">
        <v>162</v>
      </c>
      <c r="F23" s="396">
        <v>10.6</v>
      </c>
      <c r="G23" s="397">
        <v>5.5</v>
      </c>
      <c r="R23" s="66" t="s">
        <v>53</v>
      </c>
      <c r="S23" s="117">
        <f>S22-2</f>
        <v>48</v>
      </c>
      <c r="U23" s="9" t="e" cm="1">
        <f t="array" aca="1" ref="U23" ca="1">FTEXT(S23)</f>
        <v>#NAME?</v>
      </c>
      <c r="X23" s="121" t="s">
        <v>182</v>
      </c>
      <c r="Y23" s="118">
        <f>FISHER(Y21)</f>
        <v>0</v>
      </c>
      <c r="Z23" s="66"/>
      <c r="AA23" s="66" t="e" cm="1">
        <f t="array" aca="1" ref="AA23" ca="1">FTEXT(Y23)</f>
        <v>#NAME?</v>
      </c>
      <c r="AB23" s="66"/>
      <c r="AC23" s="66"/>
    </row>
    <row r="24" spans="1:29" ht="16.5" x14ac:dyDescent="0.45">
      <c r="A24" s="395" t="s">
        <v>138</v>
      </c>
      <c r="B24" s="398">
        <v>10</v>
      </c>
      <c r="C24" s="397">
        <v>4.8</v>
      </c>
      <c r="D24" s="394"/>
      <c r="E24" s="395" t="s">
        <v>163</v>
      </c>
      <c r="F24" s="396">
        <v>10.199999999999999</v>
      </c>
      <c r="G24" s="397">
        <v>7.1</v>
      </c>
      <c r="R24" s="66" t="s">
        <v>104</v>
      </c>
      <c r="S24" s="117">
        <f>SQRT((1-S20^2)/S23)</f>
        <v>0.11914795274168466</v>
      </c>
      <c r="U24" s="9" t="e" cm="1">
        <f t="array" aca="1" ref="U24" ca="1">FTEXT(S24)</f>
        <v>#NAME?</v>
      </c>
      <c r="AA24" s="66" t="e" cm="1">
        <f t="array" aca="1" ref="AA24" ca="1">FTEXT(Y24)</f>
        <v>#NAME?</v>
      </c>
      <c r="AB24" s="66"/>
      <c r="AC24" s="66"/>
    </row>
    <row r="25" spans="1:29" ht="15.5" x14ac:dyDescent="0.35">
      <c r="A25" s="395" t="s">
        <v>139</v>
      </c>
      <c r="B25" s="396">
        <v>14.4</v>
      </c>
      <c r="C25" s="397">
        <v>7.4</v>
      </c>
      <c r="D25" s="394"/>
      <c r="E25" s="395" t="s">
        <v>164</v>
      </c>
      <c r="F25" s="396">
        <v>11.3</v>
      </c>
      <c r="G25" s="397">
        <v>4.7</v>
      </c>
      <c r="R25" s="66" t="s">
        <v>56</v>
      </c>
      <c r="S25" s="117">
        <f>(S20-S21)/S24</f>
        <v>4.7372158307902064</v>
      </c>
      <c r="U25" s="9" t="e" cm="1">
        <f t="array" aca="1" ref="U25" ca="1">FTEXT(S25)</f>
        <v>#NAME?</v>
      </c>
      <c r="X25" s="67" t="s">
        <v>31</v>
      </c>
      <c r="Y25" s="107">
        <f>S22</f>
        <v>50</v>
      </c>
      <c r="Z25" s="4"/>
      <c r="AA25" s="66" t="e" cm="1">
        <f t="array" aca="1" ref="AA25" ca="1">FTEXT(Y25)</f>
        <v>#NAME?</v>
      </c>
      <c r="AB25" s="66"/>
      <c r="AC25" s="66"/>
    </row>
    <row r="26" spans="1:29" ht="16.5" x14ac:dyDescent="0.45">
      <c r="A26" s="395" t="s">
        <v>140</v>
      </c>
      <c r="B26" s="396">
        <v>9.6</v>
      </c>
      <c r="C26" s="397">
        <v>5.2</v>
      </c>
      <c r="D26" s="394"/>
      <c r="E26" s="395" t="s">
        <v>165</v>
      </c>
      <c r="F26" s="399">
        <v>17</v>
      </c>
      <c r="G26" s="397">
        <v>7.4</v>
      </c>
      <c r="R26" s="66" t="s">
        <v>44</v>
      </c>
      <c r="S26" s="117">
        <v>0.05</v>
      </c>
      <c r="X26" s="67" t="s">
        <v>183</v>
      </c>
      <c r="Y26" s="100">
        <f>1/SQRT(Y25-3)</f>
        <v>0.14586499149789456</v>
      </c>
      <c r="Z26" s="4"/>
      <c r="AA26" s="66" t="e" cm="1">
        <f t="array" aca="1" ref="AA26" ca="1">FTEXT(Y26)</f>
        <v>#NAME?</v>
      </c>
      <c r="AB26" s="66"/>
      <c r="AC26" s="66"/>
    </row>
    <row r="27" spans="1:29" ht="15.5" x14ac:dyDescent="0.35">
      <c r="A27" s="395" t="s">
        <v>141</v>
      </c>
      <c r="B27" s="396">
        <v>21.2</v>
      </c>
      <c r="C27" s="397">
        <v>10.6</v>
      </c>
      <c r="D27" s="394"/>
      <c r="E27" s="395" t="s">
        <v>166</v>
      </c>
      <c r="F27" s="396">
        <v>10.4</v>
      </c>
      <c r="G27" s="397">
        <v>6.4</v>
      </c>
      <c r="R27" s="66" t="s">
        <v>60</v>
      </c>
      <c r="S27" s="117">
        <f>TINV(2*S26,S23)</f>
        <v>1.6772241961243386</v>
      </c>
      <c r="U27" s="168" t="s">
        <v>400</v>
      </c>
      <c r="X27" s="66" t="s">
        <v>36</v>
      </c>
      <c r="Y27" s="117">
        <f>(Y22-Y23)/Y26</f>
        <v>4.3828886559727529</v>
      </c>
      <c r="Z27" s="66"/>
      <c r="AA27" s="66" t="e" cm="1">
        <f t="array" aca="1" ref="AA27" ca="1">FTEXT(Y27)</f>
        <v>#NAME?</v>
      </c>
      <c r="AB27" s="66"/>
      <c r="AC27" s="66"/>
    </row>
    <row r="28" spans="1:29" ht="15.5" x14ac:dyDescent="0.35">
      <c r="A28" s="414" t="s">
        <v>142</v>
      </c>
      <c r="B28" s="396">
        <v>13.4</v>
      </c>
      <c r="C28" s="397">
        <v>7.4</v>
      </c>
      <c r="D28" s="394"/>
      <c r="E28" s="400" t="s">
        <v>167</v>
      </c>
      <c r="F28" s="401">
        <v>9.4</v>
      </c>
      <c r="G28" s="402">
        <v>7</v>
      </c>
      <c r="R28" s="66" t="s">
        <v>59</v>
      </c>
      <c r="S28" s="117">
        <f>TDIST(S25,S23,1)</f>
        <v>9.803663643478285E-6</v>
      </c>
      <c r="U28" s="168" t="s">
        <v>401</v>
      </c>
      <c r="X28" s="66" t="s">
        <v>44</v>
      </c>
      <c r="Y28" s="117">
        <v>0.05</v>
      </c>
      <c r="Z28" s="66"/>
      <c r="AA28" s="66"/>
      <c r="AB28" s="66"/>
      <c r="AC28" s="66"/>
    </row>
    <row r="29" spans="1:29" ht="15.5" x14ac:dyDescent="0.35">
      <c r="A29" s="395" t="s">
        <v>143</v>
      </c>
      <c r="B29" s="396">
        <v>14.8</v>
      </c>
      <c r="C29" s="397">
        <v>5.8</v>
      </c>
      <c r="D29" s="394"/>
      <c r="E29" s="394"/>
      <c r="F29" s="394"/>
      <c r="G29" s="394"/>
      <c r="R29" s="66" t="s">
        <v>270</v>
      </c>
      <c r="S29" s="120" t="str">
        <f>IF(S28&lt;S26,"yes","no")</f>
        <v>yes</v>
      </c>
      <c r="U29" s="9" t="e" cm="1">
        <f t="array" aca="1" ref="U29" ca="1">FTEXT(S29)</f>
        <v>#NAME?</v>
      </c>
      <c r="X29" s="66" t="s">
        <v>185</v>
      </c>
      <c r="Y29" s="117">
        <f>NORMSINV(1-Y28)</f>
        <v>1.6448536269514715</v>
      </c>
      <c r="Z29" s="66"/>
      <c r="AA29" s="198" t="s">
        <v>404</v>
      </c>
      <c r="AB29" s="66"/>
      <c r="AC29" s="66"/>
    </row>
    <row r="30" spans="1:29" ht="15.5" x14ac:dyDescent="0.35">
      <c r="A30" s="395" t="s">
        <v>144</v>
      </c>
      <c r="B30" s="396">
        <v>10.8</v>
      </c>
      <c r="C30" s="397">
        <v>5.6</v>
      </c>
      <c r="D30" s="394"/>
      <c r="E30" s="394"/>
      <c r="F30" s="394"/>
      <c r="G30" s="394"/>
      <c r="X30" s="66" t="s">
        <v>59</v>
      </c>
      <c r="Y30" s="117">
        <f>1-NORMSDIST(Y27)</f>
        <v>5.8557988426022334E-6</v>
      </c>
      <c r="Z30" s="66"/>
      <c r="AA30" s="198" t="s">
        <v>405</v>
      </c>
      <c r="AB30" s="66"/>
      <c r="AC30" s="66"/>
    </row>
    <row r="31" spans="1:29" ht="15.5" x14ac:dyDescent="0.35">
      <c r="A31" s="395" t="s">
        <v>145</v>
      </c>
      <c r="B31" s="396">
        <v>11.3</v>
      </c>
      <c r="C31" s="397">
        <v>6.4</v>
      </c>
      <c r="D31" s="394"/>
      <c r="E31" s="395" t="s">
        <v>168</v>
      </c>
      <c r="F31" s="394"/>
      <c r="G31" s="394"/>
      <c r="X31" s="66" t="s">
        <v>270</v>
      </c>
      <c r="Y31" s="120" t="str">
        <f>IF(Y30&lt;Y28,"yes","no")</f>
        <v>yes</v>
      </c>
      <c r="Z31" s="145"/>
      <c r="AA31" s="66" t="e" cm="1">
        <f t="array" aca="1" ref="AA31" ca="1">FTEXT(Y31)</f>
        <v>#NAME?</v>
      </c>
      <c r="AB31" s="66"/>
      <c r="AC31" s="66"/>
    </row>
    <row r="32" spans="1:29" ht="15.5" x14ac:dyDescent="0.35">
      <c r="A32" s="395" t="s">
        <v>146</v>
      </c>
      <c r="B32" s="396">
        <v>7.6</v>
      </c>
      <c r="C32" s="397">
        <v>6.1</v>
      </c>
      <c r="D32" s="394"/>
      <c r="E32" s="395" t="s">
        <v>169</v>
      </c>
      <c r="F32" s="394"/>
      <c r="G32" s="394"/>
      <c r="AB32" s="66"/>
      <c r="AC32" s="66"/>
    </row>
    <row r="33" spans="1:29" ht="15.5" x14ac:dyDescent="0.35">
      <c r="A33" s="395" t="s">
        <v>147</v>
      </c>
      <c r="B33" s="396">
        <v>8.6999999999999993</v>
      </c>
      <c r="C33" s="397">
        <v>5.5</v>
      </c>
      <c r="D33" s="394"/>
      <c r="E33" s="394"/>
      <c r="F33" s="394"/>
      <c r="G33" s="394"/>
      <c r="AB33" s="66"/>
      <c r="AC33" s="66"/>
    </row>
    <row r="34" spans="1:29" ht="15.5" x14ac:dyDescent="0.35">
      <c r="A34" s="395" t="s">
        <v>148</v>
      </c>
      <c r="B34" s="396">
        <v>17.100000000000001</v>
      </c>
      <c r="C34" s="397">
        <v>5.8</v>
      </c>
      <c r="D34" s="394"/>
      <c r="E34" s="394"/>
      <c r="F34" s="394"/>
      <c r="G34" s="394"/>
      <c r="AB34" s="66"/>
      <c r="AC34" s="66"/>
    </row>
    <row r="35" spans="1:29" ht="15.5" x14ac:dyDescent="0.35">
      <c r="A35" s="395" t="s">
        <v>149</v>
      </c>
      <c r="B35" s="396">
        <v>13.6</v>
      </c>
      <c r="C35" s="397">
        <v>5.6</v>
      </c>
      <c r="D35" s="394"/>
      <c r="E35" s="394"/>
      <c r="F35" s="394"/>
      <c r="G35" s="394"/>
      <c r="AB35" s="66"/>
      <c r="AC35" s="66"/>
    </row>
    <row r="36" spans="1:29" ht="15.5" x14ac:dyDescent="0.35">
      <c r="A36" s="395" t="s">
        <v>150</v>
      </c>
      <c r="B36" s="396">
        <v>14.6</v>
      </c>
      <c r="C36" s="397">
        <v>8.1</v>
      </c>
      <c r="D36" s="394"/>
      <c r="E36" s="394"/>
      <c r="F36" s="394"/>
      <c r="G36" s="394"/>
      <c r="AB36" s="66"/>
      <c r="AC36" s="66"/>
    </row>
    <row r="37" spans="1:29" ht="15.5" x14ac:dyDescent="0.35">
      <c r="A37" s="395" t="s">
        <v>151</v>
      </c>
      <c r="B37" s="399">
        <v>12</v>
      </c>
      <c r="C37" s="397">
        <v>5.8</v>
      </c>
      <c r="D37" s="394"/>
      <c r="E37" s="394"/>
      <c r="F37" s="394"/>
      <c r="G37" s="394"/>
    </row>
    <row r="38" spans="1:29" ht="15.5" x14ac:dyDescent="0.35">
      <c r="A38" s="395" t="s">
        <v>152</v>
      </c>
      <c r="B38" s="396">
        <v>13.4</v>
      </c>
      <c r="C38" s="397">
        <v>7.8</v>
      </c>
      <c r="D38" s="394"/>
      <c r="E38" s="394"/>
      <c r="F38" s="394"/>
      <c r="G38" s="394"/>
    </row>
    <row r="39" spans="1:29" ht="15.5" x14ac:dyDescent="0.35">
      <c r="A39" s="395" t="s">
        <v>153</v>
      </c>
      <c r="B39" s="396">
        <v>15.9</v>
      </c>
      <c r="C39" s="397">
        <v>8</v>
      </c>
      <c r="D39" s="394"/>
      <c r="E39" s="394"/>
      <c r="F39" s="394"/>
      <c r="G39" s="394"/>
    </row>
    <row r="40" spans="1:29" ht="15.5" x14ac:dyDescent="0.35">
      <c r="A40" s="395" t="s">
        <v>154</v>
      </c>
      <c r="B40" s="396">
        <v>13.6</v>
      </c>
      <c r="C40" s="397">
        <v>5.5</v>
      </c>
      <c r="D40" s="394"/>
      <c r="E40" s="394"/>
      <c r="F40" s="394"/>
      <c r="G40" s="394"/>
    </row>
    <row r="41" spans="1:29" ht="15.5" x14ac:dyDescent="0.35">
      <c r="A41" s="395" t="s">
        <v>155</v>
      </c>
      <c r="B41" s="396">
        <v>12.1</v>
      </c>
      <c r="C41" s="397">
        <v>7.6</v>
      </c>
      <c r="D41" s="394"/>
      <c r="E41" s="394"/>
      <c r="F41" s="394"/>
      <c r="G41" s="394"/>
    </row>
    <row r="42" spans="1:29" ht="15.5" x14ac:dyDescent="0.35">
      <c r="A42" s="395" t="s">
        <v>156</v>
      </c>
      <c r="B42" s="396">
        <v>11.7</v>
      </c>
      <c r="C42" s="397">
        <v>6.1</v>
      </c>
      <c r="D42" s="394"/>
      <c r="E42" s="394"/>
      <c r="F42" s="394"/>
      <c r="G42" s="394"/>
    </row>
    <row r="43" spans="1:29" ht="15.5" x14ac:dyDescent="0.35">
      <c r="A43" s="395" t="s">
        <v>157</v>
      </c>
      <c r="B43" s="396">
        <v>15.7</v>
      </c>
      <c r="C43" s="397">
        <v>8.4</v>
      </c>
      <c r="D43" s="394"/>
      <c r="E43" s="394"/>
      <c r="F43" s="394"/>
      <c r="G43" s="394"/>
    </row>
    <row r="44" spans="1:29" ht="15.5" x14ac:dyDescent="0.35">
      <c r="A44" s="395" t="s">
        <v>158</v>
      </c>
      <c r="B44" s="396">
        <v>12.5</v>
      </c>
      <c r="C44" s="397">
        <v>6.9</v>
      </c>
      <c r="D44" s="394"/>
      <c r="E44" s="394"/>
      <c r="F44" s="394"/>
      <c r="G44" s="394"/>
    </row>
    <row r="45" spans="1:29" ht="15.5" x14ac:dyDescent="0.35">
      <c r="A45" s="395" t="s">
        <v>159</v>
      </c>
      <c r="B45" s="396">
        <v>15.5</v>
      </c>
      <c r="C45" s="397">
        <v>8.6999999999999993</v>
      </c>
      <c r="D45" s="394"/>
      <c r="E45" s="394"/>
      <c r="F45" s="394"/>
      <c r="G45" s="394"/>
    </row>
    <row r="46" spans="1:29" ht="15.5" x14ac:dyDescent="0.35">
      <c r="A46" s="395" t="s">
        <v>160</v>
      </c>
      <c r="B46" s="396">
        <v>15.8</v>
      </c>
      <c r="C46" s="397">
        <v>6.2</v>
      </c>
      <c r="D46" s="394"/>
      <c r="E46" s="394"/>
      <c r="F46" s="394"/>
      <c r="G46" s="394"/>
    </row>
    <row r="47" spans="1:29" ht="15.5" x14ac:dyDescent="0.35">
      <c r="A47" s="395" t="s">
        <v>161</v>
      </c>
      <c r="B47" s="396">
        <v>9.6</v>
      </c>
      <c r="C47" s="397">
        <v>5.0999999999999996</v>
      </c>
      <c r="D47" s="394"/>
      <c r="E47" s="394"/>
      <c r="F47" s="394"/>
      <c r="G47" s="394"/>
    </row>
    <row r="48" spans="1:29" ht="15.5" x14ac:dyDescent="0.35">
      <c r="A48" s="395" t="s">
        <v>162</v>
      </c>
      <c r="B48" s="396">
        <v>10.6</v>
      </c>
      <c r="C48" s="397">
        <v>5.5</v>
      </c>
      <c r="D48" s="394"/>
      <c r="E48" s="394"/>
      <c r="F48" s="394"/>
      <c r="G48" s="394"/>
    </row>
    <row r="49" spans="1:7" ht="15.5" x14ac:dyDescent="0.35">
      <c r="A49" s="395" t="s">
        <v>163</v>
      </c>
      <c r="B49" s="396">
        <v>10.199999999999999</v>
      </c>
      <c r="C49" s="397">
        <v>7.1</v>
      </c>
      <c r="D49" s="394"/>
      <c r="E49" s="394"/>
      <c r="F49" s="394"/>
      <c r="G49" s="394"/>
    </row>
    <row r="50" spans="1:7" ht="15.5" x14ac:dyDescent="0.35">
      <c r="A50" s="395" t="s">
        <v>164</v>
      </c>
      <c r="B50" s="396">
        <v>11.3</v>
      </c>
      <c r="C50" s="397">
        <v>4.7</v>
      </c>
      <c r="D50" s="394"/>
      <c r="E50" s="394"/>
      <c r="F50" s="394"/>
      <c r="G50" s="394"/>
    </row>
    <row r="51" spans="1:7" ht="15.5" x14ac:dyDescent="0.35">
      <c r="A51" s="395" t="s">
        <v>165</v>
      </c>
      <c r="B51" s="399">
        <v>17</v>
      </c>
      <c r="C51" s="397">
        <v>7.4</v>
      </c>
      <c r="D51" s="394"/>
      <c r="E51" s="394"/>
      <c r="F51" s="394"/>
      <c r="G51" s="394"/>
    </row>
    <row r="52" spans="1:7" ht="15.5" x14ac:dyDescent="0.35">
      <c r="A52" s="395" t="s">
        <v>166</v>
      </c>
      <c r="B52" s="396">
        <v>10.4</v>
      </c>
      <c r="C52" s="397">
        <v>6.4</v>
      </c>
      <c r="D52" s="394"/>
      <c r="E52" s="394"/>
      <c r="F52" s="394"/>
      <c r="G52" s="394"/>
    </row>
    <row r="53" spans="1:7" ht="15.5" x14ac:dyDescent="0.35">
      <c r="A53" s="400" t="s">
        <v>167</v>
      </c>
      <c r="B53" s="401">
        <v>9.4</v>
      </c>
      <c r="C53" s="402">
        <v>7</v>
      </c>
      <c r="D53" s="394"/>
      <c r="E53" s="394"/>
      <c r="F53" s="394"/>
      <c r="G53" s="394"/>
    </row>
    <row r="54" spans="1:7" ht="15.5" x14ac:dyDescent="0.35">
      <c r="A54" s="394"/>
      <c r="B54" s="394"/>
      <c r="C54" s="394"/>
      <c r="D54" s="394"/>
      <c r="E54" s="394"/>
      <c r="F54" s="394"/>
      <c r="G54" s="394"/>
    </row>
    <row r="55" spans="1:7" ht="15.5" x14ac:dyDescent="0.35">
      <c r="A55" s="394"/>
      <c r="B55" s="394"/>
      <c r="C55" s="394"/>
      <c r="D55" s="394"/>
      <c r="E55" s="394"/>
      <c r="F55" s="394"/>
      <c r="G55" s="394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54"/>
  <dimension ref="A1:D27"/>
  <sheetViews>
    <sheetView workbookViewId="0"/>
  </sheetViews>
  <sheetFormatPr defaultRowHeight="14.5" x14ac:dyDescent="0.35"/>
  <cols>
    <col min="3" max="3" width="3.1796875" customWidth="1"/>
    <col min="4" max="4" width="25.26953125" customWidth="1"/>
  </cols>
  <sheetData>
    <row r="1" spans="1:4" x14ac:dyDescent="0.35">
      <c r="A1" s="1" t="s">
        <v>414</v>
      </c>
    </row>
    <row r="2" spans="1:4" x14ac:dyDescent="0.35">
      <c r="A2" s="1"/>
    </row>
    <row r="3" spans="1:4" x14ac:dyDescent="0.35">
      <c r="A3" s="1"/>
      <c r="B3" t="s">
        <v>292</v>
      </c>
    </row>
    <row r="5" spans="1:4" x14ac:dyDescent="0.35">
      <c r="A5" s="66" t="s">
        <v>95</v>
      </c>
      <c r="B5" s="107">
        <v>0.19700000000000001</v>
      </c>
    </row>
    <row r="6" spans="1:4" x14ac:dyDescent="0.35">
      <c r="A6" s="91" t="s">
        <v>179</v>
      </c>
      <c r="B6" s="117">
        <v>0</v>
      </c>
    </row>
    <row r="7" spans="1:4" x14ac:dyDescent="0.35">
      <c r="A7" s="66" t="s">
        <v>31</v>
      </c>
      <c r="B7" s="100">
        <v>100</v>
      </c>
    </row>
    <row r="8" spans="1:4" x14ac:dyDescent="0.35">
      <c r="A8" s="66" t="s">
        <v>53</v>
      </c>
      <c r="B8" s="100">
        <f>B7-2</f>
        <v>98</v>
      </c>
      <c r="D8" t="e" cm="1">
        <f t="array" aca="1" ref="D8" ca="1">FTEXT(B8)</f>
        <v>#NAME?</v>
      </c>
    </row>
    <row r="9" spans="1:4" ht="16.5" x14ac:dyDescent="0.45">
      <c r="A9" s="66" t="s">
        <v>104</v>
      </c>
      <c r="B9" s="100">
        <f>SQRT((1-B5^2)/B8)</f>
        <v>9.9035707846066454E-2</v>
      </c>
      <c r="D9" t="e" cm="1">
        <f t="array" aca="1" ref="D9" ca="1">FTEXT(B9)</f>
        <v>#NAME?</v>
      </c>
    </row>
    <row r="10" spans="1:4" x14ac:dyDescent="0.35">
      <c r="A10" s="66" t="s">
        <v>56</v>
      </c>
      <c r="B10" s="100">
        <f>B5/B9</f>
        <v>1.9891815213377559</v>
      </c>
      <c r="D10" t="e" cm="1">
        <f t="array" aca="1" ref="D10" ca="1">FTEXT(B10)</f>
        <v>#NAME?</v>
      </c>
    </row>
    <row r="11" spans="1:4" x14ac:dyDescent="0.35">
      <c r="A11" s="66" t="s">
        <v>44</v>
      </c>
      <c r="B11" s="100">
        <v>0.05</v>
      </c>
    </row>
    <row r="12" spans="1:4" x14ac:dyDescent="0.35">
      <c r="A12" s="66" t="s">
        <v>60</v>
      </c>
      <c r="B12" s="100">
        <f>TINV(B11,B8)</f>
        <v>1.9844674545084788</v>
      </c>
      <c r="D12" s="7" t="s">
        <v>415</v>
      </c>
    </row>
    <row r="13" spans="1:4" x14ac:dyDescent="0.35">
      <c r="A13" s="66" t="s">
        <v>59</v>
      </c>
      <c r="B13" s="117">
        <f>TDIST(ABS(B10),B8,2)</f>
        <v>4.9468766956677193E-2</v>
      </c>
      <c r="D13" s="7" t="s">
        <v>416</v>
      </c>
    </row>
    <row r="14" spans="1:4" x14ac:dyDescent="0.35">
      <c r="A14" s="66" t="s">
        <v>270</v>
      </c>
      <c r="B14" s="120" t="str">
        <f>IF(B13&lt;B11,"yes","no")</f>
        <v>yes</v>
      </c>
      <c r="D14" t="e" cm="1">
        <f t="array" aca="1" ref="D14" ca="1">FTEXT(B14)</f>
        <v>#NAME?</v>
      </c>
    </row>
    <row r="16" spans="1:4" x14ac:dyDescent="0.35">
      <c r="A16" s="1"/>
      <c r="B16" t="s">
        <v>291</v>
      </c>
    </row>
    <row r="18" spans="1:4" x14ac:dyDescent="0.35">
      <c r="A18" s="66" t="s">
        <v>95</v>
      </c>
      <c r="B18" s="107">
        <v>0.19700000000000001</v>
      </c>
    </row>
    <row r="19" spans="1:4" x14ac:dyDescent="0.35">
      <c r="A19" s="91" t="s">
        <v>179</v>
      </c>
      <c r="B19" s="117">
        <v>0</v>
      </c>
    </row>
    <row r="20" spans="1:4" x14ac:dyDescent="0.35">
      <c r="A20" s="66" t="s">
        <v>31</v>
      </c>
      <c r="B20" s="100">
        <v>100</v>
      </c>
    </row>
    <row r="21" spans="1:4" x14ac:dyDescent="0.35">
      <c r="A21" s="66" t="s">
        <v>53</v>
      </c>
      <c r="B21" s="100">
        <f>B20-2</f>
        <v>98</v>
      </c>
      <c r="D21" t="e" cm="1">
        <f t="array" aca="1" ref="D21" ca="1">FTEXT(B21)</f>
        <v>#NAME?</v>
      </c>
    </row>
    <row r="22" spans="1:4" ht="16.5" x14ac:dyDescent="0.45">
      <c r="A22" s="66" t="s">
        <v>104</v>
      </c>
      <c r="B22" s="100">
        <f>SQRT((1-B18^2)/B21)</f>
        <v>9.9035707846066454E-2</v>
      </c>
      <c r="D22" t="e" cm="1">
        <f t="array" aca="1" ref="D22" ca="1">FTEXT(B22)</f>
        <v>#NAME?</v>
      </c>
    </row>
    <row r="23" spans="1:4" x14ac:dyDescent="0.35">
      <c r="A23" s="66" t="s">
        <v>56</v>
      </c>
      <c r="B23" s="100">
        <f>B18/B22</f>
        <v>1.9891815213377559</v>
      </c>
      <c r="D23" t="e" cm="1">
        <f t="array" aca="1" ref="D23" ca="1">FTEXT(B23)</f>
        <v>#NAME?</v>
      </c>
    </row>
    <row r="24" spans="1:4" x14ac:dyDescent="0.35">
      <c r="A24" s="66" t="s">
        <v>44</v>
      </c>
      <c r="B24" s="100">
        <v>0.05</v>
      </c>
    </row>
    <row r="25" spans="1:4" x14ac:dyDescent="0.35">
      <c r="A25" s="66" t="s">
        <v>60</v>
      </c>
      <c r="B25" s="100">
        <f>TINV(B24*2,B21)</f>
        <v>1.6605512170657302</v>
      </c>
      <c r="D25" s="7" t="s">
        <v>417</v>
      </c>
    </row>
    <row r="26" spans="1:4" x14ac:dyDescent="0.35">
      <c r="A26" s="66" t="s">
        <v>59</v>
      </c>
      <c r="B26" s="117">
        <f>TDIST(ABS(B23),B21,1)</f>
        <v>2.4734383478338597E-2</v>
      </c>
      <c r="D26" s="7" t="s">
        <v>418</v>
      </c>
    </row>
    <row r="27" spans="1:4" x14ac:dyDescent="0.35">
      <c r="A27" s="66" t="s">
        <v>270</v>
      </c>
      <c r="B27" s="120" t="str">
        <f>IF(B26&lt;B24,"yes","no")</f>
        <v>yes</v>
      </c>
      <c r="D27" t="e" cm="1">
        <f t="array" aca="1" ref="D27" ca="1">FTEXT(B27)</f>
        <v>#NAME?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7"/>
  <dimension ref="A1:Z63"/>
  <sheetViews>
    <sheetView workbookViewId="0"/>
  </sheetViews>
  <sheetFormatPr defaultRowHeight="14.5" x14ac:dyDescent="0.35"/>
  <cols>
    <col min="1" max="1" width="15" style="9" customWidth="1"/>
    <col min="2" max="10" width="11.26953125" style="9" customWidth="1"/>
    <col min="11" max="11" width="9.1796875" style="9"/>
    <col min="12" max="21" width="12.7265625" style="9" customWidth="1"/>
    <col min="22" max="24" width="9.1796875" style="9"/>
    <col min="25" max="25" width="4.81640625" style="9" customWidth="1"/>
    <col min="26" max="26" width="35" style="9" customWidth="1"/>
    <col min="27" max="256" width="9.1796875" style="9"/>
    <col min="257" max="257" width="15" style="9" customWidth="1"/>
    <col min="258" max="266" width="11.26953125" style="9" customWidth="1"/>
    <col min="267" max="512" width="9.1796875" style="9"/>
    <col min="513" max="513" width="15" style="9" customWidth="1"/>
    <col min="514" max="522" width="11.26953125" style="9" customWidth="1"/>
    <col min="523" max="768" width="9.1796875" style="9"/>
    <col min="769" max="769" width="15" style="9" customWidth="1"/>
    <col min="770" max="778" width="11.26953125" style="9" customWidth="1"/>
    <col min="779" max="1024" width="9.1796875" style="9"/>
    <col min="1025" max="1025" width="15" style="9" customWidth="1"/>
    <col min="1026" max="1034" width="11.26953125" style="9" customWidth="1"/>
    <col min="1035" max="1280" width="9.1796875" style="9"/>
    <col min="1281" max="1281" width="15" style="9" customWidth="1"/>
    <col min="1282" max="1290" width="11.26953125" style="9" customWidth="1"/>
    <col min="1291" max="1536" width="9.1796875" style="9"/>
    <col min="1537" max="1537" width="15" style="9" customWidth="1"/>
    <col min="1538" max="1546" width="11.26953125" style="9" customWidth="1"/>
    <col min="1547" max="1792" width="9.1796875" style="9"/>
    <col min="1793" max="1793" width="15" style="9" customWidth="1"/>
    <col min="1794" max="1802" width="11.26953125" style="9" customWidth="1"/>
    <col min="1803" max="2048" width="9.1796875" style="9"/>
    <col min="2049" max="2049" width="15" style="9" customWidth="1"/>
    <col min="2050" max="2058" width="11.26953125" style="9" customWidth="1"/>
    <col min="2059" max="2304" width="9.1796875" style="9"/>
    <col min="2305" max="2305" width="15" style="9" customWidth="1"/>
    <col min="2306" max="2314" width="11.26953125" style="9" customWidth="1"/>
    <col min="2315" max="2560" width="9.1796875" style="9"/>
    <col min="2561" max="2561" width="15" style="9" customWidth="1"/>
    <col min="2562" max="2570" width="11.26953125" style="9" customWidth="1"/>
    <col min="2571" max="2816" width="9.1796875" style="9"/>
    <col min="2817" max="2817" width="15" style="9" customWidth="1"/>
    <col min="2818" max="2826" width="11.26953125" style="9" customWidth="1"/>
    <col min="2827" max="3072" width="9.1796875" style="9"/>
    <col min="3073" max="3073" width="15" style="9" customWidth="1"/>
    <col min="3074" max="3082" width="11.26953125" style="9" customWidth="1"/>
    <col min="3083" max="3328" width="9.1796875" style="9"/>
    <col min="3329" max="3329" width="15" style="9" customWidth="1"/>
    <col min="3330" max="3338" width="11.26953125" style="9" customWidth="1"/>
    <col min="3339" max="3584" width="9.1796875" style="9"/>
    <col min="3585" max="3585" width="15" style="9" customWidth="1"/>
    <col min="3586" max="3594" width="11.26953125" style="9" customWidth="1"/>
    <col min="3595" max="3840" width="9.1796875" style="9"/>
    <col min="3841" max="3841" width="15" style="9" customWidth="1"/>
    <col min="3842" max="3850" width="11.26953125" style="9" customWidth="1"/>
    <col min="3851" max="4096" width="9.1796875" style="9"/>
    <col min="4097" max="4097" width="15" style="9" customWidth="1"/>
    <col min="4098" max="4106" width="11.26953125" style="9" customWidth="1"/>
    <col min="4107" max="4352" width="9.1796875" style="9"/>
    <col min="4353" max="4353" width="15" style="9" customWidth="1"/>
    <col min="4354" max="4362" width="11.26953125" style="9" customWidth="1"/>
    <col min="4363" max="4608" width="9.1796875" style="9"/>
    <col min="4609" max="4609" width="15" style="9" customWidth="1"/>
    <col min="4610" max="4618" width="11.26953125" style="9" customWidth="1"/>
    <col min="4619" max="4864" width="9.1796875" style="9"/>
    <col min="4865" max="4865" width="15" style="9" customWidth="1"/>
    <col min="4866" max="4874" width="11.26953125" style="9" customWidth="1"/>
    <col min="4875" max="5120" width="9.1796875" style="9"/>
    <col min="5121" max="5121" width="15" style="9" customWidth="1"/>
    <col min="5122" max="5130" width="11.26953125" style="9" customWidth="1"/>
    <col min="5131" max="5376" width="9.1796875" style="9"/>
    <col min="5377" max="5377" width="15" style="9" customWidth="1"/>
    <col min="5378" max="5386" width="11.26953125" style="9" customWidth="1"/>
    <col min="5387" max="5632" width="9.1796875" style="9"/>
    <col min="5633" max="5633" width="15" style="9" customWidth="1"/>
    <col min="5634" max="5642" width="11.26953125" style="9" customWidth="1"/>
    <col min="5643" max="5888" width="9.1796875" style="9"/>
    <col min="5889" max="5889" width="15" style="9" customWidth="1"/>
    <col min="5890" max="5898" width="11.26953125" style="9" customWidth="1"/>
    <col min="5899" max="6144" width="9.1796875" style="9"/>
    <col min="6145" max="6145" width="15" style="9" customWidth="1"/>
    <col min="6146" max="6154" width="11.26953125" style="9" customWidth="1"/>
    <col min="6155" max="6400" width="9.1796875" style="9"/>
    <col min="6401" max="6401" width="15" style="9" customWidth="1"/>
    <col min="6402" max="6410" width="11.26953125" style="9" customWidth="1"/>
    <col min="6411" max="6656" width="9.1796875" style="9"/>
    <col min="6657" max="6657" width="15" style="9" customWidth="1"/>
    <col min="6658" max="6666" width="11.26953125" style="9" customWidth="1"/>
    <col min="6667" max="6912" width="9.1796875" style="9"/>
    <col min="6913" max="6913" width="15" style="9" customWidth="1"/>
    <col min="6914" max="6922" width="11.26953125" style="9" customWidth="1"/>
    <col min="6923" max="7168" width="9.1796875" style="9"/>
    <col min="7169" max="7169" width="15" style="9" customWidth="1"/>
    <col min="7170" max="7178" width="11.26953125" style="9" customWidth="1"/>
    <col min="7179" max="7424" width="9.1796875" style="9"/>
    <col min="7425" max="7425" width="15" style="9" customWidth="1"/>
    <col min="7426" max="7434" width="11.26953125" style="9" customWidth="1"/>
    <col min="7435" max="7680" width="9.1796875" style="9"/>
    <col min="7681" max="7681" width="15" style="9" customWidth="1"/>
    <col min="7682" max="7690" width="11.26953125" style="9" customWidth="1"/>
    <col min="7691" max="7936" width="9.1796875" style="9"/>
    <col min="7937" max="7937" width="15" style="9" customWidth="1"/>
    <col min="7938" max="7946" width="11.26953125" style="9" customWidth="1"/>
    <col min="7947" max="8192" width="9.1796875" style="9"/>
    <col min="8193" max="8193" width="15" style="9" customWidth="1"/>
    <col min="8194" max="8202" width="11.26953125" style="9" customWidth="1"/>
    <col min="8203" max="8448" width="9.1796875" style="9"/>
    <col min="8449" max="8449" width="15" style="9" customWidth="1"/>
    <col min="8450" max="8458" width="11.26953125" style="9" customWidth="1"/>
    <col min="8459" max="8704" width="9.1796875" style="9"/>
    <col min="8705" max="8705" width="15" style="9" customWidth="1"/>
    <col min="8706" max="8714" width="11.26953125" style="9" customWidth="1"/>
    <col min="8715" max="8960" width="9.1796875" style="9"/>
    <col min="8961" max="8961" width="15" style="9" customWidth="1"/>
    <col min="8962" max="8970" width="11.26953125" style="9" customWidth="1"/>
    <col min="8971" max="9216" width="9.1796875" style="9"/>
    <col min="9217" max="9217" width="15" style="9" customWidth="1"/>
    <col min="9218" max="9226" width="11.26953125" style="9" customWidth="1"/>
    <col min="9227" max="9472" width="9.1796875" style="9"/>
    <col min="9473" max="9473" width="15" style="9" customWidth="1"/>
    <col min="9474" max="9482" width="11.26953125" style="9" customWidth="1"/>
    <col min="9483" max="9728" width="9.1796875" style="9"/>
    <col min="9729" max="9729" width="15" style="9" customWidth="1"/>
    <col min="9730" max="9738" width="11.26953125" style="9" customWidth="1"/>
    <col min="9739" max="9984" width="9.1796875" style="9"/>
    <col min="9985" max="9985" width="15" style="9" customWidth="1"/>
    <col min="9986" max="9994" width="11.26953125" style="9" customWidth="1"/>
    <col min="9995" max="10240" width="9.1796875" style="9"/>
    <col min="10241" max="10241" width="15" style="9" customWidth="1"/>
    <col min="10242" max="10250" width="11.26953125" style="9" customWidth="1"/>
    <col min="10251" max="10496" width="9.1796875" style="9"/>
    <col min="10497" max="10497" width="15" style="9" customWidth="1"/>
    <col min="10498" max="10506" width="11.26953125" style="9" customWidth="1"/>
    <col min="10507" max="10752" width="9.1796875" style="9"/>
    <col min="10753" max="10753" width="15" style="9" customWidth="1"/>
    <col min="10754" max="10762" width="11.26953125" style="9" customWidth="1"/>
    <col min="10763" max="11008" width="9.1796875" style="9"/>
    <col min="11009" max="11009" width="15" style="9" customWidth="1"/>
    <col min="11010" max="11018" width="11.26953125" style="9" customWidth="1"/>
    <col min="11019" max="11264" width="9.1796875" style="9"/>
    <col min="11265" max="11265" width="15" style="9" customWidth="1"/>
    <col min="11266" max="11274" width="11.26953125" style="9" customWidth="1"/>
    <col min="11275" max="11520" width="9.1796875" style="9"/>
    <col min="11521" max="11521" width="15" style="9" customWidth="1"/>
    <col min="11522" max="11530" width="11.26953125" style="9" customWidth="1"/>
    <col min="11531" max="11776" width="9.1796875" style="9"/>
    <col min="11777" max="11777" width="15" style="9" customWidth="1"/>
    <col min="11778" max="11786" width="11.26953125" style="9" customWidth="1"/>
    <col min="11787" max="12032" width="9.1796875" style="9"/>
    <col min="12033" max="12033" width="15" style="9" customWidth="1"/>
    <col min="12034" max="12042" width="11.26953125" style="9" customWidth="1"/>
    <col min="12043" max="12288" width="9.1796875" style="9"/>
    <col min="12289" max="12289" width="15" style="9" customWidth="1"/>
    <col min="12290" max="12298" width="11.26953125" style="9" customWidth="1"/>
    <col min="12299" max="12544" width="9.1796875" style="9"/>
    <col min="12545" max="12545" width="15" style="9" customWidth="1"/>
    <col min="12546" max="12554" width="11.26953125" style="9" customWidth="1"/>
    <col min="12555" max="12800" width="9.1796875" style="9"/>
    <col min="12801" max="12801" width="15" style="9" customWidth="1"/>
    <col min="12802" max="12810" width="11.26953125" style="9" customWidth="1"/>
    <col min="12811" max="13056" width="9.1796875" style="9"/>
    <col min="13057" max="13057" width="15" style="9" customWidth="1"/>
    <col min="13058" max="13066" width="11.26953125" style="9" customWidth="1"/>
    <col min="13067" max="13312" width="9.1796875" style="9"/>
    <col min="13313" max="13313" width="15" style="9" customWidth="1"/>
    <col min="13314" max="13322" width="11.26953125" style="9" customWidth="1"/>
    <col min="13323" max="13568" width="9.1796875" style="9"/>
    <col min="13569" max="13569" width="15" style="9" customWidth="1"/>
    <col min="13570" max="13578" width="11.26953125" style="9" customWidth="1"/>
    <col min="13579" max="13824" width="9.1796875" style="9"/>
    <col min="13825" max="13825" width="15" style="9" customWidth="1"/>
    <col min="13826" max="13834" width="11.26953125" style="9" customWidth="1"/>
    <col min="13835" max="14080" width="9.1796875" style="9"/>
    <col min="14081" max="14081" width="15" style="9" customWidth="1"/>
    <col min="14082" max="14090" width="11.26953125" style="9" customWidth="1"/>
    <col min="14091" max="14336" width="9.1796875" style="9"/>
    <col min="14337" max="14337" width="15" style="9" customWidth="1"/>
    <col min="14338" max="14346" width="11.26953125" style="9" customWidth="1"/>
    <col min="14347" max="14592" width="9.1796875" style="9"/>
    <col min="14593" max="14593" width="15" style="9" customWidth="1"/>
    <col min="14594" max="14602" width="11.26953125" style="9" customWidth="1"/>
    <col min="14603" max="14848" width="9.1796875" style="9"/>
    <col min="14849" max="14849" width="15" style="9" customWidth="1"/>
    <col min="14850" max="14858" width="11.26953125" style="9" customWidth="1"/>
    <col min="14859" max="15104" width="9.1796875" style="9"/>
    <col min="15105" max="15105" width="15" style="9" customWidth="1"/>
    <col min="15106" max="15114" width="11.26953125" style="9" customWidth="1"/>
    <col min="15115" max="15360" width="9.1796875" style="9"/>
    <col min="15361" max="15361" width="15" style="9" customWidth="1"/>
    <col min="15362" max="15370" width="11.26953125" style="9" customWidth="1"/>
    <col min="15371" max="15616" width="9.1796875" style="9"/>
    <col min="15617" max="15617" width="15" style="9" customWidth="1"/>
    <col min="15618" max="15626" width="11.26953125" style="9" customWidth="1"/>
    <col min="15627" max="15872" width="9.1796875" style="9"/>
    <col min="15873" max="15873" width="15" style="9" customWidth="1"/>
    <col min="15874" max="15882" width="11.26953125" style="9" customWidth="1"/>
    <col min="15883" max="16128" width="9.1796875" style="9"/>
    <col min="16129" max="16129" width="15" style="9" customWidth="1"/>
    <col min="16130" max="16138" width="11.26953125" style="9" customWidth="1"/>
    <col min="16139" max="16384" width="9.1796875" style="9"/>
  </cols>
  <sheetData>
    <row r="1" spans="1:21" x14ac:dyDescent="0.35">
      <c r="A1" s="146" t="s">
        <v>438</v>
      </c>
      <c r="B1" s="33"/>
      <c r="C1" s="33"/>
      <c r="D1" s="33"/>
      <c r="E1" s="33"/>
      <c r="F1" s="33"/>
      <c r="G1" s="33"/>
      <c r="H1" s="33"/>
      <c r="I1" s="33"/>
      <c r="J1" s="33"/>
      <c r="L1" s="1" t="s">
        <v>194</v>
      </c>
    </row>
    <row r="2" spans="1:21" ht="15" thickBot="1" x14ac:dyDescent="0.4">
      <c r="A2" s="33"/>
      <c r="B2" s="33"/>
      <c r="C2" s="33"/>
      <c r="D2" s="33"/>
      <c r="E2" s="33"/>
      <c r="F2" s="33"/>
      <c r="G2" s="33"/>
      <c r="H2" s="33"/>
      <c r="I2" s="33"/>
      <c r="J2" s="33"/>
    </row>
    <row r="3" spans="1:21" x14ac:dyDescent="0.35">
      <c r="A3" s="34"/>
      <c r="B3" s="35" t="s">
        <v>110</v>
      </c>
      <c r="C3" s="35" t="s">
        <v>111</v>
      </c>
      <c r="D3" s="35" t="s">
        <v>112</v>
      </c>
      <c r="E3" s="35" t="s">
        <v>113</v>
      </c>
      <c r="F3" s="35" t="s">
        <v>114</v>
      </c>
      <c r="G3" s="35" t="s">
        <v>115</v>
      </c>
      <c r="H3" s="35" t="s">
        <v>116</v>
      </c>
      <c r="I3" s="35" t="s">
        <v>117</v>
      </c>
      <c r="J3" s="35" t="s">
        <v>2</v>
      </c>
      <c r="L3" s="10"/>
      <c r="M3" s="10" t="s">
        <v>110</v>
      </c>
      <c r="N3" s="10" t="s">
        <v>111</v>
      </c>
      <c r="O3" s="10" t="s">
        <v>112</v>
      </c>
      <c r="P3" s="10" t="s">
        <v>113</v>
      </c>
      <c r="Q3" s="10" t="s">
        <v>114</v>
      </c>
      <c r="R3" s="10" t="s">
        <v>115</v>
      </c>
      <c r="S3" s="10" t="s">
        <v>116</v>
      </c>
      <c r="T3" s="10" t="s">
        <v>117</v>
      </c>
      <c r="U3" s="10" t="s">
        <v>2</v>
      </c>
    </row>
    <row r="4" spans="1:21" x14ac:dyDescent="0.35">
      <c r="A4" s="33" t="s">
        <v>118</v>
      </c>
      <c r="B4" s="36">
        <v>15.7</v>
      </c>
      <c r="C4" s="37">
        <v>9</v>
      </c>
      <c r="D4" s="38">
        <v>71.027177760140717</v>
      </c>
      <c r="E4" s="39">
        <v>448</v>
      </c>
      <c r="F4" s="40">
        <v>218.17340830567619</v>
      </c>
      <c r="G4" s="41">
        <v>1.81</v>
      </c>
      <c r="H4" s="42">
        <v>22</v>
      </c>
      <c r="I4" s="43">
        <v>5</v>
      </c>
      <c r="J4" s="44">
        <v>42666</v>
      </c>
      <c r="L4" s="11" t="s">
        <v>110</v>
      </c>
      <c r="M4" s="11">
        <v>1</v>
      </c>
      <c r="N4" s="11"/>
      <c r="O4" s="11"/>
      <c r="P4" s="11"/>
      <c r="Q4" s="11"/>
      <c r="R4" s="11"/>
      <c r="S4" s="11"/>
      <c r="T4" s="11"/>
      <c r="U4" s="11"/>
    </row>
    <row r="5" spans="1:21" x14ac:dyDescent="0.35">
      <c r="A5" s="33" t="s">
        <v>119</v>
      </c>
      <c r="B5" s="36">
        <v>8.4</v>
      </c>
      <c r="C5" s="37">
        <v>6.9</v>
      </c>
      <c r="D5" s="38">
        <v>70.62318863808899</v>
      </c>
      <c r="E5" s="39">
        <v>661.2</v>
      </c>
      <c r="F5" s="40">
        <v>228.45028196578826</v>
      </c>
      <c r="G5" s="41">
        <v>1.63</v>
      </c>
      <c r="H5" s="42">
        <v>27.3</v>
      </c>
      <c r="I5" s="43">
        <v>6.7</v>
      </c>
      <c r="J5" s="44">
        <v>68460</v>
      </c>
      <c r="L5" s="11" t="s">
        <v>111</v>
      </c>
      <c r="M5" s="11">
        <v>0.56442956793415189</v>
      </c>
      <c r="N5" s="11">
        <v>1</v>
      </c>
      <c r="O5" s="11"/>
      <c r="P5" s="11"/>
      <c r="Q5" s="11"/>
      <c r="R5" s="11"/>
      <c r="S5" s="11"/>
      <c r="T5" s="11"/>
      <c r="U5" s="11"/>
    </row>
    <row r="6" spans="1:21" x14ac:dyDescent="0.35">
      <c r="A6" s="33" t="s">
        <v>120</v>
      </c>
      <c r="B6" s="36">
        <v>14.7</v>
      </c>
      <c r="C6" s="37">
        <v>6.4</v>
      </c>
      <c r="D6" s="38">
        <v>86.505696765320337</v>
      </c>
      <c r="E6" s="39">
        <v>482.7</v>
      </c>
      <c r="F6" s="40">
        <v>209.66657175716827</v>
      </c>
      <c r="G6" s="41">
        <v>1.69</v>
      </c>
      <c r="H6" s="42">
        <v>25.1</v>
      </c>
      <c r="I6" s="43">
        <v>5.5</v>
      </c>
      <c r="J6" s="44">
        <v>50958</v>
      </c>
      <c r="L6" s="11" t="s">
        <v>112</v>
      </c>
      <c r="M6" s="11">
        <v>-0.11201223108451733</v>
      </c>
      <c r="N6" s="11">
        <v>-0.38103654898499467</v>
      </c>
      <c r="O6" s="11">
        <v>1</v>
      </c>
      <c r="P6" s="11"/>
      <c r="Q6" s="11"/>
      <c r="R6" s="11"/>
      <c r="S6" s="11"/>
      <c r="T6" s="11"/>
      <c r="U6" s="11"/>
    </row>
    <row r="7" spans="1:21" x14ac:dyDescent="0.35">
      <c r="A7" s="33" t="s">
        <v>121</v>
      </c>
      <c r="B7" s="36">
        <v>17.3</v>
      </c>
      <c r="C7" s="37">
        <v>8.5</v>
      </c>
      <c r="D7" s="38">
        <v>80.783955956979611</v>
      </c>
      <c r="E7" s="39">
        <v>529.4</v>
      </c>
      <c r="F7" s="40">
        <v>203.42285988234826</v>
      </c>
      <c r="G7" s="41">
        <v>1.96</v>
      </c>
      <c r="H7" s="42">
        <v>18.8</v>
      </c>
      <c r="I7" s="43">
        <v>5.0999999999999996</v>
      </c>
      <c r="J7" s="44">
        <v>38815</v>
      </c>
      <c r="L7" s="11" t="s">
        <v>113</v>
      </c>
      <c r="M7" s="11">
        <v>0.27519647039436679</v>
      </c>
      <c r="N7" s="11">
        <v>0.42831587479995126</v>
      </c>
      <c r="O7" s="11">
        <v>-0.42717030304972464</v>
      </c>
      <c r="P7" s="11">
        <v>1</v>
      </c>
      <c r="Q7" s="11"/>
      <c r="R7" s="11"/>
      <c r="S7" s="11"/>
      <c r="T7" s="11"/>
      <c r="U7" s="11"/>
    </row>
    <row r="8" spans="1:21" x14ac:dyDescent="0.35">
      <c r="A8" s="33" t="s">
        <v>122</v>
      </c>
      <c r="B8" s="36">
        <v>13.3</v>
      </c>
      <c r="C8" s="37">
        <v>5</v>
      </c>
      <c r="D8" s="38">
        <v>76.640052174481781</v>
      </c>
      <c r="E8" s="39">
        <v>522.6</v>
      </c>
      <c r="F8" s="40">
        <v>268.69056049813605</v>
      </c>
      <c r="G8" s="41">
        <v>1.21</v>
      </c>
      <c r="H8" s="42">
        <v>29.6</v>
      </c>
      <c r="I8" s="43">
        <v>7.2</v>
      </c>
      <c r="J8" s="44">
        <v>61021</v>
      </c>
      <c r="L8" s="11" t="s">
        <v>114</v>
      </c>
      <c r="M8" s="11">
        <v>-0.42807390604496626</v>
      </c>
      <c r="N8" s="11">
        <v>-0.32668535092062179</v>
      </c>
      <c r="O8" s="11">
        <v>-0.12344449010758508</v>
      </c>
      <c r="P8" s="11">
        <v>-9.4309992092758102E-2</v>
      </c>
      <c r="Q8" s="11">
        <v>1</v>
      </c>
      <c r="R8" s="11"/>
      <c r="S8" s="11"/>
      <c r="T8" s="11"/>
      <c r="U8" s="11"/>
    </row>
    <row r="9" spans="1:21" x14ac:dyDescent="0.35">
      <c r="A9" s="33" t="s">
        <v>123</v>
      </c>
      <c r="B9" s="36">
        <v>11.4</v>
      </c>
      <c r="C9" s="37">
        <v>5.7</v>
      </c>
      <c r="D9" s="38">
        <v>89.734092175332663</v>
      </c>
      <c r="E9" s="39">
        <v>347.8</v>
      </c>
      <c r="F9" s="40">
        <v>259.68608874672964</v>
      </c>
      <c r="G9" s="41">
        <v>1.1399999999999999</v>
      </c>
      <c r="H9" s="42">
        <v>35.6</v>
      </c>
      <c r="I9" s="43">
        <v>4.9000000000000004</v>
      </c>
      <c r="J9" s="44">
        <v>56993</v>
      </c>
      <c r="L9" s="11" t="s">
        <v>115</v>
      </c>
      <c r="M9" s="11">
        <v>0.67315714128028681</v>
      </c>
      <c r="N9" s="11">
        <v>0.56174989099258588</v>
      </c>
      <c r="O9" s="11">
        <v>-0.16302015035514089</v>
      </c>
      <c r="P9" s="11">
        <v>0.31396082331364705</v>
      </c>
      <c r="Q9" s="11">
        <v>-0.64105084072467378</v>
      </c>
      <c r="R9" s="11">
        <v>1</v>
      </c>
      <c r="S9" s="11"/>
      <c r="T9" s="11"/>
      <c r="U9" s="11"/>
    </row>
    <row r="10" spans="1:21" x14ac:dyDescent="0.35">
      <c r="A10" s="33" t="s">
        <v>124</v>
      </c>
      <c r="B10" s="36">
        <v>9.3000000000000007</v>
      </c>
      <c r="C10" s="37">
        <v>6.2</v>
      </c>
      <c r="D10" s="38">
        <v>84.278652322083644</v>
      </c>
      <c r="E10" s="39">
        <v>256</v>
      </c>
      <c r="F10" s="40">
        <v>376.3752669155395</v>
      </c>
      <c r="G10" s="41">
        <v>0.86</v>
      </c>
      <c r="H10" s="42">
        <v>35.6</v>
      </c>
      <c r="I10" s="43">
        <v>5.7</v>
      </c>
      <c r="J10" s="44">
        <v>68595</v>
      </c>
      <c r="L10" s="11" t="s">
        <v>116</v>
      </c>
      <c r="M10" s="11">
        <v>-0.72669391983442233</v>
      </c>
      <c r="N10" s="11">
        <v>-0.58651965104648685</v>
      </c>
      <c r="O10" s="11">
        <v>-3.2974739910562817E-3</v>
      </c>
      <c r="P10" s="11">
        <v>-0.22034294933172602</v>
      </c>
      <c r="Q10" s="11">
        <v>0.71944569086930965</v>
      </c>
      <c r="R10" s="11">
        <v>-0.76304138783844011</v>
      </c>
      <c r="S10" s="11">
        <v>1</v>
      </c>
      <c r="T10" s="11"/>
      <c r="U10" s="11"/>
    </row>
    <row r="11" spans="1:21" x14ac:dyDescent="0.35">
      <c r="A11" s="33" t="s">
        <v>125</v>
      </c>
      <c r="B11" s="45">
        <v>10</v>
      </c>
      <c r="C11" s="37">
        <v>8.3000000000000007</v>
      </c>
      <c r="D11" s="38">
        <v>74.266056727126113</v>
      </c>
      <c r="E11" s="39">
        <v>689.2</v>
      </c>
      <c r="F11" s="40">
        <v>250.94175668510928</v>
      </c>
      <c r="G11" s="41">
        <v>1.23</v>
      </c>
      <c r="H11" s="42">
        <v>27.5</v>
      </c>
      <c r="I11" s="43">
        <v>4.8</v>
      </c>
      <c r="J11" s="44">
        <v>57989</v>
      </c>
      <c r="L11" s="11" t="s">
        <v>117</v>
      </c>
      <c r="M11" s="11">
        <v>0.28086137771922659</v>
      </c>
      <c r="N11" s="11">
        <v>0.22751420770593997</v>
      </c>
      <c r="O11" s="11">
        <v>-0.17076406799329988</v>
      </c>
      <c r="P11" s="11">
        <v>0.38234958811009057</v>
      </c>
      <c r="Q11" s="11">
        <v>0.11553574384394459</v>
      </c>
      <c r="R11" s="11">
        <v>-5.8416747890808161E-2</v>
      </c>
      <c r="S11" s="11">
        <v>-9.0654877226415312E-2</v>
      </c>
      <c r="T11" s="11">
        <v>1</v>
      </c>
      <c r="U11" s="11"/>
    </row>
    <row r="12" spans="1:21" ht="15" thickBot="1" x14ac:dyDescent="0.4">
      <c r="A12" s="33" t="s">
        <v>126</v>
      </c>
      <c r="B12" s="36">
        <v>13.2</v>
      </c>
      <c r="C12" s="37">
        <v>7.3</v>
      </c>
      <c r="D12" s="38">
        <v>79.811068541941054</v>
      </c>
      <c r="E12" s="39">
        <v>722.6</v>
      </c>
      <c r="F12" s="40">
        <v>247.86359820579941</v>
      </c>
      <c r="G12" s="41">
        <v>1.56</v>
      </c>
      <c r="H12" s="42">
        <v>25.8</v>
      </c>
      <c r="I12" s="43">
        <v>6.2</v>
      </c>
      <c r="J12" s="44">
        <v>47778</v>
      </c>
      <c r="L12" s="12" t="s">
        <v>2</v>
      </c>
      <c r="M12" s="12">
        <v>-0.83526552562725076</v>
      </c>
      <c r="N12" s="12">
        <v>-0.48858638078074607</v>
      </c>
      <c r="O12" s="12">
        <v>-0.23206497903518342</v>
      </c>
      <c r="P12" s="12">
        <v>-5.0423697212845189E-2</v>
      </c>
      <c r="Q12" s="12">
        <v>0.58744428288620398</v>
      </c>
      <c r="R12" s="12">
        <v>-0.67522985869544916</v>
      </c>
      <c r="S12" s="12">
        <v>0.82132308138791321</v>
      </c>
      <c r="T12" s="12">
        <v>-1.5547410778465694E-2</v>
      </c>
      <c r="U12" s="12">
        <v>1</v>
      </c>
    </row>
    <row r="13" spans="1:21" x14ac:dyDescent="0.35">
      <c r="A13" s="33" t="s">
        <v>127</v>
      </c>
      <c r="B13" s="36">
        <v>14.7</v>
      </c>
      <c r="C13" s="37">
        <v>8.1</v>
      </c>
      <c r="D13" s="38">
        <v>65.387718279566343</v>
      </c>
      <c r="E13" s="39">
        <v>493.2</v>
      </c>
      <c r="F13" s="40">
        <v>217.44570184044454</v>
      </c>
      <c r="G13" s="41">
        <v>1.46</v>
      </c>
      <c r="H13" s="42">
        <v>27.5</v>
      </c>
      <c r="I13" s="43">
        <v>6.2</v>
      </c>
      <c r="J13" s="44">
        <v>50861</v>
      </c>
    </row>
    <row r="14" spans="1:21" x14ac:dyDescent="0.35">
      <c r="A14" s="33" t="s">
        <v>128</v>
      </c>
      <c r="B14" s="36">
        <v>9.1</v>
      </c>
      <c r="C14" s="37">
        <v>5.6</v>
      </c>
      <c r="D14" s="38">
        <v>29.667333748383395</v>
      </c>
      <c r="E14" s="39">
        <v>272.8</v>
      </c>
      <c r="F14" s="40">
        <v>316.98289278791503</v>
      </c>
      <c r="G14" s="41">
        <v>1.33</v>
      </c>
      <c r="H14" s="42">
        <v>29.1</v>
      </c>
      <c r="I14" s="43">
        <v>3.9</v>
      </c>
      <c r="J14" s="44">
        <v>67214</v>
      </c>
    </row>
    <row r="15" spans="1:21" x14ac:dyDescent="0.35">
      <c r="A15" s="33" t="s">
        <v>129</v>
      </c>
      <c r="B15" s="36">
        <v>12.6</v>
      </c>
      <c r="C15" s="37">
        <v>6.8</v>
      </c>
      <c r="D15" s="38">
        <v>94.600660447193093</v>
      </c>
      <c r="E15" s="39">
        <v>239.4</v>
      </c>
      <c r="F15" s="40">
        <v>168.83390313104681</v>
      </c>
      <c r="G15" s="41">
        <v>1.6</v>
      </c>
      <c r="H15" s="42">
        <v>24</v>
      </c>
      <c r="I15" s="43">
        <v>4.9000000000000004</v>
      </c>
      <c r="J15" s="44">
        <v>47576</v>
      </c>
      <c r="L15" s="1" t="s">
        <v>221</v>
      </c>
    </row>
    <row r="16" spans="1:21" x14ac:dyDescent="0.35">
      <c r="A16" s="33" t="s">
        <v>130</v>
      </c>
      <c r="B16" s="36">
        <v>12.2</v>
      </c>
      <c r="C16" s="37">
        <v>7.3</v>
      </c>
      <c r="D16" s="38">
        <v>79.13310968601246</v>
      </c>
      <c r="E16" s="39">
        <v>533.20000000000005</v>
      </c>
      <c r="F16" s="40">
        <v>280.15386787687231</v>
      </c>
      <c r="G16" s="41">
        <v>1.1599999999999999</v>
      </c>
      <c r="H16" s="42">
        <v>29.9</v>
      </c>
      <c r="I16" s="43">
        <v>6.5</v>
      </c>
      <c r="J16" s="44">
        <v>56235</v>
      </c>
      <c r="M16"/>
      <c r="N16"/>
      <c r="O16"/>
      <c r="P16"/>
      <c r="S16"/>
    </row>
    <row r="17" spans="1:26" ht="17.5" x14ac:dyDescent="0.45">
      <c r="A17" s="33" t="s">
        <v>131</v>
      </c>
      <c r="B17" s="36">
        <v>13.1</v>
      </c>
      <c r="C17" s="37">
        <v>8</v>
      </c>
      <c r="D17" s="38">
        <v>88.000000627274659</v>
      </c>
      <c r="E17" s="39">
        <v>333.6</v>
      </c>
      <c r="F17" s="40">
        <v>216.93969975987483</v>
      </c>
      <c r="G17" s="41">
        <v>1.26</v>
      </c>
      <c r="H17" s="42">
        <v>22.9</v>
      </c>
      <c r="I17" s="43">
        <v>5.9</v>
      </c>
      <c r="J17" s="44">
        <v>47966</v>
      </c>
      <c r="L17" t="s">
        <v>222</v>
      </c>
      <c r="M17" s="116">
        <f>N6</f>
        <v>-0.38103654898499467</v>
      </c>
      <c r="N17"/>
      <c r="O17" t="s">
        <v>225</v>
      </c>
      <c r="P17" s="107">
        <f>M17^2</f>
        <v>0.14518885166239423</v>
      </c>
    </row>
    <row r="18" spans="1:26" ht="17.5" x14ac:dyDescent="0.45">
      <c r="A18" s="33" t="s">
        <v>132</v>
      </c>
      <c r="B18" s="36">
        <v>11.5</v>
      </c>
      <c r="C18" s="37">
        <v>5.0999999999999996</v>
      </c>
      <c r="D18" s="38">
        <v>94.170464820794294</v>
      </c>
      <c r="E18" s="39">
        <v>294.7</v>
      </c>
      <c r="F18" s="40">
        <v>189.28322428402873</v>
      </c>
      <c r="G18" s="41">
        <v>1.42</v>
      </c>
      <c r="H18" s="42">
        <v>24.3</v>
      </c>
      <c r="I18" s="43">
        <v>4.0999999999999996</v>
      </c>
      <c r="J18" s="44">
        <v>48980</v>
      </c>
      <c r="L18" t="s">
        <v>223</v>
      </c>
      <c r="M18" s="117">
        <f>M5</f>
        <v>0.56442956793415189</v>
      </c>
      <c r="N18"/>
      <c r="O18" t="s">
        <v>226</v>
      </c>
      <c r="P18" s="100">
        <f>M18^2</f>
        <v>0.3185807371583334</v>
      </c>
    </row>
    <row r="19" spans="1:26" ht="17.5" x14ac:dyDescent="0.45">
      <c r="A19" s="33" t="s">
        <v>133</v>
      </c>
      <c r="B19" s="36">
        <v>11.3</v>
      </c>
      <c r="C19" s="37">
        <v>7.1</v>
      </c>
      <c r="D19" s="38">
        <v>88.703716524620162</v>
      </c>
      <c r="E19" s="39">
        <v>452.7</v>
      </c>
      <c r="F19" s="40">
        <v>222.54770859752097</v>
      </c>
      <c r="G19" s="41">
        <v>1.38</v>
      </c>
      <c r="H19" s="42">
        <v>29.6</v>
      </c>
      <c r="I19" s="43">
        <v>4.4000000000000004</v>
      </c>
      <c r="J19" s="44">
        <v>50177</v>
      </c>
      <c r="L19" t="s">
        <v>224</v>
      </c>
      <c r="M19" s="118">
        <f>M6</f>
        <v>-0.11201223108451733</v>
      </c>
      <c r="N19"/>
      <c r="O19" t="s">
        <v>230</v>
      </c>
      <c r="P19" s="94">
        <f>M19^2</f>
        <v>1.254673991253131E-2</v>
      </c>
      <c r="Q19"/>
    </row>
    <row r="20" spans="1:26" x14ac:dyDescent="0.35">
      <c r="A20" s="33" t="s">
        <v>134</v>
      </c>
      <c r="B20" s="36">
        <v>17.3</v>
      </c>
      <c r="C20" s="37">
        <v>7.5</v>
      </c>
      <c r="D20" s="38">
        <v>89.904327345935869</v>
      </c>
      <c r="E20" s="39">
        <v>295</v>
      </c>
      <c r="F20" s="40">
        <v>232.34854500664258</v>
      </c>
      <c r="G20" s="41">
        <v>1.8</v>
      </c>
      <c r="H20" s="42">
        <v>19.7</v>
      </c>
      <c r="I20" s="43">
        <v>6.4</v>
      </c>
      <c r="J20" s="44">
        <v>41538</v>
      </c>
      <c r="L20"/>
      <c r="M20"/>
      <c r="N20"/>
      <c r="O20"/>
      <c r="P20"/>
    </row>
    <row r="21" spans="1:26" ht="17.5" x14ac:dyDescent="0.45">
      <c r="A21" s="33" t="s">
        <v>135</v>
      </c>
      <c r="B21" s="36">
        <v>17.3</v>
      </c>
      <c r="C21" s="37">
        <v>9.9</v>
      </c>
      <c r="D21" s="38">
        <v>64.839543701408999</v>
      </c>
      <c r="E21" s="39">
        <v>729.5</v>
      </c>
      <c r="F21" s="40">
        <v>262.66146237060713</v>
      </c>
      <c r="G21" s="41">
        <v>2.17</v>
      </c>
      <c r="H21" s="42">
        <v>20.3</v>
      </c>
      <c r="I21" s="43">
        <v>4.5999999999999996</v>
      </c>
      <c r="J21" s="44">
        <v>43733</v>
      </c>
      <c r="L21" t="s">
        <v>229</v>
      </c>
      <c r="M21" s="119">
        <f>SQRT((M18^2+M19^2-2*M18*M19*M17)/(1-M17^2))</f>
        <v>0.57533049632077615</v>
      </c>
      <c r="O21" t="s">
        <v>228</v>
      </c>
      <c r="P21" s="119">
        <f>M21^2</f>
        <v>0.33100517999671064</v>
      </c>
    </row>
    <row r="22" spans="1:26" x14ac:dyDescent="0.35">
      <c r="A22" s="33" t="s">
        <v>136</v>
      </c>
      <c r="B22" s="36">
        <v>12.3</v>
      </c>
      <c r="C22" s="37">
        <v>6.3</v>
      </c>
      <c r="D22" s="38">
        <v>96.389852756187835</v>
      </c>
      <c r="E22" s="39">
        <v>118</v>
      </c>
      <c r="F22" s="40">
        <v>278.39482802923527</v>
      </c>
      <c r="G22" s="41">
        <v>1.22</v>
      </c>
      <c r="H22" s="42">
        <v>25.4</v>
      </c>
      <c r="I22" s="43">
        <v>5.4</v>
      </c>
      <c r="J22" s="44">
        <v>46581</v>
      </c>
      <c r="L22"/>
      <c r="M22"/>
      <c r="N22"/>
      <c r="O22"/>
      <c r="P22"/>
      <c r="Q22"/>
    </row>
    <row r="23" spans="1:26" x14ac:dyDescent="0.35">
      <c r="A23" s="33" t="s">
        <v>137</v>
      </c>
      <c r="B23" s="36">
        <v>8.1</v>
      </c>
      <c r="C23" s="37">
        <v>8</v>
      </c>
      <c r="D23" s="38">
        <v>63.398020838196281</v>
      </c>
      <c r="E23" s="39">
        <v>641.9</v>
      </c>
      <c r="F23" s="40">
        <v>421.43487540886565</v>
      </c>
      <c r="G23" s="41">
        <v>1.0900000000000001</v>
      </c>
      <c r="H23" s="42">
        <v>35.200000000000003</v>
      </c>
      <c r="I23" s="43">
        <v>4.4000000000000004</v>
      </c>
      <c r="J23" s="44">
        <v>70545</v>
      </c>
      <c r="L23" s="9" t="s">
        <v>31</v>
      </c>
      <c r="M23" s="116">
        <f>COUNT(B4:B53)</f>
        <v>50</v>
      </c>
      <c r="Q23"/>
    </row>
    <row r="24" spans="1:26" x14ac:dyDescent="0.35">
      <c r="A24" s="33" t="s">
        <v>138</v>
      </c>
      <c r="B24" s="45">
        <v>10</v>
      </c>
      <c r="C24" s="37">
        <v>4.8</v>
      </c>
      <c r="D24" s="38">
        <v>86.203669547721617</v>
      </c>
      <c r="E24" s="39">
        <v>431.5</v>
      </c>
      <c r="F24" s="40">
        <v>469.00740037554607</v>
      </c>
      <c r="G24" s="41">
        <v>0.76</v>
      </c>
      <c r="H24" s="42">
        <v>38.1</v>
      </c>
      <c r="I24" s="43">
        <v>5.3</v>
      </c>
      <c r="J24" s="44">
        <v>65401</v>
      </c>
      <c r="L24" s="9" t="s">
        <v>51</v>
      </c>
      <c r="M24" s="117">
        <v>2</v>
      </c>
    </row>
    <row r="25" spans="1:26" ht="16.5" x14ac:dyDescent="0.35">
      <c r="A25" s="33" t="s">
        <v>139</v>
      </c>
      <c r="B25" s="36">
        <v>14.4</v>
      </c>
      <c r="C25" s="37">
        <v>7.4</v>
      </c>
      <c r="D25" s="38">
        <v>81.183409037427396</v>
      </c>
      <c r="E25" s="39">
        <v>536</v>
      </c>
      <c r="F25" s="40">
        <v>250.2141835799554</v>
      </c>
      <c r="G25" s="41">
        <v>1.04</v>
      </c>
      <c r="H25" s="42">
        <v>24.7</v>
      </c>
      <c r="I25" s="43">
        <v>8.4</v>
      </c>
      <c r="J25" s="44">
        <v>48591</v>
      </c>
      <c r="L25" s="9" t="s">
        <v>195</v>
      </c>
      <c r="M25" s="118">
        <f>1-(1-P21)*(M23-1)/(M23-M24-1)</f>
        <v>0.30253731531571959</v>
      </c>
    </row>
    <row r="26" spans="1:26" x14ac:dyDescent="0.35">
      <c r="A26" s="33" t="s">
        <v>140</v>
      </c>
      <c r="B26" s="36">
        <v>9.6</v>
      </c>
      <c r="C26" s="37">
        <v>5.2</v>
      </c>
      <c r="D26" s="38">
        <v>89.045556531854984</v>
      </c>
      <c r="E26" s="39">
        <v>288.7</v>
      </c>
      <c r="F26" s="40">
        <v>293.18688782716754</v>
      </c>
      <c r="G26" s="41">
        <v>0.88</v>
      </c>
      <c r="H26" s="42">
        <v>31.5</v>
      </c>
      <c r="I26" s="43">
        <v>5.4</v>
      </c>
      <c r="J26" s="44">
        <v>57288</v>
      </c>
      <c r="N26"/>
      <c r="O26"/>
    </row>
    <row r="27" spans="1:26" x14ac:dyDescent="0.35">
      <c r="A27" s="33" t="s">
        <v>141</v>
      </c>
      <c r="B27" s="36">
        <v>21.2</v>
      </c>
      <c r="C27" s="37">
        <v>10.6</v>
      </c>
      <c r="D27" s="38">
        <v>60.598179144073846</v>
      </c>
      <c r="E27" s="39">
        <v>291.3</v>
      </c>
      <c r="F27" s="40">
        <v>177.88245926950424</v>
      </c>
      <c r="G27" s="41">
        <v>2.04</v>
      </c>
      <c r="H27" s="42">
        <v>19.399999999999999</v>
      </c>
      <c r="I27" s="43">
        <v>6.9</v>
      </c>
      <c r="J27" s="44">
        <v>37790</v>
      </c>
      <c r="M27"/>
      <c r="N27"/>
      <c r="O27"/>
      <c r="P27"/>
    </row>
    <row r="28" spans="1:26" x14ac:dyDescent="0.35">
      <c r="A28" s="33" t="s">
        <v>142</v>
      </c>
      <c r="B28" s="36">
        <v>13.4</v>
      </c>
      <c r="C28" s="37">
        <v>7.4</v>
      </c>
      <c r="D28" s="38">
        <v>85.028888093842554</v>
      </c>
      <c r="E28" s="39">
        <v>504.9</v>
      </c>
      <c r="F28" s="40">
        <v>246.01936683780735</v>
      </c>
      <c r="G28" s="41">
        <v>1.43</v>
      </c>
      <c r="H28" s="42">
        <v>25</v>
      </c>
      <c r="I28" s="43">
        <v>6.1</v>
      </c>
      <c r="J28" s="44">
        <v>46867</v>
      </c>
      <c r="L28" s="1" t="s">
        <v>227</v>
      </c>
      <c r="M28"/>
      <c r="N28"/>
      <c r="O28"/>
      <c r="P28"/>
    </row>
    <row r="29" spans="1:26" ht="17.5" x14ac:dyDescent="0.45">
      <c r="A29" s="33" t="s">
        <v>143</v>
      </c>
      <c r="B29" s="36">
        <v>14.8</v>
      </c>
      <c r="C29" s="37">
        <v>5.8</v>
      </c>
      <c r="D29" s="38">
        <v>90.467729264863962</v>
      </c>
      <c r="E29" s="39">
        <v>287.5</v>
      </c>
      <c r="F29" s="40">
        <v>220.56732843834149</v>
      </c>
      <c r="G29" s="41">
        <v>2.4500000000000002</v>
      </c>
      <c r="H29" s="42">
        <v>27.1</v>
      </c>
      <c r="I29" s="43">
        <v>4.5</v>
      </c>
      <c r="J29" s="44">
        <v>43654</v>
      </c>
      <c r="L29"/>
      <c r="M29"/>
      <c r="N29"/>
      <c r="O29"/>
      <c r="P29"/>
      <c r="Q29"/>
      <c r="V29" t="s">
        <v>215</v>
      </c>
      <c r="W29" t="s">
        <v>228</v>
      </c>
      <c r="X29" s="167">
        <f>P21</f>
        <v>0.33100517999671064</v>
      </c>
      <c r="Z29" s="168" t="s">
        <v>507</v>
      </c>
    </row>
    <row r="30" spans="1:26" ht="17.5" x14ac:dyDescent="0.45">
      <c r="A30" s="33" t="s">
        <v>144</v>
      </c>
      <c r="B30" s="36">
        <v>10.8</v>
      </c>
      <c r="C30" s="37">
        <v>5.6</v>
      </c>
      <c r="D30" s="38">
        <v>91.372477335833381</v>
      </c>
      <c r="E30" s="39">
        <v>302.39999999999998</v>
      </c>
      <c r="F30" s="40">
        <v>245.38379506214562</v>
      </c>
      <c r="G30" s="41">
        <v>1.32</v>
      </c>
      <c r="H30" s="42">
        <v>27.1</v>
      </c>
      <c r="I30" s="43">
        <v>3.3</v>
      </c>
      <c r="J30" s="44">
        <v>49693</v>
      </c>
      <c r="L30" s="9" t="s">
        <v>196</v>
      </c>
      <c r="M30" s="116">
        <f>(M19-M18*M17)/(SQRT(1-M18^2)*SQRT(1-M17^2))</f>
        <v>0.13503030791467574</v>
      </c>
      <c r="N30"/>
      <c r="O30"/>
      <c r="P30"/>
      <c r="Q30"/>
      <c r="U30"/>
      <c r="V30" t="s">
        <v>216</v>
      </c>
      <c r="W30" t="s">
        <v>230</v>
      </c>
      <c r="X30" s="100">
        <f>P19</f>
        <v>1.254673991253131E-2</v>
      </c>
      <c r="Z30" s="168" t="s">
        <v>354</v>
      </c>
    </row>
    <row r="31" spans="1:26" ht="17.5" x14ac:dyDescent="0.45">
      <c r="A31" s="33" t="s">
        <v>145</v>
      </c>
      <c r="B31" s="36">
        <v>11.3</v>
      </c>
      <c r="C31" s="37">
        <v>6.4</v>
      </c>
      <c r="D31" s="38">
        <v>80.891227371165002</v>
      </c>
      <c r="E31" s="39">
        <v>750.6</v>
      </c>
      <c r="F31" s="40">
        <v>187.75857911072276</v>
      </c>
      <c r="G31" s="41">
        <v>1.68</v>
      </c>
      <c r="H31" s="42">
        <v>21.9</v>
      </c>
      <c r="I31" s="43">
        <v>6.7</v>
      </c>
      <c r="J31" s="44">
        <v>56361</v>
      </c>
      <c r="L31" s="9" t="s">
        <v>197</v>
      </c>
      <c r="M31" s="117">
        <f>(M19-M18*M17)/SQRT(1-M17^2)</f>
        <v>0.11146498480858076</v>
      </c>
      <c r="N31"/>
      <c r="O31"/>
      <c r="P31"/>
      <c r="Q31"/>
      <c r="U31"/>
      <c r="V31" t="s">
        <v>217</v>
      </c>
      <c r="W31" t="s">
        <v>226</v>
      </c>
      <c r="X31" s="100">
        <f>P18</f>
        <v>0.3185807371583334</v>
      </c>
      <c r="Z31" s="168" t="s">
        <v>355</v>
      </c>
    </row>
    <row r="32" spans="1:26" ht="16.5" x14ac:dyDescent="0.45">
      <c r="A32" s="33" t="s">
        <v>146</v>
      </c>
      <c r="B32" s="36">
        <v>7.6</v>
      </c>
      <c r="C32" s="37">
        <v>6.1</v>
      </c>
      <c r="D32" s="38">
        <v>95.487186970145373</v>
      </c>
      <c r="E32" s="39">
        <v>137.30000000000001</v>
      </c>
      <c r="F32" s="40">
        <v>274.87014728833395</v>
      </c>
      <c r="G32" s="41">
        <v>0.96</v>
      </c>
      <c r="H32" s="42">
        <v>33.299999999999997</v>
      </c>
      <c r="I32" s="43">
        <v>3.8</v>
      </c>
      <c r="J32" s="44">
        <v>63731</v>
      </c>
      <c r="L32" s="9" t="s">
        <v>231</v>
      </c>
      <c r="M32" s="94">
        <f>(M18-M19*M17)/SQRT(1-M17^2)</f>
        <v>0.56432122065733026</v>
      </c>
      <c r="N32"/>
      <c r="O32"/>
      <c r="P32"/>
      <c r="Q32"/>
      <c r="V32" t="s">
        <v>98</v>
      </c>
      <c r="W32"/>
      <c r="X32" s="100">
        <f>X30+X31-X29</f>
        <v>1.2229707415406521E-4</v>
      </c>
      <c r="Z32" s="168" t="s">
        <v>353</v>
      </c>
    </row>
    <row r="33" spans="1:26" ht="17.5" x14ac:dyDescent="0.45">
      <c r="A33" s="33" t="s">
        <v>147</v>
      </c>
      <c r="B33" s="36">
        <v>8.6999999999999993</v>
      </c>
      <c r="C33" s="37">
        <v>5.5</v>
      </c>
      <c r="D33" s="38">
        <v>76.032117342828414</v>
      </c>
      <c r="E33" s="39">
        <v>329.3</v>
      </c>
      <c r="F33" s="40">
        <v>316.33654704669738</v>
      </c>
      <c r="G33" s="41">
        <v>0.95</v>
      </c>
      <c r="H33" s="42">
        <v>34.4</v>
      </c>
      <c r="I33" s="43">
        <v>5.5</v>
      </c>
      <c r="J33" s="44">
        <v>70378</v>
      </c>
      <c r="L33"/>
      <c r="M33"/>
      <c r="N33"/>
      <c r="O33"/>
      <c r="P33"/>
      <c r="Q33"/>
      <c r="V33" t="s">
        <v>218</v>
      </c>
      <c r="W33" s="9" t="s">
        <v>232</v>
      </c>
      <c r="X33" s="100">
        <f>M31^2</f>
        <v>1.2424442838377139E-2</v>
      </c>
      <c r="Z33" s="168" t="s">
        <v>508</v>
      </c>
    </row>
    <row r="34" spans="1:26" ht="17.5" x14ac:dyDescent="0.45">
      <c r="A34" s="33" t="s">
        <v>148</v>
      </c>
      <c r="B34" s="36">
        <v>17.100000000000001</v>
      </c>
      <c r="C34" s="37">
        <v>5.8</v>
      </c>
      <c r="D34" s="38">
        <v>83.996520785584835</v>
      </c>
      <c r="E34" s="39">
        <v>664.2</v>
      </c>
      <c r="F34" s="40">
        <v>243.58557973367977</v>
      </c>
      <c r="G34" s="41">
        <v>1.54</v>
      </c>
      <c r="H34" s="42">
        <v>24.7</v>
      </c>
      <c r="I34" s="43">
        <v>4.2</v>
      </c>
      <c r="J34" s="44">
        <v>43508</v>
      </c>
      <c r="L34" s="9" t="s">
        <v>232</v>
      </c>
      <c r="M34" s="107">
        <f>M31^2</f>
        <v>1.2424442838377139E-2</v>
      </c>
      <c r="N34"/>
      <c r="O34" s="9" t="s">
        <v>232</v>
      </c>
      <c r="P34" s="107">
        <f>M34</f>
        <v>1.2424442838377139E-2</v>
      </c>
      <c r="Q34"/>
      <c r="V34" t="s">
        <v>99</v>
      </c>
      <c r="W34" s="9" t="s">
        <v>233</v>
      </c>
      <c r="X34" s="94">
        <f>M32^2</f>
        <v>0.31845844008417923</v>
      </c>
      <c r="Z34" s="168" t="s">
        <v>509</v>
      </c>
    </row>
    <row r="35" spans="1:26" ht="17.5" x14ac:dyDescent="0.45">
      <c r="A35" s="33" t="s">
        <v>149</v>
      </c>
      <c r="B35" s="36">
        <v>13.6</v>
      </c>
      <c r="C35" s="37">
        <v>5.6</v>
      </c>
      <c r="D35" s="38">
        <v>73.422529169257928</v>
      </c>
      <c r="E35" s="39">
        <v>414.1</v>
      </c>
      <c r="F35" s="40">
        <v>395.92232685906185</v>
      </c>
      <c r="G35" s="41">
        <v>0.97</v>
      </c>
      <c r="H35" s="42">
        <v>31.9</v>
      </c>
      <c r="I35" s="43">
        <v>5.4</v>
      </c>
      <c r="J35" s="44">
        <v>56033</v>
      </c>
      <c r="L35" t="s">
        <v>228</v>
      </c>
      <c r="M35" s="100">
        <f>P21</f>
        <v>0.33100517999671064</v>
      </c>
      <c r="N35"/>
      <c r="O35" s="9" t="s">
        <v>237</v>
      </c>
      <c r="P35" s="100">
        <f>M30^2</f>
        <v>1.8233184055532141E-2</v>
      </c>
      <c r="Q35"/>
    </row>
    <row r="36" spans="1:26" ht="17.5" x14ac:dyDescent="0.45">
      <c r="A36" s="33" t="s">
        <v>150</v>
      </c>
      <c r="B36" s="36">
        <v>14.6</v>
      </c>
      <c r="C36" s="37">
        <v>8.1</v>
      </c>
      <c r="D36" s="38">
        <v>73.937344387272134</v>
      </c>
      <c r="E36" s="39">
        <v>466.4</v>
      </c>
      <c r="F36" s="40">
        <v>254.23614464440675</v>
      </c>
      <c r="G36" s="41">
        <v>1.62</v>
      </c>
      <c r="H36" s="42">
        <v>26.1</v>
      </c>
      <c r="I36" s="43">
        <v>6.3</v>
      </c>
      <c r="J36" s="44">
        <v>46549</v>
      </c>
      <c r="L36" t="s">
        <v>226</v>
      </c>
      <c r="M36" s="94">
        <f>P18</f>
        <v>0.3185807371583334</v>
      </c>
      <c r="N36"/>
      <c r="O36" t="s">
        <v>343</v>
      </c>
      <c r="P36" s="94">
        <f>1-M36</f>
        <v>0.68141926284166665</v>
      </c>
      <c r="Q36"/>
      <c r="V36" t="s">
        <v>100</v>
      </c>
      <c r="W36" t="s">
        <v>234</v>
      </c>
      <c r="X36" s="167">
        <f>1-X29</f>
        <v>0.66899482000328936</v>
      </c>
      <c r="Z36" s="168" t="s">
        <v>356</v>
      </c>
    </row>
    <row r="37" spans="1:26" ht="17.5" x14ac:dyDescent="0.45">
      <c r="A37" s="33" t="s">
        <v>151</v>
      </c>
      <c r="B37" s="46">
        <v>12</v>
      </c>
      <c r="C37" s="37">
        <v>5.8</v>
      </c>
      <c r="D37" s="38">
        <v>91.393509706444945</v>
      </c>
      <c r="E37" s="39">
        <v>142.4</v>
      </c>
      <c r="F37" s="40">
        <v>244.39414081115655</v>
      </c>
      <c r="G37" s="41">
        <v>1.42</v>
      </c>
      <c r="H37" s="42">
        <v>26.9</v>
      </c>
      <c r="I37" s="43">
        <v>3.2</v>
      </c>
      <c r="J37" s="44">
        <v>45685</v>
      </c>
      <c r="L37"/>
      <c r="M37"/>
      <c r="N37"/>
      <c r="O37"/>
      <c r="P37"/>
      <c r="Q37"/>
      <c r="V37" t="s">
        <v>219</v>
      </c>
      <c r="W37" t="s">
        <v>235</v>
      </c>
      <c r="X37" s="100">
        <f>X33/(X33+X36)</f>
        <v>1.8233184055532141E-2</v>
      </c>
      <c r="Z37" s="168" t="s">
        <v>357</v>
      </c>
    </row>
    <row r="38" spans="1:26" ht="17.5" x14ac:dyDescent="0.45">
      <c r="A38" s="33" t="s">
        <v>152</v>
      </c>
      <c r="B38" s="36">
        <v>13.4</v>
      </c>
      <c r="C38" s="37">
        <v>7.8</v>
      </c>
      <c r="D38" s="38">
        <v>84.764237226305966</v>
      </c>
      <c r="E38" s="39">
        <v>343.2</v>
      </c>
      <c r="F38" s="40">
        <v>266.73599566322036</v>
      </c>
      <c r="G38" s="41">
        <v>1.1399999999999999</v>
      </c>
      <c r="H38" s="42">
        <v>24.1</v>
      </c>
      <c r="I38" s="43">
        <v>6.5</v>
      </c>
      <c r="J38" s="44">
        <v>47988</v>
      </c>
      <c r="L38" s="9" t="s">
        <v>388</v>
      </c>
      <c r="V38" t="s">
        <v>220</v>
      </c>
      <c r="W38" t="s">
        <v>236</v>
      </c>
      <c r="X38" s="94">
        <f>X34/(X34+X36)</f>
        <v>0.3225048242343847</v>
      </c>
      <c r="Z38" s="168" t="s">
        <v>358</v>
      </c>
    </row>
    <row r="39" spans="1:26" x14ac:dyDescent="0.35">
      <c r="A39" s="33" t="s">
        <v>153</v>
      </c>
      <c r="B39" s="36">
        <v>15.9</v>
      </c>
      <c r="C39" s="37">
        <v>8</v>
      </c>
      <c r="D39" s="38">
        <v>78.141238608693655</v>
      </c>
      <c r="E39" s="39">
        <v>499.6</v>
      </c>
      <c r="F39" s="40">
        <v>173.49741125787563</v>
      </c>
      <c r="G39" s="41">
        <v>1.58</v>
      </c>
      <c r="H39" s="42">
        <v>22.2</v>
      </c>
      <c r="I39" s="43">
        <v>3.8</v>
      </c>
      <c r="J39" s="44">
        <v>42822</v>
      </c>
    </row>
    <row r="40" spans="1:26" ht="16.5" x14ac:dyDescent="0.45">
      <c r="A40" s="33" t="s">
        <v>154</v>
      </c>
      <c r="B40" s="36">
        <v>13.6</v>
      </c>
      <c r="C40" s="37">
        <v>5.5</v>
      </c>
      <c r="D40" s="38">
        <v>90.140446325387984</v>
      </c>
      <c r="E40" s="39">
        <v>287.60000000000002</v>
      </c>
      <c r="F40" s="40">
        <v>274.47103491347588</v>
      </c>
      <c r="G40" s="41">
        <v>1.31</v>
      </c>
      <c r="H40" s="42">
        <v>28.1</v>
      </c>
      <c r="I40" s="43">
        <v>6.4</v>
      </c>
      <c r="J40" s="44">
        <v>50169</v>
      </c>
      <c r="L40" s="9" t="s">
        <v>196</v>
      </c>
      <c r="M40" s="415" t="e" cm="1">
        <f t="array" aca="1" ref="M40" ca="1">PART_CORREL(B4:B53,D4:D53,C4:C53)</f>
        <v>#NAME?</v>
      </c>
      <c r="W40" t="s">
        <v>359</v>
      </c>
      <c r="X40" s="119">
        <f>SQRT(X38)</f>
        <v>0.5678950820656794</v>
      </c>
      <c r="Z40" s="168" t="s">
        <v>360</v>
      </c>
    </row>
    <row r="41" spans="1:26" ht="16.5" x14ac:dyDescent="0.45">
      <c r="A41" s="33" t="s">
        <v>155</v>
      </c>
      <c r="B41" s="36">
        <v>12.1</v>
      </c>
      <c r="C41" s="37">
        <v>7.6</v>
      </c>
      <c r="D41" s="38">
        <v>85.424563507935517</v>
      </c>
      <c r="E41" s="39">
        <v>416.5</v>
      </c>
      <c r="F41" s="40">
        <v>305.34793674360481</v>
      </c>
      <c r="G41" s="41">
        <v>1.37</v>
      </c>
      <c r="H41" s="42">
        <v>26.3</v>
      </c>
      <c r="I41" s="43">
        <v>5.4</v>
      </c>
      <c r="J41" s="44">
        <v>50713</v>
      </c>
      <c r="L41" s="9" t="s">
        <v>197</v>
      </c>
      <c r="M41" s="117" t="e" cm="1">
        <f t="array" aca="1" ref="M41" ca="1">SEMIPART_CORREL(B4:B53,D4:D53,C4:C53)</f>
        <v>#NAME?</v>
      </c>
      <c r="Q41"/>
      <c r="R41"/>
      <c r="S41"/>
      <c r="T41"/>
      <c r="U41"/>
      <c r="V41"/>
    </row>
    <row r="42" spans="1:26" ht="16.5" x14ac:dyDescent="0.45">
      <c r="A42" s="33" t="s">
        <v>156</v>
      </c>
      <c r="B42" s="36">
        <v>11.7</v>
      </c>
      <c r="C42" s="37">
        <v>6.1</v>
      </c>
      <c r="D42" s="38">
        <v>88.483880668602993</v>
      </c>
      <c r="E42" s="39">
        <v>227.3</v>
      </c>
      <c r="F42" s="40">
        <v>375.54503881739873</v>
      </c>
      <c r="G42" s="41">
        <v>0.8</v>
      </c>
      <c r="H42" s="42">
        <v>30</v>
      </c>
      <c r="I42" s="43">
        <v>7.8</v>
      </c>
      <c r="J42" s="44">
        <v>55701</v>
      </c>
      <c r="L42" t="s">
        <v>229</v>
      </c>
      <c r="M42" s="118" t="b" cm="1">
        <f t="array" aca="1" ref="M42" ca="1">_xll.MCORREL(B4:B53,D4:D53,C4:C53)</f>
        <v>0</v>
      </c>
      <c r="Q42"/>
      <c r="R42"/>
      <c r="S42"/>
      <c r="T42"/>
      <c r="U42"/>
      <c r="V42"/>
    </row>
    <row r="43" spans="1:26" x14ac:dyDescent="0.35">
      <c r="A43" s="33" t="s">
        <v>157</v>
      </c>
      <c r="B43" s="36">
        <v>15.7</v>
      </c>
      <c r="C43" s="37">
        <v>8.4</v>
      </c>
      <c r="D43" s="38">
        <v>68.748136077503446</v>
      </c>
      <c r="E43" s="39">
        <v>788.3</v>
      </c>
      <c r="F43" s="40">
        <v>229.78882221083092</v>
      </c>
      <c r="G43" s="41">
        <v>2.09</v>
      </c>
      <c r="H43" s="42">
        <v>23.7</v>
      </c>
      <c r="I43" s="43">
        <v>6.9</v>
      </c>
      <c r="J43" s="44">
        <v>44625</v>
      </c>
      <c r="Q43"/>
      <c r="R43"/>
      <c r="S43"/>
      <c r="T43"/>
      <c r="U43"/>
      <c r="V43"/>
    </row>
    <row r="44" spans="1:26" x14ac:dyDescent="0.35">
      <c r="A44" s="33" t="s">
        <v>158</v>
      </c>
      <c r="B44" s="36">
        <v>12.5</v>
      </c>
      <c r="C44" s="37">
        <v>6.9</v>
      </c>
      <c r="D44" s="38">
        <v>88.189790025789804</v>
      </c>
      <c r="E44" s="39">
        <v>169.2</v>
      </c>
      <c r="F44" s="40">
        <v>219.05543497522274</v>
      </c>
      <c r="G44" s="41">
        <v>1.62</v>
      </c>
      <c r="H44" s="42">
        <v>25.1</v>
      </c>
      <c r="I44" s="43">
        <v>3</v>
      </c>
      <c r="J44" s="44">
        <v>46032</v>
      </c>
      <c r="Q44"/>
      <c r="R44"/>
      <c r="S44"/>
      <c r="T44"/>
      <c r="U44"/>
      <c r="V44"/>
    </row>
    <row r="45" spans="1:26" x14ac:dyDescent="0.35">
      <c r="A45" s="33" t="s">
        <v>159</v>
      </c>
      <c r="B45" s="36">
        <v>15.5</v>
      </c>
      <c r="C45" s="37">
        <v>8.6999999999999993</v>
      </c>
      <c r="D45" s="38">
        <v>80.371971305033981</v>
      </c>
      <c r="E45" s="39">
        <v>753.3</v>
      </c>
      <c r="F45" s="40">
        <v>263.55007776727581</v>
      </c>
      <c r="G45" s="41">
        <v>1.7</v>
      </c>
      <c r="H45" s="42">
        <v>22.9</v>
      </c>
      <c r="I45" s="43">
        <v>6.4</v>
      </c>
      <c r="J45" s="44">
        <v>43614</v>
      </c>
      <c r="L45"/>
      <c r="M45"/>
      <c r="N45"/>
      <c r="O45"/>
      <c r="P45"/>
      <c r="Q45"/>
      <c r="R45"/>
      <c r="S45"/>
      <c r="T45"/>
      <c r="U45"/>
      <c r="V45"/>
    </row>
    <row r="46" spans="1:26" x14ac:dyDescent="0.35">
      <c r="A46" s="33" t="s">
        <v>160</v>
      </c>
      <c r="B46" s="36">
        <v>15.8</v>
      </c>
      <c r="C46" s="37">
        <v>6.2</v>
      </c>
      <c r="D46" s="38">
        <v>82.402677784750395</v>
      </c>
      <c r="E46" s="39">
        <v>510.6</v>
      </c>
      <c r="F46" s="40">
        <v>214.23090434296537</v>
      </c>
      <c r="G46" s="41">
        <v>1.38</v>
      </c>
      <c r="H46" s="42">
        <v>25.3</v>
      </c>
      <c r="I46" s="43">
        <v>4.9000000000000004</v>
      </c>
      <c r="J46" s="44">
        <v>50043</v>
      </c>
      <c r="L46"/>
      <c r="M46"/>
      <c r="N46"/>
      <c r="O46"/>
      <c r="P46"/>
      <c r="Q46"/>
      <c r="R46"/>
      <c r="S46"/>
      <c r="T46"/>
      <c r="U46"/>
      <c r="V46"/>
    </row>
    <row r="47" spans="1:26" x14ac:dyDescent="0.35">
      <c r="A47" s="33" t="s">
        <v>161</v>
      </c>
      <c r="B47" s="36">
        <v>9.6</v>
      </c>
      <c r="C47" s="37">
        <v>5.0999999999999996</v>
      </c>
      <c r="D47" s="38">
        <v>92.915461931338129</v>
      </c>
      <c r="E47" s="39">
        <v>234.8</v>
      </c>
      <c r="F47" s="40">
        <v>208.06129808818156</v>
      </c>
      <c r="G47" s="41">
        <v>1.1100000000000001</v>
      </c>
      <c r="H47" s="42">
        <v>29.1</v>
      </c>
      <c r="I47" s="43">
        <v>3.4</v>
      </c>
      <c r="J47" s="44">
        <v>56633</v>
      </c>
      <c r="L47"/>
      <c r="M47"/>
      <c r="N47"/>
      <c r="O47"/>
      <c r="P47"/>
      <c r="Q47"/>
      <c r="R47"/>
      <c r="S47"/>
      <c r="T47"/>
      <c r="U47"/>
      <c r="V47"/>
    </row>
    <row r="48" spans="1:26" x14ac:dyDescent="0.35">
      <c r="A48" s="33" t="s">
        <v>162</v>
      </c>
      <c r="B48" s="36">
        <v>10.6</v>
      </c>
      <c r="C48" s="37">
        <v>5.5</v>
      </c>
      <c r="D48" s="38">
        <v>96.408807764739961</v>
      </c>
      <c r="E48" s="39">
        <v>124.3</v>
      </c>
      <c r="F48" s="40">
        <v>373.74264596905664</v>
      </c>
      <c r="G48" s="41">
        <v>0.86</v>
      </c>
      <c r="H48" s="42">
        <v>32.1</v>
      </c>
      <c r="I48" s="43">
        <v>4.8</v>
      </c>
      <c r="J48" s="44">
        <v>52104</v>
      </c>
      <c r="L48"/>
      <c r="M48"/>
      <c r="N48"/>
      <c r="O48"/>
      <c r="P48"/>
      <c r="Q48"/>
      <c r="R48"/>
      <c r="S48"/>
      <c r="T48"/>
      <c r="U48"/>
      <c r="V48"/>
    </row>
    <row r="49" spans="1:22" x14ac:dyDescent="0.35">
      <c r="A49" s="33" t="s">
        <v>163</v>
      </c>
      <c r="B49" s="36">
        <v>10.199999999999999</v>
      </c>
      <c r="C49" s="37">
        <v>7.1</v>
      </c>
      <c r="D49" s="38">
        <v>73.031896017666924</v>
      </c>
      <c r="E49" s="39">
        <v>269.7</v>
      </c>
      <c r="F49" s="40">
        <v>274.48522654578164</v>
      </c>
      <c r="G49" s="41">
        <v>1.25</v>
      </c>
      <c r="H49" s="42">
        <v>33.700000000000003</v>
      </c>
      <c r="I49" s="43">
        <v>4</v>
      </c>
      <c r="J49" s="44">
        <v>61233</v>
      </c>
      <c r="L49"/>
      <c r="M49"/>
      <c r="N49"/>
      <c r="O49"/>
      <c r="P49"/>
      <c r="Q49"/>
      <c r="R49"/>
      <c r="S49"/>
      <c r="T49"/>
      <c r="U49"/>
      <c r="V49"/>
    </row>
    <row r="50" spans="1:22" x14ac:dyDescent="0.35">
      <c r="A50" s="33" t="s">
        <v>164</v>
      </c>
      <c r="B50" s="36">
        <v>11.3</v>
      </c>
      <c r="C50" s="37">
        <v>4.7</v>
      </c>
      <c r="D50" s="38">
        <v>84.290902250404002</v>
      </c>
      <c r="E50" s="39">
        <v>333.1</v>
      </c>
      <c r="F50" s="40">
        <v>269.98946121651699</v>
      </c>
      <c r="G50" s="41">
        <v>1</v>
      </c>
      <c r="H50" s="42">
        <v>30.7</v>
      </c>
      <c r="I50" s="43">
        <v>5.3</v>
      </c>
      <c r="J50" s="44">
        <v>58078</v>
      </c>
      <c r="L50"/>
      <c r="M50"/>
      <c r="N50"/>
      <c r="O50"/>
      <c r="P50"/>
      <c r="Q50"/>
      <c r="R50"/>
      <c r="S50"/>
      <c r="T50"/>
      <c r="U50"/>
      <c r="V50"/>
    </row>
    <row r="51" spans="1:22" x14ac:dyDescent="0.35">
      <c r="A51" s="33" t="s">
        <v>165</v>
      </c>
      <c r="B51" s="46">
        <v>17</v>
      </c>
      <c r="C51" s="37">
        <v>7.4</v>
      </c>
      <c r="D51" s="38">
        <v>94.524786328554711</v>
      </c>
      <c r="E51" s="39">
        <v>275.2</v>
      </c>
      <c r="F51" s="40">
        <v>232.12047942465506</v>
      </c>
      <c r="G51" s="41">
        <v>2.1</v>
      </c>
      <c r="H51" s="42">
        <v>17.100000000000001</v>
      </c>
      <c r="I51" s="43">
        <v>4.3</v>
      </c>
      <c r="J51" s="44">
        <v>37989</v>
      </c>
      <c r="L51"/>
      <c r="M51"/>
      <c r="N51"/>
      <c r="O51"/>
      <c r="P51"/>
      <c r="Q51"/>
      <c r="R51"/>
      <c r="S51"/>
      <c r="T51"/>
      <c r="U51"/>
      <c r="V51"/>
    </row>
    <row r="52" spans="1:22" x14ac:dyDescent="0.35">
      <c r="A52" s="33" t="s">
        <v>166</v>
      </c>
      <c r="B52" s="36">
        <v>10.4</v>
      </c>
      <c r="C52" s="37">
        <v>6.4</v>
      </c>
      <c r="D52" s="38">
        <v>89.673695670212709</v>
      </c>
      <c r="E52" s="39">
        <v>290.89999999999998</v>
      </c>
      <c r="F52" s="40">
        <v>259.10479089348553</v>
      </c>
      <c r="G52" s="41">
        <v>1.27</v>
      </c>
      <c r="H52" s="42">
        <v>25.7</v>
      </c>
      <c r="I52" s="43">
        <v>4.7</v>
      </c>
      <c r="J52" s="44">
        <v>52094</v>
      </c>
      <c r="L52"/>
      <c r="M52"/>
      <c r="N52"/>
      <c r="O52"/>
      <c r="P52"/>
      <c r="Q52"/>
      <c r="R52"/>
      <c r="S52"/>
      <c r="T52"/>
      <c r="U52"/>
      <c r="V52"/>
    </row>
    <row r="53" spans="1:22" x14ac:dyDescent="0.35">
      <c r="A53" s="47" t="s">
        <v>167</v>
      </c>
      <c r="B53" s="48">
        <v>9.4</v>
      </c>
      <c r="C53" s="49">
        <v>7</v>
      </c>
      <c r="D53" s="50">
        <v>93.867286940458214</v>
      </c>
      <c r="E53" s="51">
        <v>239.3</v>
      </c>
      <c r="F53" s="52">
        <v>184.42356646510669</v>
      </c>
      <c r="G53" s="53">
        <v>1.6</v>
      </c>
      <c r="H53" s="54">
        <v>23.6</v>
      </c>
      <c r="I53" s="55">
        <v>3.1</v>
      </c>
      <c r="J53" s="56">
        <v>53207</v>
      </c>
      <c r="L53"/>
      <c r="M53"/>
      <c r="N53"/>
      <c r="O53"/>
      <c r="P53"/>
      <c r="Q53"/>
      <c r="R53"/>
      <c r="S53"/>
      <c r="T53"/>
      <c r="U53"/>
      <c r="V53"/>
    </row>
    <row r="54" spans="1:22" x14ac:dyDescent="0.35">
      <c r="A54" s="33"/>
      <c r="B54" s="33"/>
      <c r="C54" s="33"/>
      <c r="D54" s="33"/>
      <c r="E54" s="33"/>
      <c r="F54" s="33"/>
      <c r="G54" s="33"/>
      <c r="H54" s="33"/>
      <c r="I54" s="33"/>
      <c r="J54" s="33"/>
      <c r="L54"/>
      <c r="M54"/>
      <c r="N54"/>
      <c r="O54"/>
      <c r="P54"/>
      <c r="Q54"/>
      <c r="R54"/>
      <c r="S54"/>
      <c r="T54"/>
      <c r="U54"/>
      <c r="V54"/>
    </row>
    <row r="55" spans="1:22" x14ac:dyDescent="0.35">
      <c r="A55" s="33" t="s">
        <v>168</v>
      </c>
      <c r="B55" s="33"/>
      <c r="C55" s="33"/>
      <c r="D55" s="33"/>
      <c r="E55" s="33"/>
      <c r="F55" s="33"/>
      <c r="G55" s="33"/>
      <c r="H55" s="33"/>
      <c r="I55" s="33"/>
      <c r="J55" s="33"/>
      <c r="L55"/>
      <c r="M55"/>
      <c r="N55"/>
      <c r="O55"/>
      <c r="P55"/>
      <c r="Q55"/>
      <c r="R55"/>
      <c r="S55"/>
      <c r="T55"/>
      <c r="U55"/>
      <c r="V55"/>
    </row>
    <row r="56" spans="1:22" x14ac:dyDescent="0.35">
      <c r="A56" s="33" t="s">
        <v>169</v>
      </c>
      <c r="B56" s="33"/>
      <c r="C56" s="33"/>
      <c r="D56" s="33"/>
      <c r="E56" s="33"/>
      <c r="F56" s="33"/>
      <c r="G56" s="33"/>
      <c r="H56" s="33"/>
      <c r="I56" s="33"/>
      <c r="J56" s="33"/>
      <c r="L56"/>
      <c r="M56"/>
      <c r="N56"/>
      <c r="O56"/>
      <c r="P56"/>
      <c r="Q56"/>
      <c r="R56"/>
      <c r="S56"/>
      <c r="T56"/>
      <c r="U56"/>
      <c r="V56"/>
    </row>
    <row r="57" spans="1:22" x14ac:dyDescent="0.35">
      <c r="A57" s="33" t="s">
        <v>170</v>
      </c>
      <c r="B57" s="33"/>
      <c r="C57" s="33"/>
      <c r="D57" s="33"/>
      <c r="E57" s="33"/>
      <c r="F57" s="33"/>
      <c r="G57" s="33"/>
      <c r="H57" s="33"/>
      <c r="I57" s="33"/>
      <c r="J57" s="33"/>
      <c r="L57"/>
      <c r="M57"/>
      <c r="N57"/>
      <c r="O57"/>
      <c r="P57"/>
      <c r="Q57"/>
      <c r="R57"/>
      <c r="S57"/>
      <c r="T57"/>
      <c r="U57"/>
      <c r="V57"/>
    </row>
    <row r="58" spans="1:22" x14ac:dyDescent="0.35">
      <c r="A58" s="33" t="s">
        <v>171</v>
      </c>
      <c r="B58" s="33"/>
      <c r="C58" s="33"/>
      <c r="D58" s="33"/>
      <c r="E58" s="33"/>
      <c r="F58" s="33"/>
      <c r="G58" s="33"/>
      <c r="H58" s="33"/>
      <c r="I58" s="33"/>
      <c r="J58" s="33"/>
      <c r="L58"/>
      <c r="M58"/>
      <c r="N58"/>
      <c r="O58"/>
      <c r="P58"/>
      <c r="Q58"/>
      <c r="R58"/>
      <c r="S58"/>
      <c r="T58"/>
      <c r="U58"/>
      <c r="V58"/>
    </row>
    <row r="59" spans="1:22" x14ac:dyDescent="0.35">
      <c r="A59" s="33" t="s">
        <v>172</v>
      </c>
      <c r="B59" s="33"/>
      <c r="C59" s="33"/>
      <c r="D59" s="33"/>
      <c r="E59" s="33"/>
      <c r="F59" s="33"/>
      <c r="G59" s="33"/>
      <c r="H59" s="33"/>
      <c r="I59" s="33"/>
      <c r="J59" s="33"/>
      <c r="L59"/>
      <c r="M59"/>
      <c r="N59"/>
      <c r="O59"/>
      <c r="P59"/>
      <c r="Q59"/>
      <c r="R59"/>
      <c r="S59"/>
      <c r="T59"/>
      <c r="U59"/>
      <c r="V59"/>
    </row>
    <row r="60" spans="1:22" x14ac:dyDescent="0.35">
      <c r="A60" s="33" t="s">
        <v>173</v>
      </c>
      <c r="B60" s="33"/>
      <c r="C60" s="33"/>
      <c r="D60" s="33"/>
      <c r="E60" s="33"/>
      <c r="F60" s="33"/>
      <c r="G60" s="33"/>
      <c r="H60" s="33"/>
      <c r="I60" s="33"/>
      <c r="J60" s="33"/>
      <c r="L60"/>
      <c r="M60"/>
      <c r="N60"/>
      <c r="O60"/>
      <c r="P60"/>
      <c r="Q60"/>
      <c r="R60"/>
      <c r="S60"/>
      <c r="T60"/>
      <c r="U60"/>
      <c r="V60"/>
    </row>
    <row r="61" spans="1:22" x14ac:dyDescent="0.35">
      <c r="A61" s="33" t="s">
        <v>174</v>
      </c>
      <c r="B61" s="33"/>
      <c r="C61" s="33"/>
      <c r="D61" s="33"/>
      <c r="E61" s="33"/>
      <c r="F61" s="33"/>
      <c r="G61" s="33"/>
      <c r="H61" s="33"/>
      <c r="I61" s="33"/>
      <c r="J61" s="33"/>
      <c r="L61"/>
      <c r="M61"/>
      <c r="N61"/>
      <c r="O61"/>
      <c r="P61"/>
      <c r="Q61"/>
      <c r="R61"/>
      <c r="S61"/>
      <c r="T61"/>
      <c r="U61"/>
      <c r="V61"/>
    </row>
    <row r="62" spans="1:22" x14ac:dyDescent="0.35">
      <c r="A62" s="33" t="s">
        <v>175</v>
      </c>
      <c r="B62" s="33"/>
      <c r="C62" s="33"/>
      <c r="D62" s="33"/>
      <c r="E62" s="33"/>
      <c r="F62" s="33"/>
      <c r="G62" s="33"/>
      <c r="H62" s="33"/>
      <c r="I62" s="33"/>
      <c r="J62" s="33"/>
      <c r="L62"/>
      <c r="M62"/>
      <c r="N62"/>
      <c r="O62"/>
      <c r="P62"/>
      <c r="Q62"/>
      <c r="R62"/>
      <c r="S62"/>
      <c r="T62"/>
      <c r="U62"/>
      <c r="V62"/>
    </row>
    <row r="63" spans="1:22" x14ac:dyDescent="0.35">
      <c r="A63" s="33" t="s">
        <v>176</v>
      </c>
      <c r="B63" s="33"/>
      <c r="C63" s="33"/>
      <c r="D63" s="33"/>
      <c r="E63" s="33"/>
      <c r="F63" s="33"/>
      <c r="G63" s="33"/>
      <c r="H63" s="33"/>
      <c r="I63" s="33"/>
      <c r="J63" s="3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58"/>
  <dimension ref="A1:O21"/>
  <sheetViews>
    <sheetView workbookViewId="0"/>
  </sheetViews>
  <sheetFormatPr defaultRowHeight="14.5" x14ac:dyDescent="0.35"/>
  <cols>
    <col min="1" max="1" width="8.26953125" customWidth="1"/>
    <col min="3" max="3" width="4.54296875" customWidth="1"/>
    <col min="4" max="4" width="9" customWidth="1"/>
    <col min="10" max="10" width="9.1796875" customWidth="1"/>
  </cols>
  <sheetData>
    <row r="1" spans="1:15" x14ac:dyDescent="0.35">
      <c r="A1" s="1" t="s">
        <v>180</v>
      </c>
    </row>
    <row r="3" spans="1:15" x14ac:dyDescent="0.35">
      <c r="A3" s="27" t="s">
        <v>95</v>
      </c>
      <c r="B3" s="107">
        <v>0.7</v>
      </c>
      <c r="D3" s="27" t="s">
        <v>181</v>
      </c>
      <c r="E3" s="107">
        <f>FISHER(B3)</f>
        <v>0.86730052769405319</v>
      </c>
    </row>
    <row r="4" spans="1:15" x14ac:dyDescent="0.35">
      <c r="A4" s="57" t="s">
        <v>179</v>
      </c>
      <c r="B4" s="94">
        <v>0.6</v>
      </c>
      <c r="D4" s="57" t="s">
        <v>182</v>
      </c>
      <c r="E4" s="94">
        <f>FISHER(B4)</f>
        <v>0.69314718055994529</v>
      </c>
    </row>
    <row r="5" spans="1:15" x14ac:dyDescent="0.35">
      <c r="A5" s="27"/>
    </row>
    <row r="6" spans="1:15" x14ac:dyDescent="0.35">
      <c r="A6" s="27" t="s">
        <v>31</v>
      </c>
      <c r="B6" s="107">
        <v>100</v>
      </c>
    </row>
    <row r="7" spans="1:15" ht="16.5" x14ac:dyDescent="0.45">
      <c r="A7" s="27" t="s">
        <v>183</v>
      </c>
      <c r="B7" s="94">
        <f>1/SQRT(B6-3)</f>
        <v>0.10153461651336192</v>
      </c>
    </row>
    <row r="9" spans="1:15" x14ac:dyDescent="0.35">
      <c r="A9" t="s">
        <v>192</v>
      </c>
      <c r="D9" t="s">
        <v>190</v>
      </c>
      <c r="G9" t="s">
        <v>460</v>
      </c>
      <c r="K9" t="s">
        <v>490</v>
      </c>
    </row>
    <row r="11" spans="1:15" x14ac:dyDescent="0.35">
      <c r="D11" s="4" t="s">
        <v>88</v>
      </c>
      <c r="E11" s="107">
        <f>B12</f>
        <v>0.05</v>
      </c>
      <c r="G11" t="s">
        <v>59</v>
      </c>
      <c r="H11" s="167" t="e" cm="1">
        <f t="array" aca="1" ref="H11" ca="1">CorrTest(B4,B3,B6)</f>
        <v>#NAME?</v>
      </c>
      <c r="K11" t="s">
        <v>26</v>
      </c>
      <c r="L11" t="s">
        <v>27</v>
      </c>
    </row>
    <row r="12" spans="1:15" x14ac:dyDescent="0.35">
      <c r="A12" s="4" t="s">
        <v>88</v>
      </c>
      <c r="B12" s="107">
        <v>0.05</v>
      </c>
      <c r="D12" s="4" t="s">
        <v>36</v>
      </c>
      <c r="E12" s="100">
        <f>(E3-E4)/B7</f>
        <v>1.7152115516306636</v>
      </c>
      <c r="G12" t="s">
        <v>88</v>
      </c>
      <c r="H12" s="100">
        <v>0.05</v>
      </c>
      <c r="K12" s="224">
        <v>34</v>
      </c>
      <c r="L12" s="223">
        <v>46</v>
      </c>
      <c r="N12" t="s">
        <v>95</v>
      </c>
      <c r="O12" s="109">
        <f>CORREL(K12:K18,L12:L18)</f>
        <v>0.9752921131375446</v>
      </c>
    </row>
    <row r="13" spans="1:15" x14ac:dyDescent="0.35">
      <c r="A13" s="4" t="s">
        <v>59</v>
      </c>
      <c r="B13" s="100">
        <f>2*(1-NORMDIST(E3,E4,B7,TRUE))</f>
        <v>8.6306447736500314E-2</v>
      </c>
      <c r="D13" s="4" t="s">
        <v>59</v>
      </c>
      <c r="E13" s="100">
        <f>2*(1-NORMSDIST(E12))</f>
        <v>8.6306447736500314E-2</v>
      </c>
      <c r="G13" t="s">
        <v>29</v>
      </c>
      <c r="H13" s="100" t="e" cm="1">
        <f t="array" aca="1" ref="H13" ca="1">CorrLower(B3,B6,H12)</f>
        <v>#NAME?</v>
      </c>
      <c r="K13" s="103">
        <v>56</v>
      </c>
      <c r="L13" s="97">
        <v>78</v>
      </c>
    </row>
    <row r="14" spans="1:15" x14ac:dyDescent="0.35">
      <c r="A14" s="4" t="s">
        <v>184</v>
      </c>
      <c r="B14" s="100">
        <f>NORMINV(1-B12/2,E4,B7)</f>
        <v>0.89215137211022044</v>
      </c>
      <c r="D14" s="4" t="s">
        <v>185</v>
      </c>
      <c r="E14" s="100">
        <f>NORMSINV(1-E11/2)</f>
        <v>1.9599639845400536</v>
      </c>
      <c r="G14" t="s">
        <v>30</v>
      </c>
      <c r="H14" s="94" t="e" cm="1">
        <f t="array" aca="1" ref="H14" ca="1">CorrUpper(B3,B6,H12)</f>
        <v>#NAME?</v>
      </c>
      <c r="K14" s="103">
        <v>23</v>
      </c>
      <c r="L14" s="97">
        <v>39</v>
      </c>
      <c r="N14" t="e">
        <f t="array" aca="1" ref="N14:O17" ca="1">CorrelTest(K12:K18,L12:L18,0.9,0.05,TRUE)</f>
        <v>#NAME?</v>
      </c>
      <c r="O14" s="185" t="e">
        <f ca="1"/>
        <v>#NAME?</v>
      </c>
    </row>
    <row r="15" spans="1:15" x14ac:dyDescent="0.35">
      <c r="A15" s="4" t="s">
        <v>270</v>
      </c>
      <c r="B15" s="92" t="str">
        <f>IF(B13&lt;B12,"yes","no")</f>
        <v>no</v>
      </c>
      <c r="D15" s="4" t="s">
        <v>270</v>
      </c>
      <c r="E15" s="92" t="str">
        <f>IF(E13&lt;E11,"yes","no")</f>
        <v>no</v>
      </c>
      <c r="K15" s="103">
        <v>12</v>
      </c>
      <c r="L15" s="97">
        <v>9</v>
      </c>
      <c r="N15" t="e">
        <f ca="1"/>
        <v>#NAME?</v>
      </c>
      <c r="O15" s="100" t="e">
        <f ca="1"/>
        <v>#NAME?</v>
      </c>
    </row>
    <row r="16" spans="1:15" x14ac:dyDescent="0.35">
      <c r="B16" s="6"/>
      <c r="D16" s="4"/>
      <c r="E16" s="14"/>
      <c r="G16" t="e">
        <f t="array" aca="1" ref="G16:H19" ca="1">CorrelTest(B3,B6,B4,0.05,TRUE)</f>
        <v>#NAME?</v>
      </c>
      <c r="H16" s="185" t="e">
        <f ca="1"/>
        <v>#NAME?</v>
      </c>
      <c r="K16" s="103">
        <v>30</v>
      </c>
      <c r="L16" s="97">
        <v>39</v>
      </c>
      <c r="N16" t="e">
        <f ca="1"/>
        <v>#NAME?</v>
      </c>
      <c r="O16" s="100" t="e">
        <f ca="1"/>
        <v>#NAME?</v>
      </c>
    </row>
    <row r="17" spans="1:15" x14ac:dyDescent="0.35">
      <c r="A17" t="s">
        <v>191</v>
      </c>
      <c r="G17" t="e">
        <f ca="1"/>
        <v>#NAME?</v>
      </c>
      <c r="H17" s="100" t="e">
        <f ca="1"/>
        <v>#NAME?</v>
      </c>
      <c r="K17" s="103">
        <v>45</v>
      </c>
      <c r="L17" s="97">
        <v>71</v>
      </c>
      <c r="N17" t="e">
        <f ca="1"/>
        <v>#NAME?</v>
      </c>
      <c r="O17" s="94" t="e">
        <f ca="1"/>
        <v>#NAME?</v>
      </c>
    </row>
    <row r="18" spans="1:15" x14ac:dyDescent="0.35">
      <c r="G18" t="e">
        <f ca="1"/>
        <v>#NAME?</v>
      </c>
      <c r="H18" s="100" t="e">
        <f ca="1"/>
        <v>#NAME?</v>
      </c>
      <c r="K18" s="95">
        <v>29</v>
      </c>
      <c r="L18" s="90">
        <v>41</v>
      </c>
    </row>
    <row r="19" spans="1:15" x14ac:dyDescent="0.35">
      <c r="A19" s="4" t="s">
        <v>185</v>
      </c>
      <c r="B19" s="107">
        <f>ABS(NORMSINV(B12/2))</f>
        <v>1.9599639845400538</v>
      </c>
      <c r="C19" s="4"/>
      <c r="D19" s="4"/>
      <c r="E19" s="4"/>
      <c r="G19" t="e">
        <f ca="1"/>
        <v>#NAME?</v>
      </c>
      <c r="H19" s="94" t="e">
        <f ca="1"/>
        <v>#NAME?</v>
      </c>
    </row>
    <row r="20" spans="1:15" x14ac:dyDescent="0.35">
      <c r="A20" s="4" t="s">
        <v>186</v>
      </c>
      <c r="B20" s="100">
        <f>E3-B19*B7</f>
        <v>0.66829633614377804</v>
      </c>
      <c r="C20" s="4"/>
      <c r="D20" s="4" t="s">
        <v>188</v>
      </c>
      <c r="E20" s="107">
        <f>FISHERINV(B20)</f>
        <v>0.58385809839391167</v>
      </c>
    </row>
    <row r="21" spans="1:15" x14ac:dyDescent="0.35">
      <c r="A21" s="4" t="s">
        <v>187</v>
      </c>
      <c r="B21" s="94">
        <f>E3+B19*B7</f>
        <v>1.0663047192443282</v>
      </c>
      <c r="C21" s="4"/>
      <c r="D21" s="4" t="s">
        <v>189</v>
      </c>
      <c r="E21" s="94">
        <f>FISHERINV(B21)</f>
        <v>0.78806495335730942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00"/>
  <dimension ref="A1:BH2004"/>
  <sheetViews>
    <sheetView zoomScaleNormal="100" workbookViewId="0"/>
  </sheetViews>
  <sheetFormatPr defaultRowHeight="14.5" x14ac:dyDescent="0.35"/>
  <cols>
    <col min="3" max="3" width="7.81640625" customWidth="1"/>
    <col min="4" max="28" width="4.7265625" customWidth="1"/>
    <col min="39" max="39" width="3.81640625" customWidth="1"/>
    <col min="40" max="40" width="55.453125" customWidth="1"/>
  </cols>
  <sheetData>
    <row r="1" spans="1:60" x14ac:dyDescent="0.35">
      <c r="A1" s="1" t="s">
        <v>471</v>
      </c>
    </row>
    <row r="2" spans="1:60" x14ac:dyDescent="0.35">
      <c r="AP2" t="s">
        <v>466</v>
      </c>
      <c r="BD2" t="s">
        <v>467</v>
      </c>
    </row>
    <row r="3" spans="1:60" ht="15" thickBot="1" x14ac:dyDescent="0.4">
      <c r="E3" s="563" t="s">
        <v>458</v>
      </c>
      <c r="F3" s="563"/>
      <c r="G3" s="563"/>
      <c r="H3" s="563"/>
      <c r="I3" s="563"/>
      <c r="J3" s="563"/>
      <c r="K3" s="563"/>
      <c r="M3" s="563" t="s">
        <v>26</v>
      </c>
      <c r="N3" s="563"/>
      <c r="O3" s="563"/>
      <c r="P3" s="563"/>
      <c r="Q3" s="563"/>
      <c r="R3" s="563"/>
      <c r="S3" s="563"/>
      <c r="U3" s="563" t="s">
        <v>27</v>
      </c>
      <c r="V3" s="563"/>
      <c r="W3" s="563"/>
      <c r="X3" s="563"/>
      <c r="Y3" s="563"/>
      <c r="Z3" s="563"/>
      <c r="AA3" s="563"/>
    </row>
    <row r="4" spans="1:60" ht="15" thickTop="1" x14ac:dyDescent="0.35">
      <c r="A4" s="6" t="s">
        <v>26</v>
      </c>
      <c r="B4" s="6" t="s">
        <v>27</v>
      </c>
      <c r="D4" t="s">
        <v>312</v>
      </c>
      <c r="E4">
        <v>1</v>
      </c>
      <c r="F4">
        <v>2</v>
      </c>
      <c r="G4">
        <v>3</v>
      </c>
      <c r="H4">
        <v>4</v>
      </c>
      <c r="I4">
        <v>5</v>
      </c>
      <c r="J4">
        <v>6</v>
      </c>
      <c r="K4">
        <v>7</v>
      </c>
      <c r="M4">
        <v>1</v>
      </c>
      <c r="N4">
        <v>2</v>
      </c>
      <c r="O4">
        <v>3</v>
      </c>
      <c r="P4">
        <v>4</v>
      </c>
      <c r="Q4">
        <v>5</v>
      </c>
      <c r="R4">
        <v>6</v>
      </c>
      <c r="S4">
        <v>7</v>
      </c>
      <c r="U4">
        <v>1</v>
      </c>
      <c r="V4">
        <v>2</v>
      </c>
      <c r="W4">
        <v>3</v>
      </c>
      <c r="X4">
        <v>4</v>
      </c>
      <c r="Y4">
        <v>5</v>
      </c>
      <c r="Z4">
        <v>6</v>
      </c>
      <c r="AA4">
        <v>7</v>
      </c>
      <c r="AC4" s="228" t="s">
        <v>95</v>
      </c>
      <c r="AE4" s="229" t="s">
        <v>33</v>
      </c>
      <c r="AF4" s="229" t="s">
        <v>38</v>
      </c>
      <c r="AG4" s="229" t="s">
        <v>32</v>
      </c>
      <c r="AH4" s="229" t="s">
        <v>280</v>
      </c>
      <c r="AI4" s="229" t="s">
        <v>295</v>
      </c>
      <c r="AK4" s="86" t="s">
        <v>95</v>
      </c>
      <c r="AL4" s="226">
        <f>CORREL(A5:A11,B5:B11)</f>
        <v>0.9752921131375446</v>
      </c>
      <c r="AN4" t="e" cm="1">
        <f t="array" aca="1" ref="AN4" ca="1">FTEXT(AL4)</f>
        <v>#NAME?</v>
      </c>
      <c r="AP4" s="164" t="s">
        <v>461</v>
      </c>
      <c r="AQ4" s="164" t="s">
        <v>28</v>
      </c>
      <c r="AR4" s="164" t="s">
        <v>352</v>
      </c>
      <c r="AS4" s="164" t="s">
        <v>289</v>
      </c>
      <c r="AT4" s="164" t="s">
        <v>462</v>
      </c>
      <c r="BD4" s="164" t="s">
        <v>461</v>
      </c>
      <c r="BE4" s="164" t="s">
        <v>28</v>
      </c>
      <c r="BF4" s="164" t="s">
        <v>352</v>
      </c>
      <c r="BG4" s="164" t="s">
        <v>289</v>
      </c>
      <c r="BH4" s="164" t="s">
        <v>462</v>
      </c>
    </row>
    <row r="5" spans="1:60" x14ac:dyDescent="0.35">
      <c r="A5" s="186">
        <v>34</v>
      </c>
      <c r="B5" s="187">
        <v>46</v>
      </c>
      <c r="D5">
        <v>1</v>
      </c>
      <c r="E5" s="186">
        <v>5</v>
      </c>
      <c r="F5" s="165">
        <v>6</v>
      </c>
      <c r="G5" s="165">
        <v>3</v>
      </c>
      <c r="H5" s="165">
        <v>5</v>
      </c>
      <c r="I5" s="165">
        <v>5</v>
      </c>
      <c r="J5" s="165">
        <v>6</v>
      </c>
      <c r="K5" s="187">
        <v>7</v>
      </c>
      <c r="M5" s="186">
        <f>INDEX($A$5:$A$11,E5)</f>
        <v>30</v>
      </c>
      <c r="N5" s="165">
        <f t="shared" ref="N5:S5" si="0">INDEX($A$5:$A$11,F5)</f>
        <v>45</v>
      </c>
      <c r="O5" s="165">
        <f t="shared" si="0"/>
        <v>23</v>
      </c>
      <c r="P5" s="165">
        <f t="shared" si="0"/>
        <v>30</v>
      </c>
      <c r="Q5" s="165">
        <f t="shared" si="0"/>
        <v>30</v>
      </c>
      <c r="R5" s="165">
        <f t="shared" si="0"/>
        <v>45</v>
      </c>
      <c r="S5" s="187">
        <f t="shared" si="0"/>
        <v>29</v>
      </c>
      <c r="U5" s="186">
        <f>INDEX($B$5:$B$11,E5)</f>
        <v>39</v>
      </c>
      <c r="V5" s="165">
        <f t="shared" ref="V5:AA5" si="1">INDEX($B$5:$B$11,F5)</f>
        <v>71</v>
      </c>
      <c r="W5" s="165">
        <f t="shared" si="1"/>
        <v>39</v>
      </c>
      <c r="X5" s="165">
        <f t="shared" si="1"/>
        <v>39</v>
      </c>
      <c r="Y5" s="165">
        <f t="shared" si="1"/>
        <v>39</v>
      </c>
      <c r="Z5" s="165">
        <f t="shared" si="1"/>
        <v>71</v>
      </c>
      <c r="AA5" s="187">
        <f t="shared" si="1"/>
        <v>41</v>
      </c>
      <c r="AC5" s="226">
        <f>CORREL(M5:S5,U5:AA5)</f>
        <v>0.95631452366295355</v>
      </c>
      <c r="AE5">
        <v>0</v>
      </c>
      <c r="AF5">
        <f>COUNTIF($AC$5:$AC$2004,"&lt;="&amp;AE5)</f>
        <v>1</v>
      </c>
      <c r="AG5" s="11">
        <f>AF5</f>
        <v>1</v>
      </c>
      <c r="AH5" s="31">
        <f t="shared" ref="AH5:AH31" si="2">AG5/$AG$32</f>
        <v>5.0025012506253123E-4</v>
      </c>
      <c r="AI5" s="31">
        <f t="shared" ref="AI5:AI31" si="3">AF5/$AG$32</f>
        <v>5.0025012506253123E-4</v>
      </c>
      <c r="AK5" t="s">
        <v>29</v>
      </c>
      <c r="AL5" s="100">
        <f t="array" ref="AL5">SMALL(IF(ISERROR(AC5:AC2004),"",AC5:AC2004),AG32*0.025)</f>
        <v>0.8939760468148491</v>
      </c>
      <c r="AN5" t="e" cm="1">
        <f t="array" aca="1" ref="AN5" ca="1">FTEXT(AL5)</f>
        <v>#NAME?</v>
      </c>
      <c r="AP5">
        <v>0.875</v>
      </c>
      <c r="AQ5">
        <v>30</v>
      </c>
      <c r="AR5">
        <f>AQ5</f>
        <v>30</v>
      </c>
      <c r="AS5">
        <f>AQ5/AQ$32</f>
        <v>1.503006012024048E-2</v>
      </c>
      <c r="AT5">
        <f>AR5/AQ$32</f>
        <v>1.503006012024048E-2</v>
      </c>
      <c r="BD5">
        <v>-1</v>
      </c>
      <c r="BE5">
        <v>0</v>
      </c>
      <c r="BF5">
        <f>BE5</f>
        <v>0</v>
      </c>
      <c r="BG5">
        <f>BE5/BE$47</f>
        <v>0</v>
      </c>
      <c r="BH5">
        <f>BF5/BE$47</f>
        <v>0</v>
      </c>
    </row>
    <row r="6" spans="1:60" x14ac:dyDescent="0.35">
      <c r="A6" s="101">
        <v>56</v>
      </c>
      <c r="B6" s="102">
        <v>78</v>
      </c>
      <c r="D6">
        <f>D5+1</f>
        <v>2</v>
      </c>
      <c r="E6" s="101">
        <v>3</v>
      </c>
      <c r="F6" s="4">
        <v>7</v>
      </c>
      <c r="G6" s="4">
        <v>2</v>
      </c>
      <c r="H6" s="4">
        <v>5</v>
      </c>
      <c r="I6" s="4">
        <v>3</v>
      </c>
      <c r="J6" s="4">
        <v>5</v>
      </c>
      <c r="K6" s="102">
        <v>6</v>
      </c>
      <c r="M6" s="101">
        <f t="shared" ref="M6:M69" si="4">INDEX($A$5:$A$11,E6)</f>
        <v>23</v>
      </c>
      <c r="N6" s="4">
        <f t="shared" ref="N6:N69" si="5">INDEX($A$5:$A$11,F6)</f>
        <v>29</v>
      </c>
      <c r="O6" s="4">
        <f t="shared" ref="O6:O69" si="6">INDEX($A$5:$A$11,G6)</f>
        <v>56</v>
      </c>
      <c r="P6" s="4">
        <f t="shared" ref="P6:P69" si="7">INDEX($A$5:$A$11,H6)</f>
        <v>30</v>
      </c>
      <c r="Q6" s="4">
        <f t="shared" ref="Q6:Q69" si="8">INDEX($A$5:$A$11,I6)</f>
        <v>23</v>
      </c>
      <c r="R6" s="4">
        <f t="shared" ref="R6:R69" si="9">INDEX($A$5:$A$11,J6)</f>
        <v>30</v>
      </c>
      <c r="S6" s="102">
        <f t="shared" ref="S6:S69" si="10">INDEX($A$5:$A$11,K6)</f>
        <v>45</v>
      </c>
      <c r="U6" s="101">
        <f t="shared" ref="U6:U69" si="11">INDEX($B$5:$B$11,E6)</f>
        <v>39</v>
      </c>
      <c r="V6" s="4">
        <f t="shared" ref="V6:V69" si="12">INDEX($B$5:$B$11,F6)</f>
        <v>41</v>
      </c>
      <c r="W6" s="4">
        <f t="shared" ref="W6:W69" si="13">INDEX($B$5:$B$11,G6)</f>
        <v>78</v>
      </c>
      <c r="X6" s="4">
        <f t="shared" ref="X6:X69" si="14">INDEX($B$5:$B$11,H6)</f>
        <v>39</v>
      </c>
      <c r="Y6" s="4">
        <f t="shared" ref="Y6:Y69" si="15">INDEX($B$5:$B$11,I6)</f>
        <v>39</v>
      </c>
      <c r="Z6" s="4">
        <f t="shared" ref="Z6:Z69" si="16">INDEX($B$5:$B$11,J6)</f>
        <v>39</v>
      </c>
      <c r="AA6" s="102">
        <f t="shared" ref="AA6:AA69" si="17">INDEX($B$5:$B$11,K6)</f>
        <v>71</v>
      </c>
      <c r="AC6" s="100">
        <f t="shared" ref="AC6:AC69" si="18">CORREL(M6:S6,U6:AA6)</f>
        <v>0.96065817426764832</v>
      </c>
      <c r="AE6" s="25">
        <v>0.875</v>
      </c>
      <c r="AF6">
        <f t="shared" ref="AF6:AF17" si="19">COUNTIF($AC$5:$AC$2004,"&lt;="&amp;AE6)</f>
        <v>37</v>
      </c>
      <c r="AG6" s="11">
        <f>AF6-AF5</f>
        <v>36</v>
      </c>
      <c r="AH6" s="31">
        <f t="shared" si="2"/>
        <v>1.8009004502251125E-2</v>
      </c>
      <c r="AI6" s="31">
        <f t="shared" si="3"/>
        <v>1.8509254627313655E-2</v>
      </c>
      <c r="AK6" t="s">
        <v>30</v>
      </c>
      <c r="AL6" s="94">
        <f t="array" ref="AL6">LARGE(IF(ISERROR(AC5:AC2004),"",AC5:AC2004),AG32*0.025)</f>
        <v>0.99881707168418021</v>
      </c>
      <c r="AN6" t="e" cm="1">
        <f t="array" aca="1" ref="AN6" ca="1">FTEXT(AL6)</f>
        <v>#NAME?</v>
      </c>
      <c r="AP6">
        <f>AP5+0.005</f>
        <v>0.88</v>
      </c>
      <c r="AQ6">
        <v>2</v>
      </c>
      <c r="AR6">
        <f>AR5+AQ6</f>
        <v>32</v>
      </c>
      <c r="AS6">
        <f t="shared" ref="AS6:AS31" si="20">AQ6/AQ$32</f>
        <v>1.002004008016032E-3</v>
      </c>
      <c r="AT6">
        <f t="shared" ref="AT6:AT31" si="21">AR6/AQ$32</f>
        <v>1.6032064128256512E-2</v>
      </c>
      <c r="BD6">
        <f>BD5+0.05</f>
        <v>-0.95</v>
      </c>
      <c r="BE6">
        <v>0</v>
      </c>
      <c r="BF6">
        <f>BF5+BE6</f>
        <v>0</v>
      </c>
      <c r="BG6">
        <f t="shared" ref="BG6:BG46" si="22">BE6/BE$47</f>
        <v>0</v>
      </c>
      <c r="BH6">
        <f t="shared" ref="BH6:BH46" si="23">BF6/BE$47</f>
        <v>0</v>
      </c>
    </row>
    <row r="7" spans="1:60" x14ac:dyDescent="0.35">
      <c r="A7" s="101">
        <v>23</v>
      </c>
      <c r="B7" s="102">
        <v>39</v>
      </c>
      <c r="D7">
        <f t="shared" ref="D7:D70" si="24">D6+1</f>
        <v>3</v>
      </c>
      <c r="E7" s="101">
        <v>3</v>
      </c>
      <c r="F7" s="4">
        <v>1</v>
      </c>
      <c r="G7" s="4">
        <v>5</v>
      </c>
      <c r="H7" s="4">
        <v>2</v>
      </c>
      <c r="I7" s="4">
        <v>1</v>
      </c>
      <c r="J7" s="4">
        <v>3</v>
      </c>
      <c r="K7" s="102">
        <v>1</v>
      </c>
      <c r="M7" s="101">
        <f t="shared" si="4"/>
        <v>23</v>
      </c>
      <c r="N7" s="4">
        <f t="shared" si="5"/>
        <v>34</v>
      </c>
      <c r="O7" s="4">
        <f t="shared" si="6"/>
        <v>30</v>
      </c>
      <c r="P7" s="4">
        <f t="shared" si="7"/>
        <v>56</v>
      </c>
      <c r="Q7" s="4">
        <f t="shared" si="8"/>
        <v>34</v>
      </c>
      <c r="R7" s="4">
        <f t="shared" si="9"/>
        <v>23</v>
      </c>
      <c r="S7" s="102">
        <f t="shared" si="10"/>
        <v>34</v>
      </c>
      <c r="U7" s="101">
        <f t="shared" si="11"/>
        <v>39</v>
      </c>
      <c r="V7" s="4">
        <f t="shared" si="12"/>
        <v>46</v>
      </c>
      <c r="W7" s="4">
        <f t="shared" si="13"/>
        <v>39</v>
      </c>
      <c r="X7" s="4">
        <f t="shared" si="14"/>
        <v>78</v>
      </c>
      <c r="Y7" s="4">
        <f t="shared" si="15"/>
        <v>46</v>
      </c>
      <c r="Z7" s="4">
        <f t="shared" si="16"/>
        <v>39</v>
      </c>
      <c r="AA7" s="102">
        <f t="shared" si="17"/>
        <v>46</v>
      </c>
      <c r="AC7" s="100">
        <f t="shared" si="18"/>
        <v>0.96587917326445938</v>
      </c>
      <c r="AE7" s="25">
        <f>AE6+0.005</f>
        <v>0.88</v>
      </c>
      <c r="AF7">
        <f t="shared" si="19"/>
        <v>40</v>
      </c>
      <c r="AG7" s="11">
        <f t="shared" ref="AG7:AG17" si="25">AF7-AF6</f>
        <v>3</v>
      </c>
      <c r="AH7" s="31">
        <f t="shared" si="2"/>
        <v>1.5007503751875938E-3</v>
      </c>
      <c r="AI7" s="31">
        <f t="shared" si="3"/>
        <v>2.001000500250125E-2</v>
      </c>
      <c r="AP7">
        <f t="shared" ref="AP7:AP30" si="26">AP6+0.005</f>
        <v>0.88500000000000001</v>
      </c>
      <c r="AQ7">
        <v>2</v>
      </c>
      <c r="AR7">
        <f t="shared" ref="AR7:AR31" si="27">AR6+AQ7</f>
        <v>34</v>
      </c>
      <c r="AS7">
        <f t="shared" si="20"/>
        <v>1.002004008016032E-3</v>
      </c>
      <c r="AT7">
        <f t="shared" si="21"/>
        <v>1.7034068136272545E-2</v>
      </c>
      <c r="BD7">
        <f t="shared" ref="BD7:BD45" si="28">BD6+0.05</f>
        <v>-0.89999999999999991</v>
      </c>
      <c r="BE7">
        <v>7</v>
      </c>
      <c r="BF7">
        <f t="shared" ref="BF7:BF46" si="29">BF6+BE7</f>
        <v>7</v>
      </c>
      <c r="BG7">
        <f t="shared" si="22"/>
        <v>3.5000000000000001E-3</v>
      </c>
      <c r="BH7">
        <f t="shared" si="23"/>
        <v>3.5000000000000001E-3</v>
      </c>
    </row>
    <row r="8" spans="1:60" x14ac:dyDescent="0.35">
      <c r="A8" s="101">
        <v>12</v>
      </c>
      <c r="B8" s="102">
        <v>9</v>
      </c>
      <c r="D8">
        <f t="shared" si="24"/>
        <v>4</v>
      </c>
      <c r="E8" s="101">
        <v>6</v>
      </c>
      <c r="F8" s="4">
        <v>5</v>
      </c>
      <c r="G8" s="4">
        <v>1</v>
      </c>
      <c r="H8" s="4">
        <v>7</v>
      </c>
      <c r="I8" s="4">
        <v>4</v>
      </c>
      <c r="J8" s="4">
        <v>2</v>
      </c>
      <c r="K8" s="102">
        <v>3</v>
      </c>
      <c r="M8" s="101">
        <f t="shared" si="4"/>
        <v>45</v>
      </c>
      <c r="N8" s="4">
        <f t="shared" si="5"/>
        <v>30</v>
      </c>
      <c r="O8" s="4">
        <f t="shared" si="6"/>
        <v>34</v>
      </c>
      <c r="P8" s="4">
        <f t="shared" si="7"/>
        <v>29</v>
      </c>
      <c r="Q8" s="4">
        <f t="shared" si="8"/>
        <v>12</v>
      </c>
      <c r="R8" s="4">
        <f t="shared" si="9"/>
        <v>56</v>
      </c>
      <c r="S8" s="102">
        <f t="shared" si="10"/>
        <v>23</v>
      </c>
      <c r="U8" s="101">
        <f t="shared" si="11"/>
        <v>71</v>
      </c>
      <c r="V8" s="4">
        <f t="shared" si="12"/>
        <v>39</v>
      </c>
      <c r="W8" s="4">
        <f t="shared" si="13"/>
        <v>46</v>
      </c>
      <c r="X8" s="4">
        <f t="shared" si="14"/>
        <v>41</v>
      </c>
      <c r="Y8" s="4">
        <f t="shared" si="15"/>
        <v>9</v>
      </c>
      <c r="Z8" s="4">
        <f t="shared" si="16"/>
        <v>78</v>
      </c>
      <c r="AA8" s="102">
        <f t="shared" si="17"/>
        <v>39</v>
      </c>
      <c r="AC8" s="100">
        <f t="shared" si="18"/>
        <v>0.97529211313754438</v>
      </c>
      <c r="AE8" s="25">
        <f t="shared" ref="AE8:AE30" si="30">AE7+0.005</f>
        <v>0.88500000000000001</v>
      </c>
      <c r="AF8">
        <f t="shared" si="19"/>
        <v>44</v>
      </c>
      <c r="AG8" s="11">
        <f t="shared" si="25"/>
        <v>4</v>
      </c>
      <c r="AH8" s="31">
        <f t="shared" si="2"/>
        <v>2.0010005002501249E-3</v>
      </c>
      <c r="AI8" s="31">
        <f t="shared" si="3"/>
        <v>2.2011005502751375E-2</v>
      </c>
      <c r="AP8">
        <f t="shared" si="26"/>
        <v>0.89</v>
      </c>
      <c r="AQ8">
        <v>1</v>
      </c>
      <c r="AR8">
        <f t="shared" si="27"/>
        <v>35</v>
      </c>
      <c r="AS8">
        <f t="shared" si="20"/>
        <v>5.0100200400801599E-4</v>
      </c>
      <c r="AT8">
        <f t="shared" si="21"/>
        <v>1.7535070140280561E-2</v>
      </c>
      <c r="BD8">
        <f t="shared" si="28"/>
        <v>-0.84999999999999987</v>
      </c>
      <c r="BE8">
        <v>17</v>
      </c>
      <c r="BF8">
        <f t="shared" si="29"/>
        <v>24</v>
      </c>
      <c r="BG8">
        <f t="shared" si="22"/>
        <v>8.5000000000000006E-3</v>
      </c>
      <c r="BH8">
        <f t="shared" si="23"/>
        <v>1.2E-2</v>
      </c>
    </row>
    <row r="9" spans="1:60" x14ac:dyDescent="0.35">
      <c r="A9" s="101">
        <v>30</v>
      </c>
      <c r="B9" s="102">
        <v>39</v>
      </c>
      <c r="D9">
        <f t="shared" si="24"/>
        <v>5</v>
      </c>
      <c r="E9" s="101">
        <v>3</v>
      </c>
      <c r="F9" s="4">
        <v>2</v>
      </c>
      <c r="G9" s="4">
        <v>3</v>
      </c>
      <c r="H9" s="4">
        <v>7</v>
      </c>
      <c r="I9" s="4">
        <v>2</v>
      </c>
      <c r="J9" s="4">
        <v>5</v>
      </c>
      <c r="K9" s="102">
        <v>3</v>
      </c>
      <c r="M9" s="101">
        <f t="shared" si="4"/>
        <v>23</v>
      </c>
      <c r="N9" s="4">
        <f t="shared" si="5"/>
        <v>56</v>
      </c>
      <c r="O9" s="4">
        <f t="shared" si="6"/>
        <v>23</v>
      </c>
      <c r="P9" s="4">
        <f t="shared" si="7"/>
        <v>29</v>
      </c>
      <c r="Q9" s="4">
        <f t="shared" si="8"/>
        <v>56</v>
      </c>
      <c r="R9" s="4">
        <f t="shared" si="9"/>
        <v>30</v>
      </c>
      <c r="S9" s="102">
        <f t="shared" si="10"/>
        <v>23</v>
      </c>
      <c r="U9" s="101">
        <f t="shared" si="11"/>
        <v>39</v>
      </c>
      <c r="V9" s="4">
        <f t="shared" si="12"/>
        <v>78</v>
      </c>
      <c r="W9" s="4">
        <f t="shared" si="13"/>
        <v>39</v>
      </c>
      <c r="X9" s="4">
        <f t="shared" si="14"/>
        <v>41</v>
      </c>
      <c r="Y9" s="4">
        <f t="shared" si="15"/>
        <v>78</v>
      </c>
      <c r="Z9" s="4">
        <f t="shared" si="16"/>
        <v>39</v>
      </c>
      <c r="AA9" s="102">
        <f t="shared" si="17"/>
        <v>39</v>
      </c>
      <c r="AC9" s="100">
        <f t="shared" si="18"/>
        <v>0.98439609912897463</v>
      </c>
      <c r="AE9" s="25">
        <f t="shared" si="30"/>
        <v>0.89</v>
      </c>
      <c r="AF9">
        <f t="shared" si="19"/>
        <v>44</v>
      </c>
      <c r="AG9" s="11">
        <f t="shared" si="25"/>
        <v>0</v>
      </c>
      <c r="AH9" s="31">
        <f t="shared" si="2"/>
        <v>0</v>
      </c>
      <c r="AI9" s="31">
        <f t="shared" si="3"/>
        <v>2.2011005502751375E-2</v>
      </c>
      <c r="AP9">
        <f t="shared" si="26"/>
        <v>0.89500000000000002</v>
      </c>
      <c r="AQ9">
        <v>5</v>
      </c>
      <c r="AR9">
        <f t="shared" si="27"/>
        <v>40</v>
      </c>
      <c r="AS9">
        <f t="shared" si="20"/>
        <v>2.5050100200400801E-3</v>
      </c>
      <c r="AT9">
        <f t="shared" si="21"/>
        <v>2.004008016032064E-2</v>
      </c>
      <c r="BD9">
        <f t="shared" si="28"/>
        <v>-0.79999999999999982</v>
      </c>
      <c r="BE9">
        <v>19</v>
      </c>
      <c r="BF9">
        <f t="shared" si="29"/>
        <v>43</v>
      </c>
      <c r="BG9">
        <f t="shared" si="22"/>
        <v>9.4999999999999998E-3</v>
      </c>
      <c r="BH9">
        <f t="shared" si="23"/>
        <v>2.1499999999999998E-2</v>
      </c>
    </row>
    <row r="10" spans="1:60" x14ac:dyDescent="0.35">
      <c r="A10" s="101">
        <v>45</v>
      </c>
      <c r="B10" s="102">
        <v>71</v>
      </c>
      <c r="D10">
        <f t="shared" si="24"/>
        <v>6</v>
      </c>
      <c r="E10" s="101">
        <v>2</v>
      </c>
      <c r="F10" s="4">
        <v>6</v>
      </c>
      <c r="G10" s="4">
        <v>6</v>
      </c>
      <c r="H10" s="4">
        <v>1</v>
      </c>
      <c r="I10" s="4">
        <v>7</v>
      </c>
      <c r="J10" s="4">
        <v>2</v>
      </c>
      <c r="K10" s="102">
        <v>2</v>
      </c>
      <c r="M10" s="101">
        <f t="shared" si="4"/>
        <v>56</v>
      </c>
      <c r="N10" s="4">
        <f t="shared" si="5"/>
        <v>45</v>
      </c>
      <c r="O10" s="4">
        <f t="shared" si="6"/>
        <v>45</v>
      </c>
      <c r="P10" s="4">
        <f t="shared" si="7"/>
        <v>34</v>
      </c>
      <c r="Q10" s="4">
        <f t="shared" si="8"/>
        <v>29</v>
      </c>
      <c r="R10" s="4">
        <f t="shared" si="9"/>
        <v>56</v>
      </c>
      <c r="S10" s="102">
        <f t="shared" si="10"/>
        <v>56</v>
      </c>
      <c r="U10" s="101">
        <f t="shared" si="11"/>
        <v>78</v>
      </c>
      <c r="V10" s="4">
        <f t="shared" si="12"/>
        <v>71</v>
      </c>
      <c r="W10" s="4">
        <f t="shared" si="13"/>
        <v>71</v>
      </c>
      <c r="X10" s="4">
        <f t="shared" si="14"/>
        <v>46</v>
      </c>
      <c r="Y10" s="4">
        <f t="shared" si="15"/>
        <v>41</v>
      </c>
      <c r="Z10" s="4">
        <f t="shared" si="16"/>
        <v>78</v>
      </c>
      <c r="AA10" s="102">
        <f t="shared" si="17"/>
        <v>78</v>
      </c>
      <c r="AC10" s="100">
        <f t="shared" si="18"/>
        <v>0.96469418933158269</v>
      </c>
      <c r="AE10" s="25">
        <f t="shared" si="30"/>
        <v>0.89500000000000002</v>
      </c>
      <c r="AF10">
        <f t="shared" si="19"/>
        <v>50</v>
      </c>
      <c r="AG10" s="11">
        <f t="shared" si="25"/>
        <v>6</v>
      </c>
      <c r="AH10" s="31">
        <f t="shared" si="2"/>
        <v>3.0015007503751876E-3</v>
      </c>
      <c r="AI10" s="31">
        <f t="shared" si="3"/>
        <v>2.5012506253126562E-2</v>
      </c>
      <c r="AP10">
        <f t="shared" si="26"/>
        <v>0.9</v>
      </c>
      <c r="AQ10">
        <v>8</v>
      </c>
      <c r="AR10">
        <f t="shared" si="27"/>
        <v>48</v>
      </c>
      <c r="AS10">
        <f t="shared" si="20"/>
        <v>4.0080160320641279E-3</v>
      </c>
      <c r="AT10">
        <f t="shared" si="21"/>
        <v>2.4048096192384769E-2</v>
      </c>
      <c r="BD10">
        <f t="shared" si="28"/>
        <v>-0.74999999999999978</v>
      </c>
      <c r="BE10">
        <v>24</v>
      </c>
      <c r="BF10">
        <f t="shared" si="29"/>
        <v>67</v>
      </c>
      <c r="BG10">
        <f t="shared" si="22"/>
        <v>1.2E-2</v>
      </c>
      <c r="BH10">
        <f t="shared" si="23"/>
        <v>3.3500000000000002E-2</v>
      </c>
    </row>
    <row r="11" spans="1:60" x14ac:dyDescent="0.35">
      <c r="A11" s="89">
        <v>29</v>
      </c>
      <c r="B11" s="93">
        <v>41</v>
      </c>
      <c r="D11">
        <f t="shared" si="24"/>
        <v>7</v>
      </c>
      <c r="E11" s="101">
        <v>4</v>
      </c>
      <c r="F11" s="4">
        <v>5</v>
      </c>
      <c r="G11" s="4">
        <v>6</v>
      </c>
      <c r="H11" s="4">
        <v>2</v>
      </c>
      <c r="I11" s="4">
        <v>5</v>
      </c>
      <c r="J11" s="4">
        <v>5</v>
      </c>
      <c r="K11" s="102">
        <v>1</v>
      </c>
      <c r="M11" s="101">
        <f t="shared" si="4"/>
        <v>12</v>
      </c>
      <c r="N11" s="4">
        <f t="shared" si="5"/>
        <v>30</v>
      </c>
      <c r="O11" s="4">
        <f t="shared" si="6"/>
        <v>45</v>
      </c>
      <c r="P11" s="4">
        <f t="shared" si="7"/>
        <v>56</v>
      </c>
      <c r="Q11" s="4">
        <f t="shared" si="8"/>
        <v>30</v>
      </c>
      <c r="R11" s="4">
        <f t="shared" si="9"/>
        <v>30</v>
      </c>
      <c r="S11" s="102">
        <f t="shared" si="10"/>
        <v>34</v>
      </c>
      <c r="U11" s="101">
        <f t="shared" si="11"/>
        <v>9</v>
      </c>
      <c r="V11" s="4">
        <f t="shared" si="12"/>
        <v>39</v>
      </c>
      <c r="W11" s="4">
        <f t="shared" si="13"/>
        <v>71</v>
      </c>
      <c r="X11" s="4">
        <f t="shared" si="14"/>
        <v>78</v>
      </c>
      <c r="Y11" s="4">
        <f t="shared" si="15"/>
        <v>39</v>
      </c>
      <c r="Z11" s="4">
        <f t="shared" si="16"/>
        <v>39</v>
      </c>
      <c r="AA11" s="102">
        <f t="shared" si="17"/>
        <v>46</v>
      </c>
      <c r="AC11" s="100">
        <f t="shared" si="18"/>
        <v>0.98946677201994804</v>
      </c>
      <c r="AE11" s="25">
        <f t="shared" si="30"/>
        <v>0.9</v>
      </c>
      <c r="AF11">
        <f t="shared" si="19"/>
        <v>59</v>
      </c>
      <c r="AG11" s="11">
        <f t="shared" si="25"/>
        <v>9</v>
      </c>
      <c r="AH11" s="31">
        <f t="shared" si="2"/>
        <v>4.5022511255627812E-3</v>
      </c>
      <c r="AI11" s="31">
        <f t="shared" si="3"/>
        <v>2.9514757378689346E-2</v>
      </c>
      <c r="AP11">
        <f t="shared" si="26"/>
        <v>0.90500000000000003</v>
      </c>
      <c r="AQ11">
        <v>4</v>
      </c>
      <c r="AR11">
        <f t="shared" si="27"/>
        <v>52</v>
      </c>
      <c r="AS11">
        <f t="shared" si="20"/>
        <v>2.004008016032064E-3</v>
      </c>
      <c r="AT11">
        <f t="shared" si="21"/>
        <v>2.6052104208416832E-2</v>
      </c>
      <c r="BD11">
        <f t="shared" si="28"/>
        <v>-0.69999999999999973</v>
      </c>
      <c r="BE11">
        <v>19</v>
      </c>
      <c r="BF11">
        <f t="shared" si="29"/>
        <v>86</v>
      </c>
      <c r="BG11">
        <f t="shared" si="22"/>
        <v>9.4999999999999998E-3</v>
      </c>
      <c r="BH11">
        <f t="shared" si="23"/>
        <v>4.2999999999999997E-2</v>
      </c>
    </row>
    <row r="12" spans="1:60" x14ac:dyDescent="0.35">
      <c r="D12">
        <f t="shared" si="24"/>
        <v>8</v>
      </c>
      <c r="E12" s="101">
        <v>5</v>
      </c>
      <c r="F12" s="4">
        <v>2</v>
      </c>
      <c r="G12" s="4">
        <v>3</v>
      </c>
      <c r="H12" s="4">
        <v>3</v>
      </c>
      <c r="I12" s="4">
        <v>3</v>
      </c>
      <c r="J12" s="4">
        <v>5</v>
      </c>
      <c r="K12" s="102">
        <v>5</v>
      </c>
      <c r="M12" s="101">
        <f t="shared" si="4"/>
        <v>30</v>
      </c>
      <c r="N12" s="4">
        <f t="shared" si="5"/>
        <v>56</v>
      </c>
      <c r="O12" s="4">
        <f t="shared" si="6"/>
        <v>23</v>
      </c>
      <c r="P12" s="4">
        <f t="shared" si="7"/>
        <v>23</v>
      </c>
      <c r="Q12" s="4">
        <f t="shared" si="8"/>
        <v>23</v>
      </c>
      <c r="R12" s="4">
        <f t="shared" si="9"/>
        <v>30</v>
      </c>
      <c r="S12" s="102">
        <f t="shared" si="10"/>
        <v>30</v>
      </c>
      <c r="U12" s="101">
        <f t="shared" si="11"/>
        <v>39</v>
      </c>
      <c r="V12" s="4">
        <f t="shared" si="12"/>
        <v>78</v>
      </c>
      <c r="W12" s="4">
        <f t="shared" si="13"/>
        <v>39</v>
      </c>
      <c r="X12" s="4">
        <f t="shared" si="14"/>
        <v>39</v>
      </c>
      <c r="Y12" s="4">
        <f t="shared" si="15"/>
        <v>39</v>
      </c>
      <c r="Z12" s="4">
        <f t="shared" si="16"/>
        <v>39</v>
      </c>
      <c r="AA12" s="102">
        <f t="shared" si="17"/>
        <v>39</v>
      </c>
      <c r="AC12" s="100">
        <f t="shared" si="18"/>
        <v>0.95409818534589774</v>
      </c>
      <c r="AE12" s="25">
        <f t="shared" si="30"/>
        <v>0.90500000000000003</v>
      </c>
      <c r="AF12">
        <f t="shared" si="19"/>
        <v>61</v>
      </c>
      <c r="AG12" s="11">
        <f t="shared" si="25"/>
        <v>2</v>
      </c>
      <c r="AH12" s="31">
        <f t="shared" si="2"/>
        <v>1.0005002501250625E-3</v>
      </c>
      <c r="AI12" s="31">
        <f t="shared" si="3"/>
        <v>3.0515257628814407E-2</v>
      </c>
      <c r="AP12">
        <f t="shared" si="26"/>
        <v>0.91</v>
      </c>
      <c r="AQ12">
        <v>5</v>
      </c>
      <c r="AR12">
        <f t="shared" si="27"/>
        <v>57</v>
      </c>
      <c r="AS12">
        <f t="shared" si="20"/>
        <v>2.5050100200400801E-3</v>
      </c>
      <c r="AT12">
        <f t="shared" si="21"/>
        <v>2.8557114228456915E-2</v>
      </c>
      <c r="BD12">
        <f t="shared" si="28"/>
        <v>-0.64999999999999969</v>
      </c>
      <c r="BE12">
        <v>17</v>
      </c>
      <c r="BF12">
        <f t="shared" si="29"/>
        <v>103</v>
      </c>
      <c r="BG12">
        <f t="shared" si="22"/>
        <v>8.5000000000000006E-3</v>
      </c>
      <c r="BH12">
        <f t="shared" si="23"/>
        <v>5.1499999999999997E-2</v>
      </c>
    </row>
    <row r="13" spans="1:60" x14ac:dyDescent="0.35">
      <c r="A13" t="s">
        <v>95</v>
      </c>
      <c r="B13" s="109">
        <f>CORREL(A5:A11,B5:B11)</f>
        <v>0.9752921131375446</v>
      </c>
      <c r="D13">
        <f t="shared" si="24"/>
        <v>9</v>
      </c>
      <c r="E13" s="101">
        <v>4</v>
      </c>
      <c r="F13" s="4">
        <v>2</v>
      </c>
      <c r="G13" s="4">
        <v>4</v>
      </c>
      <c r="H13" s="4">
        <v>4</v>
      </c>
      <c r="I13" s="4">
        <v>5</v>
      </c>
      <c r="J13" s="4">
        <v>5</v>
      </c>
      <c r="K13" s="102">
        <v>5</v>
      </c>
      <c r="M13" s="101">
        <f t="shared" si="4"/>
        <v>12</v>
      </c>
      <c r="N13" s="4">
        <f t="shared" si="5"/>
        <v>56</v>
      </c>
      <c r="O13" s="4">
        <f t="shared" si="6"/>
        <v>12</v>
      </c>
      <c r="P13" s="4">
        <f t="shared" si="7"/>
        <v>12</v>
      </c>
      <c r="Q13" s="4">
        <f t="shared" si="8"/>
        <v>30</v>
      </c>
      <c r="R13" s="4">
        <f t="shared" si="9"/>
        <v>30</v>
      </c>
      <c r="S13" s="102">
        <f t="shared" si="10"/>
        <v>30</v>
      </c>
      <c r="U13" s="101">
        <f t="shared" si="11"/>
        <v>9</v>
      </c>
      <c r="V13" s="4">
        <f t="shared" si="12"/>
        <v>78</v>
      </c>
      <c r="W13" s="4">
        <f t="shared" si="13"/>
        <v>9</v>
      </c>
      <c r="X13" s="4">
        <f t="shared" si="14"/>
        <v>9</v>
      </c>
      <c r="Y13" s="4">
        <f t="shared" si="15"/>
        <v>39</v>
      </c>
      <c r="Z13" s="4">
        <f t="shared" si="16"/>
        <v>39</v>
      </c>
      <c r="AA13" s="102">
        <f t="shared" si="17"/>
        <v>39</v>
      </c>
      <c r="AC13" s="100">
        <f t="shared" si="18"/>
        <v>0.99933830186937544</v>
      </c>
      <c r="AE13" s="25">
        <f t="shared" si="30"/>
        <v>0.91</v>
      </c>
      <c r="AF13">
        <f t="shared" si="19"/>
        <v>72</v>
      </c>
      <c r="AG13" s="11">
        <f t="shared" si="25"/>
        <v>11</v>
      </c>
      <c r="AH13" s="31">
        <f t="shared" si="2"/>
        <v>5.5027513756878439E-3</v>
      </c>
      <c r="AI13" s="31">
        <f t="shared" si="3"/>
        <v>3.6018009004502249E-2</v>
      </c>
      <c r="AP13">
        <f t="shared" si="26"/>
        <v>0.91500000000000004</v>
      </c>
      <c r="AQ13">
        <v>8</v>
      </c>
      <c r="AR13">
        <f t="shared" si="27"/>
        <v>65</v>
      </c>
      <c r="AS13">
        <f t="shared" si="20"/>
        <v>4.0080160320641279E-3</v>
      </c>
      <c r="AT13">
        <f t="shared" si="21"/>
        <v>3.256513026052104E-2</v>
      </c>
      <c r="BD13">
        <f t="shared" si="28"/>
        <v>-0.59999999999999964</v>
      </c>
      <c r="BE13">
        <v>40</v>
      </c>
      <c r="BF13">
        <f t="shared" si="29"/>
        <v>143</v>
      </c>
      <c r="BG13">
        <f t="shared" si="22"/>
        <v>0.02</v>
      </c>
      <c r="BH13">
        <f t="shared" si="23"/>
        <v>7.1499999999999994E-2</v>
      </c>
    </row>
    <row r="14" spans="1:60" x14ac:dyDescent="0.35">
      <c r="D14">
        <f t="shared" si="24"/>
        <v>10</v>
      </c>
      <c r="E14" s="101">
        <v>2</v>
      </c>
      <c r="F14" s="4">
        <v>4</v>
      </c>
      <c r="G14" s="4">
        <v>4</v>
      </c>
      <c r="H14" s="4">
        <v>6</v>
      </c>
      <c r="I14" s="4">
        <v>7</v>
      </c>
      <c r="J14" s="4">
        <v>6</v>
      </c>
      <c r="K14" s="102">
        <v>3</v>
      </c>
      <c r="M14" s="101">
        <f t="shared" si="4"/>
        <v>56</v>
      </c>
      <c r="N14" s="4">
        <f t="shared" si="5"/>
        <v>12</v>
      </c>
      <c r="O14" s="4">
        <f t="shared" si="6"/>
        <v>12</v>
      </c>
      <c r="P14" s="4">
        <f t="shared" si="7"/>
        <v>45</v>
      </c>
      <c r="Q14" s="4">
        <f t="shared" si="8"/>
        <v>29</v>
      </c>
      <c r="R14" s="4">
        <f t="shared" si="9"/>
        <v>45</v>
      </c>
      <c r="S14" s="102">
        <f t="shared" si="10"/>
        <v>23</v>
      </c>
      <c r="U14" s="101">
        <f t="shared" si="11"/>
        <v>78</v>
      </c>
      <c r="V14" s="4">
        <f t="shared" si="12"/>
        <v>9</v>
      </c>
      <c r="W14" s="4">
        <f t="shared" si="13"/>
        <v>9</v>
      </c>
      <c r="X14" s="4">
        <f t="shared" si="14"/>
        <v>71</v>
      </c>
      <c r="Y14" s="4">
        <f t="shared" si="15"/>
        <v>41</v>
      </c>
      <c r="Z14" s="4">
        <f t="shared" si="16"/>
        <v>71</v>
      </c>
      <c r="AA14" s="102">
        <f t="shared" si="17"/>
        <v>39</v>
      </c>
      <c r="AC14" s="100">
        <f t="shared" si="18"/>
        <v>0.98248533122426163</v>
      </c>
      <c r="AE14" s="25">
        <f t="shared" si="30"/>
        <v>0.91500000000000004</v>
      </c>
      <c r="AF14">
        <f t="shared" si="19"/>
        <v>78</v>
      </c>
      <c r="AG14" s="11">
        <f t="shared" si="25"/>
        <v>6</v>
      </c>
      <c r="AH14" s="31">
        <f t="shared" si="2"/>
        <v>3.0015007503751876E-3</v>
      </c>
      <c r="AI14" s="31">
        <f t="shared" si="3"/>
        <v>3.9019509754877439E-2</v>
      </c>
      <c r="AP14">
        <f t="shared" si="26"/>
        <v>0.92</v>
      </c>
      <c r="AQ14">
        <v>6</v>
      </c>
      <c r="AR14">
        <f t="shared" si="27"/>
        <v>71</v>
      </c>
      <c r="AS14">
        <f t="shared" si="20"/>
        <v>3.0060120240480962E-3</v>
      </c>
      <c r="AT14">
        <f t="shared" si="21"/>
        <v>3.5571142284569139E-2</v>
      </c>
      <c r="BD14">
        <f t="shared" si="28"/>
        <v>-0.5499999999999996</v>
      </c>
      <c r="BE14">
        <v>57</v>
      </c>
      <c r="BF14">
        <f t="shared" si="29"/>
        <v>200</v>
      </c>
      <c r="BG14">
        <f t="shared" si="22"/>
        <v>2.8500000000000001E-2</v>
      </c>
      <c r="BH14">
        <f t="shared" si="23"/>
        <v>0.1</v>
      </c>
    </row>
    <row r="15" spans="1:60" x14ac:dyDescent="0.35">
      <c r="A15" t="e">
        <f t="array" aca="1" ref="A15:B18" ca="1">CorrelTest(A5:A11,B5:B11,0.9,0.05,TRUE)</f>
        <v>#NAME?</v>
      </c>
      <c r="B15" s="226" t="e">
        <f ca="1"/>
        <v>#NAME?</v>
      </c>
      <c r="D15">
        <f t="shared" si="24"/>
        <v>11</v>
      </c>
      <c r="E15" s="101">
        <v>6</v>
      </c>
      <c r="F15" s="4">
        <v>4</v>
      </c>
      <c r="G15" s="4">
        <v>7</v>
      </c>
      <c r="H15" s="4">
        <v>1</v>
      </c>
      <c r="I15" s="4">
        <v>1</v>
      </c>
      <c r="J15" s="4">
        <v>3</v>
      </c>
      <c r="K15" s="102">
        <v>5</v>
      </c>
      <c r="M15" s="101">
        <f t="shared" si="4"/>
        <v>45</v>
      </c>
      <c r="N15" s="4">
        <f t="shared" si="5"/>
        <v>12</v>
      </c>
      <c r="O15" s="4">
        <f t="shared" si="6"/>
        <v>29</v>
      </c>
      <c r="P15" s="4">
        <f t="shared" si="7"/>
        <v>34</v>
      </c>
      <c r="Q15" s="4">
        <f t="shared" si="8"/>
        <v>34</v>
      </c>
      <c r="R15" s="4">
        <f t="shared" si="9"/>
        <v>23</v>
      </c>
      <c r="S15" s="102">
        <f t="shared" si="10"/>
        <v>30</v>
      </c>
      <c r="U15" s="101">
        <f t="shared" si="11"/>
        <v>71</v>
      </c>
      <c r="V15" s="4">
        <f t="shared" si="12"/>
        <v>9</v>
      </c>
      <c r="W15" s="4">
        <f t="shared" si="13"/>
        <v>41</v>
      </c>
      <c r="X15" s="4">
        <f t="shared" si="14"/>
        <v>46</v>
      </c>
      <c r="Y15" s="4">
        <f t="shared" si="15"/>
        <v>46</v>
      </c>
      <c r="Z15" s="4">
        <f t="shared" si="16"/>
        <v>39</v>
      </c>
      <c r="AA15" s="102">
        <f t="shared" si="17"/>
        <v>39</v>
      </c>
      <c r="AC15" s="100">
        <f t="shared" si="18"/>
        <v>0.9688120544294756</v>
      </c>
      <c r="AE15" s="25">
        <f t="shared" si="30"/>
        <v>0.92</v>
      </c>
      <c r="AF15">
        <f t="shared" si="19"/>
        <v>98</v>
      </c>
      <c r="AG15" s="11">
        <f t="shared" si="25"/>
        <v>20</v>
      </c>
      <c r="AH15" s="31">
        <f t="shared" si="2"/>
        <v>1.0005002501250625E-2</v>
      </c>
      <c r="AI15" s="31">
        <f t="shared" si="3"/>
        <v>4.9024512256128062E-2</v>
      </c>
      <c r="AP15">
        <f t="shared" si="26"/>
        <v>0.92500000000000004</v>
      </c>
      <c r="AQ15">
        <v>21</v>
      </c>
      <c r="AR15">
        <f t="shared" si="27"/>
        <v>92</v>
      </c>
      <c r="AS15">
        <f t="shared" si="20"/>
        <v>1.0521042084168337E-2</v>
      </c>
      <c r="AT15">
        <f t="shared" si="21"/>
        <v>4.6092184368737472E-2</v>
      </c>
      <c r="BD15">
        <f t="shared" si="28"/>
        <v>-0.49999999999999961</v>
      </c>
      <c r="BE15">
        <v>35</v>
      </c>
      <c r="BF15">
        <f t="shared" si="29"/>
        <v>235</v>
      </c>
      <c r="BG15">
        <f t="shared" si="22"/>
        <v>1.7500000000000002E-2</v>
      </c>
      <c r="BH15">
        <f t="shared" si="23"/>
        <v>0.11749999999999999</v>
      </c>
    </row>
    <row r="16" spans="1:60" x14ac:dyDescent="0.35">
      <c r="A16" t="e">
        <f ca="1"/>
        <v>#NAME?</v>
      </c>
      <c r="B16" s="100" t="e">
        <f ca="1"/>
        <v>#NAME?</v>
      </c>
      <c r="D16">
        <f t="shared" si="24"/>
        <v>12</v>
      </c>
      <c r="E16" s="101">
        <v>2</v>
      </c>
      <c r="F16" s="4">
        <v>6</v>
      </c>
      <c r="G16" s="4">
        <v>4</v>
      </c>
      <c r="H16" s="4">
        <v>7</v>
      </c>
      <c r="I16" s="4">
        <v>6</v>
      </c>
      <c r="J16" s="4">
        <v>3</v>
      </c>
      <c r="K16" s="102">
        <v>3</v>
      </c>
      <c r="M16" s="101">
        <f t="shared" si="4"/>
        <v>56</v>
      </c>
      <c r="N16" s="4">
        <f t="shared" si="5"/>
        <v>45</v>
      </c>
      <c r="O16" s="4">
        <f t="shared" si="6"/>
        <v>12</v>
      </c>
      <c r="P16" s="4">
        <f t="shared" si="7"/>
        <v>29</v>
      </c>
      <c r="Q16" s="4">
        <f t="shared" si="8"/>
        <v>45</v>
      </c>
      <c r="R16" s="4">
        <f t="shared" si="9"/>
        <v>23</v>
      </c>
      <c r="S16" s="102">
        <f t="shared" si="10"/>
        <v>23</v>
      </c>
      <c r="U16" s="101">
        <f t="shared" si="11"/>
        <v>78</v>
      </c>
      <c r="V16" s="4">
        <f t="shared" si="12"/>
        <v>71</v>
      </c>
      <c r="W16" s="4">
        <f t="shared" si="13"/>
        <v>9</v>
      </c>
      <c r="X16" s="4">
        <f t="shared" si="14"/>
        <v>41</v>
      </c>
      <c r="Y16" s="4">
        <f t="shared" si="15"/>
        <v>71</v>
      </c>
      <c r="Z16" s="4">
        <f t="shared" si="16"/>
        <v>39</v>
      </c>
      <c r="AA16" s="102">
        <f t="shared" si="17"/>
        <v>39</v>
      </c>
      <c r="AC16" s="100">
        <f t="shared" si="18"/>
        <v>0.97434777213046153</v>
      </c>
      <c r="AE16" s="25">
        <f t="shared" si="30"/>
        <v>0.92500000000000004</v>
      </c>
      <c r="AF16">
        <f t="shared" si="19"/>
        <v>116</v>
      </c>
      <c r="AG16" s="11">
        <f t="shared" si="25"/>
        <v>18</v>
      </c>
      <c r="AH16" s="31">
        <f t="shared" si="2"/>
        <v>9.0045022511255624E-3</v>
      </c>
      <c r="AI16" s="31">
        <f t="shared" si="3"/>
        <v>5.8029014507253625E-2</v>
      </c>
      <c r="AP16">
        <f t="shared" si="26"/>
        <v>0.93</v>
      </c>
      <c r="AQ16">
        <v>14</v>
      </c>
      <c r="AR16">
        <f t="shared" si="27"/>
        <v>106</v>
      </c>
      <c r="AS16">
        <f t="shared" si="20"/>
        <v>7.0140280561122245E-3</v>
      </c>
      <c r="AT16">
        <f t="shared" si="21"/>
        <v>5.3106212424849697E-2</v>
      </c>
      <c r="BD16">
        <f t="shared" si="28"/>
        <v>-0.44999999999999962</v>
      </c>
      <c r="BE16">
        <v>75</v>
      </c>
      <c r="BF16">
        <f t="shared" si="29"/>
        <v>310</v>
      </c>
      <c r="BG16">
        <f t="shared" si="22"/>
        <v>3.7499999999999999E-2</v>
      </c>
      <c r="BH16">
        <f t="shared" si="23"/>
        <v>0.155</v>
      </c>
    </row>
    <row r="17" spans="1:60" x14ac:dyDescent="0.35">
      <c r="A17" t="e">
        <f ca="1"/>
        <v>#NAME?</v>
      </c>
      <c r="B17" s="100" t="e">
        <f ca="1"/>
        <v>#NAME?</v>
      </c>
      <c r="D17">
        <f t="shared" si="24"/>
        <v>13</v>
      </c>
      <c r="E17" s="101">
        <v>1</v>
      </c>
      <c r="F17" s="4">
        <v>5</v>
      </c>
      <c r="G17" s="4">
        <v>2</v>
      </c>
      <c r="H17" s="4">
        <v>2</v>
      </c>
      <c r="I17" s="4">
        <v>1</v>
      </c>
      <c r="J17" s="4">
        <v>7</v>
      </c>
      <c r="K17" s="102">
        <v>5</v>
      </c>
      <c r="M17" s="101">
        <f t="shared" si="4"/>
        <v>34</v>
      </c>
      <c r="N17" s="4">
        <f t="shared" si="5"/>
        <v>30</v>
      </c>
      <c r="O17" s="4">
        <f t="shared" si="6"/>
        <v>56</v>
      </c>
      <c r="P17" s="4">
        <f t="shared" si="7"/>
        <v>56</v>
      </c>
      <c r="Q17" s="4">
        <f t="shared" si="8"/>
        <v>34</v>
      </c>
      <c r="R17" s="4">
        <f t="shared" si="9"/>
        <v>29</v>
      </c>
      <c r="S17" s="102">
        <f t="shared" si="10"/>
        <v>30</v>
      </c>
      <c r="U17" s="101">
        <f t="shared" si="11"/>
        <v>46</v>
      </c>
      <c r="V17" s="4">
        <f t="shared" si="12"/>
        <v>39</v>
      </c>
      <c r="W17" s="4">
        <f t="shared" si="13"/>
        <v>78</v>
      </c>
      <c r="X17" s="4">
        <f t="shared" si="14"/>
        <v>78</v>
      </c>
      <c r="Y17" s="4">
        <f t="shared" si="15"/>
        <v>46</v>
      </c>
      <c r="Z17" s="4">
        <f t="shared" si="16"/>
        <v>41</v>
      </c>
      <c r="AA17" s="102">
        <f t="shared" si="17"/>
        <v>39</v>
      </c>
      <c r="AC17" s="100">
        <f t="shared" si="18"/>
        <v>0.99788401307619401</v>
      </c>
      <c r="AE17" s="25">
        <f t="shared" si="30"/>
        <v>0.93</v>
      </c>
      <c r="AF17">
        <f t="shared" si="19"/>
        <v>130</v>
      </c>
      <c r="AG17" s="11">
        <f t="shared" si="25"/>
        <v>14</v>
      </c>
      <c r="AH17" s="31">
        <f t="shared" si="2"/>
        <v>7.0035017508754379E-3</v>
      </c>
      <c r="AI17" s="31">
        <f t="shared" si="3"/>
        <v>6.5032516258129058E-2</v>
      </c>
      <c r="AP17">
        <f t="shared" si="26"/>
        <v>0.93500000000000005</v>
      </c>
      <c r="AQ17">
        <v>4</v>
      </c>
      <c r="AR17">
        <f t="shared" si="27"/>
        <v>110</v>
      </c>
      <c r="AS17">
        <f t="shared" si="20"/>
        <v>2.004008016032064E-3</v>
      </c>
      <c r="AT17">
        <f t="shared" si="21"/>
        <v>5.5110220440881763E-2</v>
      </c>
      <c r="BD17">
        <f t="shared" si="28"/>
        <v>-0.39999999999999963</v>
      </c>
      <c r="BE17">
        <v>76</v>
      </c>
      <c r="BF17">
        <f t="shared" si="29"/>
        <v>386</v>
      </c>
      <c r="BG17">
        <f t="shared" si="22"/>
        <v>3.7999999999999999E-2</v>
      </c>
      <c r="BH17">
        <f t="shared" si="23"/>
        <v>0.193</v>
      </c>
    </row>
    <row r="18" spans="1:60" x14ac:dyDescent="0.35">
      <c r="A18" t="e">
        <f ca="1"/>
        <v>#NAME?</v>
      </c>
      <c r="B18" s="94" t="e">
        <f ca="1"/>
        <v>#NAME?</v>
      </c>
      <c r="D18">
        <f t="shared" si="24"/>
        <v>14</v>
      </c>
      <c r="E18" s="101">
        <v>3</v>
      </c>
      <c r="F18" s="4">
        <v>1</v>
      </c>
      <c r="G18" s="4">
        <v>7</v>
      </c>
      <c r="H18" s="4">
        <v>2</v>
      </c>
      <c r="I18" s="4">
        <v>7</v>
      </c>
      <c r="J18" s="4">
        <v>3</v>
      </c>
      <c r="K18" s="102">
        <v>6</v>
      </c>
      <c r="M18" s="101">
        <f t="shared" si="4"/>
        <v>23</v>
      </c>
      <c r="N18" s="4">
        <f t="shared" si="5"/>
        <v>34</v>
      </c>
      <c r="O18" s="4">
        <f t="shared" si="6"/>
        <v>29</v>
      </c>
      <c r="P18" s="4">
        <f t="shared" si="7"/>
        <v>56</v>
      </c>
      <c r="Q18" s="4">
        <f t="shared" si="8"/>
        <v>29</v>
      </c>
      <c r="R18" s="4">
        <f t="shared" si="9"/>
        <v>23</v>
      </c>
      <c r="S18" s="102">
        <f t="shared" si="10"/>
        <v>45</v>
      </c>
      <c r="U18" s="101">
        <f t="shared" si="11"/>
        <v>39</v>
      </c>
      <c r="V18" s="4">
        <f t="shared" si="12"/>
        <v>46</v>
      </c>
      <c r="W18" s="4">
        <f t="shared" si="13"/>
        <v>41</v>
      </c>
      <c r="X18" s="4">
        <f t="shared" si="14"/>
        <v>78</v>
      </c>
      <c r="Y18" s="4">
        <f t="shared" si="15"/>
        <v>41</v>
      </c>
      <c r="Z18" s="4">
        <f t="shared" si="16"/>
        <v>39</v>
      </c>
      <c r="AA18" s="102">
        <f t="shared" si="17"/>
        <v>71</v>
      </c>
      <c r="AC18" s="100">
        <f t="shared" si="18"/>
        <v>0.97113136796524313</v>
      </c>
      <c r="AE18" s="25">
        <f t="shared" si="30"/>
        <v>0.93500000000000005</v>
      </c>
      <c r="AF18">
        <f t="shared" ref="AF18:AF28" si="31">COUNTIF($AC$5:$AC$2004,"&lt;="&amp;AE18)</f>
        <v>133</v>
      </c>
      <c r="AG18" s="11">
        <f t="shared" ref="AG18:AG28" si="32">AF18-AF17</f>
        <v>3</v>
      </c>
      <c r="AH18" s="31">
        <f t="shared" si="2"/>
        <v>1.5007503751875938E-3</v>
      </c>
      <c r="AI18" s="31">
        <f t="shared" si="3"/>
        <v>6.6533266633316657E-2</v>
      </c>
      <c r="AP18">
        <f t="shared" si="26"/>
        <v>0.94000000000000006</v>
      </c>
      <c r="AQ18">
        <v>29</v>
      </c>
      <c r="AR18">
        <f t="shared" si="27"/>
        <v>139</v>
      </c>
      <c r="AS18">
        <f t="shared" si="20"/>
        <v>1.4529058116232466E-2</v>
      </c>
      <c r="AT18">
        <f t="shared" si="21"/>
        <v>6.9639278557114229E-2</v>
      </c>
      <c r="BD18">
        <f t="shared" si="28"/>
        <v>-0.34999999999999964</v>
      </c>
      <c r="BE18">
        <v>69</v>
      </c>
      <c r="BF18">
        <f t="shared" si="29"/>
        <v>455</v>
      </c>
      <c r="BG18">
        <f t="shared" si="22"/>
        <v>3.4500000000000003E-2</v>
      </c>
      <c r="BH18">
        <f t="shared" si="23"/>
        <v>0.22750000000000001</v>
      </c>
    </row>
    <row r="19" spans="1:60" x14ac:dyDescent="0.35">
      <c r="D19">
        <f t="shared" si="24"/>
        <v>15</v>
      </c>
      <c r="E19" s="101">
        <v>7</v>
      </c>
      <c r="F19" s="4">
        <v>7</v>
      </c>
      <c r="G19" s="4">
        <v>7</v>
      </c>
      <c r="H19" s="4">
        <v>2</v>
      </c>
      <c r="I19" s="4">
        <v>1</v>
      </c>
      <c r="J19" s="4">
        <v>2</v>
      </c>
      <c r="K19" s="102">
        <v>4</v>
      </c>
      <c r="M19" s="101">
        <f t="shared" si="4"/>
        <v>29</v>
      </c>
      <c r="N19" s="4">
        <f t="shared" si="5"/>
        <v>29</v>
      </c>
      <c r="O19" s="4">
        <f t="shared" si="6"/>
        <v>29</v>
      </c>
      <c r="P19" s="4">
        <f t="shared" si="7"/>
        <v>56</v>
      </c>
      <c r="Q19" s="4">
        <f t="shared" si="8"/>
        <v>34</v>
      </c>
      <c r="R19" s="4">
        <f t="shared" si="9"/>
        <v>56</v>
      </c>
      <c r="S19" s="102">
        <f t="shared" si="10"/>
        <v>12</v>
      </c>
      <c r="U19" s="101">
        <f t="shared" si="11"/>
        <v>41</v>
      </c>
      <c r="V19" s="4">
        <f t="shared" si="12"/>
        <v>41</v>
      </c>
      <c r="W19" s="4">
        <f t="shared" si="13"/>
        <v>41</v>
      </c>
      <c r="X19" s="4">
        <f t="shared" si="14"/>
        <v>78</v>
      </c>
      <c r="Y19" s="4">
        <f t="shared" si="15"/>
        <v>46</v>
      </c>
      <c r="Z19" s="4">
        <f t="shared" si="16"/>
        <v>78</v>
      </c>
      <c r="AA19" s="102">
        <f t="shared" si="17"/>
        <v>9</v>
      </c>
      <c r="AC19" s="100">
        <f t="shared" si="18"/>
        <v>0.99474163015557249</v>
      </c>
      <c r="AE19" s="25">
        <f t="shared" si="30"/>
        <v>0.94000000000000006</v>
      </c>
      <c r="AF19">
        <f t="shared" si="31"/>
        <v>154</v>
      </c>
      <c r="AG19" s="11">
        <f t="shared" si="32"/>
        <v>21</v>
      </c>
      <c r="AH19" s="31">
        <f t="shared" si="2"/>
        <v>1.0505252626313157E-2</v>
      </c>
      <c r="AI19" s="31">
        <f t="shared" si="3"/>
        <v>7.7038519259629817E-2</v>
      </c>
      <c r="AP19">
        <f t="shared" si="26"/>
        <v>0.94500000000000006</v>
      </c>
      <c r="AQ19">
        <v>11</v>
      </c>
      <c r="AR19">
        <f t="shared" si="27"/>
        <v>150</v>
      </c>
      <c r="AS19">
        <f t="shared" si="20"/>
        <v>5.5110220440881767E-3</v>
      </c>
      <c r="AT19">
        <f t="shared" si="21"/>
        <v>7.5150300601202411E-2</v>
      </c>
      <c r="BD19">
        <f t="shared" si="28"/>
        <v>-0.29999999999999966</v>
      </c>
      <c r="BE19">
        <v>61</v>
      </c>
      <c r="BF19">
        <f t="shared" si="29"/>
        <v>516</v>
      </c>
      <c r="BG19">
        <f t="shared" si="22"/>
        <v>3.0499999999999999E-2</v>
      </c>
      <c r="BH19">
        <f t="shared" si="23"/>
        <v>0.25800000000000001</v>
      </c>
    </row>
    <row r="20" spans="1:60" x14ac:dyDescent="0.35">
      <c r="D20">
        <f t="shared" si="24"/>
        <v>16</v>
      </c>
      <c r="E20" s="101">
        <v>1</v>
      </c>
      <c r="F20" s="4">
        <v>7</v>
      </c>
      <c r="G20" s="4">
        <v>6</v>
      </c>
      <c r="H20" s="4">
        <v>4</v>
      </c>
      <c r="I20" s="4">
        <v>3</v>
      </c>
      <c r="J20" s="4">
        <v>4</v>
      </c>
      <c r="K20" s="102">
        <v>1</v>
      </c>
      <c r="M20" s="101">
        <f t="shared" si="4"/>
        <v>34</v>
      </c>
      <c r="N20" s="4">
        <f t="shared" si="5"/>
        <v>29</v>
      </c>
      <c r="O20" s="4">
        <f t="shared" si="6"/>
        <v>45</v>
      </c>
      <c r="P20" s="4">
        <f t="shared" si="7"/>
        <v>12</v>
      </c>
      <c r="Q20" s="4">
        <f t="shared" si="8"/>
        <v>23</v>
      </c>
      <c r="R20" s="4">
        <f t="shared" si="9"/>
        <v>12</v>
      </c>
      <c r="S20" s="102">
        <f t="shared" si="10"/>
        <v>34</v>
      </c>
      <c r="U20" s="101">
        <f t="shared" si="11"/>
        <v>46</v>
      </c>
      <c r="V20" s="4">
        <f t="shared" si="12"/>
        <v>41</v>
      </c>
      <c r="W20" s="4">
        <f t="shared" si="13"/>
        <v>71</v>
      </c>
      <c r="X20" s="4">
        <f t="shared" si="14"/>
        <v>9</v>
      </c>
      <c r="Y20" s="4">
        <f t="shared" si="15"/>
        <v>39</v>
      </c>
      <c r="Z20" s="4">
        <f t="shared" si="16"/>
        <v>9</v>
      </c>
      <c r="AA20" s="102">
        <f t="shared" si="17"/>
        <v>46</v>
      </c>
      <c r="AC20" s="100">
        <f t="shared" si="18"/>
        <v>0.98021077047189542</v>
      </c>
      <c r="AE20" s="25">
        <f t="shared" si="30"/>
        <v>0.94500000000000006</v>
      </c>
      <c r="AF20">
        <f t="shared" si="31"/>
        <v>170</v>
      </c>
      <c r="AG20" s="11">
        <f t="shared" si="32"/>
        <v>16</v>
      </c>
      <c r="AH20" s="31">
        <f t="shared" si="2"/>
        <v>8.0040020010004997E-3</v>
      </c>
      <c r="AI20" s="31">
        <f t="shared" si="3"/>
        <v>8.5042521260630319E-2</v>
      </c>
      <c r="AP20">
        <f t="shared" si="26"/>
        <v>0.95000000000000007</v>
      </c>
      <c r="AQ20">
        <v>32</v>
      </c>
      <c r="AR20">
        <f t="shared" si="27"/>
        <v>182</v>
      </c>
      <c r="AS20">
        <f t="shared" si="20"/>
        <v>1.6032064128256512E-2</v>
      </c>
      <c r="AT20">
        <f t="shared" si="21"/>
        <v>9.1182364729458912E-2</v>
      </c>
      <c r="BD20">
        <f t="shared" si="28"/>
        <v>-0.24999999999999967</v>
      </c>
      <c r="BE20">
        <v>68</v>
      </c>
      <c r="BF20">
        <f t="shared" si="29"/>
        <v>584</v>
      </c>
      <c r="BG20">
        <f t="shared" si="22"/>
        <v>3.4000000000000002E-2</v>
      </c>
      <c r="BH20">
        <f t="shared" si="23"/>
        <v>0.29199999999999998</v>
      </c>
    </row>
    <row r="21" spans="1:60" x14ac:dyDescent="0.35">
      <c r="D21">
        <f t="shared" si="24"/>
        <v>17</v>
      </c>
      <c r="E21" s="101">
        <v>1</v>
      </c>
      <c r="F21" s="4">
        <v>2</v>
      </c>
      <c r="G21" s="4">
        <v>7</v>
      </c>
      <c r="H21" s="4">
        <v>2</v>
      </c>
      <c r="I21" s="4">
        <v>3</v>
      </c>
      <c r="J21" s="4">
        <v>7</v>
      </c>
      <c r="K21" s="102">
        <v>1</v>
      </c>
      <c r="M21" s="101">
        <f t="shared" si="4"/>
        <v>34</v>
      </c>
      <c r="N21" s="4">
        <f t="shared" si="5"/>
        <v>56</v>
      </c>
      <c r="O21" s="4">
        <f t="shared" si="6"/>
        <v>29</v>
      </c>
      <c r="P21" s="4">
        <f t="shared" si="7"/>
        <v>56</v>
      </c>
      <c r="Q21" s="4">
        <f t="shared" si="8"/>
        <v>23</v>
      </c>
      <c r="R21" s="4">
        <f t="shared" si="9"/>
        <v>29</v>
      </c>
      <c r="S21" s="102">
        <f t="shared" si="10"/>
        <v>34</v>
      </c>
      <c r="U21" s="101">
        <f t="shared" si="11"/>
        <v>46</v>
      </c>
      <c r="V21" s="4">
        <f t="shared" si="12"/>
        <v>78</v>
      </c>
      <c r="W21" s="4">
        <f t="shared" si="13"/>
        <v>41</v>
      </c>
      <c r="X21" s="4">
        <f t="shared" si="14"/>
        <v>78</v>
      </c>
      <c r="Y21" s="4">
        <f t="shared" si="15"/>
        <v>39</v>
      </c>
      <c r="Z21" s="4">
        <f t="shared" si="16"/>
        <v>41</v>
      </c>
      <c r="AA21" s="102">
        <f t="shared" si="17"/>
        <v>46</v>
      </c>
      <c r="AC21" s="100">
        <f t="shared" si="18"/>
        <v>0.98925835402676476</v>
      </c>
      <c r="AE21" s="25">
        <f t="shared" si="30"/>
        <v>0.95000000000000007</v>
      </c>
      <c r="AF21">
        <f t="shared" si="31"/>
        <v>193</v>
      </c>
      <c r="AG21" s="11">
        <f t="shared" si="32"/>
        <v>23</v>
      </c>
      <c r="AH21" s="31">
        <f t="shared" si="2"/>
        <v>1.150575287643822E-2</v>
      </c>
      <c r="AI21" s="31">
        <f t="shared" si="3"/>
        <v>9.654827413706854E-2</v>
      </c>
      <c r="AP21">
        <f t="shared" si="26"/>
        <v>0.95500000000000007</v>
      </c>
      <c r="AQ21">
        <v>31</v>
      </c>
      <c r="AR21">
        <f t="shared" si="27"/>
        <v>213</v>
      </c>
      <c r="AS21">
        <f t="shared" si="20"/>
        <v>1.5531062124248497E-2</v>
      </c>
      <c r="AT21">
        <f t="shared" si="21"/>
        <v>0.10671342685370741</v>
      </c>
      <c r="BD21">
        <f t="shared" si="28"/>
        <v>-0.19999999999999968</v>
      </c>
      <c r="BE21">
        <v>106</v>
      </c>
      <c r="BF21">
        <f t="shared" si="29"/>
        <v>690</v>
      </c>
      <c r="BG21">
        <f t="shared" si="22"/>
        <v>5.2999999999999999E-2</v>
      </c>
      <c r="BH21">
        <f t="shared" si="23"/>
        <v>0.34499999999999997</v>
      </c>
    </row>
    <row r="22" spans="1:60" x14ac:dyDescent="0.35">
      <c r="D22">
        <f t="shared" si="24"/>
        <v>18</v>
      </c>
      <c r="E22" s="101">
        <v>6</v>
      </c>
      <c r="F22" s="4">
        <v>4</v>
      </c>
      <c r="G22" s="4">
        <v>7</v>
      </c>
      <c r="H22" s="4">
        <v>3</v>
      </c>
      <c r="I22" s="4">
        <v>5</v>
      </c>
      <c r="J22" s="4">
        <v>4</v>
      </c>
      <c r="K22" s="102">
        <v>5</v>
      </c>
      <c r="M22" s="101">
        <f t="shared" si="4"/>
        <v>45</v>
      </c>
      <c r="N22" s="4">
        <f t="shared" si="5"/>
        <v>12</v>
      </c>
      <c r="O22" s="4">
        <f t="shared" si="6"/>
        <v>29</v>
      </c>
      <c r="P22" s="4">
        <f t="shared" si="7"/>
        <v>23</v>
      </c>
      <c r="Q22" s="4">
        <f t="shared" si="8"/>
        <v>30</v>
      </c>
      <c r="R22" s="4">
        <f t="shared" si="9"/>
        <v>12</v>
      </c>
      <c r="S22" s="102">
        <f t="shared" si="10"/>
        <v>30</v>
      </c>
      <c r="U22" s="101">
        <f t="shared" si="11"/>
        <v>71</v>
      </c>
      <c r="V22" s="4">
        <f t="shared" si="12"/>
        <v>9</v>
      </c>
      <c r="W22" s="4">
        <f t="shared" si="13"/>
        <v>41</v>
      </c>
      <c r="X22" s="4">
        <f t="shared" si="14"/>
        <v>39</v>
      </c>
      <c r="Y22" s="4">
        <f t="shared" si="15"/>
        <v>39</v>
      </c>
      <c r="Z22" s="4">
        <f t="shared" si="16"/>
        <v>9</v>
      </c>
      <c r="AA22" s="102">
        <f t="shared" si="17"/>
        <v>39</v>
      </c>
      <c r="AC22" s="100">
        <f t="shared" si="18"/>
        <v>0.97935356222467751</v>
      </c>
      <c r="AE22" s="25">
        <f t="shared" si="30"/>
        <v>0.95500000000000007</v>
      </c>
      <c r="AF22">
        <f t="shared" si="31"/>
        <v>224</v>
      </c>
      <c r="AG22" s="11">
        <f t="shared" si="32"/>
        <v>31</v>
      </c>
      <c r="AH22" s="31">
        <f t="shared" si="2"/>
        <v>1.5507753876938469E-2</v>
      </c>
      <c r="AI22" s="31">
        <f t="shared" si="3"/>
        <v>0.11205602801400701</v>
      </c>
      <c r="AP22">
        <f t="shared" si="26"/>
        <v>0.96000000000000008</v>
      </c>
      <c r="AQ22">
        <v>64</v>
      </c>
      <c r="AR22">
        <f t="shared" si="27"/>
        <v>277</v>
      </c>
      <c r="AS22">
        <f t="shared" si="20"/>
        <v>3.2064128256513023E-2</v>
      </c>
      <c r="AT22">
        <f t="shared" si="21"/>
        <v>0.13877755511022044</v>
      </c>
      <c r="BD22">
        <f t="shared" si="28"/>
        <v>-0.14999999999999969</v>
      </c>
      <c r="BE22">
        <v>81</v>
      </c>
      <c r="BF22">
        <f t="shared" si="29"/>
        <v>771</v>
      </c>
      <c r="BG22">
        <f t="shared" si="22"/>
        <v>4.0500000000000001E-2</v>
      </c>
      <c r="BH22">
        <f t="shared" si="23"/>
        <v>0.38550000000000001</v>
      </c>
    </row>
    <row r="23" spans="1:60" x14ac:dyDescent="0.35">
      <c r="D23">
        <f t="shared" si="24"/>
        <v>19</v>
      </c>
      <c r="E23" s="101">
        <v>7</v>
      </c>
      <c r="F23" s="4">
        <v>3</v>
      </c>
      <c r="G23" s="4">
        <v>5</v>
      </c>
      <c r="H23" s="4">
        <v>7</v>
      </c>
      <c r="I23" s="4">
        <v>3</v>
      </c>
      <c r="J23" s="4">
        <v>3</v>
      </c>
      <c r="K23" s="102">
        <v>5</v>
      </c>
      <c r="M23" s="101">
        <f t="shared" si="4"/>
        <v>29</v>
      </c>
      <c r="N23" s="4">
        <f t="shared" si="5"/>
        <v>23</v>
      </c>
      <c r="O23" s="4">
        <f t="shared" si="6"/>
        <v>30</v>
      </c>
      <c r="P23" s="4">
        <f t="shared" si="7"/>
        <v>29</v>
      </c>
      <c r="Q23" s="4">
        <f t="shared" si="8"/>
        <v>23</v>
      </c>
      <c r="R23" s="4">
        <f t="shared" si="9"/>
        <v>23</v>
      </c>
      <c r="S23" s="102">
        <f t="shared" si="10"/>
        <v>30</v>
      </c>
      <c r="U23" s="101">
        <f t="shared" si="11"/>
        <v>41</v>
      </c>
      <c r="V23" s="4">
        <f t="shared" si="12"/>
        <v>39</v>
      </c>
      <c r="W23" s="4">
        <f t="shared" si="13"/>
        <v>39</v>
      </c>
      <c r="X23" s="4">
        <f t="shared" si="14"/>
        <v>41</v>
      </c>
      <c r="Y23" s="4">
        <f t="shared" si="15"/>
        <v>39</v>
      </c>
      <c r="Z23" s="4">
        <f t="shared" si="16"/>
        <v>39</v>
      </c>
      <c r="AA23" s="102">
        <f t="shared" si="17"/>
        <v>39</v>
      </c>
      <c r="AC23" s="100">
        <f t="shared" si="18"/>
        <v>0.4463426821213366</v>
      </c>
      <c r="AE23" s="25">
        <f t="shared" si="30"/>
        <v>0.96000000000000008</v>
      </c>
      <c r="AF23">
        <f t="shared" si="31"/>
        <v>291</v>
      </c>
      <c r="AG23" s="11">
        <f t="shared" si="32"/>
        <v>67</v>
      </c>
      <c r="AH23" s="31">
        <f t="shared" si="2"/>
        <v>3.3516758379189597E-2</v>
      </c>
      <c r="AI23" s="31">
        <f t="shared" si="3"/>
        <v>0.1455727863931966</v>
      </c>
      <c r="AP23">
        <f t="shared" si="26"/>
        <v>0.96500000000000008</v>
      </c>
      <c r="AQ23">
        <v>119</v>
      </c>
      <c r="AR23">
        <f t="shared" si="27"/>
        <v>396</v>
      </c>
      <c r="AS23">
        <f t="shared" si="20"/>
        <v>5.9619238476953905E-2</v>
      </c>
      <c r="AT23">
        <f t="shared" si="21"/>
        <v>0.19839679358717435</v>
      </c>
      <c r="BD23">
        <f t="shared" si="28"/>
        <v>-9.9999999999999686E-2</v>
      </c>
      <c r="BE23">
        <v>54</v>
      </c>
      <c r="BF23">
        <f t="shared" si="29"/>
        <v>825</v>
      </c>
      <c r="BG23">
        <f t="shared" si="22"/>
        <v>2.7E-2</v>
      </c>
      <c r="BH23">
        <f t="shared" si="23"/>
        <v>0.41249999999999998</v>
      </c>
    </row>
    <row r="24" spans="1:60" x14ac:dyDescent="0.35">
      <c r="D24">
        <f t="shared" si="24"/>
        <v>20</v>
      </c>
      <c r="E24" s="101">
        <v>5</v>
      </c>
      <c r="F24" s="4">
        <v>3</v>
      </c>
      <c r="G24" s="4">
        <v>3</v>
      </c>
      <c r="H24" s="4">
        <v>7</v>
      </c>
      <c r="I24" s="4">
        <v>7</v>
      </c>
      <c r="J24" s="4">
        <v>6</v>
      </c>
      <c r="K24" s="102">
        <v>2</v>
      </c>
      <c r="M24" s="101">
        <f t="shared" si="4"/>
        <v>30</v>
      </c>
      <c r="N24" s="4">
        <f t="shared" si="5"/>
        <v>23</v>
      </c>
      <c r="O24" s="4">
        <f t="shared" si="6"/>
        <v>23</v>
      </c>
      <c r="P24" s="4">
        <f t="shared" si="7"/>
        <v>29</v>
      </c>
      <c r="Q24" s="4">
        <f t="shared" si="8"/>
        <v>29</v>
      </c>
      <c r="R24" s="4">
        <f t="shared" si="9"/>
        <v>45</v>
      </c>
      <c r="S24" s="102">
        <f t="shared" si="10"/>
        <v>56</v>
      </c>
      <c r="U24" s="101">
        <f t="shared" si="11"/>
        <v>39</v>
      </c>
      <c r="V24" s="4">
        <f t="shared" si="12"/>
        <v>39</v>
      </c>
      <c r="W24" s="4">
        <f t="shared" si="13"/>
        <v>39</v>
      </c>
      <c r="X24" s="4">
        <f t="shared" si="14"/>
        <v>41</v>
      </c>
      <c r="Y24" s="4">
        <f t="shared" si="15"/>
        <v>41</v>
      </c>
      <c r="Z24" s="4">
        <f t="shared" si="16"/>
        <v>71</v>
      </c>
      <c r="AA24" s="102">
        <f t="shared" si="17"/>
        <v>78</v>
      </c>
      <c r="AC24" s="100">
        <f t="shared" si="18"/>
        <v>0.96770834546480855</v>
      </c>
      <c r="AE24" s="25">
        <f t="shared" si="30"/>
        <v>0.96500000000000008</v>
      </c>
      <c r="AF24">
        <f t="shared" si="31"/>
        <v>418</v>
      </c>
      <c r="AG24" s="11">
        <f t="shared" si="32"/>
        <v>127</v>
      </c>
      <c r="AH24" s="31">
        <f t="shared" si="2"/>
        <v>6.3531765882941474E-2</v>
      </c>
      <c r="AI24" s="31">
        <f t="shared" si="3"/>
        <v>0.20910455227613806</v>
      </c>
      <c r="AP24">
        <f t="shared" si="26"/>
        <v>0.97000000000000008</v>
      </c>
      <c r="AQ24">
        <v>181</v>
      </c>
      <c r="AR24">
        <f t="shared" si="27"/>
        <v>577</v>
      </c>
      <c r="AS24">
        <f t="shared" si="20"/>
        <v>9.0681362725450895E-2</v>
      </c>
      <c r="AT24">
        <f t="shared" si="21"/>
        <v>0.28907815631262523</v>
      </c>
      <c r="BD24">
        <f t="shared" si="28"/>
        <v>-4.9999999999999684E-2</v>
      </c>
      <c r="BE24">
        <v>64</v>
      </c>
      <c r="BF24">
        <f t="shared" si="29"/>
        <v>889</v>
      </c>
      <c r="BG24">
        <f t="shared" si="22"/>
        <v>3.2000000000000001E-2</v>
      </c>
      <c r="BH24">
        <f t="shared" si="23"/>
        <v>0.44450000000000001</v>
      </c>
    </row>
    <row r="25" spans="1:60" x14ac:dyDescent="0.35">
      <c r="D25">
        <f t="shared" si="24"/>
        <v>21</v>
      </c>
      <c r="E25" s="101">
        <v>5</v>
      </c>
      <c r="F25" s="4">
        <v>5</v>
      </c>
      <c r="G25" s="4">
        <v>5</v>
      </c>
      <c r="H25" s="4">
        <v>6</v>
      </c>
      <c r="I25" s="4">
        <v>5</v>
      </c>
      <c r="J25" s="4">
        <v>1</v>
      </c>
      <c r="K25" s="102">
        <v>5</v>
      </c>
      <c r="M25" s="101">
        <f t="shared" si="4"/>
        <v>30</v>
      </c>
      <c r="N25" s="4">
        <f t="shared" si="5"/>
        <v>30</v>
      </c>
      <c r="O25" s="4">
        <f t="shared" si="6"/>
        <v>30</v>
      </c>
      <c r="P25" s="4">
        <f t="shared" si="7"/>
        <v>45</v>
      </c>
      <c r="Q25" s="4">
        <f t="shared" si="8"/>
        <v>30</v>
      </c>
      <c r="R25" s="4">
        <f t="shared" si="9"/>
        <v>34</v>
      </c>
      <c r="S25" s="102">
        <f t="shared" si="10"/>
        <v>30</v>
      </c>
      <c r="U25" s="101">
        <f t="shared" si="11"/>
        <v>39</v>
      </c>
      <c r="V25" s="4">
        <f t="shared" si="12"/>
        <v>39</v>
      </c>
      <c r="W25" s="4">
        <f t="shared" si="13"/>
        <v>39</v>
      </c>
      <c r="X25" s="4">
        <f t="shared" si="14"/>
        <v>71</v>
      </c>
      <c r="Y25" s="4">
        <f t="shared" si="15"/>
        <v>39</v>
      </c>
      <c r="Z25" s="4">
        <f t="shared" si="16"/>
        <v>46</v>
      </c>
      <c r="AA25" s="102">
        <f t="shared" si="17"/>
        <v>39</v>
      </c>
      <c r="AC25" s="100">
        <f t="shared" si="18"/>
        <v>0.99883379019795282</v>
      </c>
      <c r="AE25" s="25">
        <f t="shared" si="30"/>
        <v>0.97000000000000008</v>
      </c>
      <c r="AF25">
        <f t="shared" si="31"/>
        <v>603</v>
      </c>
      <c r="AG25" s="11">
        <f t="shared" si="32"/>
        <v>185</v>
      </c>
      <c r="AH25" s="31">
        <f t="shared" si="2"/>
        <v>9.2546273136568283E-2</v>
      </c>
      <c r="AI25" s="31">
        <f t="shared" si="3"/>
        <v>0.30165082541270638</v>
      </c>
      <c r="AP25">
        <f t="shared" si="26"/>
        <v>0.97500000000000009</v>
      </c>
      <c r="AQ25">
        <v>195</v>
      </c>
      <c r="AR25">
        <f t="shared" si="27"/>
        <v>772</v>
      </c>
      <c r="AS25">
        <f t="shared" si="20"/>
        <v>9.7695390781563127E-2</v>
      </c>
      <c r="AT25">
        <f t="shared" si="21"/>
        <v>0.38677354709418837</v>
      </c>
      <c r="BD25">
        <f t="shared" si="28"/>
        <v>3.1918911957973251E-16</v>
      </c>
      <c r="BE25">
        <v>66</v>
      </c>
      <c r="BF25">
        <f t="shared" si="29"/>
        <v>955</v>
      </c>
      <c r="BG25">
        <f t="shared" si="22"/>
        <v>3.3000000000000002E-2</v>
      </c>
      <c r="BH25">
        <f t="shared" si="23"/>
        <v>0.47749999999999998</v>
      </c>
    </row>
    <row r="26" spans="1:60" x14ac:dyDescent="0.35">
      <c r="D26">
        <f t="shared" si="24"/>
        <v>22</v>
      </c>
      <c r="E26" s="101">
        <v>3</v>
      </c>
      <c r="F26" s="4">
        <v>6</v>
      </c>
      <c r="G26" s="4">
        <v>2</v>
      </c>
      <c r="H26" s="4">
        <v>7</v>
      </c>
      <c r="I26" s="4">
        <v>7</v>
      </c>
      <c r="J26" s="4">
        <v>2</v>
      </c>
      <c r="K26" s="102">
        <v>5</v>
      </c>
      <c r="M26" s="101">
        <f t="shared" si="4"/>
        <v>23</v>
      </c>
      <c r="N26" s="4">
        <f t="shared" si="5"/>
        <v>45</v>
      </c>
      <c r="O26" s="4">
        <f t="shared" si="6"/>
        <v>56</v>
      </c>
      <c r="P26" s="4">
        <f t="shared" si="7"/>
        <v>29</v>
      </c>
      <c r="Q26" s="4">
        <f t="shared" si="8"/>
        <v>29</v>
      </c>
      <c r="R26" s="4">
        <f t="shared" si="9"/>
        <v>56</v>
      </c>
      <c r="S26" s="102">
        <f t="shared" si="10"/>
        <v>30</v>
      </c>
      <c r="U26" s="101">
        <f t="shared" si="11"/>
        <v>39</v>
      </c>
      <c r="V26" s="4">
        <f t="shared" si="12"/>
        <v>71</v>
      </c>
      <c r="W26" s="4">
        <f t="shared" si="13"/>
        <v>78</v>
      </c>
      <c r="X26" s="4">
        <f t="shared" si="14"/>
        <v>41</v>
      </c>
      <c r="Y26" s="4">
        <f t="shared" si="15"/>
        <v>41</v>
      </c>
      <c r="Z26" s="4">
        <f t="shared" si="16"/>
        <v>78</v>
      </c>
      <c r="AA26" s="102">
        <f t="shared" si="17"/>
        <v>39</v>
      </c>
      <c r="AC26" s="100">
        <f t="shared" si="18"/>
        <v>0.97763746794209305</v>
      </c>
      <c r="AE26" s="25">
        <f t="shared" si="30"/>
        <v>0.97500000000000009</v>
      </c>
      <c r="AF26">
        <f t="shared" si="31"/>
        <v>804</v>
      </c>
      <c r="AG26" s="11">
        <f t="shared" si="32"/>
        <v>201</v>
      </c>
      <c r="AH26" s="31">
        <f t="shared" si="2"/>
        <v>0.10055027513756878</v>
      </c>
      <c r="AI26" s="31">
        <f t="shared" si="3"/>
        <v>0.40220110055027514</v>
      </c>
      <c r="AP26">
        <f t="shared" si="26"/>
        <v>0.98000000000000009</v>
      </c>
      <c r="AQ26">
        <v>300</v>
      </c>
      <c r="AR26">
        <f t="shared" si="27"/>
        <v>1072</v>
      </c>
      <c r="AS26">
        <f t="shared" si="20"/>
        <v>0.15030060120240482</v>
      </c>
      <c r="AT26">
        <f t="shared" si="21"/>
        <v>0.53707414829659317</v>
      </c>
      <c r="BD26">
        <f t="shared" si="28"/>
        <v>5.0000000000000322E-2</v>
      </c>
      <c r="BE26">
        <v>75</v>
      </c>
      <c r="BF26">
        <f t="shared" si="29"/>
        <v>1030</v>
      </c>
      <c r="BG26">
        <f t="shared" si="22"/>
        <v>3.7499999999999999E-2</v>
      </c>
      <c r="BH26">
        <f t="shared" si="23"/>
        <v>0.51500000000000001</v>
      </c>
    </row>
    <row r="27" spans="1:60" x14ac:dyDescent="0.35">
      <c r="D27">
        <f t="shared" si="24"/>
        <v>23</v>
      </c>
      <c r="E27" s="101">
        <v>7</v>
      </c>
      <c r="F27" s="4">
        <v>4</v>
      </c>
      <c r="G27" s="4">
        <v>5</v>
      </c>
      <c r="H27" s="4">
        <v>2</v>
      </c>
      <c r="I27" s="4">
        <v>1</v>
      </c>
      <c r="J27" s="4">
        <v>2</v>
      </c>
      <c r="K27" s="102">
        <v>6</v>
      </c>
      <c r="M27" s="101">
        <f t="shared" si="4"/>
        <v>29</v>
      </c>
      <c r="N27" s="4">
        <f t="shared" si="5"/>
        <v>12</v>
      </c>
      <c r="O27" s="4">
        <f t="shared" si="6"/>
        <v>30</v>
      </c>
      <c r="P27" s="4">
        <f t="shared" si="7"/>
        <v>56</v>
      </c>
      <c r="Q27" s="4">
        <f t="shared" si="8"/>
        <v>34</v>
      </c>
      <c r="R27" s="4">
        <f t="shared" si="9"/>
        <v>56</v>
      </c>
      <c r="S27" s="102">
        <f t="shared" si="10"/>
        <v>45</v>
      </c>
      <c r="U27" s="101">
        <f t="shared" si="11"/>
        <v>41</v>
      </c>
      <c r="V27" s="4">
        <f t="shared" si="12"/>
        <v>9</v>
      </c>
      <c r="W27" s="4">
        <f t="shared" si="13"/>
        <v>39</v>
      </c>
      <c r="X27" s="4">
        <f t="shared" si="14"/>
        <v>78</v>
      </c>
      <c r="Y27" s="4">
        <f t="shared" si="15"/>
        <v>46</v>
      </c>
      <c r="Z27" s="4">
        <f t="shared" si="16"/>
        <v>78</v>
      </c>
      <c r="AA27" s="102">
        <f t="shared" si="17"/>
        <v>71</v>
      </c>
      <c r="AC27" s="100">
        <f t="shared" si="18"/>
        <v>0.98880696528434286</v>
      </c>
      <c r="AE27" s="25">
        <f t="shared" si="30"/>
        <v>0.98000000000000009</v>
      </c>
      <c r="AF27">
        <f t="shared" si="31"/>
        <v>1073</v>
      </c>
      <c r="AG27" s="11">
        <f t="shared" si="32"/>
        <v>269</v>
      </c>
      <c r="AH27" s="31">
        <f t="shared" si="2"/>
        <v>0.13456728364182091</v>
      </c>
      <c r="AI27" s="31">
        <f t="shared" si="3"/>
        <v>0.53676838419209605</v>
      </c>
      <c r="AP27">
        <f t="shared" si="26"/>
        <v>0.9850000000000001</v>
      </c>
      <c r="AQ27">
        <v>280</v>
      </c>
      <c r="AR27">
        <f t="shared" si="27"/>
        <v>1352</v>
      </c>
      <c r="AS27">
        <f t="shared" si="20"/>
        <v>0.14028056112224449</v>
      </c>
      <c r="AT27">
        <f t="shared" si="21"/>
        <v>0.67735470941883769</v>
      </c>
      <c r="BD27">
        <f t="shared" si="28"/>
        <v>0.10000000000000032</v>
      </c>
      <c r="BE27">
        <v>73</v>
      </c>
      <c r="BF27">
        <f t="shared" si="29"/>
        <v>1103</v>
      </c>
      <c r="BG27">
        <f t="shared" si="22"/>
        <v>3.6499999999999998E-2</v>
      </c>
      <c r="BH27">
        <f t="shared" si="23"/>
        <v>0.55149999999999999</v>
      </c>
    </row>
    <row r="28" spans="1:60" x14ac:dyDescent="0.35">
      <c r="D28">
        <f t="shared" si="24"/>
        <v>24</v>
      </c>
      <c r="E28" s="101">
        <v>2</v>
      </c>
      <c r="F28" s="4">
        <v>6</v>
      </c>
      <c r="G28" s="4">
        <v>5</v>
      </c>
      <c r="H28" s="4">
        <v>2</v>
      </c>
      <c r="I28" s="4">
        <v>2</v>
      </c>
      <c r="J28" s="4">
        <v>3</v>
      </c>
      <c r="K28" s="102">
        <v>7</v>
      </c>
      <c r="M28" s="101">
        <f t="shared" si="4"/>
        <v>56</v>
      </c>
      <c r="N28" s="4">
        <f t="shared" si="5"/>
        <v>45</v>
      </c>
      <c r="O28" s="4">
        <f t="shared" si="6"/>
        <v>30</v>
      </c>
      <c r="P28" s="4">
        <f t="shared" si="7"/>
        <v>56</v>
      </c>
      <c r="Q28" s="4">
        <f t="shared" si="8"/>
        <v>56</v>
      </c>
      <c r="R28" s="4">
        <f t="shared" si="9"/>
        <v>23</v>
      </c>
      <c r="S28" s="102">
        <f t="shared" si="10"/>
        <v>29</v>
      </c>
      <c r="U28" s="101">
        <f t="shared" si="11"/>
        <v>78</v>
      </c>
      <c r="V28" s="4">
        <f t="shared" si="12"/>
        <v>71</v>
      </c>
      <c r="W28" s="4">
        <f t="shared" si="13"/>
        <v>39</v>
      </c>
      <c r="X28" s="4">
        <f t="shared" si="14"/>
        <v>78</v>
      </c>
      <c r="Y28" s="4">
        <f t="shared" si="15"/>
        <v>78</v>
      </c>
      <c r="Z28" s="4">
        <f t="shared" si="16"/>
        <v>39</v>
      </c>
      <c r="AA28" s="102">
        <f t="shared" si="17"/>
        <v>41</v>
      </c>
      <c r="AC28" s="100">
        <f t="shared" si="18"/>
        <v>0.97925487423723567</v>
      </c>
      <c r="AE28" s="25">
        <f t="shared" si="30"/>
        <v>0.9850000000000001</v>
      </c>
      <c r="AF28">
        <f t="shared" si="31"/>
        <v>1345</v>
      </c>
      <c r="AG28" s="11">
        <f t="shared" si="32"/>
        <v>272</v>
      </c>
      <c r="AH28" s="31">
        <f t="shared" si="2"/>
        <v>0.13606803401700851</v>
      </c>
      <c r="AI28" s="31">
        <f t="shared" si="3"/>
        <v>0.67283641820910456</v>
      </c>
      <c r="AP28">
        <f t="shared" si="26"/>
        <v>0.9900000000000001</v>
      </c>
      <c r="AQ28">
        <v>231</v>
      </c>
      <c r="AR28">
        <f t="shared" si="27"/>
        <v>1583</v>
      </c>
      <c r="AS28">
        <f t="shared" si="20"/>
        <v>0.11573146292585171</v>
      </c>
      <c r="AT28">
        <f t="shared" si="21"/>
        <v>0.79308617234468937</v>
      </c>
      <c r="BD28">
        <f t="shared" si="28"/>
        <v>0.15000000000000033</v>
      </c>
      <c r="BE28">
        <v>97</v>
      </c>
      <c r="BF28">
        <f t="shared" si="29"/>
        <v>1200</v>
      </c>
      <c r="BG28">
        <f t="shared" si="22"/>
        <v>4.8500000000000001E-2</v>
      </c>
      <c r="BH28">
        <f t="shared" si="23"/>
        <v>0.6</v>
      </c>
    </row>
    <row r="29" spans="1:60" x14ac:dyDescent="0.35">
      <c r="D29">
        <f t="shared" si="24"/>
        <v>25</v>
      </c>
      <c r="E29" s="101">
        <v>1</v>
      </c>
      <c r="F29" s="4">
        <v>6</v>
      </c>
      <c r="G29" s="4">
        <v>4</v>
      </c>
      <c r="H29" s="4">
        <v>3</v>
      </c>
      <c r="I29" s="4">
        <v>7</v>
      </c>
      <c r="J29" s="4">
        <v>2</v>
      </c>
      <c r="K29" s="102">
        <v>5</v>
      </c>
      <c r="M29" s="101">
        <f t="shared" si="4"/>
        <v>34</v>
      </c>
      <c r="N29" s="4">
        <f t="shared" si="5"/>
        <v>45</v>
      </c>
      <c r="O29" s="4">
        <f t="shared" si="6"/>
        <v>12</v>
      </c>
      <c r="P29" s="4">
        <f t="shared" si="7"/>
        <v>23</v>
      </c>
      <c r="Q29" s="4">
        <f t="shared" si="8"/>
        <v>29</v>
      </c>
      <c r="R29" s="4">
        <f t="shared" si="9"/>
        <v>56</v>
      </c>
      <c r="S29" s="102">
        <f t="shared" si="10"/>
        <v>30</v>
      </c>
      <c r="U29" s="101">
        <f t="shared" si="11"/>
        <v>46</v>
      </c>
      <c r="V29" s="4">
        <f t="shared" si="12"/>
        <v>71</v>
      </c>
      <c r="W29" s="4">
        <f t="shared" si="13"/>
        <v>9</v>
      </c>
      <c r="X29" s="4">
        <f t="shared" si="14"/>
        <v>39</v>
      </c>
      <c r="Y29" s="4">
        <f t="shared" si="15"/>
        <v>41</v>
      </c>
      <c r="Z29" s="4">
        <f t="shared" si="16"/>
        <v>78</v>
      </c>
      <c r="AA29" s="102">
        <f t="shared" si="17"/>
        <v>39</v>
      </c>
      <c r="AC29" s="100">
        <f t="shared" si="18"/>
        <v>0.97529211313754438</v>
      </c>
      <c r="AE29" s="25">
        <f t="shared" si="30"/>
        <v>0.9900000000000001</v>
      </c>
      <c r="AF29">
        <f>COUNTIF($AC$5:$AC$2004,"&lt;="&amp;AE29)</f>
        <v>1561</v>
      </c>
      <c r="AG29" s="11">
        <f>AF29-AF28</f>
        <v>216</v>
      </c>
      <c r="AH29" s="31">
        <f t="shared" si="2"/>
        <v>0.10805402701350675</v>
      </c>
      <c r="AI29" s="31">
        <f t="shared" si="3"/>
        <v>0.78089044522261131</v>
      </c>
      <c r="AP29">
        <f t="shared" si="26"/>
        <v>0.99500000000000011</v>
      </c>
      <c r="AQ29">
        <v>187</v>
      </c>
      <c r="AR29">
        <f t="shared" si="27"/>
        <v>1770</v>
      </c>
      <c r="AS29">
        <f t="shared" si="20"/>
        <v>9.3687374749498994E-2</v>
      </c>
      <c r="AT29">
        <f t="shared" si="21"/>
        <v>0.88677354709418843</v>
      </c>
      <c r="BD29">
        <f t="shared" si="28"/>
        <v>0.20000000000000034</v>
      </c>
      <c r="BE29">
        <v>95</v>
      </c>
      <c r="BF29">
        <f t="shared" si="29"/>
        <v>1295</v>
      </c>
      <c r="BG29">
        <f t="shared" si="22"/>
        <v>4.7500000000000001E-2</v>
      </c>
      <c r="BH29">
        <f t="shared" si="23"/>
        <v>0.64749999999999996</v>
      </c>
    </row>
    <row r="30" spans="1:60" x14ac:dyDescent="0.35">
      <c r="D30">
        <f t="shared" si="24"/>
        <v>26</v>
      </c>
      <c r="E30" s="101">
        <v>2</v>
      </c>
      <c r="F30" s="4">
        <v>3</v>
      </c>
      <c r="G30" s="4">
        <v>6</v>
      </c>
      <c r="H30" s="4">
        <v>6</v>
      </c>
      <c r="I30" s="4">
        <v>2</v>
      </c>
      <c r="J30" s="4">
        <v>6</v>
      </c>
      <c r="K30" s="102">
        <v>2</v>
      </c>
      <c r="M30" s="101">
        <f t="shared" si="4"/>
        <v>56</v>
      </c>
      <c r="N30" s="4">
        <f t="shared" si="5"/>
        <v>23</v>
      </c>
      <c r="O30" s="4">
        <f t="shared" si="6"/>
        <v>45</v>
      </c>
      <c r="P30" s="4">
        <f t="shared" si="7"/>
        <v>45</v>
      </c>
      <c r="Q30" s="4">
        <f t="shared" si="8"/>
        <v>56</v>
      </c>
      <c r="R30" s="4">
        <f t="shared" si="9"/>
        <v>45</v>
      </c>
      <c r="S30" s="102">
        <f t="shared" si="10"/>
        <v>56</v>
      </c>
      <c r="U30" s="101">
        <f t="shared" si="11"/>
        <v>78</v>
      </c>
      <c r="V30" s="4">
        <f t="shared" si="12"/>
        <v>39</v>
      </c>
      <c r="W30" s="4">
        <f t="shared" si="13"/>
        <v>71</v>
      </c>
      <c r="X30" s="4">
        <f t="shared" si="14"/>
        <v>71</v>
      </c>
      <c r="Y30" s="4">
        <f t="shared" si="15"/>
        <v>78</v>
      </c>
      <c r="Z30" s="4">
        <f t="shared" si="16"/>
        <v>71</v>
      </c>
      <c r="AA30" s="102">
        <f t="shared" si="17"/>
        <v>78</v>
      </c>
      <c r="AC30" s="100">
        <f t="shared" si="18"/>
        <v>0.97331597242077117</v>
      </c>
      <c r="AE30" s="25">
        <f t="shared" si="30"/>
        <v>0.99500000000000011</v>
      </c>
      <c r="AF30">
        <f>COUNTIF($AC$5:$AC$2004,"&lt;="&amp;AE30)</f>
        <v>1735</v>
      </c>
      <c r="AG30" s="11">
        <f>AF30-AF29</f>
        <v>174</v>
      </c>
      <c r="AH30" s="31">
        <f t="shared" si="2"/>
        <v>8.7043521760880441E-2</v>
      </c>
      <c r="AI30" s="31">
        <f t="shared" si="3"/>
        <v>0.86793396698349179</v>
      </c>
      <c r="AP30">
        <f t="shared" si="26"/>
        <v>1</v>
      </c>
      <c r="AQ30">
        <v>226</v>
      </c>
      <c r="AR30">
        <f t="shared" si="27"/>
        <v>1996</v>
      </c>
      <c r="AS30">
        <f t="shared" si="20"/>
        <v>0.11322645290581163</v>
      </c>
      <c r="AT30">
        <f t="shared" si="21"/>
        <v>1</v>
      </c>
      <c r="BD30">
        <f t="shared" si="28"/>
        <v>0.25000000000000033</v>
      </c>
      <c r="BE30">
        <v>101</v>
      </c>
      <c r="BF30">
        <f t="shared" si="29"/>
        <v>1396</v>
      </c>
      <c r="BG30">
        <f t="shared" si="22"/>
        <v>5.0500000000000003E-2</v>
      </c>
      <c r="BH30">
        <f t="shared" si="23"/>
        <v>0.69799999999999995</v>
      </c>
    </row>
    <row r="31" spans="1:60" ht="15" thickBot="1" x14ac:dyDescent="0.4">
      <c r="D31">
        <f t="shared" si="24"/>
        <v>27</v>
      </c>
      <c r="E31" s="101">
        <v>3</v>
      </c>
      <c r="F31" s="4">
        <v>4</v>
      </c>
      <c r="G31" s="4">
        <v>4</v>
      </c>
      <c r="H31" s="4">
        <v>2</v>
      </c>
      <c r="I31" s="4">
        <v>6</v>
      </c>
      <c r="J31" s="4">
        <v>7</v>
      </c>
      <c r="K31" s="102">
        <v>2</v>
      </c>
      <c r="M31" s="101">
        <f t="shared" si="4"/>
        <v>23</v>
      </c>
      <c r="N31" s="4">
        <f t="shared" si="5"/>
        <v>12</v>
      </c>
      <c r="O31" s="4">
        <f t="shared" si="6"/>
        <v>12</v>
      </c>
      <c r="P31" s="4">
        <f t="shared" si="7"/>
        <v>56</v>
      </c>
      <c r="Q31" s="4">
        <f t="shared" si="8"/>
        <v>45</v>
      </c>
      <c r="R31" s="4">
        <f t="shared" si="9"/>
        <v>29</v>
      </c>
      <c r="S31" s="102">
        <f t="shared" si="10"/>
        <v>56</v>
      </c>
      <c r="U31" s="101">
        <f t="shared" si="11"/>
        <v>39</v>
      </c>
      <c r="V31" s="4">
        <f t="shared" si="12"/>
        <v>9</v>
      </c>
      <c r="W31" s="4">
        <f t="shared" si="13"/>
        <v>9</v>
      </c>
      <c r="X31" s="4">
        <f t="shared" si="14"/>
        <v>78</v>
      </c>
      <c r="Y31" s="4">
        <f t="shared" si="15"/>
        <v>71</v>
      </c>
      <c r="Z31" s="4">
        <f t="shared" si="16"/>
        <v>41</v>
      </c>
      <c r="AA31" s="102">
        <f t="shared" si="17"/>
        <v>78</v>
      </c>
      <c r="AC31" s="100">
        <f t="shared" si="18"/>
        <v>0.98336904783197443</v>
      </c>
      <c r="AE31" s="233">
        <f>AE30+0.005</f>
        <v>1</v>
      </c>
      <c r="AF31" s="12">
        <f>COUNTIF($AC$5:$AC$2004,"&lt;="&amp;AE31)</f>
        <v>1999</v>
      </c>
      <c r="AG31" s="12">
        <f>AF31-AF30</f>
        <v>264</v>
      </c>
      <c r="AH31" s="230">
        <f t="shared" si="2"/>
        <v>0.13206603301650827</v>
      </c>
      <c r="AI31" s="230">
        <f t="shared" si="3"/>
        <v>1</v>
      </c>
      <c r="AP31" s="159" t="s">
        <v>34</v>
      </c>
      <c r="AQ31" s="159">
        <v>0</v>
      </c>
      <c r="AR31" s="159">
        <f t="shared" si="27"/>
        <v>1996</v>
      </c>
      <c r="AS31" s="159">
        <f t="shared" si="20"/>
        <v>0</v>
      </c>
      <c r="AT31" s="159">
        <f t="shared" si="21"/>
        <v>1</v>
      </c>
      <c r="BD31">
        <f t="shared" si="28"/>
        <v>0.30000000000000032</v>
      </c>
      <c r="BE31">
        <v>112</v>
      </c>
      <c r="BF31">
        <f t="shared" si="29"/>
        <v>1508</v>
      </c>
      <c r="BG31">
        <f t="shared" si="22"/>
        <v>5.6000000000000001E-2</v>
      </c>
      <c r="BH31">
        <f t="shared" si="23"/>
        <v>0.754</v>
      </c>
    </row>
    <row r="32" spans="1:60" x14ac:dyDescent="0.35">
      <c r="D32">
        <f t="shared" si="24"/>
        <v>28</v>
      </c>
      <c r="E32" s="101">
        <v>2</v>
      </c>
      <c r="F32" s="4">
        <v>5</v>
      </c>
      <c r="G32" s="4">
        <v>7</v>
      </c>
      <c r="H32" s="4">
        <v>1</v>
      </c>
      <c r="I32" s="4">
        <v>2</v>
      </c>
      <c r="J32" s="4">
        <v>6</v>
      </c>
      <c r="K32" s="102">
        <v>1</v>
      </c>
      <c r="M32" s="101">
        <f t="shared" si="4"/>
        <v>56</v>
      </c>
      <c r="N32" s="4">
        <f t="shared" si="5"/>
        <v>30</v>
      </c>
      <c r="O32" s="4">
        <f t="shared" si="6"/>
        <v>29</v>
      </c>
      <c r="P32" s="4">
        <f t="shared" si="7"/>
        <v>34</v>
      </c>
      <c r="Q32" s="4">
        <f t="shared" si="8"/>
        <v>56</v>
      </c>
      <c r="R32" s="4">
        <f t="shared" si="9"/>
        <v>45</v>
      </c>
      <c r="S32" s="102">
        <f t="shared" si="10"/>
        <v>34</v>
      </c>
      <c r="U32" s="101">
        <f t="shared" si="11"/>
        <v>78</v>
      </c>
      <c r="V32" s="4">
        <f t="shared" si="12"/>
        <v>39</v>
      </c>
      <c r="W32" s="4">
        <f t="shared" si="13"/>
        <v>41</v>
      </c>
      <c r="X32" s="4">
        <f t="shared" si="14"/>
        <v>46</v>
      </c>
      <c r="Y32" s="4">
        <f t="shared" si="15"/>
        <v>78</v>
      </c>
      <c r="Z32" s="4">
        <f t="shared" si="16"/>
        <v>71</v>
      </c>
      <c r="AA32" s="102">
        <f t="shared" si="17"/>
        <v>46</v>
      </c>
      <c r="AC32" s="100">
        <f t="shared" si="18"/>
        <v>0.98081722785661296</v>
      </c>
      <c r="AG32" s="11">
        <f>SUM(AG5:AG31)</f>
        <v>1999</v>
      </c>
      <c r="AH32" s="88"/>
      <c r="AQ32">
        <f>SUM(AQ5:AQ31)</f>
        <v>1996</v>
      </c>
      <c r="BD32">
        <f t="shared" si="28"/>
        <v>0.35000000000000031</v>
      </c>
      <c r="BE32">
        <v>70</v>
      </c>
      <c r="BF32">
        <f t="shared" si="29"/>
        <v>1578</v>
      </c>
      <c r="BG32">
        <f t="shared" si="22"/>
        <v>3.5000000000000003E-2</v>
      </c>
      <c r="BH32">
        <f t="shared" si="23"/>
        <v>0.78900000000000003</v>
      </c>
    </row>
    <row r="33" spans="4:60" x14ac:dyDescent="0.35">
      <c r="D33">
        <f t="shared" si="24"/>
        <v>29</v>
      </c>
      <c r="E33" s="101">
        <v>5</v>
      </c>
      <c r="F33" s="4">
        <v>1</v>
      </c>
      <c r="G33" s="4">
        <v>5</v>
      </c>
      <c r="H33" s="4">
        <v>5</v>
      </c>
      <c r="I33" s="4">
        <v>6</v>
      </c>
      <c r="J33" s="4">
        <v>6</v>
      </c>
      <c r="K33" s="102">
        <v>1</v>
      </c>
      <c r="M33" s="101">
        <f t="shared" si="4"/>
        <v>30</v>
      </c>
      <c r="N33" s="4">
        <f t="shared" si="5"/>
        <v>34</v>
      </c>
      <c r="O33" s="4">
        <f t="shared" si="6"/>
        <v>30</v>
      </c>
      <c r="P33" s="4">
        <f t="shared" si="7"/>
        <v>30</v>
      </c>
      <c r="Q33" s="4">
        <f t="shared" si="8"/>
        <v>45</v>
      </c>
      <c r="R33" s="4">
        <f t="shared" si="9"/>
        <v>45</v>
      </c>
      <c r="S33" s="102">
        <f t="shared" si="10"/>
        <v>34</v>
      </c>
      <c r="U33" s="101">
        <f t="shared" si="11"/>
        <v>39</v>
      </c>
      <c r="V33" s="4">
        <f t="shared" si="12"/>
        <v>46</v>
      </c>
      <c r="W33" s="4">
        <f t="shared" si="13"/>
        <v>39</v>
      </c>
      <c r="X33" s="4">
        <f t="shared" si="14"/>
        <v>39</v>
      </c>
      <c r="Y33" s="4">
        <f t="shared" si="15"/>
        <v>71</v>
      </c>
      <c r="Z33" s="4">
        <f t="shared" si="16"/>
        <v>71</v>
      </c>
      <c r="AA33" s="102">
        <f t="shared" si="17"/>
        <v>46</v>
      </c>
      <c r="AC33" s="100">
        <f t="shared" si="18"/>
        <v>0.99871119487684346</v>
      </c>
      <c r="BD33">
        <f t="shared" si="28"/>
        <v>0.4000000000000003</v>
      </c>
      <c r="BE33">
        <v>50</v>
      </c>
      <c r="BF33">
        <f t="shared" si="29"/>
        <v>1628</v>
      </c>
      <c r="BG33">
        <f t="shared" si="22"/>
        <v>2.5000000000000001E-2</v>
      </c>
      <c r="BH33">
        <f t="shared" si="23"/>
        <v>0.81399999999999995</v>
      </c>
    </row>
    <row r="34" spans="4:60" x14ac:dyDescent="0.35">
      <c r="D34">
        <f t="shared" si="24"/>
        <v>30</v>
      </c>
      <c r="E34" s="101">
        <v>5</v>
      </c>
      <c r="F34" s="4">
        <v>1</v>
      </c>
      <c r="G34" s="4">
        <v>6</v>
      </c>
      <c r="H34" s="4">
        <v>2</v>
      </c>
      <c r="I34" s="4">
        <v>1</v>
      </c>
      <c r="J34" s="4">
        <v>7</v>
      </c>
      <c r="K34" s="102">
        <v>1</v>
      </c>
      <c r="M34" s="101">
        <f t="shared" si="4"/>
        <v>30</v>
      </c>
      <c r="N34" s="4">
        <f t="shared" si="5"/>
        <v>34</v>
      </c>
      <c r="O34" s="4">
        <f t="shared" si="6"/>
        <v>45</v>
      </c>
      <c r="P34" s="4">
        <f t="shared" si="7"/>
        <v>56</v>
      </c>
      <c r="Q34" s="4">
        <f t="shared" si="8"/>
        <v>34</v>
      </c>
      <c r="R34" s="4">
        <f t="shared" si="9"/>
        <v>29</v>
      </c>
      <c r="S34" s="102">
        <f t="shared" si="10"/>
        <v>34</v>
      </c>
      <c r="U34" s="101">
        <f t="shared" si="11"/>
        <v>39</v>
      </c>
      <c r="V34" s="4">
        <f t="shared" si="12"/>
        <v>46</v>
      </c>
      <c r="W34" s="4">
        <f t="shared" si="13"/>
        <v>71</v>
      </c>
      <c r="X34" s="4">
        <f t="shared" si="14"/>
        <v>78</v>
      </c>
      <c r="Y34" s="4">
        <f t="shared" si="15"/>
        <v>46</v>
      </c>
      <c r="Z34" s="4">
        <f t="shared" si="16"/>
        <v>41</v>
      </c>
      <c r="AA34" s="102">
        <f t="shared" si="17"/>
        <v>46</v>
      </c>
      <c r="AC34" s="100">
        <f t="shared" si="18"/>
        <v>0.97632034683471847</v>
      </c>
      <c r="AP34" t="s">
        <v>472</v>
      </c>
      <c r="BD34">
        <f t="shared" si="28"/>
        <v>0.45000000000000029</v>
      </c>
      <c r="BE34">
        <v>53</v>
      </c>
      <c r="BF34">
        <f t="shared" si="29"/>
        <v>1681</v>
      </c>
      <c r="BG34">
        <f t="shared" si="22"/>
        <v>2.6499999999999999E-2</v>
      </c>
      <c r="BH34">
        <f t="shared" si="23"/>
        <v>0.84050000000000002</v>
      </c>
    </row>
    <row r="35" spans="4:60" x14ac:dyDescent="0.35">
      <c r="D35">
        <f t="shared" si="24"/>
        <v>31</v>
      </c>
      <c r="E35" s="101">
        <v>1</v>
      </c>
      <c r="F35" s="4">
        <v>2</v>
      </c>
      <c r="G35" s="4">
        <v>6</v>
      </c>
      <c r="H35" s="4">
        <v>3</v>
      </c>
      <c r="I35" s="4">
        <v>5</v>
      </c>
      <c r="J35" s="4">
        <v>1</v>
      </c>
      <c r="K35" s="102">
        <v>4</v>
      </c>
      <c r="M35" s="101">
        <f t="shared" si="4"/>
        <v>34</v>
      </c>
      <c r="N35" s="4">
        <f t="shared" si="5"/>
        <v>56</v>
      </c>
      <c r="O35" s="4">
        <f t="shared" si="6"/>
        <v>45</v>
      </c>
      <c r="P35" s="4">
        <f t="shared" si="7"/>
        <v>23</v>
      </c>
      <c r="Q35" s="4">
        <f t="shared" si="8"/>
        <v>30</v>
      </c>
      <c r="R35" s="4">
        <f t="shared" si="9"/>
        <v>34</v>
      </c>
      <c r="S35" s="102">
        <f t="shared" si="10"/>
        <v>12</v>
      </c>
      <c r="U35" s="101">
        <f t="shared" si="11"/>
        <v>46</v>
      </c>
      <c r="V35" s="4">
        <f t="shared" si="12"/>
        <v>78</v>
      </c>
      <c r="W35" s="4">
        <f t="shared" si="13"/>
        <v>71</v>
      </c>
      <c r="X35" s="4">
        <f t="shared" si="14"/>
        <v>39</v>
      </c>
      <c r="Y35" s="4">
        <f t="shared" si="15"/>
        <v>39</v>
      </c>
      <c r="Z35" s="4">
        <f t="shared" si="16"/>
        <v>46</v>
      </c>
      <c r="AA35" s="102">
        <f t="shared" si="17"/>
        <v>9</v>
      </c>
      <c r="AC35" s="100">
        <f t="shared" si="18"/>
        <v>0.97454066662669303</v>
      </c>
      <c r="BD35">
        <f t="shared" si="28"/>
        <v>0.50000000000000033</v>
      </c>
      <c r="BE35">
        <v>53</v>
      </c>
      <c r="BF35">
        <f t="shared" si="29"/>
        <v>1734</v>
      </c>
      <c r="BG35">
        <f t="shared" si="22"/>
        <v>2.6499999999999999E-2</v>
      </c>
      <c r="BH35">
        <f t="shared" si="23"/>
        <v>0.86699999999999999</v>
      </c>
    </row>
    <row r="36" spans="4:60" x14ac:dyDescent="0.35">
      <c r="D36">
        <f t="shared" si="24"/>
        <v>32</v>
      </c>
      <c r="E36" s="101">
        <v>2</v>
      </c>
      <c r="F36" s="4">
        <v>6</v>
      </c>
      <c r="G36" s="4">
        <v>1</v>
      </c>
      <c r="H36" s="4">
        <v>3</v>
      </c>
      <c r="I36" s="4">
        <v>1</v>
      </c>
      <c r="J36" s="4">
        <v>7</v>
      </c>
      <c r="K36" s="102">
        <v>3</v>
      </c>
      <c r="M36" s="101">
        <f t="shared" si="4"/>
        <v>56</v>
      </c>
      <c r="N36" s="4">
        <f t="shared" si="5"/>
        <v>45</v>
      </c>
      <c r="O36" s="4">
        <f t="shared" si="6"/>
        <v>34</v>
      </c>
      <c r="P36" s="4">
        <f t="shared" si="7"/>
        <v>23</v>
      </c>
      <c r="Q36" s="4">
        <f t="shared" si="8"/>
        <v>34</v>
      </c>
      <c r="R36" s="4">
        <f t="shared" si="9"/>
        <v>29</v>
      </c>
      <c r="S36" s="102">
        <f t="shared" si="10"/>
        <v>23</v>
      </c>
      <c r="U36" s="101">
        <f t="shared" si="11"/>
        <v>78</v>
      </c>
      <c r="V36" s="4">
        <f t="shared" si="12"/>
        <v>71</v>
      </c>
      <c r="W36" s="4">
        <f t="shared" si="13"/>
        <v>46</v>
      </c>
      <c r="X36" s="4">
        <f t="shared" si="14"/>
        <v>39</v>
      </c>
      <c r="Y36" s="4">
        <f t="shared" si="15"/>
        <v>46</v>
      </c>
      <c r="Z36" s="4">
        <f t="shared" si="16"/>
        <v>41</v>
      </c>
      <c r="AA36" s="102">
        <f t="shared" si="17"/>
        <v>39</v>
      </c>
      <c r="AC36" s="100">
        <f t="shared" si="18"/>
        <v>0.96602399362751035</v>
      </c>
      <c r="AP36" t="s">
        <v>88</v>
      </c>
      <c r="AQ36" s="225">
        <v>0.05</v>
      </c>
      <c r="BD36">
        <f t="shared" si="28"/>
        <v>0.55000000000000038</v>
      </c>
      <c r="BE36">
        <v>35</v>
      </c>
      <c r="BF36">
        <f t="shared" si="29"/>
        <v>1769</v>
      </c>
      <c r="BG36">
        <f t="shared" si="22"/>
        <v>1.7500000000000002E-2</v>
      </c>
      <c r="BH36">
        <f t="shared" si="23"/>
        <v>0.88449999999999995</v>
      </c>
    </row>
    <row r="37" spans="4:60" x14ac:dyDescent="0.35">
      <c r="D37">
        <f t="shared" si="24"/>
        <v>33</v>
      </c>
      <c r="E37" s="101">
        <v>2</v>
      </c>
      <c r="F37" s="4">
        <v>7</v>
      </c>
      <c r="G37" s="4">
        <v>1</v>
      </c>
      <c r="H37" s="4">
        <v>1</v>
      </c>
      <c r="I37" s="4">
        <v>5</v>
      </c>
      <c r="J37" s="4">
        <v>5</v>
      </c>
      <c r="K37" s="102">
        <v>3</v>
      </c>
      <c r="M37" s="101">
        <f t="shared" si="4"/>
        <v>56</v>
      </c>
      <c r="N37" s="4">
        <f t="shared" si="5"/>
        <v>29</v>
      </c>
      <c r="O37" s="4">
        <f t="shared" si="6"/>
        <v>34</v>
      </c>
      <c r="P37" s="4">
        <f t="shared" si="7"/>
        <v>34</v>
      </c>
      <c r="Q37" s="4">
        <f t="shared" si="8"/>
        <v>30</v>
      </c>
      <c r="R37" s="4">
        <f t="shared" si="9"/>
        <v>30</v>
      </c>
      <c r="S37" s="102">
        <f t="shared" si="10"/>
        <v>23</v>
      </c>
      <c r="U37" s="101">
        <f t="shared" si="11"/>
        <v>78</v>
      </c>
      <c r="V37" s="4">
        <f t="shared" si="12"/>
        <v>41</v>
      </c>
      <c r="W37" s="4">
        <f t="shared" si="13"/>
        <v>46</v>
      </c>
      <c r="X37" s="4">
        <f t="shared" si="14"/>
        <v>46</v>
      </c>
      <c r="Y37" s="4">
        <f t="shared" si="15"/>
        <v>39</v>
      </c>
      <c r="Z37" s="4">
        <f t="shared" si="16"/>
        <v>39</v>
      </c>
      <c r="AA37" s="102">
        <f t="shared" si="17"/>
        <v>39</v>
      </c>
      <c r="AC37" s="100">
        <f t="shared" si="18"/>
        <v>0.9731925919085922</v>
      </c>
      <c r="AP37" t="s">
        <v>463</v>
      </c>
      <c r="AQ37" s="147">
        <v>0.9752921131375446</v>
      </c>
      <c r="BD37">
        <f t="shared" si="28"/>
        <v>0.60000000000000042</v>
      </c>
      <c r="BE37">
        <v>46</v>
      </c>
      <c r="BF37">
        <f t="shared" si="29"/>
        <v>1815</v>
      </c>
      <c r="BG37">
        <f t="shared" si="22"/>
        <v>2.3E-2</v>
      </c>
      <c r="BH37">
        <f t="shared" si="23"/>
        <v>0.90749999999999997</v>
      </c>
    </row>
    <row r="38" spans="4:60" x14ac:dyDescent="0.35">
      <c r="D38">
        <f t="shared" si="24"/>
        <v>34</v>
      </c>
      <c r="E38" s="101">
        <v>7</v>
      </c>
      <c r="F38" s="4">
        <v>3</v>
      </c>
      <c r="G38" s="4">
        <v>7</v>
      </c>
      <c r="H38" s="4">
        <v>7</v>
      </c>
      <c r="I38" s="4">
        <v>6</v>
      </c>
      <c r="J38" s="4">
        <v>3</v>
      </c>
      <c r="K38" s="102">
        <v>3</v>
      </c>
      <c r="M38" s="101">
        <f t="shared" si="4"/>
        <v>29</v>
      </c>
      <c r="N38" s="4">
        <f t="shared" si="5"/>
        <v>23</v>
      </c>
      <c r="O38" s="4">
        <f t="shared" si="6"/>
        <v>29</v>
      </c>
      <c r="P38" s="4">
        <f t="shared" si="7"/>
        <v>29</v>
      </c>
      <c r="Q38" s="4">
        <f t="shared" si="8"/>
        <v>45</v>
      </c>
      <c r="R38" s="4">
        <f t="shared" si="9"/>
        <v>23</v>
      </c>
      <c r="S38" s="102">
        <f t="shared" si="10"/>
        <v>23</v>
      </c>
      <c r="U38" s="101">
        <f t="shared" si="11"/>
        <v>41</v>
      </c>
      <c r="V38" s="4">
        <f t="shared" si="12"/>
        <v>39</v>
      </c>
      <c r="W38" s="4">
        <f t="shared" si="13"/>
        <v>41</v>
      </c>
      <c r="X38" s="4">
        <f t="shared" si="14"/>
        <v>41</v>
      </c>
      <c r="Y38" s="4">
        <f t="shared" si="15"/>
        <v>71</v>
      </c>
      <c r="Z38" s="4">
        <f t="shared" si="16"/>
        <v>39</v>
      </c>
      <c r="AA38" s="102">
        <f t="shared" si="17"/>
        <v>39</v>
      </c>
      <c r="AC38" s="100">
        <f t="shared" si="18"/>
        <v>0.95215845464432158</v>
      </c>
      <c r="AP38" t="s">
        <v>464</v>
      </c>
      <c r="AQ38" s="147">
        <v>2.4E-2</v>
      </c>
      <c r="BD38">
        <f t="shared" si="28"/>
        <v>0.65000000000000047</v>
      </c>
      <c r="BE38">
        <v>71</v>
      </c>
      <c r="BF38">
        <f t="shared" si="29"/>
        <v>1886</v>
      </c>
      <c r="BG38">
        <f t="shared" si="22"/>
        <v>3.5499999999999997E-2</v>
      </c>
      <c r="BH38">
        <f t="shared" si="23"/>
        <v>0.94299999999999995</v>
      </c>
    </row>
    <row r="39" spans="4:60" x14ac:dyDescent="0.35">
      <c r="D39">
        <f t="shared" si="24"/>
        <v>35</v>
      </c>
      <c r="E39" s="101">
        <v>3</v>
      </c>
      <c r="F39" s="4">
        <v>5</v>
      </c>
      <c r="G39" s="4">
        <v>7</v>
      </c>
      <c r="H39" s="4">
        <v>4</v>
      </c>
      <c r="I39" s="4">
        <v>3</v>
      </c>
      <c r="J39" s="4">
        <v>4</v>
      </c>
      <c r="K39" s="102">
        <v>6</v>
      </c>
      <c r="M39" s="101">
        <f t="shared" si="4"/>
        <v>23</v>
      </c>
      <c r="N39" s="4">
        <f t="shared" si="5"/>
        <v>30</v>
      </c>
      <c r="O39" s="4">
        <f t="shared" si="6"/>
        <v>29</v>
      </c>
      <c r="P39" s="4">
        <f t="shared" si="7"/>
        <v>12</v>
      </c>
      <c r="Q39" s="4">
        <f t="shared" si="8"/>
        <v>23</v>
      </c>
      <c r="R39" s="4">
        <f t="shared" si="9"/>
        <v>12</v>
      </c>
      <c r="S39" s="102">
        <f t="shared" si="10"/>
        <v>45</v>
      </c>
      <c r="U39" s="101">
        <f t="shared" si="11"/>
        <v>39</v>
      </c>
      <c r="V39" s="4">
        <f t="shared" si="12"/>
        <v>39</v>
      </c>
      <c r="W39" s="4">
        <f t="shared" si="13"/>
        <v>41</v>
      </c>
      <c r="X39" s="4">
        <f t="shared" si="14"/>
        <v>9</v>
      </c>
      <c r="Y39" s="4">
        <f t="shared" si="15"/>
        <v>39</v>
      </c>
      <c r="Z39" s="4">
        <f t="shared" si="16"/>
        <v>9</v>
      </c>
      <c r="AA39" s="102">
        <f t="shared" si="17"/>
        <v>71</v>
      </c>
      <c r="AC39" s="100">
        <f t="shared" si="18"/>
        <v>0.97152559925885829</v>
      </c>
      <c r="AP39" t="s">
        <v>465</v>
      </c>
      <c r="AQ39" s="147">
        <v>0</v>
      </c>
      <c r="BD39">
        <f t="shared" si="28"/>
        <v>0.70000000000000051</v>
      </c>
      <c r="BE39">
        <v>33</v>
      </c>
      <c r="BF39">
        <f t="shared" si="29"/>
        <v>1919</v>
      </c>
      <c r="BG39">
        <f t="shared" si="22"/>
        <v>1.6500000000000001E-2</v>
      </c>
      <c r="BH39">
        <f t="shared" si="23"/>
        <v>0.95950000000000002</v>
      </c>
    </row>
    <row r="40" spans="4:60" x14ac:dyDescent="0.35">
      <c r="D40">
        <f t="shared" si="24"/>
        <v>36</v>
      </c>
      <c r="E40" s="101">
        <v>6</v>
      </c>
      <c r="F40" s="4">
        <v>1</v>
      </c>
      <c r="G40" s="4">
        <v>7</v>
      </c>
      <c r="H40" s="4">
        <v>2</v>
      </c>
      <c r="I40" s="4">
        <v>2</v>
      </c>
      <c r="J40" s="4">
        <v>7</v>
      </c>
      <c r="K40" s="102">
        <v>7</v>
      </c>
      <c r="M40" s="101">
        <f t="shared" si="4"/>
        <v>45</v>
      </c>
      <c r="N40" s="4">
        <f t="shared" si="5"/>
        <v>34</v>
      </c>
      <c r="O40" s="4">
        <f t="shared" si="6"/>
        <v>29</v>
      </c>
      <c r="P40" s="4">
        <f t="shared" si="7"/>
        <v>56</v>
      </c>
      <c r="Q40" s="4">
        <f t="shared" si="8"/>
        <v>56</v>
      </c>
      <c r="R40" s="4">
        <f t="shared" si="9"/>
        <v>29</v>
      </c>
      <c r="S40" s="102">
        <f t="shared" si="10"/>
        <v>29</v>
      </c>
      <c r="U40" s="101">
        <f t="shared" si="11"/>
        <v>71</v>
      </c>
      <c r="V40" s="4">
        <f t="shared" si="12"/>
        <v>46</v>
      </c>
      <c r="W40" s="4">
        <f t="shared" si="13"/>
        <v>41</v>
      </c>
      <c r="X40" s="4">
        <f t="shared" si="14"/>
        <v>78</v>
      </c>
      <c r="Y40" s="4">
        <f t="shared" si="15"/>
        <v>78</v>
      </c>
      <c r="Z40" s="4">
        <f t="shared" si="16"/>
        <v>41</v>
      </c>
      <c r="AA40" s="102">
        <f t="shared" si="17"/>
        <v>41</v>
      </c>
      <c r="AC40" s="100">
        <f t="shared" si="18"/>
        <v>0.98460542509126403</v>
      </c>
      <c r="AP40" t="s">
        <v>59</v>
      </c>
      <c r="AQ40" s="155">
        <v>2.4E-2</v>
      </c>
      <c r="BD40">
        <f t="shared" si="28"/>
        <v>0.75000000000000056</v>
      </c>
      <c r="BE40">
        <v>24</v>
      </c>
      <c r="BF40">
        <f t="shared" si="29"/>
        <v>1943</v>
      </c>
      <c r="BG40">
        <f t="shared" si="22"/>
        <v>1.2E-2</v>
      </c>
      <c r="BH40">
        <f t="shared" si="23"/>
        <v>0.97150000000000003</v>
      </c>
    </row>
    <row r="41" spans="4:60" x14ac:dyDescent="0.35">
      <c r="D41">
        <f t="shared" si="24"/>
        <v>37</v>
      </c>
      <c r="E41" s="101">
        <v>7</v>
      </c>
      <c r="F41" s="4">
        <v>4</v>
      </c>
      <c r="G41" s="4">
        <v>1</v>
      </c>
      <c r="H41" s="4">
        <v>2</v>
      </c>
      <c r="I41" s="4">
        <v>1</v>
      </c>
      <c r="J41" s="4">
        <v>1</v>
      </c>
      <c r="K41" s="102">
        <v>1</v>
      </c>
      <c r="M41" s="101">
        <f t="shared" si="4"/>
        <v>29</v>
      </c>
      <c r="N41" s="4">
        <f t="shared" si="5"/>
        <v>12</v>
      </c>
      <c r="O41" s="4">
        <f t="shared" si="6"/>
        <v>34</v>
      </c>
      <c r="P41" s="4">
        <f t="shared" si="7"/>
        <v>56</v>
      </c>
      <c r="Q41" s="4">
        <f t="shared" si="8"/>
        <v>34</v>
      </c>
      <c r="R41" s="4">
        <f t="shared" si="9"/>
        <v>34</v>
      </c>
      <c r="S41" s="102">
        <f t="shared" si="10"/>
        <v>34</v>
      </c>
      <c r="U41" s="101">
        <f t="shared" si="11"/>
        <v>41</v>
      </c>
      <c r="V41" s="4">
        <f t="shared" si="12"/>
        <v>9</v>
      </c>
      <c r="W41" s="4">
        <f t="shared" si="13"/>
        <v>46</v>
      </c>
      <c r="X41" s="4">
        <f t="shared" si="14"/>
        <v>78</v>
      </c>
      <c r="Y41" s="4">
        <f t="shared" si="15"/>
        <v>46</v>
      </c>
      <c r="Z41" s="4">
        <f t="shared" si="16"/>
        <v>46</v>
      </c>
      <c r="AA41" s="102">
        <f t="shared" si="17"/>
        <v>46</v>
      </c>
      <c r="AC41" s="100">
        <f t="shared" si="18"/>
        <v>0.99590331037033764</v>
      </c>
      <c r="BD41">
        <f t="shared" si="28"/>
        <v>0.8000000000000006</v>
      </c>
      <c r="BE41">
        <v>33</v>
      </c>
      <c r="BF41">
        <f t="shared" si="29"/>
        <v>1976</v>
      </c>
      <c r="BG41">
        <f t="shared" si="22"/>
        <v>1.6500000000000001E-2</v>
      </c>
      <c r="BH41">
        <f t="shared" si="23"/>
        <v>0.98799999999999999</v>
      </c>
    </row>
    <row r="42" spans="4:60" x14ac:dyDescent="0.35">
      <c r="D42">
        <f t="shared" si="24"/>
        <v>38</v>
      </c>
      <c r="E42" s="101">
        <v>3</v>
      </c>
      <c r="F42" s="4">
        <v>1</v>
      </c>
      <c r="G42" s="4">
        <v>2</v>
      </c>
      <c r="H42" s="4">
        <v>4</v>
      </c>
      <c r="I42" s="4">
        <v>6</v>
      </c>
      <c r="J42" s="4">
        <v>6</v>
      </c>
      <c r="K42" s="102">
        <v>7</v>
      </c>
      <c r="M42" s="101">
        <f t="shared" si="4"/>
        <v>23</v>
      </c>
      <c r="N42" s="4">
        <f t="shared" si="5"/>
        <v>34</v>
      </c>
      <c r="O42" s="4">
        <f t="shared" si="6"/>
        <v>56</v>
      </c>
      <c r="P42" s="4">
        <f t="shared" si="7"/>
        <v>12</v>
      </c>
      <c r="Q42" s="4">
        <f t="shared" si="8"/>
        <v>45</v>
      </c>
      <c r="R42" s="4">
        <f t="shared" si="9"/>
        <v>45</v>
      </c>
      <c r="S42" s="102">
        <f t="shared" si="10"/>
        <v>29</v>
      </c>
      <c r="U42" s="101">
        <f t="shared" si="11"/>
        <v>39</v>
      </c>
      <c r="V42" s="4">
        <f t="shared" si="12"/>
        <v>46</v>
      </c>
      <c r="W42" s="4">
        <f t="shared" si="13"/>
        <v>78</v>
      </c>
      <c r="X42" s="4">
        <f t="shared" si="14"/>
        <v>9</v>
      </c>
      <c r="Y42" s="4">
        <f t="shared" si="15"/>
        <v>71</v>
      </c>
      <c r="Z42" s="4">
        <f t="shared" si="16"/>
        <v>71</v>
      </c>
      <c r="AA42" s="102">
        <f t="shared" si="17"/>
        <v>41</v>
      </c>
      <c r="AC42" s="100">
        <f t="shared" si="18"/>
        <v>0.97643806751196416</v>
      </c>
      <c r="AP42" t="s">
        <v>262</v>
      </c>
      <c r="BD42">
        <f t="shared" si="28"/>
        <v>0.85000000000000064</v>
      </c>
      <c r="BE42">
        <v>5</v>
      </c>
      <c r="BF42">
        <f t="shared" si="29"/>
        <v>1981</v>
      </c>
      <c r="BG42">
        <f t="shared" si="22"/>
        <v>2.5000000000000001E-3</v>
      </c>
      <c r="BH42">
        <f t="shared" si="23"/>
        <v>0.99050000000000005</v>
      </c>
    </row>
    <row r="43" spans="4:60" x14ac:dyDescent="0.35">
      <c r="D43">
        <f t="shared" si="24"/>
        <v>39</v>
      </c>
      <c r="E43" s="101">
        <v>5</v>
      </c>
      <c r="F43" s="4">
        <v>5</v>
      </c>
      <c r="G43" s="4">
        <v>2</v>
      </c>
      <c r="H43" s="4">
        <v>5</v>
      </c>
      <c r="I43" s="4">
        <v>5</v>
      </c>
      <c r="J43" s="4">
        <v>1</v>
      </c>
      <c r="K43" s="102">
        <v>6</v>
      </c>
      <c r="M43" s="101">
        <f t="shared" si="4"/>
        <v>30</v>
      </c>
      <c r="N43" s="4">
        <f t="shared" si="5"/>
        <v>30</v>
      </c>
      <c r="O43" s="4">
        <f t="shared" si="6"/>
        <v>56</v>
      </c>
      <c r="P43" s="4">
        <f t="shared" si="7"/>
        <v>30</v>
      </c>
      <c r="Q43" s="4">
        <f t="shared" si="8"/>
        <v>30</v>
      </c>
      <c r="R43" s="4">
        <f t="shared" si="9"/>
        <v>34</v>
      </c>
      <c r="S43" s="102">
        <f t="shared" si="10"/>
        <v>45</v>
      </c>
      <c r="U43" s="101">
        <f t="shared" si="11"/>
        <v>39</v>
      </c>
      <c r="V43" s="4">
        <f t="shared" si="12"/>
        <v>39</v>
      </c>
      <c r="W43" s="4">
        <f t="shared" si="13"/>
        <v>78</v>
      </c>
      <c r="X43" s="4">
        <f t="shared" si="14"/>
        <v>39</v>
      </c>
      <c r="Y43" s="4">
        <f t="shared" si="15"/>
        <v>39</v>
      </c>
      <c r="Z43" s="4">
        <f t="shared" si="16"/>
        <v>46</v>
      </c>
      <c r="AA43" s="102">
        <f t="shared" si="17"/>
        <v>71</v>
      </c>
      <c r="AC43" s="100">
        <f t="shared" si="18"/>
        <v>0.98081214258126892</v>
      </c>
      <c r="BD43">
        <f t="shared" si="28"/>
        <v>0.90000000000000069</v>
      </c>
      <c r="BE43">
        <v>3</v>
      </c>
      <c r="BF43">
        <f t="shared" si="29"/>
        <v>1984</v>
      </c>
      <c r="BG43">
        <f t="shared" si="22"/>
        <v>1.5E-3</v>
      </c>
      <c r="BH43">
        <f t="shared" si="23"/>
        <v>0.99199999999999999</v>
      </c>
    </row>
    <row r="44" spans="4:60" x14ac:dyDescent="0.35">
      <c r="D44">
        <f t="shared" si="24"/>
        <v>40</v>
      </c>
      <c r="E44" s="101">
        <v>3</v>
      </c>
      <c r="F44" s="4">
        <v>4</v>
      </c>
      <c r="G44" s="4">
        <v>4</v>
      </c>
      <c r="H44" s="4">
        <v>4</v>
      </c>
      <c r="I44" s="4">
        <v>1</v>
      </c>
      <c r="J44" s="4">
        <v>6</v>
      </c>
      <c r="K44" s="102">
        <v>2</v>
      </c>
      <c r="M44" s="101">
        <f t="shared" si="4"/>
        <v>23</v>
      </c>
      <c r="N44" s="4">
        <f t="shared" si="5"/>
        <v>12</v>
      </c>
      <c r="O44" s="4">
        <f t="shared" si="6"/>
        <v>12</v>
      </c>
      <c r="P44" s="4">
        <f t="shared" si="7"/>
        <v>12</v>
      </c>
      <c r="Q44" s="4">
        <f t="shared" si="8"/>
        <v>34</v>
      </c>
      <c r="R44" s="4">
        <f t="shared" si="9"/>
        <v>45</v>
      </c>
      <c r="S44" s="102">
        <f t="shared" si="10"/>
        <v>56</v>
      </c>
      <c r="U44" s="101">
        <f t="shared" si="11"/>
        <v>39</v>
      </c>
      <c r="V44" s="4">
        <f t="shared" si="12"/>
        <v>9</v>
      </c>
      <c r="W44" s="4">
        <f t="shared" si="13"/>
        <v>9</v>
      </c>
      <c r="X44" s="4">
        <f t="shared" si="14"/>
        <v>9</v>
      </c>
      <c r="Y44" s="4">
        <f t="shared" si="15"/>
        <v>46</v>
      </c>
      <c r="Z44" s="4">
        <f t="shared" si="16"/>
        <v>71</v>
      </c>
      <c r="AA44" s="102">
        <f t="shared" si="17"/>
        <v>78</v>
      </c>
      <c r="AC44" s="100">
        <f t="shared" si="18"/>
        <v>0.98358467533650495</v>
      </c>
      <c r="AP44" t="s">
        <v>5</v>
      </c>
      <c r="AQ44" s="225">
        <v>0.97233722599751771</v>
      </c>
      <c r="BD44">
        <f t="shared" si="28"/>
        <v>0.95000000000000073</v>
      </c>
      <c r="BE44">
        <v>9</v>
      </c>
      <c r="BF44">
        <f t="shared" si="29"/>
        <v>1993</v>
      </c>
      <c r="BG44">
        <f t="shared" si="22"/>
        <v>4.4999999999999997E-3</v>
      </c>
      <c r="BH44">
        <f t="shared" si="23"/>
        <v>0.99650000000000005</v>
      </c>
    </row>
    <row r="45" spans="4:60" x14ac:dyDescent="0.35">
      <c r="D45">
        <f t="shared" si="24"/>
        <v>41</v>
      </c>
      <c r="E45" s="101">
        <v>7</v>
      </c>
      <c r="F45" s="4">
        <v>7</v>
      </c>
      <c r="G45" s="4">
        <v>2</v>
      </c>
      <c r="H45" s="4">
        <v>2</v>
      </c>
      <c r="I45" s="4">
        <v>4</v>
      </c>
      <c r="J45" s="4">
        <v>1</v>
      </c>
      <c r="K45" s="102">
        <v>3</v>
      </c>
      <c r="M45" s="101">
        <f t="shared" si="4"/>
        <v>29</v>
      </c>
      <c r="N45" s="4">
        <f t="shared" si="5"/>
        <v>29</v>
      </c>
      <c r="O45" s="4">
        <f t="shared" si="6"/>
        <v>56</v>
      </c>
      <c r="P45" s="4">
        <f t="shared" si="7"/>
        <v>56</v>
      </c>
      <c r="Q45" s="4">
        <f t="shared" si="8"/>
        <v>12</v>
      </c>
      <c r="R45" s="4">
        <f t="shared" si="9"/>
        <v>34</v>
      </c>
      <c r="S45" s="102">
        <f t="shared" si="10"/>
        <v>23</v>
      </c>
      <c r="U45" s="101">
        <f t="shared" si="11"/>
        <v>41</v>
      </c>
      <c r="V45" s="4">
        <f t="shared" si="12"/>
        <v>41</v>
      </c>
      <c r="W45" s="4">
        <f t="shared" si="13"/>
        <v>78</v>
      </c>
      <c r="X45" s="4">
        <f t="shared" si="14"/>
        <v>78</v>
      </c>
      <c r="Y45" s="4">
        <f t="shared" si="15"/>
        <v>9</v>
      </c>
      <c r="Z45" s="4">
        <f t="shared" si="16"/>
        <v>46</v>
      </c>
      <c r="AA45" s="102">
        <f t="shared" si="17"/>
        <v>39</v>
      </c>
      <c r="AC45" s="100">
        <f t="shared" si="18"/>
        <v>0.98477794947726305</v>
      </c>
      <c r="AP45" t="s">
        <v>7</v>
      </c>
      <c r="AQ45" s="147">
        <v>3.9078566108794482E-2</v>
      </c>
      <c r="BD45">
        <f t="shared" si="28"/>
        <v>1.0000000000000007</v>
      </c>
      <c r="BE45">
        <v>7</v>
      </c>
      <c r="BF45">
        <f t="shared" si="29"/>
        <v>2000</v>
      </c>
      <c r="BG45">
        <f t="shared" si="22"/>
        <v>3.5000000000000001E-3</v>
      </c>
      <c r="BH45">
        <f t="shared" si="23"/>
        <v>1</v>
      </c>
    </row>
    <row r="46" spans="4:60" x14ac:dyDescent="0.35">
      <c r="D46">
        <f t="shared" si="24"/>
        <v>42</v>
      </c>
      <c r="E46" s="101">
        <v>6</v>
      </c>
      <c r="F46" s="4">
        <v>2</v>
      </c>
      <c r="G46" s="4">
        <v>6</v>
      </c>
      <c r="H46" s="4">
        <v>4</v>
      </c>
      <c r="I46" s="4">
        <v>6</v>
      </c>
      <c r="J46" s="4">
        <v>2</v>
      </c>
      <c r="K46" s="102">
        <v>4</v>
      </c>
      <c r="M46" s="101">
        <f t="shared" si="4"/>
        <v>45</v>
      </c>
      <c r="N46" s="4">
        <f t="shared" si="5"/>
        <v>56</v>
      </c>
      <c r="O46" s="4">
        <f t="shared" si="6"/>
        <v>45</v>
      </c>
      <c r="P46" s="4">
        <f t="shared" si="7"/>
        <v>12</v>
      </c>
      <c r="Q46" s="4">
        <f t="shared" si="8"/>
        <v>45</v>
      </c>
      <c r="R46" s="4">
        <f t="shared" si="9"/>
        <v>56</v>
      </c>
      <c r="S46" s="102">
        <f t="shared" si="10"/>
        <v>12</v>
      </c>
      <c r="U46" s="101">
        <f t="shared" si="11"/>
        <v>71</v>
      </c>
      <c r="V46" s="4">
        <f t="shared" si="12"/>
        <v>78</v>
      </c>
      <c r="W46" s="4">
        <f t="shared" si="13"/>
        <v>71</v>
      </c>
      <c r="X46" s="4">
        <f t="shared" si="14"/>
        <v>9</v>
      </c>
      <c r="Y46" s="4">
        <f t="shared" si="15"/>
        <v>71</v>
      </c>
      <c r="Z46" s="4">
        <f t="shared" si="16"/>
        <v>78</v>
      </c>
      <c r="AA46" s="102">
        <f t="shared" si="17"/>
        <v>9</v>
      </c>
      <c r="AC46" s="100">
        <f t="shared" si="18"/>
        <v>0.98648068691975865</v>
      </c>
      <c r="AP46" t="s">
        <v>29</v>
      </c>
      <c r="AQ46" s="147">
        <v>0.90162650303674952</v>
      </c>
      <c r="BD46" s="159" t="s">
        <v>34</v>
      </c>
      <c r="BE46" s="159">
        <v>0</v>
      </c>
      <c r="BF46" s="159">
        <f t="shared" si="29"/>
        <v>2000</v>
      </c>
      <c r="BG46" s="159">
        <f t="shared" si="22"/>
        <v>0</v>
      </c>
      <c r="BH46" s="159">
        <f t="shared" si="23"/>
        <v>1</v>
      </c>
    </row>
    <row r="47" spans="4:60" x14ac:dyDescent="0.35">
      <c r="D47">
        <f t="shared" si="24"/>
        <v>43</v>
      </c>
      <c r="E47" s="101">
        <v>5</v>
      </c>
      <c r="F47" s="4">
        <v>1</v>
      </c>
      <c r="G47" s="4">
        <v>3</v>
      </c>
      <c r="H47" s="4">
        <v>5</v>
      </c>
      <c r="I47" s="4">
        <v>7</v>
      </c>
      <c r="J47" s="4">
        <v>3</v>
      </c>
      <c r="K47" s="102">
        <v>1</v>
      </c>
      <c r="M47" s="101">
        <f t="shared" si="4"/>
        <v>30</v>
      </c>
      <c r="N47" s="4">
        <f t="shared" si="5"/>
        <v>34</v>
      </c>
      <c r="O47" s="4">
        <f t="shared" si="6"/>
        <v>23</v>
      </c>
      <c r="P47" s="4">
        <f t="shared" si="7"/>
        <v>30</v>
      </c>
      <c r="Q47" s="4">
        <f t="shared" si="8"/>
        <v>29</v>
      </c>
      <c r="R47" s="4">
        <f t="shared" si="9"/>
        <v>23</v>
      </c>
      <c r="S47" s="102">
        <f t="shared" si="10"/>
        <v>34</v>
      </c>
      <c r="U47" s="101">
        <f t="shared" si="11"/>
        <v>39</v>
      </c>
      <c r="V47" s="4">
        <f t="shared" si="12"/>
        <v>46</v>
      </c>
      <c r="W47" s="4">
        <f t="shared" si="13"/>
        <v>39</v>
      </c>
      <c r="X47" s="4">
        <f t="shared" si="14"/>
        <v>39</v>
      </c>
      <c r="Y47" s="4">
        <f t="shared" si="15"/>
        <v>41</v>
      </c>
      <c r="Z47" s="4">
        <f t="shared" si="16"/>
        <v>39</v>
      </c>
      <c r="AA47" s="102">
        <f t="shared" si="17"/>
        <v>46</v>
      </c>
      <c r="AC47" s="100">
        <f t="shared" si="18"/>
        <v>0.77714754325448199</v>
      </c>
      <c r="AP47" t="s">
        <v>30</v>
      </c>
      <c r="AQ47" s="155">
        <v>0.99889918886169093</v>
      </c>
      <c r="BE47">
        <f>SUM(BE5:BE46)</f>
        <v>2000</v>
      </c>
    </row>
    <row r="48" spans="4:60" x14ac:dyDescent="0.35">
      <c r="D48">
        <f t="shared" si="24"/>
        <v>44</v>
      </c>
      <c r="E48" s="101">
        <v>4</v>
      </c>
      <c r="F48" s="4">
        <v>6</v>
      </c>
      <c r="G48" s="4">
        <v>5</v>
      </c>
      <c r="H48" s="4">
        <v>5</v>
      </c>
      <c r="I48" s="4">
        <v>5</v>
      </c>
      <c r="J48" s="4">
        <v>1</v>
      </c>
      <c r="K48" s="102">
        <v>1</v>
      </c>
      <c r="M48" s="101">
        <f t="shared" si="4"/>
        <v>12</v>
      </c>
      <c r="N48" s="4">
        <f t="shared" si="5"/>
        <v>45</v>
      </c>
      <c r="O48" s="4">
        <f t="shared" si="6"/>
        <v>30</v>
      </c>
      <c r="P48" s="4">
        <f t="shared" si="7"/>
        <v>30</v>
      </c>
      <c r="Q48" s="4">
        <f t="shared" si="8"/>
        <v>30</v>
      </c>
      <c r="R48" s="4">
        <f t="shared" si="9"/>
        <v>34</v>
      </c>
      <c r="S48" s="102">
        <f t="shared" si="10"/>
        <v>34</v>
      </c>
      <c r="U48" s="101">
        <f t="shared" si="11"/>
        <v>9</v>
      </c>
      <c r="V48" s="4">
        <f t="shared" si="12"/>
        <v>71</v>
      </c>
      <c r="W48" s="4">
        <f t="shared" si="13"/>
        <v>39</v>
      </c>
      <c r="X48" s="4">
        <f t="shared" si="14"/>
        <v>39</v>
      </c>
      <c r="Y48" s="4">
        <f t="shared" si="15"/>
        <v>39</v>
      </c>
      <c r="Z48" s="4">
        <f t="shared" si="16"/>
        <v>46</v>
      </c>
      <c r="AA48" s="102">
        <f t="shared" si="17"/>
        <v>46</v>
      </c>
      <c r="AC48" s="100">
        <f t="shared" si="18"/>
        <v>0.99425672681689525</v>
      </c>
    </row>
    <row r="49" spans="4:57" x14ac:dyDescent="0.35">
      <c r="D49">
        <f t="shared" si="24"/>
        <v>45</v>
      </c>
      <c r="E49" s="101">
        <v>3</v>
      </c>
      <c r="F49" s="4">
        <v>6</v>
      </c>
      <c r="G49" s="4">
        <v>5</v>
      </c>
      <c r="H49" s="4">
        <v>5</v>
      </c>
      <c r="I49" s="4">
        <v>3</v>
      </c>
      <c r="J49" s="4">
        <v>6</v>
      </c>
      <c r="K49" s="102">
        <v>3</v>
      </c>
      <c r="M49" s="101">
        <f t="shared" si="4"/>
        <v>23</v>
      </c>
      <c r="N49" s="4">
        <f t="shared" si="5"/>
        <v>45</v>
      </c>
      <c r="O49" s="4">
        <f t="shared" si="6"/>
        <v>30</v>
      </c>
      <c r="P49" s="4">
        <f t="shared" si="7"/>
        <v>30</v>
      </c>
      <c r="Q49" s="4">
        <f t="shared" si="8"/>
        <v>23</v>
      </c>
      <c r="R49" s="4">
        <f t="shared" si="9"/>
        <v>45</v>
      </c>
      <c r="S49" s="102">
        <f t="shared" si="10"/>
        <v>23</v>
      </c>
      <c r="U49" s="101">
        <f t="shared" si="11"/>
        <v>39</v>
      </c>
      <c r="V49" s="4">
        <f t="shared" si="12"/>
        <v>71</v>
      </c>
      <c r="W49" s="4">
        <f t="shared" si="13"/>
        <v>39</v>
      </c>
      <c r="X49" s="4">
        <f t="shared" si="14"/>
        <v>39</v>
      </c>
      <c r="Y49" s="4">
        <f t="shared" si="15"/>
        <v>39</v>
      </c>
      <c r="Z49" s="4">
        <f t="shared" si="16"/>
        <v>71</v>
      </c>
      <c r="AA49" s="102">
        <f t="shared" si="17"/>
        <v>39</v>
      </c>
      <c r="AC49" s="100">
        <f t="shared" si="18"/>
        <v>0.94845177070159914</v>
      </c>
      <c r="BD49" t="s">
        <v>473</v>
      </c>
    </row>
    <row r="50" spans="4:57" x14ac:dyDescent="0.35">
      <c r="D50">
        <f t="shared" si="24"/>
        <v>46</v>
      </c>
      <c r="E50" s="101">
        <v>5</v>
      </c>
      <c r="F50" s="4">
        <v>7</v>
      </c>
      <c r="G50" s="4">
        <v>5</v>
      </c>
      <c r="H50" s="4">
        <v>7</v>
      </c>
      <c r="I50" s="4">
        <v>7</v>
      </c>
      <c r="J50" s="4">
        <v>2</v>
      </c>
      <c r="K50" s="102">
        <v>6</v>
      </c>
      <c r="M50" s="101">
        <f t="shared" si="4"/>
        <v>30</v>
      </c>
      <c r="N50" s="4">
        <f t="shared" si="5"/>
        <v>29</v>
      </c>
      <c r="O50" s="4">
        <f t="shared" si="6"/>
        <v>30</v>
      </c>
      <c r="P50" s="4">
        <f t="shared" si="7"/>
        <v>29</v>
      </c>
      <c r="Q50" s="4">
        <f t="shared" si="8"/>
        <v>29</v>
      </c>
      <c r="R50" s="4">
        <f t="shared" si="9"/>
        <v>56</v>
      </c>
      <c r="S50" s="102">
        <f t="shared" si="10"/>
        <v>45</v>
      </c>
      <c r="U50" s="101">
        <f t="shared" si="11"/>
        <v>39</v>
      </c>
      <c r="V50" s="4">
        <f t="shared" si="12"/>
        <v>41</v>
      </c>
      <c r="W50" s="4">
        <f t="shared" si="13"/>
        <v>39</v>
      </c>
      <c r="X50" s="4">
        <f t="shared" si="14"/>
        <v>41</v>
      </c>
      <c r="Y50" s="4">
        <f t="shared" si="15"/>
        <v>41</v>
      </c>
      <c r="Z50" s="4">
        <f t="shared" si="16"/>
        <v>78</v>
      </c>
      <c r="AA50" s="102">
        <f t="shared" si="17"/>
        <v>71</v>
      </c>
      <c r="AC50" s="100">
        <f t="shared" si="18"/>
        <v>0.97959580097719068</v>
      </c>
    </row>
    <row r="51" spans="4:57" x14ac:dyDescent="0.35">
      <c r="D51">
        <f t="shared" si="24"/>
        <v>47</v>
      </c>
      <c r="E51" s="101">
        <v>5</v>
      </c>
      <c r="F51" s="4">
        <v>1</v>
      </c>
      <c r="G51" s="4">
        <v>1</v>
      </c>
      <c r="H51" s="4">
        <v>2</v>
      </c>
      <c r="I51" s="4">
        <v>1</v>
      </c>
      <c r="J51" s="4">
        <v>3</v>
      </c>
      <c r="K51" s="102">
        <v>2</v>
      </c>
      <c r="M51" s="101">
        <f t="shared" si="4"/>
        <v>30</v>
      </c>
      <c r="N51" s="4">
        <f t="shared" si="5"/>
        <v>34</v>
      </c>
      <c r="O51" s="4">
        <f t="shared" si="6"/>
        <v>34</v>
      </c>
      <c r="P51" s="4">
        <f t="shared" si="7"/>
        <v>56</v>
      </c>
      <c r="Q51" s="4">
        <f t="shared" si="8"/>
        <v>34</v>
      </c>
      <c r="R51" s="4">
        <f t="shared" si="9"/>
        <v>23</v>
      </c>
      <c r="S51" s="102">
        <f t="shared" si="10"/>
        <v>56</v>
      </c>
      <c r="U51" s="101">
        <f t="shared" si="11"/>
        <v>39</v>
      </c>
      <c r="V51" s="4">
        <f t="shared" si="12"/>
        <v>46</v>
      </c>
      <c r="W51" s="4">
        <f t="shared" si="13"/>
        <v>46</v>
      </c>
      <c r="X51" s="4">
        <f t="shared" si="14"/>
        <v>78</v>
      </c>
      <c r="Y51" s="4">
        <f t="shared" si="15"/>
        <v>46</v>
      </c>
      <c r="Z51" s="4">
        <f t="shared" si="16"/>
        <v>39</v>
      </c>
      <c r="AA51" s="102">
        <f t="shared" si="17"/>
        <v>78</v>
      </c>
      <c r="AC51" s="100">
        <f t="shared" si="18"/>
        <v>0.98383262392313875</v>
      </c>
      <c r="BD51" t="s">
        <v>88</v>
      </c>
      <c r="BE51" s="225">
        <v>0.05</v>
      </c>
    </row>
    <row r="52" spans="4:57" x14ac:dyDescent="0.35">
      <c r="D52">
        <f t="shared" si="24"/>
        <v>48</v>
      </c>
      <c r="E52" s="101">
        <v>4</v>
      </c>
      <c r="F52" s="4">
        <v>6</v>
      </c>
      <c r="G52" s="4">
        <v>4</v>
      </c>
      <c r="H52" s="4">
        <v>2</v>
      </c>
      <c r="I52" s="4">
        <v>1</v>
      </c>
      <c r="J52" s="4">
        <v>7</v>
      </c>
      <c r="K52" s="102">
        <v>1</v>
      </c>
      <c r="M52" s="101">
        <f t="shared" si="4"/>
        <v>12</v>
      </c>
      <c r="N52" s="4">
        <f t="shared" si="5"/>
        <v>45</v>
      </c>
      <c r="O52" s="4">
        <f t="shared" si="6"/>
        <v>12</v>
      </c>
      <c r="P52" s="4">
        <f t="shared" si="7"/>
        <v>56</v>
      </c>
      <c r="Q52" s="4">
        <f t="shared" si="8"/>
        <v>34</v>
      </c>
      <c r="R52" s="4">
        <f t="shared" si="9"/>
        <v>29</v>
      </c>
      <c r="S52" s="102">
        <f t="shared" si="10"/>
        <v>34</v>
      </c>
      <c r="U52" s="101">
        <f t="shared" si="11"/>
        <v>9</v>
      </c>
      <c r="V52" s="4">
        <f t="shared" si="12"/>
        <v>71</v>
      </c>
      <c r="W52" s="4">
        <f t="shared" si="13"/>
        <v>9</v>
      </c>
      <c r="X52" s="4">
        <f t="shared" si="14"/>
        <v>78</v>
      </c>
      <c r="Y52" s="4">
        <f t="shared" si="15"/>
        <v>46</v>
      </c>
      <c r="Z52" s="4">
        <f t="shared" si="16"/>
        <v>41</v>
      </c>
      <c r="AA52" s="102">
        <f t="shared" si="17"/>
        <v>46</v>
      </c>
      <c r="AC52" s="100">
        <f t="shared" si="18"/>
        <v>0.99142381099854571</v>
      </c>
      <c r="BD52" t="s">
        <v>463</v>
      </c>
      <c r="BE52" s="147">
        <v>0.9752921131375446</v>
      </c>
    </row>
    <row r="53" spans="4:57" x14ac:dyDescent="0.35">
      <c r="D53">
        <f t="shared" si="24"/>
        <v>49</v>
      </c>
      <c r="E53" s="101">
        <v>3</v>
      </c>
      <c r="F53" s="4">
        <v>6</v>
      </c>
      <c r="G53" s="4">
        <v>2</v>
      </c>
      <c r="H53" s="4">
        <v>1</v>
      </c>
      <c r="I53" s="4">
        <v>5</v>
      </c>
      <c r="J53" s="4">
        <v>6</v>
      </c>
      <c r="K53" s="102">
        <v>1</v>
      </c>
      <c r="M53" s="101">
        <f t="shared" si="4"/>
        <v>23</v>
      </c>
      <c r="N53" s="4">
        <f t="shared" si="5"/>
        <v>45</v>
      </c>
      <c r="O53" s="4">
        <f t="shared" si="6"/>
        <v>56</v>
      </c>
      <c r="P53" s="4">
        <f t="shared" si="7"/>
        <v>34</v>
      </c>
      <c r="Q53" s="4">
        <f t="shared" si="8"/>
        <v>30</v>
      </c>
      <c r="R53" s="4">
        <f t="shared" si="9"/>
        <v>45</v>
      </c>
      <c r="S53" s="102">
        <f t="shared" si="10"/>
        <v>34</v>
      </c>
      <c r="U53" s="101">
        <f t="shared" si="11"/>
        <v>39</v>
      </c>
      <c r="V53" s="4">
        <f t="shared" si="12"/>
        <v>71</v>
      </c>
      <c r="W53" s="4">
        <f t="shared" si="13"/>
        <v>78</v>
      </c>
      <c r="X53" s="4">
        <f t="shared" si="14"/>
        <v>46</v>
      </c>
      <c r="Y53" s="4">
        <f t="shared" si="15"/>
        <v>39</v>
      </c>
      <c r="Z53" s="4">
        <f t="shared" si="16"/>
        <v>71</v>
      </c>
      <c r="AA53" s="102">
        <f t="shared" si="17"/>
        <v>46</v>
      </c>
      <c r="AC53" s="100">
        <f t="shared" si="18"/>
        <v>0.95542996956180382</v>
      </c>
      <c r="BD53" t="s">
        <v>464</v>
      </c>
      <c r="BE53" s="147">
        <v>0</v>
      </c>
    </row>
    <row r="54" spans="4:57" x14ac:dyDescent="0.35">
      <c r="D54">
        <f t="shared" si="24"/>
        <v>50</v>
      </c>
      <c r="E54" s="101">
        <v>5</v>
      </c>
      <c r="F54" s="4">
        <v>7</v>
      </c>
      <c r="G54" s="4">
        <v>7</v>
      </c>
      <c r="H54" s="4">
        <v>5</v>
      </c>
      <c r="I54" s="4">
        <v>4</v>
      </c>
      <c r="J54" s="4">
        <v>3</v>
      </c>
      <c r="K54" s="102">
        <v>2</v>
      </c>
      <c r="M54" s="101">
        <f t="shared" si="4"/>
        <v>30</v>
      </c>
      <c r="N54" s="4">
        <f t="shared" si="5"/>
        <v>29</v>
      </c>
      <c r="O54" s="4">
        <f t="shared" si="6"/>
        <v>29</v>
      </c>
      <c r="P54" s="4">
        <f t="shared" si="7"/>
        <v>30</v>
      </c>
      <c r="Q54" s="4">
        <f t="shared" si="8"/>
        <v>12</v>
      </c>
      <c r="R54" s="4">
        <f t="shared" si="9"/>
        <v>23</v>
      </c>
      <c r="S54" s="102">
        <f t="shared" si="10"/>
        <v>56</v>
      </c>
      <c r="U54" s="101">
        <f t="shared" si="11"/>
        <v>39</v>
      </c>
      <c r="V54" s="4">
        <f t="shared" si="12"/>
        <v>41</v>
      </c>
      <c r="W54" s="4">
        <f t="shared" si="13"/>
        <v>41</v>
      </c>
      <c r="X54" s="4">
        <f t="shared" si="14"/>
        <v>39</v>
      </c>
      <c r="Y54" s="4">
        <f t="shared" si="15"/>
        <v>9</v>
      </c>
      <c r="Z54" s="4">
        <f t="shared" si="16"/>
        <v>39</v>
      </c>
      <c r="AA54" s="102">
        <f t="shared" si="17"/>
        <v>78</v>
      </c>
      <c r="AC54" s="100">
        <f t="shared" si="18"/>
        <v>0.97619203054558812</v>
      </c>
      <c r="BD54" t="s">
        <v>465</v>
      </c>
      <c r="BE54" s="147">
        <v>1E-3</v>
      </c>
    </row>
    <row r="55" spans="4:57" x14ac:dyDescent="0.35">
      <c r="D55">
        <f t="shared" si="24"/>
        <v>51</v>
      </c>
      <c r="E55" s="101">
        <v>5</v>
      </c>
      <c r="F55" s="4">
        <v>3</v>
      </c>
      <c r="G55" s="4">
        <v>6</v>
      </c>
      <c r="H55" s="4">
        <v>6</v>
      </c>
      <c r="I55" s="4">
        <v>1</v>
      </c>
      <c r="J55" s="4">
        <v>3</v>
      </c>
      <c r="K55" s="102">
        <v>3</v>
      </c>
      <c r="M55" s="101">
        <f t="shared" si="4"/>
        <v>30</v>
      </c>
      <c r="N55" s="4">
        <f t="shared" si="5"/>
        <v>23</v>
      </c>
      <c r="O55" s="4">
        <f t="shared" si="6"/>
        <v>45</v>
      </c>
      <c r="P55" s="4">
        <f t="shared" si="7"/>
        <v>45</v>
      </c>
      <c r="Q55" s="4">
        <f t="shared" si="8"/>
        <v>34</v>
      </c>
      <c r="R55" s="4">
        <f t="shared" si="9"/>
        <v>23</v>
      </c>
      <c r="S55" s="102">
        <f t="shared" si="10"/>
        <v>23</v>
      </c>
      <c r="U55" s="101">
        <f t="shared" si="11"/>
        <v>39</v>
      </c>
      <c r="V55" s="4">
        <f t="shared" si="12"/>
        <v>39</v>
      </c>
      <c r="W55" s="4">
        <f t="shared" si="13"/>
        <v>71</v>
      </c>
      <c r="X55" s="4">
        <f t="shared" si="14"/>
        <v>71</v>
      </c>
      <c r="Y55" s="4">
        <f t="shared" si="15"/>
        <v>46</v>
      </c>
      <c r="Z55" s="4">
        <f t="shared" si="16"/>
        <v>39</v>
      </c>
      <c r="AA55" s="102">
        <f t="shared" si="17"/>
        <v>39</v>
      </c>
      <c r="AC55" s="100">
        <f t="shared" si="18"/>
        <v>0.95081674813670403</v>
      </c>
      <c r="BD55" t="s">
        <v>59</v>
      </c>
      <c r="BE55" s="155">
        <v>1E-3</v>
      </c>
    </row>
    <row r="56" spans="4:57" x14ac:dyDescent="0.35">
      <c r="D56">
        <f t="shared" si="24"/>
        <v>52</v>
      </c>
      <c r="E56" s="101">
        <v>3</v>
      </c>
      <c r="F56" s="4">
        <v>7</v>
      </c>
      <c r="G56" s="4">
        <v>5</v>
      </c>
      <c r="H56" s="4">
        <v>5</v>
      </c>
      <c r="I56" s="4">
        <v>5</v>
      </c>
      <c r="J56" s="4">
        <v>5</v>
      </c>
      <c r="K56" s="102">
        <v>5</v>
      </c>
      <c r="M56" s="101">
        <f t="shared" si="4"/>
        <v>23</v>
      </c>
      <c r="N56" s="4">
        <f t="shared" si="5"/>
        <v>29</v>
      </c>
      <c r="O56" s="4">
        <f t="shared" si="6"/>
        <v>30</v>
      </c>
      <c r="P56" s="4">
        <f t="shared" si="7"/>
        <v>30</v>
      </c>
      <c r="Q56" s="4">
        <f t="shared" si="8"/>
        <v>30</v>
      </c>
      <c r="R56" s="4">
        <f t="shared" si="9"/>
        <v>30</v>
      </c>
      <c r="S56" s="102">
        <f t="shared" si="10"/>
        <v>30</v>
      </c>
      <c r="U56" s="101">
        <f t="shared" si="11"/>
        <v>39</v>
      </c>
      <c r="V56" s="4">
        <f t="shared" si="12"/>
        <v>41</v>
      </c>
      <c r="W56" s="4">
        <f t="shared" si="13"/>
        <v>39</v>
      </c>
      <c r="X56" s="4">
        <f t="shared" si="14"/>
        <v>39</v>
      </c>
      <c r="Y56" s="4">
        <f t="shared" si="15"/>
        <v>39</v>
      </c>
      <c r="Z56" s="4">
        <f t="shared" si="16"/>
        <v>39</v>
      </c>
      <c r="AA56" s="102">
        <f t="shared" si="17"/>
        <v>39</v>
      </c>
      <c r="AC56" s="100">
        <f t="shared" si="18"/>
        <v>2.4140227479263414E-2</v>
      </c>
    </row>
    <row r="57" spans="4:57" x14ac:dyDescent="0.35">
      <c r="D57">
        <f t="shared" si="24"/>
        <v>53</v>
      </c>
      <c r="E57" s="101">
        <v>4</v>
      </c>
      <c r="F57" s="4">
        <v>7</v>
      </c>
      <c r="G57" s="4">
        <v>5</v>
      </c>
      <c r="H57" s="4">
        <v>6</v>
      </c>
      <c r="I57" s="4">
        <v>5</v>
      </c>
      <c r="J57" s="4">
        <v>2</v>
      </c>
      <c r="K57" s="102">
        <v>1</v>
      </c>
      <c r="M57" s="101">
        <f t="shared" si="4"/>
        <v>12</v>
      </c>
      <c r="N57" s="4">
        <f t="shared" si="5"/>
        <v>29</v>
      </c>
      <c r="O57" s="4">
        <f t="shared" si="6"/>
        <v>30</v>
      </c>
      <c r="P57" s="4">
        <f t="shared" si="7"/>
        <v>45</v>
      </c>
      <c r="Q57" s="4">
        <f t="shared" si="8"/>
        <v>30</v>
      </c>
      <c r="R57" s="4">
        <f t="shared" si="9"/>
        <v>56</v>
      </c>
      <c r="S57" s="102">
        <f t="shared" si="10"/>
        <v>34</v>
      </c>
      <c r="U57" s="101">
        <f t="shared" si="11"/>
        <v>9</v>
      </c>
      <c r="V57" s="4">
        <f t="shared" si="12"/>
        <v>41</v>
      </c>
      <c r="W57" s="4">
        <f t="shared" si="13"/>
        <v>39</v>
      </c>
      <c r="X57" s="4">
        <f t="shared" si="14"/>
        <v>71</v>
      </c>
      <c r="Y57" s="4">
        <f t="shared" si="15"/>
        <v>39</v>
      </c>
      <c r="Z57" s="4">
        <f t="shared" si="16"/>
        <v>78</v>
      </c>
      <c r="AA57" s="102">
        <f t="shared" si="17"/>
        <v>46</v>
      </c>
      <c r="AC57" s="100">
        <f t="shared" si="18"/>
        <v>0.9881609722049397</v>
      </c>
    </row>
    <row r="58" spans="4:57" x14ac:dyDescent="0.35">
      <c r="D58">
        <f t="shared" si="24"/>
        <v>54</v>
      </c>
      <c r="E58" s="101">
        <v>5</v>
      </c>
      <c r="F58" s="4">
        <v>6</v>
      </c>
      <c r="G58" s="4">
        <v>2</v>
      </c>
      <c r="H58" s="4">
        <v>5</v>
      </c>
      <c r="I58" s="4">
        <v>7</v>
      </c>
      <c r="J58" s="4">
        <v>3</v>
      </c>
      <c r="K58" s="102">
        <v>1</v>
      </c>
      <c r="M58" s="101">
        <f t="shared" si="4"/>
        <v>30</v>
      </c>
      <c r="N58" s="4">
        <f t="shared" si="5"/>
        <v>45</v>
      </c>
      <c r="O58" s="4">
        <f t="shared" si="6"/>
        <v>56</v>
      </c>
      <c r="P58" s="4">
        <f t="shared" si="7"/>
        <v>30</v>
      </c>
      <c r="Q58" s="4">
        <f t="shared" si="8"/>
        <v>29</v>
      </c>
      <c r="R58" s="4">
        <f t="shared" si="9"/>
        <v>23</v>
      </c>
      <c r="S58" s="102">
        <f t="shared" si="10"/>
        <v>34</v>
      </c>
      <c r="U58" s="101">
        <f t="shared" si="11"/>
        <v>39</v>
      </c>
      <c r="V58" s="4">
        <f t="shared" si="12"/>
        <v>71</v>
      </c>
      <c r="W58" s="4">
        <f t="shared" si="13"/>
        <v>78</v>
      </c>
      <c r="X58" s="4">
        <f t="shared" si="14"/>
        <v>39</v>
      </c>
      <c r="Y58" s="4">
        <f t="shared" si="15"/>
        <v>41</v>
      </c>
      <c r="Z58" s="4">
        <f t="shared" si="16"/>
        <v>39</v>
      </c>
      <c r="AA58" s="102">
        <f t="shared" si="17"/>
        <v>46</v>
      </c>
      <c r="AC58" s="100">
        <f t="shared" si="18"/>
        <v>0.96267816560012387</v>
      </c>
    </row>
    <row r="59" spans="4:57" x14ac:dyDescent="0.35">
      <c r="D59">
        <f t="shared" si="24"/>
        <v>55</v>
      </c>
      <c r="E59" s="101">
        <v>7</v>
      </c>
      <c r="F59" s="4">
        <v>5</v>
      </c>
      <c r="G59" s="4">
        <v>1</v>
      </c>
      <c r="H59" s="4">
        <v>6</v>
      </c>
      <c r="I59" s="4">
        <v>7</v>
      </c>
      <c r="J59" s="4">
        <v>7</v>
      </c>
      <c r="K59" s="102">
        <v>5</v>
      </c>
      <c r="M59" s="101">
        <f t="shared" si="4"/>
        <v>29</v>
      </c>
      <c r="N59" s="4">
        <f t="shared" si="5"/>
        <v>30</v>
      </c>
      <c r="O59" s="4">
        <f t="shared" si="6"/>
        <v>34</v>
      </c>
      <c r="P59" s="4">
        <f t="shared" si="7"/>
        <v>45</v>
      </c>
      <c r="Q59" s="4">
        <f t="shared" si="8"/>
        <v>29</v>
      </c>
      <c r="R59" s="4">
        <f t="shared" si="9"/>
        <v>29</v>
      </c>
      <c r="S59" s="102">
        <f t="shared" si="10"/>
        <v>30</v>
      </c>
      <c r="U59" s="101">
        <f t="shared" si="11"/>
        <v>41</v>
      </c>
      <c r="V59" s="4">
        <f t="shared" si="12"/>
        <v>39</v>
      </c>
      <c r="W59" s="4">
        <f t="shared" si="13"/>
        <v>46</v>
      </c>
      <c r="X59" s="4">
        <f t="shared" si="14"/>
        <v>71</v>
      </c>
      <c r="Y59" s="4">
        <f t="shared" si="15"/>
        <v>41</v>
      </c>
      <c r="Z59" s="4">
        <f t="shared" si="16"/>
        <v>41</v>
      </c>
      <c r="AA59" s="102">
        <f t="shared" si="17"/>
        <v>39</v>
      </c>
      <c r="AC59" s="100">
        <f t="shared" si="18"/>
        <v>0.9824613992200969</v>
      </c>
    </row>
    <row r="60" spans="4:57" x14ac:dyDescent="0.35">
      <c r="D60">
        <f t="shared" si="24"/>
        <v>56</v>
      </c>
      <c r="E60" s="101">
        <v>5</v>
      </c>
      <c r="F60" s="4">
        <v>5</v>
      </c>
      <c r="G60" s="4">
        <v>1</v>
      </c>
      <c r="H60" s="4">
        <v>6</v>
      </c>
      <c r="I60" s="4">
        <v>6</v>
      </c>
      <c r="J60" s="4">
        <v>3</v>
      </c>
      <c r="K60" s="102">
        <v>7</v>
      </c>
      <c r="M60" s="101">
        <f t="shared" si="4"/>
        <v>30</v>
      </c>
      <c r="N60" s="4">
        <f t="shared" si="5"/>
        <v>30</v>
      </c>
      <c r="O60" s="4">
        <f t="shared" si="6"/>
        <v>34</v>
      </c>
      <c r="P60" s="4">
        <f t="shared" si="7"/>
        <v>45</v>
      </c>
      <c r="Q60" s="4">
        <f t="shared" si="8"/>
        <v>45</v>
      </c>
      <c r="R60" s="4">
        <f t="shared" si="9"/>
        <v>23</v>
      </c>
      <c r="S60" s="102">
        <f t="shared" si="10"/>
        <v>29</v>
      </c>
      <c r="U60" s="101">
        <f t="shared" si="11"/>
        <v>39</v>
      </c>
      <c r="V60" s="4">
        <f t="shared" si="12"/>
        <v>39</v>
      </c>
      <c r="W60" s="4">
        <f t="shared" si="13"/>
        <v>46</v>
      </c>
      <c r="X60" s="4">
        <f t="shared" si="14"/>
        <v>71</v>
      </c>
      <c r="Y60" s="4">
        <f t="shared" si="15"/>
        <v>71</v>
      </c>
      <c r="Z60" s="4">
        <f t="shared" si="16"/>
        <v>39</v>
      </c>
      <c r="AA60" s="102">
        <f t="shared" si="17"/>
        <v>41</v>
      </c>
      <c r="AC60" s="100">
        <f t="shared" si="18"/>
        <v>0.95363934593372013</v>
      </c>
    </row>
    <row r="61" spans="4:57" x14ac:dyDescent="0.35">
      <c r="D61">
        <f t="shared" si="24"/>
        <v>57</v>
      </c>
      <c r="E61" s="101">
        <v>7</v>
      </c>
      <c r="F61" s="4">
        <v>4</v>
      </c>
      <c r="G61" s="4">
        <v>7</v>
      </c>
      <c r="H61" s="4">
        <v>4</v>
      </c>
      <c r="I61" s="4">
        <v>7</v>
      </c>
      <c r="J61" s="4">
        <v>1</v>
      </c>
      <c r="K61" s="102">
        <v>2</v>
      </c>
      <c r="M61" s="101">
        <f t="shared" si="4"/>
        <v>29</v>
      </c>
      <c r="N61" s="4">
        <f t="shared" si="5"/>
        <v>12</v>
      </c>
      <c r="O61" s="4">
        <f t="shared" si="6"/>
        <v>29</v>
      </c>
      <c r="P61" s="4">
        <f t="shared" si="7"/>
        <v>12</v>
      </c>
      <c r="Q61" s="4">
        <f t="shared" si="8"/>
        <v>29</v>
      </c>
      <c r="R61" s="4">
        <f t="shared" si="9"/>
        <v>34</v>
      </c>
      <c r="S61" s="102">
        <f t="shared" si="10"/>
        <v>56</v>
      </c>
      <c r="U61" s="101">
        <f t="shared" si="11"/>
        <v>41</v>
      </c>
      <c r="V61" s="4">
        <f t="shared" si="12"/>
        <v>9</v>
      </c>
      <c r="W61" s="4">
        <f t="shared" si="13"/>
        <v>41</v>
      </c>
      <c r="X61" s="4">
        <f t="shared" si="14"/>
        <v>9</v>
      </c>
      <c r="Y61" s="4">
        <f t="shared" si="15"/>
        <v>41</v>
      </c>
      <c r="Z61" s="4">
        <f t="shared" si="16"/>
        <v>46</v>
      </c>
      <c r="AA61" s="102">
        <f t="shared" si="17"/>
        <v>78</v>
      </c>
      <c r="AC61" s="100">
        <f t="shared" si="18"/>
        <v>0.99366852565568331</v>
      </c>
    </row>
    <row r="62" spans="4:57" x14ac:dyDescent="0.35">
      <c r="D62">
        <f t="shared" si="24"/>
        <v>58</v>
      </c>
      <c r="E62" s="101">
        <v>7</v>
      </c>
      <c r="F62" s="4">
        <v>6</v>
      </c>
      <c r="G62" s="4">
        <v>4</v>
      </c>
      <c r="H62" s="4">
        <v>1</v>
      </c>
      <c r="I62" s="4">
        <v>6</v>
      </c>
      <c r="J62" s="4">
        <v>6</v>
      </c>
      <c r="K62" s="102">
        <v>2</v>
      </c>
      <c r="M62" s="101">
        <f t="shared" si="4"/>
        <v>29</v>
      </c>
      <c r="N62" s="4">
        <f t="shared" si="5"/>
        <v>45</v>
      </c>
      <c r="O62" s="4">
        <f t="shared" si="6"/>
        <v>12</v>
      </c>
      <c r="P62" s="4">
        <f t="shared" si="7"/>
        <v>34</v>
      </c>
      <c r="Q62" s="4">
        <f t="shared" si="8"/>
        <v>45</v>
      </c>
      <c r="R62" s="4">
        <f t="shared" si="9"/>
        <v>45</v>
      </c>
      <c r="S62" s="102">
        <f t="shared" si="10"/>
        <v>56</v>
      </c>
      <c r="U62" s="101">
        <f t="shared" si="11"/>
        <v>41</v>
      </c>
      <c r="V62" s="4">
        <f t="shared" si="12"/>
        <v>71</v>
      </c>
      <c r="W62" s="4">
        <f t="shared" si="13"/>
        <v>9</v>
      </c>
      <c r="X62" s="4">
        <f t="shared" si="14"/>
        <v>46</v>
      </c>
      <c r="Y62" s="4">
        <f t="shared" si="15"/>
        <v>71</v>
      </c>
      <c r="Z62" s="4">
        <f t="shared" si="16"/>
        <v>71</v>
      </c>
      <c r="AA62" s="102">
        <f t="shared" si="17"/>
        <v>78</v>
      </c>
      <c r="AC62" s="100">
        <f t="shared" si="18"/>
        <v>0.98396774674628285</v>
      </c>
    </row>
    <row r="63" spans="4:57" x14ac:dyDescent="0.35">
      <c r="D63">
        <f t="shared" si="24"/>
        <v>59</v>
      </c>
      <c r="E63" s="101">
        <v>3</v>
      </c>
      <c r="F63" s="4">
        <v>2</v>
      </c>
      <c r="G63" s="4">
        <v>7</v>
      </c>
      <c r="H63" s="4">
        <v>6</v>
      </c>
      <c r="I63" s="4">
        <v>3</v>
      </c>
      <c r="J63" s="4">
        <v>6</v>
      </c>
      <c r="K63" s="102">
        <v>1</v>
      </c>
      <c r="M63" s="101">
        <f t="shared" si="4"/>
        <v>23</v>
      </c>
      <c r="N63" s="4">
        <f t="shared" si="5"/>
        <v>56</v>
      </c>
      <c r="O63" s="4">
        <f t="shared" si="6"/>
        <v>29</v>
      </c>
      <c r="P63" s="4">
        <f t="shared" si="7"/>
        <v>45</v>
      </c>
      <c r="Q63" s="4">
        <f t="shared" si="8"/>
        <v>23</v>
      </c>
      <c r="R63" s="4">
        <f t="shared" si="9"/>
        <v>45</v>
      </c>
      <c r="S63" s="102">
        <f t="shared" si="10"/>
        <v>34</v>
      </c>
      <c r="U63" s="101">
        <f t="shared" si="11"/>
        <v>39</v>
      </c>
      <c r="V63" s="4">
        <f t="shared" si="12"/>
        <v>78</v>
      </c>
      <c r="W63" s="4">
        <f t="shared" si="13"/>
        <v>41</v>
      </c>
      <c r="X63" s="4">
        <f t="shared" si="14"/>
        <v>71</v>
      </c>
      <c r="Y63" s="4">
        <f t="shared" si="15"/>
        <v>39</v>
      </c>
      <c r="Z63" s="4">
        <f t="shared" si="16"/>
        <v>71</v>
      </c>
      <c r="AA63" s="102">
        <f t="shared" si="17"/>
        <v>46</v>
      </c>
      <c r="AC63" s="100">
        <f t="shared" si="18"/>
        <v>0.96990931567179539</v>
      </c>
    </row>
    <row r="64" spans="4:57" x14ac:dyDescent="0.35">
      <c r="D64">
        <f t="shared" si="24"/>
        <v>60</v>
      </c>
      <c r="E64" s="101">
        <v>5</v>
      </c>
      <c r="F64" s="4">
        <v>4</v>
      </c>
      <c r="G64" s="4">
        <v>6</v>
      </c>
      <c r="H64" s="4">
        <v>1</v>
      </c>
      <c r="I64" s="4">
        <v>6</v>
      </c>
      <c r="J64" s="4">
        <v>4</v>
      </c>
      <c r="K64" s="102">
        <v>5</v>
      </c>
      <c r="M64" s="101">
        <f t="shared" si="4"/>
        <v>30</v>
      </c>
      <c r="N64" s="4">
        <f t="shared" si="5"/>
        <v>12</v>
      </c>
      <c r="O64" s="4">
        <f t="shared" si="6"/>
        <v>45</v>
      </c>
      <c r="P64" s="4">
        <f t="shared" si="7"/>
        <v>34</v>
      </c>
      <c r="Q64" s="4">
        <f t="shared" si="8"/>
        <v>45</v>
      </c>
      <c r="R64" s="4">
        <f t="shared" si="9"/>
        <v>12</v>
      </c>
      <c r="S64" s="102">
        <f t="shared" si="10"/>
        <v>30</v>
      </c>
      <c r="U64" s="101">
        <f t="shared" si="11"/>
        <v>39</v>
      </c>
      <c r="V64" s="4">
        <f t="shared" si="12"/>
        <v>9</v>
      </c>
      <c r="W64" s="4">
        <f t="shared" si="13"/>
        <v>71</v>
      </c>
      <c r="X64" s="4">
        <f t="shared" si="14"/>
        <v>46</v>
      </c>
      <c r="Y64" s="4">
        <f t="shared" si="15"/>
        <v>71</v>
      </c>
      <c r="Z64" s="4">
        <f t="shared" si="16"/>
        <v>9</v>
      </c>
      <c r="AA64" s="102">
        <f t="shared" si="17"/>
        <v>39</v>
      </c>
      <c r="AC64" s="100">
        <f t="shared" si="18"/>
        <v>0.99650389992140487</v>
      </c>
    </row>
    <row r="65" spans="4:29" x14ac:dyDescent="0.35">
      <c r="D65">
        <f t="shared" si="24"/>
        <v>61</v>
      </c>
      <c r="E65" s="101">
        <v>7</v>
      </c>
      <c r="F65" s="4">
        <v>1</v>
      </c>
      <c r="G65" s="4">
        <v>2</v>
      </c>
      <c r="H65" s="4">
        <v>5</v>
      </c>
      <c r="I65" s="4">
        <v>1</v>
      </c>
      <c r="J65" s="4">
        <v>7</v>
      </c>
      <c r="K65" s="102">
        <v>2</v>
      </c>
      <c r="M65" s="101">
        <f t="shared" si="4"/>
        <v>29</v>
      </c>
      <c r="N65" s="4">
        <f t="shared" si="5"/>
        <v>34</v>
      </c>
      <c r="O65" s="4">
        <f t="shared" si="6"/>
        <v>56</v>
      </c>
      <c r="P65" s="4">
        <f t="shared" si="7"/>
        <v>30</v>
      </c>
      <c r="Q65" s="4">
        <f t="shared" si="8"/>
        <v>34</v>
      </c>
      <c r="R65" s="4">
        <f t="shared" si="9"/>
        <v>29</v>
      </c>
      <c r="S65" s="102">
        <f t="shared" si="10"/>
        <v>56</v>
      </c>
      <c r="U65" s="101">
        <f t="shared" si="11"/>
        <v>41</v>
      </c>
      <c r="V65" s="4">
        <f t="shared" si="12"/>
        <v>46</v>
      </c>
      <c r="W65" s="4">
        <f t="shared" si="13"/>
        <v>78</v>
      </c>
      <c r="X65" s="4">
        <f t="shared" si="14"/>
        <v>39</v>
      </c>
      <c r="Y65" s="4">
        <f t="shared" si="15"/>
        <v>46</v>
      </c>
      <c r="Z65" s="4">
        <f t="shared" si="16"/>
        <v>41</v>
      </c>
      <c r="AA65" s="102">
        <f t="shared" si="17"/>
        <v>78</v>
      </c>
      <c r="AC65" s="100">
        <f t="shared" si="18"/>
        <v>0.99755343450250533</v>
      </c>
    </row>
    <row r="66" spans="4:29" x14ac:dyDescent="0.35">
      <c r="D66">
        <f t="shared" si="24"/>
        <v>62</v>
      </c>
      <c r="E66" s="101">
        <v>1</v>
      </c>
      <c r="F66" s="4">
        <v>7</v>
      </c>
      <c r="G66" s="4">
        <v>3</v>
      </c>
      <c r="H66" s="4">
        <v>3</v>
      </c>
      <c r="I66" s="4">
        <v>6</v>
      </c>
      <c r="J66" s="4">
        <v>7</v>
      </c>
      <c r="K66" s="102">
        <v>4</v>
      </c>
      <c r="M66" s="101">
        <f t="shared" si="4"/>
        <v>34</v>
      </c>
      <c r="N66" s="4">
        <f t="shared" si="5"/>
        <v>29</v>
      </c>
      <c r="O66" s="4">
        <f t="shared" si="6"/>
        <v>23</v>
      </c>
      <c r="P66" s="4">
        <f t="shared" si="7"/>
        <v>23</v>
      </c>
      <c r="Q66" s="4">
        <f t="shared" si="8"/>
        <v>45</v>
      </c>
      <c r="R66" s="4">
        <f t="shared" si="9"/>
        <v>29</v>
      </c>
      <c r="S66" s="102">
        <f t="shared" si="10"/>
        <v>12</v>
      </c>
      <c r="U66" s="101">
        <f t="shared" si="11"/>
        <v>46</v>
      </c>
      <c r="V66" s="4">
        <f t="shared" si="12"/>
        <v>41</v>
      </c>
      <c r="W66" s="4">
        <f t="shared" si="13"/>
        <v>39</v>
      </c>
      <c r="X66" s="4">
        <f t="shared" si="14"/>
        <v>39</v>
      </c>
      <c r="Y66" s="4">
        <f t="shared" si="15"/>
        <v>71</v>
      </c>
      <c r="Z66" s="4">
        <f t="shared" si="16"/>
        <v>41</v>
      </c>
      <c r="AA66" s="102">
        <f t="shared" si="17"/>
        <v>9</v>
      </c>
      <c r="AC66" s="100">
        <f t="shared" si="18"/>
        <v>0.96317344934838256</v>
      </c>
    </row>
    <row r="67" spans="4:29" x14ac:dyDescent="0.35">
      <c r="D67">
        <f t="shared" si="24"/>
        <v>63</v>
      </c>
      <c r="E67" s="101">
        <v>6</v>
      </c>
      <c r="F67" s="4">
        <v>5</v>
      </c>
      <c r="G67" s="4">
        <v>4</v>
      </c>
      <c r="H67" s="4">
        <v>4</v>
      </c>
      <c r="I67" s="4">
        <v>7</v>
      </c>
      <c r="J67" s="4">
        <v>6</v>
      </c>
      <c r="K67" s="102">
        <v>3</v>
      </c>
      <c r="M67" s="101">
        <f t="shared" si="4"/>
        <v>45</v>
      </c>
      <c r="N67" s="4">
        <f t="shared" si="5"/>
        <v>30</v>
      </c>
      <c r="O67" s="4">
        <f t="shared" si="6"/>
        <v>12</v>
      </c>
      <c r="P67" s="4">
        <f t="shared" si="7"/>
        <v>12</v>
      </c>
      <c r="Q67" s="4">
        <f t="shared" si="8"/>
        <v>29</v>
      </c>
      <c r="R67" s="4">
        <f t="shared" si="9"/>
        <v>45</v>
      </c>
      <c r="S67" s="102">
        <f t="shared" si="10"/>
        <v>23</v>
      </c>
      <c r="U67" s="101">
        <f t="shared" si="11"/>
        <v>71</v>
      </c>
      <c r="V67" s="4">
        <f t="shared" si="12"/>
        <v>39</v>
      </c>
      <c r="W67" s="4">
        <f t="shared" si="13"/>
        <v>9</v>
      </c>
      <c r="X67" s="4">
        <f t="shared" si="14"/>
        <v>9</v>
      </c>
      <c r="Y67" s="4">
        <f t="shared" si="15"/>
        <v>41</v>
      </c>
      <c r="Z67" s="4">
        <f t="shared" si="16"/>
        <v>71</v>
      </c>
      <c r="AA67" s="102">
        <f t="shared" si="17"/>
        <v>39</v>
      </c>
      <c r="AC67" s="100">
        <f t="shared" si="18"/>
        <v>0.98762442148844221</v>
      </c>
    </row>
    <row r="68" spans="4:29" x14ac:dyDescent="0.35">
      <c r="D68">
        <f t="shared" si="24"/>
        <v>64</v>
      </c>
      <c r="E68" s="101">
        <v>7</v>
      </c>
      <c r="F68" s="4">
        <v>2</v>
      </c>
      <c r="G68" s="4">
        <v>2</v>
      </c>
      <c r="H68" s="4">
        <v>2</v>
      </c>
      <c r="I68" s="4">
        <v>3</v>
      </c>
      <c r="J68" s="4">
        <v>1</v>
      </c>
      <c r="K68" s="102">
        <v>1</v>
      </c>
      <c r="M68" s="101">
        <f t="shared" si="4"/>
        <v>29</v>
      </c>
      <c r="N68" s="4">
        <f t="shared" si="5"/>
        <v>56</v>
      </c>
      <c r="O68" s="4">
        <f t="shared" si="6"/>
        <v>56</v>
      </c>
      <c r="P68" s="4">
        <f t="shared" si="7"/>
        <v>56</v>
      </c>
      <c r="Q68" s="4">
        <f t="shared" si="8"/>
        <v>23</v>
      </c>
      <c r="R68" s="4">
        <f t="shared" si="9"/>
        <v>34</v>
      </c>
      <c r="S68" s="102">
        <f t="shared" si="10"/>
        <v>34</v>
      </c>
      <c r="U68" s="101">
        <f t="shared" si="11"/>
        <v>41</v>
      </c>
      <c r="V68" s="4">
        <f t="shared" si="12"/>
        <v>78</v>
      </c>
      <c r="W68" s="4">
        <f t="shared" si="13"/>
        <v>78</v>
      </c>
      <c r="X68" s="4">
        <f t="shared" si="14"/>
        <v>78</v>
      </c>
      <c r="Y68" s="4">
        <f t="shared" si="15"/>
        <v>39</v>
      </c>
      <c r="Z68" s="4">
        <f t="shared" si="16"/>
        <v>46</v>
      </c>
      <c r="AA68" s="102">
        <f t="shared" si="17"/>
        <v>46</v>
      </c>
      <c r="AC68" s="100">
        <f t="shared" si="18"/>
        <v>0.99092044142248892</v>
      </c>
    </row>
    <row r="69" spans="4:29" x14ac:dyDescent="0.35">
      <c r="D69">
        <f t="shared" si="24"/>
        <v>65</v>
      </c>
      <c r="E69" s="101">
        <v>7</v>
      </c>
      <c r="F69" s="4">
        <v>5</v>
      </c>
      <c r="G69" s="4">
        <v>4</v>
      </c>
      <c r="H69" s="4">
        <v>5</v>
      </c>
      <c r="I69" s="4">
        <v>7</v>
      </c>
      <c r="J69" s="4">
        <v>5</v>
      </c>
      <c r="K69" s="102">
        <v>2</v>
      </c>
      <c r="M69" s="101">
        <f t="shared" si="4"/>
        <v>29</v>
      </c>
      <c r="N69" s="4">
        <f t="shared" si="5"/>
        <v>30</v>
      </c>
      <c r="O69" s="4">
        <f t="shared" si="6"/>
        <v>12</v>
      </c>
      <c r="P69" s="4">
        <f t="shared" si="7"/>
        <v>30</v>
      </c>
      <c r="Q69" s="4">
        <f t="shared" si="8"/>
        <v>29</v>
      </c>
      <c r="R69" s="4">
        <f t="shared" si="9"/>
        <v>30</v>
      </c>
      <c r="S69" s="102">
        <f t="shared" si="10"/>
        <v>56</v>
      </c>
      <c r="U69" s="101">
        <f t="shared" si="11"/>
        <v>41</v>
      </c>
      <c r="V69" s="4">
        <f t="shared" si="12"/>
        <v>39</v>
      </c>
      <c r="W69" s="4">
        <f t="shared" si="13"/>
        <v>9</v>
      </c>
      <c r="X69" s="4">
        <f t="shared" si="14"/>
        <v>39</v>
      </c>
      <c r="Y69" s="4">
        <f t="shared" si="15"/>
        <v>41</v>
      </c>
      <c r="Z69" s="4">
        <f t="shared" si="16"/>
        <v>39</v>
      </c>
      <c r="AA69" s="102">
        <f t="shared" si="17"/>
        <v>78</v>
      </c>
      <c r="AC69" s="100">
        <f t="shared" si="18"/>
        <v>0.99388743636895227</v>
      </c>
    </row>
    <row r="70" spans="4:29" x14ac:dyDescent="0.35">
      <c r="D70">
        <f t="shared" si="24"/>
        <v>66</v>
      </c>
      <c r="E70" s="101">
        <v>6</v>
      </c>
      <c r="F70" s="4">
        <v>5</v>
      </c>
      <c r="G70" s="4">
        <v>7</v>
      </c>
      <c r="H70" s="4">
        <v>7</v>
      </c>
      <c r="I70" s="4">
        <v>3</v>
      </c>
      <c r="J70" s="4">
        <v>5</v>
      </c>
      <c r="K70" s="102">
        <v>7</v>
      </c>
      <c r="M70" s="101">
        <f t="shared" ref="M70:M133" si="33">INDEX($A$5:$A$11,E70)</f>
        <v>45</v>
      </c>
      <c r="N70" s="4">
        <f t="shared" ref="N70:N133" si="34">INDEX($A$5:$A$11,F70)</f>
        <v>30</v>
      </c>
      <c r="O70" s="4">
        <f t="shared" ref="O70:O133" si="35">INDEX($A$5:$A$11,G70)</f>
        <v>29</v>
      </c>
      <c r="P70" s="4">
        <f t="shared" ref="P70:P133" si="36">INDEX($A$5:$A$11,H70)</f>
        <v>29</v>
      </c>
      <c r="Q70" s="4">
        <f t="shared" ref="Q70:Q133" si="37">INDEX($A$5:$A$11,I70)</f>
        <v>23</v>
      </c>
      <c r="R70" s="4">
        <f t="shared" ref="R70:R133" si="38">INDEX($A$5:$A$11,J70)</f>
        <v>30</v>
      </c>
      <c r="S70" s="102">
        <f t="shared" ref="S70:S133" si="39">INDEX($A$5:$A$11,K70)</f>
        <v>29</v>
      </c>
      <c r="U70" s="101">
        <f t="shared" ref="U70:U133" si="40">INDEX($B$5:$B$11,E70)</f>
        <v>71</v>
      </c>
      <c r="V70" s="4">
        <f t="shared" ref="V70:V133" si="41">INDEX($B$5:$B$11,F70)</f>
        <v>39</v>
      </c>
      <c r="W70" s="4">
        <f t="shared" ref="W70:W133" si="42">INDEX($B$5:$B$11,G70)</f>
        <v>41</v>
      </c>
      <c r="X70" s="4">
        <f t="shared" ref="X70:X133" si="43">INDEX($B$5:$B$11,H70)</f>
        <v>41</v>
      </c>
      <c r="Y70" s="4">
        <f t="shared" ref="Y70:Y133" si="44">INDEX($B$5:$B$11,I70)</f>
        <v>39</v>
      </c>
      <c r="Z70" s="4">
        <f t="shared" ref="Z70:Z133" si="45">INDEX($B$5:$B$11,J70)</f>
        <v>39</v>
      </c>
      <c r="AA70" s="102">
        <f t="shared" ref="AA70:AA133" si="46">INDEX($B$5:$B$11,K70)</f>
        <v>41</v>
      </c>
      <c r="AC70" s="100">
        <f t="shared" ref="AC70:AC133" si="47">CORREL(M70:S70,U70:AA70)</f>
        <v>0.93817201437507369</v>
      </c>
    </row>
    <row r="71" spans="4:29" x14ac:dyDescent="0.35">
      <c r="D71">
        <f t="shared" ref="D71:D134" si="48">D70+1</f>
        <v>67</v>
      </c>
      <c r="E71" s="101">
        <v>5</v>
      </c>
      <c r="F71" s="4">
        <v>4</v>
      </c>
      <c r="G71" s="4">
        <v>7</v>
      </c>
      <c r="H71" s="4">
        <v>3</v>
      </c>
      <c r="I71" s="4">
        <v>3</v>
      </c>
      <c r="J71" s="4">
        <v>2</v>
      </c>
      <c r="K71" s="102">
        <v>4</v>
      </c>
      <c r="M71" s="101">
        <f t="shared" si="33"/>
        <v>30</v>
      </c>
      <c r="N71" s="4">
        <f t="shared" si="34"/>
        <v>12</v>
      </c>
      <c r="O71" s="4">
        <f t="shared" si="35"/>
        <v>29</v>
      </c>
      <c r="P71" s="4">
        <f t="shared" si="36"/>
        <v>23</v>
      </c>
      <c r="Q71" s="4">
        <f t="shared" si="37"/>
        <v>23</v>
      </c>
      <c r="R71" s="4">
        <f t="shared" si="38"/>
        <v>56</v>
      </c>
      <c r="S71" s="102">
        <f t="shared" si="39"/>
        <v>12</v>
      </c>
      <c r="U71" s="101">
        <f t="shared" si="40"/>
        <v>39</v>
      </c>
      <c r="V71" s="4">
        <f t="shared" si="41"/>
        <v>9</v>
      </c>
      <c r="W71" s="4">
        <f t="shared" si="42"/>
        <v>41</v>
      </c>
      <c r="X71" s="4">
        <f t="shared" si="43"/>
        <v>39</v>
      </c>
      <c r="Y71" s="4">
        <f t="shared" si="44"/>
        <v>39</v>
      </c>
      <c r="Z71" s="4">
        <f t="shared" si="45"/>
        <v>78</v>
      </c>
      <c r="AA71" s="102">
        <f t="shared" si="46"/>
        <v>9</v>
      </c>
      <c r="AC71" s="100">
        <f t="shared" si="47"/>
        <v>0.96874243570870699</v>
      </c>
    </row>
    <row r="72" spans="4:29" x14ac:dyDescent="0.35">
      <c r="D72">
        <f t="shared" si="48"/>
        <v>68</v>
      </c>
      <c r="E72" s="101">
        <v>7</v>
      </c>
      <c r="F72" s="4">
        <v>5</v>
      </c>
      <c r="G72" s="4">
        <v>2</v>
      </c>
      <c r="H72" s="4">
        <v>2</v>
      </c>
      <c r="I72" s="4">
        <v>1</v>
      </c>
      <c r="J72" s="4">
        <v>5</v>
      </c>
      <c r="K72" s="102">
        <v>3</v>
      </c>
      <c r="M72" s="101">
        <f t="shared" si="33"/>
        <v>29</v>
      </c>
      <c r="N72" s="4">
        <f t="shared" si="34"/>
        <v>30</v>
      </c>
      <c r="O72" s="4">
        <f t="shared" si="35"/>
        <v>56</v>
      </c>
      <c r="P72" s="4">
        <f t="shared" si="36"/>
        <v>56</v>
      </c>
      <c r="Q72" s="4">
        <f t="shared" si="37"/>
        <v>34</v>
      </c>
      <c r="R72" s="4">
        <f t="shared" si="38"/>
        <v>30</v>
      </c>
      <c r="S72" s="102">
        <f t="shared" si="39"/>
        <v>23</v>
      </c>
      <c r="U72" s="101">
        <f t="shared" si="40"/>
        <v>41</v>
      </c>
      <c r="V72" s="4">
        <f t="shared" si="41"/>
        <v>39</v>
      </c>
      <c r="W72" s="4">
        <f t="shared" si="42"/>
        <v>78</v>
      </c>
      <c r="X72" s="4">
        <f t="shared" si="43"/>
        <v>78</v>
      </c>
      <c r="Y72" s="4">
        <f t="shared" si="44"/>
        <v>46</v>
      </c>
      <c r="Z72" s="4">
        <f t="shared" si="45"/>
        <v>39</v>
      </c>
      <c r="AA72" s="102">
        <f t="shared" si="46"/>
        <v>39</v>
      </c>
      <c r="AC72" s="100">
        <f t="shared" si="47"/>
        <v>0.98424428431570321</v>
      </c>
    </row>
    <row r="73" spans="4:29" x14ac:dyDescent="0.35">
      <c r="D73">
        <f t="shared" si="48"/>
        <v>69</v>
      </c>
      <c r="E73" s="101">
        <v>6</v>
      </c>
      <c r="F73" s="4">
        <v>3</v>
      </c>
      <c r="G73" s="4">
        <v>1</v>
      </c>
      <c r="H73" s="4">
        <v>5</v>
      </c>
      <c r="I73" s="4">
        <v>2</v>
      </c>
      <c r="J73" s="4">
        <v>1</v>
      </c>
      <c r="K73" s="102">
        <v>5</v>
      </c>
      <c r="M73" s="101">
        <f t="shared" si="33"/>
        <v>45</v>
      </c>
      <c r="N73" s="4">
        <f t="shared" si="34"/>
        <v>23</v>
      </c>
      <c r="O73" s="4">
        <f t="shared" si="35"/>
        <v>34</v>
      </c>
      <c r="P73" s="4">
        <f t="shared" si="36"/>
        <v>30</v>
      </c>
      <c r="Q73" s="4">
        <f t="shared" si="37"/>
        <v>56</v>
      </c>
      <c r="R73" s="4">
        <f t="shared" si="38"/>
        <v>34</v>
      </c>
      <c r="S73" s="102">
        <f t="shared" si="39"/>
        <v>30</v>
      </c>
      <c r="U73" s="101">
        <f t="shared" si="40"/>
        <v>71</v>
      </c>
      <c r="V73" s="4">
        <f t="shared" si="41"/>
        <v>39</v>
      </c>
      <c r="W73" s="4">
        <f t="shared" si="42"/>
        <v>46</v>
      </c>
      <c r="X73" s="4">
        <f t="shared" si="43"/>
        <v>39</v>
      </c>
      <c r="Y73" s="4">
        <f t="shared" si="44"/>
        <v>78</v>
      </c>
      <c r="Z73" s="4">
        <f t="shared" si="45"/>
        <v>46</v>
      </c>
      <c r="AA73" s="102">
        <f t="shared" si="46"/>
        <v>39</v>
      </c>
      <c r="AC73" s="100">
        <f t="shared" si="47"/>
        <v>0.95905473895520654</v>
      </c>
    </row>
    <row r="74" spans="4:29" x14ac:dyDescent="0.35">
      <c r="D74">
        <f t="shared" si="48"/>
        <v>70</v>
      </c>
      <c r="E74" s="101">
        <v>5</v>
      </c>
      <c r="F74" s="4">
        <v>2</v>
      </c>
      <c r="G74" s="4">
        <v>1</v>
      </c>
      <c r="H74" s="4">
        <v>1</v>
      </c>
      <c r="I74" s="4">
        <v>1</v>
      </c>
      <c r="J74" s="4">
        <v>3</v>
      </c>
      <c r="K74" s="102">
        <v>4</v>
      </c>
      <c r="M74" s="101">
        <f t="shared" si="33"/>
        <v>30</v>
      </c>
      <c r="N74" s="4">
        <f t="shared" si="34"/>
        <v>56</v>
      </c>
      <c r="O74" s="4">
        <f t="shared" si="35"/>
        <v>34</v>
      </c>
      <c r="P74" s="4">
        <f t="shared" si="36"/>
        <v>34</v>
      </c>
      <c r="Q74" s="4">
        <f t="shared" si="37"/>
        <v>34</v>
      </c>
      <c r="R74" s="4">
        <f t="shared" si="38"/>
        <v>23</v>
      </c>
      <c r="S74" s="102">
        <f t="shared" si="39"/>
        <v>12</v>
      </c>
      <c r="U74" s="101">
        <f t="shared" si="40"/>
        <v>39</v>
      </c>
      <c r="V74" s="4">
        <f t="shared" si="41"/>
        <v>78</v>
      </c>
      <c r="W74" s="4">
        <f t="shared" si="42"/>
        <v>46</v>
      </c>
      <c r="X74" s="4">
        <f t="shared" si="43"/>
        <v>46</v>
      </c>
      <c r="Y74" s="4">
        <f t="shared" si="44"/>
        <v>46</v>
      </c>
      <c r="Z74" s="4">
        <f t="shared" si="45"/>
        <v>39</v>
      </c>
      <c r="AA74" s="102">
        <f t="shared" si="46"/>
        <v>9</v>
      </c>
      <c r="AC74" s="100">
        <f t="shared" si="47"/>
        <v>0.9780699264876469</v>
      </c>
    </row>
    <row r="75" spans="4:29" x14ac:dyDescent="0.35">
      <c r="D75">
        <f t="shared" si="48"/>
        <v>71</v>
      </c>
      <c r="E75" s="101">
        <v>4</v>
      </c>
      <c r="F75" s="4">
        <v>2</v>
      </c>
      <c r="G75" s="4">
        <v>1</v>
      </c>
      <c r="H75" s="4">
        <v>2</v>
      </c>
      <c r="I75" s="4">
        <v>2</v>
      </c>
      <c r="J75" s="4">
        <v>7</v>
      </c>
      <c r="K75" s="102">
        <v>7</v>
      </c>
      <c r="M75" s="101">
        <f t="shared" si="33"/>
        <v>12</v>
      </c>
      <c r="N75" s="4">
        <f t="shared" si="34"/>
        <v>56</v>
      </c>
      <c r="O75" s="4">
        <f t="shared" si="35"/>
        <v>34</v>
      </c>
      <c r="P75" s="4">
        <f t="shared" si="36"/>
        <v>56</v>
      </c>
      <c r="Q75" s="4">
        <f t="shared" si="37"/>
        <v>56</v>
      </c>
      <c r="R75" s="4">
        <f t="shared" si="38"/>
        <v>29</v>
      </c>
      <c r="S75" s="102">
        <f t="shared" si="39"/>
        <v>29</v>
      </c>
      <c r="U75" s="101">
        <f t="shared" si="40"/>
        <v>9</v>
      </c>
      <c r="V75" s="4">
        <f t="shared" si="41"/>
        <v>78</v>
      </c>
      <c r="W75" s="4">
        <f t="shared" si="42"/>
        <v>46</v>
      </c>
      <c r="X75" s="4">
        <f t="shared" si="43"/>
        <v>78</v>
      </c>
      <c r="Y75" s="4">
        <f t="shared" si="44"/>
        <v>78</v>
      </c>
      <c r="Z75" s="4">
        <f t="shared" si="45"/>
        <v>41</v>
      </c>
      <c r="AA75" s="102">
        <f t="shared" si="46"/>
        <v>41</v>
      </c>
      <c r="AC75" s="100">
        <f t="shared" si="47"/>
        <v>0.99626788946514422</v>
      </c>
    </row>
    <row r="76" spans="4:29" x14ac:dyDescent="0.35">
      <c r="D76">
        <f t="shared" si="48"/>
        <v>72</v>
      </c>
      <c r="E76" s="101">
        <v>1</v>
      </c>
      <c r="F76" s="4">
        <v>7</v>
      </c>
      <c r="G76" s="4">
        <v>6</v>
      </c>
      <c r="H76" s="4">
        <v>5</v>
      </c>
      <c r="I76" s="4">
        <v>5</v>
      </c>
      <c r="J76" s="4">
        <v>7</v>
      </c>
      <c r="K76" s="102">
        <v>5</v>
      </c>
      <c r="M76" s="101">
        <f t="shared" si="33"/>
        <v>34</v>
      </c>
      <c r="N76" s="4">
        <f t="shared" si="34"/>
        <v>29</v>
      </c>
      <c r="O76" s="4">
        <f t="shared" si="35"/>
        <v>45</v>
      </c>
      <c r="P76" s="4">
        <f t="shared" si="36"/>
        <v>30</v>
      </c>
      <c r="Q76" s="4">
        <f t="shared" si="37"/>
        <v>30</v>
      </c>
      <c r="R76" s="4">
        <f t="shared" si="38"/>
        <v>29</v>
      </c>
      <c r="S76" s="102">
        <f t="shared" si="39"/>
        <v>30</v>
      </c>
      <c r="U76" s="101">
        <f t="shared" si="40"/>
        <v>46</v>
      </c>
      <c r="V76" s="4">
        <f t="shared" si="41"/>
        <v>41</v>
      </c>
      <c r="W76" s="4">
        <f t="shared" si="42"/>
        <v>71</v>
      </c>
      <c r="X76" s="4">
        <f t="shared" si="43"/>
        <v>39</v>
      </c>
      <c r="Y76" s="4">
        <f t="shared" si="44"/>
        <v>39</v>
      </c>
      <c r="Z76" s="4">
        <f t="shared" si="45"/>
        <v>41</v>
      </c>
      <c r="AA76" s="102">
        <f t="shared" si="46"/>
        <v>39</v>
      </c>
      <c r="AC76" s="100">
        <f t="shared" si="47"/>
        <v>0.98435792587073001</v>
      </c>
    </row>
    <row r="77" spans="4:29" x14ac:dyDescent="0.35">
      <c r="D77">
        <f t="shared" si="48"/>
        <v>73</v>
      </c>
      <c r="E77" s="101">
        <v>2</v>
      </c>
      <c r="F77" s="4">
        <v>6</v>
      </c>
      <c r="G77" s="4">
        <v>6</v>
      </c>
      <c r="H77" s="4">
        <v>5</v>
      </c>
      <c r="I77" s="4">
        <v>4</v>
      </c>
      <c r="J77" s="4">
        <v>5</v>
      </c>
      <c r="K77" s="102">
        <v>6</v>
      </c>
      <c r="M77" s="101">
        <f t="shared" si="33"/>
        <v>56</v>
      </c>
      <c r="N77" s="4">
        <f t="shared" si="34"/>
        <v>45</v>
      </c>
      <c r="O77" s="4">
        <f t="shared" si="35"/>
        <v>45</v>
      </c>
      <c r="P77" s="4">
        <f t="shared" si="36"/>
        <v>30</v>
      </c>
      <c r="Q77" s="4">
        <f t="shared" si="37"/>
        <v>12</v>
      </c>
      <c r="R77" s="4">
        <f t="shared" si="38"/>
        <v>30</v>
      </c>
      <c r="S77" s="102">
        <f t="shared" si="39"/>
        <v>45</v>
      </c>
      <c r="U77" s="101">
        <f t="shared" si="40"/>
        <v>78</v>
      </c>
      <c r="V77" s="4">
        <f t="shared" si="41"/>
        <v>71</v>
      </c>
      <c r="W77" s="4">
        <f t="shared" si="42"/>
        <v>71</v>
      </c>
      <c r="X77" s="4">
        <f t="shared" si="43"/>
        <v>39</v>
      </c>
      <c r="Y77" s="4">
        <f t="shared" si="44"/>
        <v>9</v>
      </c>
      <c r="Z77" s="4">
        <f t="shared" si="45"/>
        <v>39</v>
      </c>
      <c r="AA77" s="102">
        <f t="shared" si="46"/>
        <v>71</v>
      </c>
      <c r="AC77" s="100">
        <f t="shared" si="47"/>
        <v>0.98436690408582928</v>
      </c>
    </row>
    <row r="78" spans="4:29" x14ac:dyDescent="0.35">
      <c r="D78">
        <f t="shared" si="48"/>
        <v>74</v>
      </c>
      <c r="E78" s="101">
        <v>1</v>
      </c>
      <c r="F78" s="4">
        <v>6</v>
      </c>
      <c r="G78" s="4">
        <v>6</v>
      </c>
      <c r="H78" s="4">
        <v>3</v>
      </c>
      <c r="I78" s="4">
        <v>2</v>
      </c>
      <c r="J78" s="4">
        <v>2</v>
      </c>
      <c r="K78" s="102">
        <v>5</v>
      </c>
      <c r="M78" s="101">
        <f t="shared" si="33"/>
        <v>34</v>
      </c>
      <c r="N78" s="4">
        <f t="shared" si="34"/>
        <v>45</v>
      </c>
      <c r="O78" s="4">
        <f t="shared" si="35"/>
        <v>45</v>
      </c>
      <c r="P78" s="4">
        <f t="shared" si="36"/>
        <v>23</v>
      </c>
      <c r="Q78" s="4">
        <f t="shared" si="37"/>
        <v>56</v>
      </c>
      <c r="R78" s="4">
        <f t="shared" si="38"/>
        <v>56</v>
      </c>
      <c r="S78" s="102">
        <f t="shared" si="39"/>
        <v>30</v>
      </c>
      <c r="U78" s="101">
        <f t="shared" si="40"/>
        <v>46</v>
      </c>
      <c r="V78" s="4">
        <f t="shared" si="41"/>
        <v>71</v>
      </c>
      <c r="W78" s="4">
        <f t="shared" si="42"/>
        <v>71</v>
      </c>
      <c r="X78" s="4">
        <f t="shared" si="43"/>
        <v>39</v>
      </c>
      <c r="Y78" s="4">
        <f t="shared" si="44"/>
        <v>78</v>
      </c>
      <c r="Z78" s="4">
        <f t="shared" si="45"/>
        <v>78</v>
      </c>
      <c r="AA78" s="102">
        <f t="shared" si="46"/>
        <v>39</v>
      </c>
      <c r="AC78" s="100">
        <f t="shared" si="47"/>
        <v>0.96327016407967803</v>
      </c>
    </row>
    <row r="79" spans="4:29" x14ac:dyDescent="0.35">
      <c r="D79">
        <f t="shared" si="48"/>
        <v>75</v>
      </c>
      <c r="E79" s="101">
        <v>3</v>
      </c>
      <c r="F79" s="4">
        <v>5</v>
      </c>
      <c r="G79" s="4">
        <v>2</v>
      </c>
      <c r="H79" s="4">
        <v>3</v>
      </c>
      <c r="I79" s="4">
        <v>2</v>
      </c>
      <c r="J79" s="4">
        <v>4</v>
      </c>
      <c r="K79" s="102">
        <v>7</v>
      </c>
      <c r="M79" s="101">
        <f t="shared" si="33"/>
        <v>23</v>
      </c>
      <c r="N79" s="4">
        <f t="shared" si="34"/>
        <v>30</v>
      </c>
      <c r="O79" s="4">
        <f t="shared" si="35"/>
        <v>56</v>
      </c>
      <c r="P79" s="4">
        <f t="shared" si="36"/>
        <v>23</v>
      </c>
      <c r="Q79" s="4">
        <f t="shared" si="37"/>
        <v>56</v>
      </c>
      <c r="R79" s="4">
        <f t="shared" si="38"/>
        <v>12</v>
      </c>
      <c r="S79" s="102">
        <f t="shared" si="39"/>
        <v>29</v>
      </c>
      <c r="U79" s="101">
        <f t="shared" si="40"/>
        <v>39</v>
      </c>
      <c r="V79" s="4">
        <f t="shared" si="41"/>
        <v>39</v>
      </c>
      <c r="W79" s="4">
        <f t="shared" si="42"/>
        <v>78</v>
      </c>
      <c r="X79" s="4">
        <f t="shared" si="43"/>
        <v>39</v>
      </c>
      <c r="Y79" s="4">
        <f t="shared" si="44"/>
        <v>78</v>
      </c>
      <c r="Z79" s="4">
        <f t="shared" si="45"/>
        <v>9</v>
      </c>
      <c r="AA79" s="102">
        <f t="shared" si="46"/>
        <v>41</v>
      </c>
      <c r="AC79" s="100">
        <f t="shared" si="47"/>
        <v>0.97719807806897696</v>
      </c>
    </row>
    <row r="80" spans="4:29" x14ac:dyDescent="0.35">
      <c r="D80">
        <f t="shared" si="48"/>
        <v>76</v>
      </c>
      <c r="E80" s="101">
        <v>4</v>
      </c>
      <c r="F80" s="4">
        <v>1</v>
      </c>
      <c r="G80" s="4">
        <v>6</v>
      </c>
      <c r="H80" s="4">
        <v>7</v>
      </c>
      <c r="I80" s="4">
        <v>6</v>
      </c>
      <c r="J80" s="4">
        <v>1</v>
      </c>
      <c r="K80" s="102">
        <v>1</v>
      </c>
      <c r="M80" s="101">
        <f t="shared" si="33"/>
        <v>12</v>
      </c>
      <c r="N80" s="4">
        <f t="shared" si="34"/>
        <v>34</v>
      </c>
      <c r="O80" s="4">
        <f t="shared" si="35"/>
        <v>45</v>
      </c>
      <c r="P80" s="4">
        <f t="shared" si="36"/>
        <v>29</v>
      </c>
      <c r="Q80" s="4">
        <f t="shared" si="37"/>
        <v>45</v>
      </c>
      <c r="R80" s="4">
        <f t="shared" si="38"/>
        <v>34</v>
      </c>
      <c r="S80" s="102">
        <f t="shared" si="39"/>
        <v>34</v>
      </c>
      <c r="U80" s="101">
        <f t="shared" si="40"/>
        <v>9</v>
      </c>
      <c r="V80" s="4">
        <f t="shared" si="41"/>
        <v>46</v>
      </c>
      <c r="W80" s="4">
        <f t="shared" si="42"/>
        <v>71</v>
      </c>
      <c r="X80" s="4">
        <f t="shared" si="43"/>
        <v>41</v>
      </c>
      <c r="Y80" s="4">
        <f t="shared" si="44"/>
        <v>71</v>
      </c>
      <c r="Z80" s="4">
        <f t="shared" si="45"/>
        <v>46</v>
      </c>
      <c r="AA80" s="102">
        <f t="shared" si="46"/>
        <v>46</v>
      </c>
      <c r="AC80" s="100">
        <f t="shared" si="47"/>
        <v>0.99385234065803407</v>
      </c>
    </row>
    <row r="81" spans="4:29" x14ac:dyDescent="0.35">
      <c r="D81">
        <f t="shared" si="48"/>
        <v>77</v>
      </c>
      <c r="E81" s="101">
        <v>5</v>
      </c>
      <c r="F81" s="4">
        <v>6</v>
      </c>
      <c r="G81" s="4">
        <v>4</v>
      </c>
      <c r="H81" s="4">
        <v>5</v>
      </c>
      <c r="I81" s="4">
        <v>2</v>
      </c>
      <c r="J81" s="4">
        <v>7</v>
      </c>
      <c r="K81" s="102">
        <v>6</v>
      </c>
      <c r="M81" s="101">
        <f t="shared" si="33"/>
        <v>30</v>
      </c>
      <c r="N81" s="4">
        <f t="shared" si="34"/>
        <v>45</v>
      </c>
      <c r="O81" s="4">
        <f t="shared" si="35"/>
        <v>12</v>
      </c>
      <c r="P81" s="4">
        <f t="shared" si="36"/>
        <v>30</v>
      </c>
      <c r="Q81" s="4">
        <f t="shared" si="37"/>
        <v>56</v>
      </c>
      <c r="R81" s="4">
        <f t="shared" si="38"/>
        <v>29</v>
      </c>
      <c r="S81" s="102">
        <f t="shared" si="39"/>
        <v>45</v>
      </c>
      <c r="U81" s="101">
        <f t="shared" si="40"/>
        <v>39</v>
      </c>
      <c r="V81" s="4">
        <f t="shared" si="41"/>
        <v>71</v>
      </c>
      <c r="W81" s="4">
        <f t="shared" si="42"/>
        <v>9</v>
      </c>
      <c r="X81" s="4">
        <f t="shared" si="43"/>
        <v>39</v>
      </c>
      <c r="Y81" s="4">
        <f t="shared" si="44"/>
        <v>78</v>
      </c>
      <c r="Z81" s="4">
        <f t="shared" si="45"/>
        <v>41</v>
      </c>
      <c r="AA81" s="102">
        <f t="shared" si="46"/>
        <v>71</v>
      </c>
      <c r="AC81" s="100">
        <f t="shared" si="47"/>
        <v>0.98567211386655706</v>
      </c>
    </row>
    <row r="82" spans="4:29" x14ac:dyDescent="0.35">
      <c r="D82">
        <f t="shared" si="48"/>
        <v>78</v>
      </c>
      <c r="E82" s="101">
        <v>5</v>
      </c>
      <c r="F82" s="4">
        <v>1</v>
      </c>
      <c r="G82" s="4">
        <v>3</v>
      </c>
      <c r="H82" s="4">
        <v>3</v>
      </c>
      <c r="I82" s="4">
        <v>2</v>
      </c>
      <c r="J82" s="4">
        <v>1</v>
      </c>
      <c r="K82" s="102">
        <v>4</v>
      </c>
      <c r="M82" s="101">
        <f t="shared" si="33"/>
        <v>30</v>
      </c>
      <c r="N82" s="4">
        <f t="shared" si="34"/>
        <v>34</v>
      </c>
      <c r="O82" s="4">
        <f t="shared" si="35"/>
        <v>23</v>
      </c>
      <c r="P82" s="4">
        <f t="shared" si="36"/>
        <v>23</v>
      </c>
      <c r="Q82" s="4">
        <f t="shared" si="37"/>
        <v>56</v>
      </c>
      <c r="R82" s="4">
        <f t="shared" si="38"/>
        <v>34</v>
      </c>
      <c r="S82" s="102">
        <f t="shared" si="39"/>
        <v>12</v>
      </c>
      <c r="U82" s="101">
        <f t="shared" si="40"/>
        <v>39</v>
      </c>
      <c r="V82" s="4">
        <f t="shared" si="41"/>
        <v>46</v>
      </c>
      <c r="W82" s="4">
        <f t="shared" si="42"/>
        <v>39</v>
      </c>
      <c r="X82" s="4">
        <f t="shared" si="43"/>
        <v>39</v>
      </c>
      <c r="Y82" s="4">
        <f t="shared" si="44"/>
        <v>78</v>
      </c>
      <c r="Z82" s="4">
        <f t="shared" si="45"/>
        <v>46</v>
      </c>
      <c r="AA82" s="102">
        <f t="shared" si="46"/>
        <v>9</v>
      </c>
      <c r="AC82" s="100">
        <f t="shared" si="47"/>
        <v>0.96520688040719349</v>
      </c>
    </row>
    <row r="83" spans="4:29" x14ac:dyDescent="0.35">
      <c r="D83">
        <f t="shared" si="48"/>
        <v>79</v>
      </c>
      <c r="E83" s="101">
        <v>1</v>
      </c>
      <c r="F83" s="4">
        <v>1</v>
      </c>
      <c r="G83" s="4">
        <v>7</v>
      </c>
      <c r="H83" s="4">
        <v>3</v>
      </c>
      <c r="I83" s="4">
        <v>2</v>
      </c>
      <c r="J83" s="4">
        <v>3</v>
      </c>
      <c r="K83" s="102">
        <v>5</v>
      </c>
      <c r="M83" s="101">
        <f t="shared" si="33"/>
        <v>34</v>
      </c>
      <c r="N83" s="4">
        <f t="shared" si="34"/>
        <v>34</v>
      </c>
      <c r="O83" s="4">
        <f t="shared" si="35"/>
        <v>29</v>
      </c>
      <c r="P83" s="4">
        <f t="shared" si="36"/>
        <v>23</v>
      </c>
      <c r="Q83" s="4">
        <f t="shared" si="37"/>
        <v>56</v>
      </c>
      <c r="R83" s="4">
        <f t="shared" si="38"/>
        <v>23</v>
      </c>
      <c r="S83" s="102">
        <f t="shared" si="39"/>
        <v>30</v>
      </c>
      <c r="U83" s="101">
        <f t="shared" si="40"/>
        <v>46</v>
      </c>
      <c r="V83" s="4">
        <f t="shared" si="41"/>
        <v>46</v>
      </c>
      <c r="W83" s="4">
        <f t="shared" si="42"/>
        <v>41</v>
      </c>
      <c r="X83" s="4">
        <f t="shared" si="43"/>
        <v>39</v>
      </c>
      <c r="Y83" s="4">
        <f t="shared" si="44"/>
        <v>78</v>
      </c>
      <c r="Z83" s="4">
        <f t="shared" si="45"/>
        <v>39</v>
      </c>
      <c r="AA83" s="102">
        <f t="shared" si="46"/>
        <v>39</v>
      </c>
      <c r="AC83" s="100">
        <f t="shared" si="47"/>
        <v>0.96862111802084128</v>
      </c>
    </row>
    <row r="84" spans="4:29" x14ac:dyDescent="0.35">
      <c r="D84">
        <f t="shared" si="48"/>
        <v>80</v>
      </c>
      <c r="E84" s="101">
        <v>2</v>
      </c>
      <c r="F84" s="4">
        <v>3</v>
      </c>
      <c r="G84" s="4">
        <v>5</v>
      </c>
      <c r="H84" s="4">
        <v>3</v>
      </c>
      <c r="I84" s="4">
        <v>4</v>
      </c>
      <c r="J84" s="4">
        <v>4</v>
      </c>
      <c r="K84" s="102">
        <v>6</v>
      </c>
      <c r="M84" s="101">
        <f t="shared" si="33"/>
        <v>56</v>
      </c>
      <c r="N84" s="4">
        <f t="shared" si="34"/>
        <v>23</v>
      </c>
      <c r="O84" s="4">
        <f t="shared" si="35"/>
        <v>30</v>
      </c>
      <c r="P84" s="4">
        <f t="shared" si="36"/>
        <v>23</v>
      </c>
      <c r="Q84" s="4">
        <f t="shared" si="37"/>
        <v>12</v>
      </c>
      <c r="R84" s="4">
        <f t="shared" si="38"/>
        <v>12</v>
      </c>
      <c r="S84" s="102">
        <f t="shared" si="39"/>
        <v>45</v>
      </c>
      <c r="U84" s="101">
        <f t="shared" si="40"/>
        <v>78</v>
      </c>
      <c r="V84" s="4">
        <f t="shared" si="41"/>
        <v>39</v>
      </c>
      <c r="W84" s="4">
        <f t="shared" si="42"/>
        <v>39</v>
      </c>
      <c r="X84" s="4">
        <f t="shared" si="43"/>
        <v>39</v>
      </c>
      <c r="Y84" s="4">
        <f t="shared" si="44"/>
        <v>9</v>
      </c>
      <c r="Z84" s="4">
        <f t="shared" si="45"/>
        <v>9</v>
      </c>
      <c r="AA84" s="102">
        <f t="shared" si="46"/>
        <v>71</v>
      </c>
      <c r="AC84" s="100">
        <f t="shared" si="47"/>
        <v>0.97284390742836824</v>
      </c>
    </row>
    <row r="85" spans="4:29" x14ac:dyDescent="0.35">
      <c r="D85">
        <f t="shared" si="48"/>
        <v>81</v>
      </c>
      <c r="E85" s="101">
        <v>6</v>
      </c>
      <c r="F85" s="4">
        <v>1</v>
      </c>
      <c r="G85" s="4">
        <v>3</v>
      </c>
      <c r="H85" s="4">
        <v>7</v>
      </c>
      <c r="I85" s="4">
        <v>4</v>
      </c>
      <c r="J85" s="4">
        <v>3</v>
      </c>
      <c r="K85" s="102">
        <v>7</v>
      </c>
      <c r="M85" s="101">
        <f t="shared" si="33"/>
        <v>45</v>
      </c>
      <c r="N85" s="4">
        <f t="shared" si="34"/>
        <v>34</v>
      </c>
      <c r="O85" s="4">
        <f t="shared" si="35"/>
        <v>23</v>
      </c>
      <c r="P85" s="4">
        <f t="shared" si="36"/>
        <v>29</v>
      </c>
      <c r="Q85" s="4">
        <f t="shared" si="37"/>
        <v>12</v>
      </c>
      <c r="R85" s="4">
        <f t="shared" si="38"/>
        <v>23</v>
      </c>
      <c r="S85" s="102">
        <f t="shared" si="39"/>
        <v>29</v>
      </c>
      <c r="U85" s="101">
        <f t="shared" si="40"/>
        <v>71</v>
      </c>
      <c r="V85" s="4">
        <f t="shared" si="41"/>
        <v>46</v>
      </c>
      <c r="W85" s="4">
        <f t="shared" si="42"/>
        <v>39</v>
      </c>
      <c r="X85" s="4">
        <f t="shared" si="43"/>
        <v>41</v>
      </c>
      <c r="Y85" s="4">
        <f t="shared" si="44"/>
        <v>9</v>
      </c>
      <c r="Z85" s="4">
        <f t="shared" si="45"/>
        <v>39</v>
      </c>
      <c r="AA85" s="102">
        <f t="shared" si="46"/>
        <v>41</v>
      </c>
      <c r="AC85" s="100">
        <f t="shared" si="47"/>
        <v>0.96317344934838256</v>
      </c>
    </row>
    <row r="86" spans="4:29" x14ac:dyDescent="0.35">
      <c r="D86">
        <f t="shared" si="48"/>
        <v>82</v>
      </c>
      <c r="E86" s="101">
        <v>5</v>
      </c>
      <c r="F86" s="4">
        <v>7</v>
      </c>
      <c r="G86" s="4">
        <v>5</v>
      </c>
      <c r="H86" s="4">
        <v>3</v>
      </c>
      <c r="I86" s="4">
        <v>5</v>
      </c>
      <c r="J86" s="4">
        <v>2</v>
      </c>
      <c r="K86" s="102">
        <v>5</v>
      </c>
      <c r="M86" s="101">
        <f t="shared" si="33"/>
        <v>30</v>
      </c>
      <c r="N86" s="4">
        <f t="shared" si="34"/>
        <v>29</v>
      </c>
      <c r="O86" s="4">
        <f t="shared" si="35"/>
        <v>30</v>
      </c>
      <c r="P86" s="4">
        <f t="shared" si="36"/>
        <v>23</v>
      </c>
      <c r="Q86" s="4">
        <f t="shared" si="37"/>
        <v>30</v>
      </c>
      <c r="R86" s="4">
        <f t="shared" si="38"/>
        <v>56</v>
      </c>
      <c r="S86" s="102">
        <f t="shared" si="39"/>
        <v>30</v>
      </c>
      <c r="U86" s="101">
        <f t="shared" si="40"/>
        <v>39</v>
      </c>
      <c r="V86" s="4">
        <f t="shared" si="41"/>
        <v>41</v>
      </c>
      <c r="W86" s="4">
        <f t="shared" si="42"/>
        <v>39</v>
      </c>
      <c r="X86" s="4">
        <f t="shared" si="43"/>
        <v>39</v>
      </c>
      <c r="Y86" s="4">
        <f t="shared" si="44"/>
        <v>39</v>
      </c>
      <c r="Z86" s="4">
        <f t="shared" si="45"/>
        <v>78</v>
      </c>
      <c r="AA86" s="102">
        <f t="shared" si="46"/>
        <v>39</v>
      </c>
      <c r="AC86" s="100">
        <f t="shared" si="47"/>
        <v>0.97008861406254876</v>
      </c>
    </row>
    <row r="87" spans="4:29" x14ac:dyDescent="0.35">
      <c r="D87">
        <f t="shared" si="48"/>
        <v>83</v>
      </c>
      <c r="E87" s="101">
        <v>5</v>
      </c>
      <c r="F87" s="4">
        <v>2</v>
      </c>
      <c r="G87" s="4">
        <v>2</v>
      </c>
      <c r="H87" s="4">
        <v>1</v>
      </c>
      <c r="I87" s="4">
        <v>5</v>
      </c>
      <c r="J87" s="4">
        <v>3</v>
      </c>
      <c r="K87" s="102">
        <v>1</v>
      </c>
      <c r="M87" s="101">
        <f t="shared" si="33"/>
        <v>30</v>
      </c>
      <c r="N87" s="4">
        <f t="shared" si="34"/>
        <v>56</v>
      </c>
      <c r="O87" s="4">
        <f t="shared" si="35"/>
        <v>56</v>
      </c>
      <c r="P87" s="4">
        <f t="shared" si="36"/>
        <v>34</v>
      </c>
      <c r="Q87" s="4">
        <f t="shared" si="37"/>
        <v>30</v>
      </c>
      <c r="R87" s="4">
        <f t="shared" si="38"/>
        <v>23</v>
      </c>
      <c r="S87" s="102">
        <f t="shared" si="39"/>
        <v>34</v>
      </c>
      <c r="U87" s="101">
        <f t="shared" si="40"/>
        <v>39</v>
      </c>
      <c r="V87" s="4">
        <f t="shared" si="41"/>
        <v>78</v>
      </c>
      <c r="W87" s="4">
        <f t="shared" si="42"/>
        <v>78</v>
      </c>
      <c r="X87" s="4">
        <f t="shared" si="43"/>
        <v>46</v>
      </c>
      <c r="Y87" s="4">
        <f t="shared" si="44"/>
        <v>39</v>
      </c>
      <c r="Z87" s="4">
        <f t="shared" si="45"/>
        <v>39</v>
      </c>
      <c r="AA87" s="102">
        <f t="shared" si="46"/>
        <v>46</v>
      </c>
      <c r="AC87" s="100">
        <f t="shared" si="47"/>
        <v>0.98300525640843817</v>
      </c>
    </row>
    <row r="88" spans="4:29" x14ac:dyDescent="0.35">
      <c r="D88">
        <f t="shared" si="48"/>
        <v>84</v>
      </c>
      <c r="E88" s="101">
        <v>1</v>
      </c>
      <c r="F88" s="4">
        <v>2</v>
      </c>
      <c r="G88" s="4">
        <v>2</v>
      </c>
      <c r="H88" s="4">
        <v>5</v>
      </c>
      <c r="I88" s="4">
        <v>5</v>
      </c>
      <c r="J88" s="4">
        <v>1</v>
      </c>
      <c r="K88" s="102">
        <v>5</v>
      </c>
      <c r="M88" s="101">
        <f t="shared" si="33"/>
        <v>34</v>
      </c>
      <c r="N88" s="4">
        <f t="shared" si="34"/>
        <v>56</v>
      </c>
      <c r="O88" s="4">
        <f t="shared" si="35"/>
        <v>56</v>
      </c>
      <c r="P88" s="4">
        <f t="shared" si="36"/>
        <v>30</v>
      </c>
      <c r="Q88" s="4">
        <f t="shared" si="37"/>
        <v>30</v>
      </c>
      <c r="R88" s="4">
        <f t="shared" si="38"/>
        <v>34</v>
      </c>
      <c r="S88" s="102">
        <f t="shared" si="39"/>
        <v>30</v>
      </c>
      <c r="U88" s="101">
        <f t="shared" si="40"/>
        <v>46</v>
      </c>
      <c r="V88" s="4">
        <f t="shared" si="41"/>
        <v>78</v>
      </c>
      <c r="W88" s="4">
        <f t="shared" si="42"/>
        <v>78</v>
      </c>
      <c r="X88" s="4">
        <f t="shared" si="43"/>
        <v>39</v>
      </c>
      <c r="Y88" s="4">
        <f t="shared" si="44"/>
        <v>39</v>
      </c>
      <c r="Z88" s="4">
        <f t="shared" si="45"/>
        <v>46</v>
      </c>
      <c r="AA88" s="102">
        <f t="shared" si="46"/>
        <v>39</v>
      </c>
      <c r="AC88" s="100">
        <f t="shared" si="47"/>
        <v>0.99965489750113945</v>
      </c>
    </row>
    <row r="89" spans="4:29" x14ac:dyDescent="0.35">
      <c r="D89">
        <f t="shared" si="48"/>
        <v>85</v>
      </c>
      <c r="E89" s="101">
        <v>2</v>
      </c>
      <c r="F89" s="4">
        <v>7</v>
      </c>
      <c r="G89" s="4">
        <v>7</v>
      </c>
      <c r="H89" s="4">
        <v>4</v>
      </c>
      <c r="I89" s="4">
        <v>3</v>
      </c>
      <c r="J89" s="4">
        <v>6</v>
      </c>
      <c r="K89" s="102">
        <v>2</v>
      </c>
      <c r="M89" s="101">
        <f t="shared" si="33"/>
        <v>56</v>
      </c>
      <c r="N89" s="4">
        <f t="shared" si="34"/>
        <v>29</v>
      </c>
      <c r="O89" s="4">
        <f t="shared" si="35"/>
        <v>29</v>
      </c>
      <c r="P89" s="4">
        <f t="shared" si="36"/>
        <v>12</v>
      </c>
      <c r="Q89" s="4">
        <f t="shared" si="37"/>
        <v>23</v>
      </c>
      <c r="R89" s="4">
        <f t="shared" si="38"/>
        <v>45</v>
      </c>
      <c r="S89" s="102">
        <f t="shared" si="39"/>
        <v>56</v>
      </c>
      <c r="U89" s="101">
        <f t="shared" si="40"/>
        <v>78</v>
      </c>
      <c r="V89" s="4">
        <f t="shared" si="41"/>
        <v>41</v>
      </c>
      <c r="W89" s="4">
        <f t="shared" si="42"/>
        <v>41</v>
      </c>
      <c r="X89" s="4">
        <f t="shared" si="43"/>
        <v>9</v>
      </c>
      <c r="Y89" s="4">
        <f t="shared" si="44"/>
        <v>39</v>
      </c>
      <c r="Z89" s="4">
        <f t="shared" si="45"/>
        <v>71</v>
      </c>
      <c r="AA89" s="102">
        <f t="shared" si="46"/>
        <v>78</v>
      </c>
      <c r="AC89" s="100">
        <f t="shared" si="47"/>
        <v>0.98071997656067111</v>
      </c>
    </row>
    <row r="90" spans="4:29" x14ac:dyDescent="0.35">
      <c r="D90">
        <f t="shared" si="48"/>
        <v>86</v>
      </c>
      <c r="E90" s="101">
        <v>5</v>
      </c>
      <c r="F90" s="4">
        <v>1</v>
      </c>
      <c r="G90" s="4">
        <v>7</v>
      </c>
      <c r="H90" s="4">
        <v>1</v>
      </c>
      <c r="I90" s="4">
        <v>3</v>
      </c>
      <c r="J90" s="4">
        <v>4</v>
      </c>
      <c r="K90" s="102">
        <v>7</v>
      </c>
      <c r="M90" s="101">
        <f t="shared" si="33"/>
        <v>30</v>
      </c>
      <c r="N90" s="4">
        <f t="shared" si="34"/>
        <v>34</v>
      </c>
      <c r="O90" s="4">
        <f t="shared" si="35"/>
        <v>29</v>
      </c>
      <c r="P90" s="4">
        <f t="shared" si="36"/>
        <v>34</v>
      </c>
      <c r="Q90" s="4">
        <f t="shared" si="37"/>
        <v>23</v>
      </c>
      <c r="R90" s="4">
        <f t="shared" si="38"/>
        <v>12</v>
      </c>
      <c r="S90" s="102">
        <f t="shared" si="39"/>
        <v>29</v>
      </c>
      <c r="U90" s="101">
        <f t="shared" si="40"/>
        <v>39</v>
      </c>
      <c r="V90" s="4">
        <f t="shared" si="41"/>
        <v>46</v>
      </c>
      <c r="W90" s="4">
        <f t="shared" si="42"/>
        <v>41</v>
      </c>
      <c r="X90" s="4">
        <f t="shared" si="43"/>
        <v>46</v>
      </c>
      <c r="Y90" s="4">
        <f t="shared" si="44"/>
        <v>39</v>
      </c>
      <c r="Z90" s="4">
        <f t="shared" si="45"/>
        <v>9</v>
      </c>
      <c r="AA90" s="102">
        <f t="shared" si="46"/>
        <v>41</v>
      </c>
      <c r="AC90" s="100">
        <f t="shared" si="47"/>
        <v>0.94527005481025983</v>
      </c>
    </row>
    <row r="91" spans="4:29" x14ac:dyDescent="0.35">
      <c r="D91">
        <f t="shared" si="48"/>
        <v>87</v>
      </c>
      <c r="E91" s="101">
        <v>5</v>
      </c>
      <c r="F91" s="4">
        <v>5</v>
      </c>
      <c r="G91" s="4">
        <v>4</v>
      </c>
      <c r="H91" s="4">
        <v>2</v>
      </c>
      <c r="I91" s="4">
        <v>4</v>
      </c>
      <c r="J91" s="4">
        <v>2</v>
      </c>
      <c r="K91" s="102">
        <v>1</v>
      </c>
      <c r="M91" s="101">
        <f t="shared" si="33"/>
        <v>30</v>
      </c>
      <c r="N91" s="4">
        <f t="shared" si="34"/>
        <v>30</v>
      </c>
      <c r="O91" s="4">
        <f t="shared" si="35"/>
        <v>12</v>
      </c>
      <c r="P91" s="4">
        <f t="shared" si="36"/>
        <v>56</v>
      </c>
      <c r="Q91" s="4">
        <f t="shared" si="37"/>
        <v>12</v>
      </c>
      <c r="R91" s="4">
        <f t="shared" si="38"/>
        <v>56</v>
      </c>
      <c r="S91" s="102">
        <f t="shared" si="39"/>
        <v>34</v>
      </c>
      <c r="U91" s="101">
        <f t="shared" si="40"/>
        <v>39</v>
      </c>
      <c r="V91" s="4">
        <f t="shared" si="41"/>
        <v>39</v>
      </c>
      <c r="W91" s="4">
        <f t="shared" si="42"/>
        <v>9</v>
      </c>
      <c r="X91" s="4">
        <f t="shared" si="43"/>
        <v>78</v>
      </c>
      <c r="Y91" s="4">
        <f t="shared" si="44"/>
        <v>9</v>
      </c>
      <c r="Z91" s="4">
        <f t="shared" si="45"/>
        <v>78</v>
      </c>
      <c r="AA91" s="102">
        <f t="shared" si="46"/>
        <v>46</v>
      </c>
      <c r="AC91" s="100">
        <f t="shared" si="47"/>
        <v>0.99924091541056825</v>
      </c>
    </row>
    <row r="92" spans="4:29" x14ac:dyDescent="0.35">
      <c r="D92">
        <f t="shared" si="48"/>
        <v>88</v>
      </c>
      <c r="E92" s="101">
        <v>5</v>
      </c>
      <c r="F92" s="4">
        <v>5</v>
      </c>
      <c r="G92" s="4">
        <v>3</v>
      </c>
      <c r="H92" s="4">
        <v>3</v>
      </c>
      <c r="I92" s="4">
        <v>5</v>
      </c>
      <c r="J92" s="4">
        <v>5</v>
      </c>
      <c r="K92" s="102">
        <v>4</v>
      </c>
      <c r="M92" s="101">
        <f t="shared" si="33"/>
        <v>30</v>
      </c>
      <c r="N92" s="4">
        <f t="shared" si="34"/>
        <v>30</v>
      </c>
      <c r="O92" s="4">
        <f t="shared" si="35"/>
        <v>23</v>
      </c>
      <c r="P92" s="4">
        <f t="shared" si="36"/>
        <v>23</v>
      </c>
      <c r="Q92" s="4">
        <f t="shared" si="37"/>
        <v>30</v>
      </c>
      <c r="R92" s="4">
        <f t="shared" si="38"/>
        <v>30</v>
      </c>
      <c r="S92" s="102">
        <f t="shared" si="39"/>
        <v>12</v>
      </c>
      <c r="U92" s="101">
        <f t="shared" si="40"/>
        <v>39</v>
      </c>
      <c r="V92" s="4">
        <f t="shared" si="41"/>
        <v>39</v>
      </c>
      <c r="W92" s="4">
        <f t="shared" si="42"/>
        <v>39</v>
      </c>
      <c r="X92" s="4">
        <f t="shared" si="43"/>
        <v>39</v>
      </c>
      <c r="Y92" s="4">
        <f t="shared" si="44"/>
        <v>39</v>
      </c>
      <c r="Z92" s="4">
        <f t="shared" si="45"/>
        <v>39</v>
      </c>
      <c r="AA92" s="102">
        <f t="shared" si="46"/>
        <v>9</v>
      </c>
      <c r="AC92" s="100">
        <f t="shared" si="47"/>
        <v>0.87352145002941139</v>
      </c>
    </row>
    <row r="93" spans="4:29" x14ac:dyDescent="0.35">
      <c r="D93">
        <f t="shared" si="48"/>
        <v>89</v>
      </c>
      <c r="E93" s="101">
        <v>3</v>
      </c>
      <c r="F93" s="4">
        <v>4</v>
      </c>
      <c r="G93" s="4">
        <v>3</v>
      </c>
      <c r="H93" s="4">
        <v>4</v>
      </c>
      <c r="I93" s="4">
        <v>3</v>
      </c>
      <c r="J93" s="4">
        <v>3</v>
      </c>
      <c r="K93" s="102">
        <v>5</v>
      </c>
      <c r="M93" s="101">
        <f t="shared" si="33"/>
        <v>23</v>
      </c>
      <c r="N93" s="4">
        <f t="shared" si="34"/>
        <v>12</v>
      </c>
      <c r="O93" s="4">
        <f t="shared" si="35"/>
        <v>23</v>
      </c>
      <c r="P93" s="4">
        <f t="shared" si="36"/>
        <v>12</v>
      </c>
      <c r="Q93" s="4">
        <f t="shared" si="37"/>
        <v>23</v>
      </c>
      <c r="R93" s="4">
        <f t="shared" si="38"/>
        <v>23</v>
      </c>
      <c r="S93" s="102">
        <f t="shared" si="39"/>
        <v>30</v>
      </c>
      <c r="U93" s="101">
        <f t="shared" si="40"/>
        <v>39</v>
      </c>
      <c r="V93" s="4">
        <f t="shared" si="41"/>
        <v>9</v>
      </c>
      <c r="W93" s="4">
        <f t="shared" si="42"/>
        <v>39</v>
      </c>
      <c r="X93" s="4">
        <f t="shared" si="43"/>
        <v>9</v>
      </c>
      <c r="Y93" s="4">
        <f t="shared" si="44"/>
        <v>39</v>
      </c>
      <c r="Z93" s="4">
        <f t="shared" si="45"/>
        <v>39</v>
      </c>
      <c r="AA93" s="102">
        <f t="shared" si="46"/>
        <v>39</v>
      </c>
      <c r="AC93" s="100">
        <f t="shared" si="47"/>
        <v>0.9211759448730753</v>
      </c>
    </row>
    <row r="94" spans="4:29" x14ac:dyDescent="0.35">
      <c r="D94">
        <f t="shared" si="48"/>
        <v>90</v>
      </c>
      <c r="E94" s="101">
        <v>3</v>
      </c>
      <c r="F94" s="4">
        <v>1</v>
      </c>
      <c r="G94" s="4">
        <v>1</v>
      </c>
      <c r="H94" s="4">
        <v>4</v>
      </c>
      <c r="I94" s="4">
        <v>5</v>
      </c>
      <c r="J94" s="4">
        <v>7</v>
      </c>
      <c r="K94" s="102">
        <v>1</v>
      </c>
      <c r="M94" s="101">
        <f t="shared" si="33"/>
        <v>23</v>
      </c>
      <c r="N94" s="4">
        <f t="shared" si="34"/>
        <v>34</v>
      </c>
      <c r="O94" s="4">
        <f t="shared" si="35"/>
        <v>34</v>
      </c>
      <c r="P94" s="4">
        <f t="shared" si="36"/>
        <v>12</v>
      </c>
      <c r="Q94" s="4">
        <f t="shared" si="37"/>
        <v>30</v>
      </c>
      <c r="R94" s="4">
        <f t="shared" si="38"/>
        <v>29</v>
      </c>
      <c r="S94" s="102">
        <f t="shared" si="39"/>
        <v>34</v>
      </c>
      <c r="U94" s="101">
        <f t="shared" si="40"/>
        <v>39</v>
      </c>
      <c r="V94" s="4">
        <f t="shared" si="41"/>
        <v>46</v>
      </c>
      <c r="W94" s="4">
        <f t="shared" si="42"/>
        <v>46</v>
      </c>
      <c r="X94" s="4">
        <f t="shared" si="43"/>
        <v>9</v>
      </c>
      <c r="Y94" s="4">
        <f t="shared" si="44"/>
        <v>39</v>
      </c>
      <c r="Z94" s="4">
        <f t="shared" si="45"/>
        <v>41</v>
      </c>
      <c r="AA94" s="102">
        <f t="shared" si="46"/>
        <v>46</v>
      </c>
      <c r="AC94" s="100">
        <f t="shared" si="47"/>
        <v>0.9479931932166632</v>
      </c>
    </row>
    <row r="95" spans="4:29" x14ac:dyDescent="0.35">
      <c r="D95">
        <f t="shared" si="48"/>
        <v>91</v>
      </c>
      <c r="E95" s="101">
        <v>2</v>
      </c>
      <c r="F95" s="4">
        <v>1</v>
      </c>
      <c r="G95" s="4">
        <v>3</v>
      </c>
      <c r="H95" s="4">
        <v>7</v>
      </c>
      <c r="I95" s="4">
        <v>3</v>
      </c>
      <c r="J95" s="4">
        <v>3</v>
      </c>
      <c r="K95" s="102">
        <v>2</v>
      </c>
      <c r="M95" s="101">
        <f t="shared" si="33"/>
        <v>56</v>
      </c>
      <c r="N95" s="4">
        <f t="shared" si="34"/>
        <v>34</v>
      </c>
      <c r="O95" s="4">
        <f t="shared" si="35"/>
        <v>23</v>
      </c>
      <c r="P95" s="4">
        <f t="shared" si="36"/>
        <v>29</v>
      </c>
      <c r="Q95" s="4">
        <f t="shared" si="37"/>
        <v>23</v>
      </c>
      <c r="R95" s="4">
        <f t="shared" si="38"/>
        <v>23</v>
      </c>
      <c r="S95" s="102">
        <f t="shared" si="39"/>
        <v>56</v>
      </c>
      <c r="U95" s="101">
        <f t="shared" si="40"/>
        <v>78</v>
      </c>
      <c r="V95" s="4">
        <f t="shared" si="41"/>
        <v>46</v>
      </c>
      <c r="W95" s="4">
        <f t="shared" si="42"/>
        <v>39</v>
      </c>
      <c r="X95" s="4">
        <f t="shared" si="43"/>
        <v>41</v>
      </c>
      <c r="Y95" s="4">
        <f t="shared" si="44"/>
        <v>39</v>
      </c>
      <c r="Z95" s="4">
        <f t="shared" si="45"/>
        <v>39</v>
      </c>
      <c r="AA95" s="102">
        <f t="shared" si="46"/>
        <v>78</v>
      </c>
      <c r="AC95" s="100">
        <f t="shared" si="47"/>
        <v>0.98915517307723688</v>
      </c>
    </row>
    <row r="96" spans="4:29" x14ac:dyDescent="0.35">
      <c r="D96">
        <f t="shared" si="48"/>
        <v>92</v>
      </c>
      <c r="E96" s="101">
        <v>1</v>
      </c>
      <c r="F96" s="4">
        <v>1</v>
      </c>
      <c r="G96" s="4">
        <v>6</v>
      </c>
      <c r="H96" s="4">
        <v>3</v>
      </c>
      <c r="I96" s="4">
        <v>7</v>
      </c>
      <c r="J96" s="4">
        <v>5</v>
      </c>
      <c r="K96" s="102">
        <v>2</v>
      </c>
      <c r="M96" s="101">
        <f t="shared" si="33"/>
        <v>34</v>
      </c>
      <c r="N96" s="4">
        <f t="shared" si="34"/>
        <v>34</v>
      </c>
      <c r="O96" s="4">
        <f t="shared" si="35"/>
        <v>45</v>
      </c>
      <c r="P96" s="4">
        <f t="shared" si="36"/>
        <v>23</v>
      </c>
      <c r="Q96" s="4">
        <f t="shared" si="37"/>
        <v>29</v>
      </c>
      <c r="R96" s="4">
        <f t="shared" si="38"/>
        <v>30</v>
      </c>
      <c r="S96" s="102">
        <f t="shared" si="39"/>
        <v>56</v>
      </c>
      <c r="U96" s="101">
        <f t="shared" si="40"/>
        <v>46</v>
      </c>
      <c r="V96" s="4">
        <f t="shared" si="41"/>
        <v>46</v>
      </c>
      <c r="W96" s="4">
        <f t="shared" si="42"/>
        <v>71</v>
      </c>
      <c r="X96" s="4">
        <f t="shared" si="43"/>
        <v>39</v>
      </c>
      <c r="Y96" s="4">
        <f t="shared" si="44"/>
        <v>41</v>
      </c>
      <c r="Z96" s="4">
        <f t="shared" si="45"/>
        <v>39</v>
      </c>
      <c r="AA96" s="102">
        <f t="shared" si="46"/>
        <v>78</v>
      </c>
      <c r="AC96" s="100">
        <f t="shared" si="47"/>
        <v>0.96287014255618342</v>
      </c>
    </row>
    <row r="97" spans="4:29" x14ac:dyDescent="0.35">
      <c r="D97">
        <f t="shared" si="48"/>
        <v>93</v>
      </c>
      <c r="E97" s="101">
        <v>4</v>
      </c>
      <c r="F97" s="4">
        <v>2</v>
      </c>
      <c r="G97" s="4">
        <v>2</v>
      </c>
      <c r="H97" s="4">
        <v>2</v>
      </c>
      <c r="I97" s="4">
        <v>5</v>
      </c>
      <c r="J97" s="4">
        <v>4</v>
      </c>
      <c r="K97" s="102">
        <v>7</v>
      </c>
      <c r="M97" s="101">
        <f t="shared" si="33"/>
        <v>12</v>
      </c>
      <c r="N97" s="4">
        <f t="shared" si="34"/>
        <v>56</v>
      </c>
      <c r="O97" s="4">
        <f t="shared" si="35"/>
        <v>56</v>
      </c>
      <c r="P97" s="4">
        <f t="shared" si="36"/>
        <v>56</v>
      </c>
      <c r="Q97" s="4">
        <f t="shared" si="37"/>
        <v>30</v>
      </c>
      <c r="R97" s="4">
        <f t="shared" si="38"/>
        <v>12</v>
      </c>
      <c r="S97" s="102">
        <f t="shared" si="39"/>
        <v>29</v>
      </c>
      <c r="U97" s="101">
        <f t="shared" si="40"/>
        <v>9</v>
      </c>
      <c r="V97" s="4">
        <f t="shared" si="41"/>
        <v>78</v>
      </c>
      <c r="W97" s="4">
        <f t="shared" si="42"/>
        <v>78</v>
      </c>
      <c r="X97" s="4">
        <f t="shared" si="43"/>
        <v>78</v>
      </c>
      <c r="Y97" s="4">
        <f t="shared" si="44"/>
        <v>39</v>
      </c>
      <c r="Z97" s="4">
        <f t="shared" si="45"/>
        <v>9</v>
      </c>
      <c r="AA97" s="102">
        <f t="shared" si="46"/>
        <v>41</v>
      </c>
      <c r="AC97" s="100">
        <f t="shared" si="47"/>
        <v>0.99799345930897199</v>
      </c>
    </row>
    <row r="98" spans="4:29" x14ac:dyDescent="0.35">
      <c r="D98">
        <f t="shared" si="48"/>
        <v>94</v>
      </c>
      <c r="E98" s="101">
        <v>1</v>
      </c>
      <c r="F98" s="4">
        <v>1</v>
      </c>
      <c r="G98" s="4">
        <v>4</v>
      </c>
      <c r="H98" s="4">
        <v>2</v>
      </c>
      <c r="I98" s="4">
        <v>3</v>
      </c>
      <c r="J98" s="4">
        <v>3</v>
      </c>
      <c r="K98" s="102">
        <v>6</v>
      </c>
      <c r="M98" s="101">
        <f t="shared" si="33"/>
        <v>34</v>
      </c>
      <c r="N98" s="4">
        <f t="shared" si="34"/>
        <v>34</v>
      </c>
      <c r="O98" s="4">
        <f t="shared" si="35"/>
        <v>12</v>
      </c>
      <c r="P98" s="4">
        <f t="shared" si="36"/>
        <v>56</v>
      </c>
      <c r="Q98" s="4">
        <f t="shared" si="37"/>
        <v>23</v>
      </c>
      <c r="R98" s="4">
        <f t="shared" si="38"/>
        <v>23</v>
      </c>
      <c r="S98" s="102">
        <f t="shared" si="39"/>
        <v>45</v>
      </c>
      <c r="U98" s="101">
        <f t="shared" si="40"/>
        <v>46</v>
      </c>
      <c r="V98" s="4">
        <f t="shared" si="41"/>
        <v>46</v>
      </c>
      <c r="W98" s="4">
        <f t="shared" si="42"/>
        <v>9</v>
      </c>
      <c r="X98" s="4">
        <f t="shared" si="43"/>
        <v>78</v>
      </c>
      <c r="Y98" s="4">
        <f t="shared" si="44"/>
        <v>39</v>
      </c>
      <c r="Z98" s="4">
        <f t="shared" si="45"/>
        <v>39</v>
      </c>
      <c r="AA98" s="102">
        <f t="shared" si="46"/>
        <v>71</v>
      </c>
      <c r="AC98" s="100">
        <f t="shared" si="47"/>
        <v>0.96777299965954111</v>
      </c>
    </row>
    <row r="99" spans="4:29" x14ac:dyDescent="0.35">
      <c r="D99">
        <f t="shared" si="48"/>
        <v>95</v>
      </c>
      <c r="E99" s="101">
        <v>5</v>
      </c>
      <c r="F99" s="4">
        <v>6</v>
      </c>
      <c r="G99" s="4">
        <v>4</v>
      </c>
      <c r="H99" s="4">
        <v>6</v>
      </c>
      <c r="I99" s="4">
        <v>6</v>
      </c>
      <c r="J99" s="4">
        <v>4</v>
      </c>
      <c r="K99" s="102">
        <v>2</v>
      </c>
      <c r="M99" s="101">
        <f t="shared" si="33"/>
        <v>30</v>
      </c>
      <c r="N99" s="4">
        <f t="shared" si="34"/>
        <v>45</v>
      </c>
      <c r="O99" s="4">
        <f t="shared" si="35"/>
        <v>12</v>
      </c>
      <c r="P99" s="4">
        <f t="shared" si="36"/>
        <v>45</v>
      </c>
      <c r="Q99" s="4">
        <f t="shared" si="37"/>
        <v>45</v>
      </c>
      <c r="R99" s="4">
        <f t="shared" si="38"/>
        <v>12</v>
      </c>
      <c r="S99" s="102">
        <f t="shared" si="39"/>
        <v>56</v>
      </c>
      <c r="U99" s="101">
        <f t="shared" si="40"/>
        <v>39</v>
      </c>
      <c r="V99" s="4">
        <f t="shared" si="41"/>
        <v>71</v>
      </c>
      <c r="W99" s="4">
        <f t="shared" si="42"/>
        <v>9</v>
      </c>
      <c r="X99" s="4">
        <f t="shared" si="43"/>
        <v>71</v>
      </c>
      <c r="Y99" s="4">
        <f t="shared" si="44"/>
        <v>71</v>
      </c>
      <c r="Z99" s="4">
        <f t="shared" si="45"/>
        <v>9</v>
      </c>
      <c r="AA99" s="102">
        <f t="shared" si="46"/>
        <v>78</v>
      </c>
      <c r="AC99" s="100">
        <f t="shared" si="47"/>
        <v>0.98935807693367595</v>
      </c>
    </row>
    <row r="100" spans="4:29" x14ac:dyDescent="0.35">
      <c r="D100">
        <f t="shared" si="48"/>
        <v>96</v>
      </c>
      <c r="E100" s="101">
        <v>2</v>
      </c>
      <c r="F100" s="4">
        <v>3</v>
      </c>
      <c r="G100" s="4">
        <v>1</v>
      </c>
      <c r="H100" s="4">
        <v>6</v>
      </c>
      <c r="I100" s="4">
        <v>5</v>
      </c>
      <c r="J100" s="4">
        <v>4</v>
      </c>
      <c r="K100" s="102">
        <v>2</v>
      </c>
      <c r="M100" s="101">
        <f t="shared" si="33"/>
        <v>56</v>
      </c>
      <c r="N100" s="4">
        <f t="shared" si="34"/>
        <v>23</v>
      </c>
      <c r="O100" s="4">
        <f t="shared" si="35"/>
        <v>34</v>
      </c>
      <c r="P100" s="4">
        <f t="shared" si="36"/>
        <v>45</v>
      </c>
      <c r="Q100" s="4">
        <f t="shared" si="37"/>
        <v>30</v>
      </c>
      <c r="R100" s="4">
        <f t="shared" si="38"/>
        <v>12</v>
      </c>
      <c r="S100" s="102">
        <f t="shared" si="39"/>
        <v>56</v>
      </c>
      <c r="U100" s="101">
        <f t="shared" si="40"/>
        <v>78</v>
      </c>
      <c r="V100" s="4">
        <f t="shared" si="41"/>
        <v>39</v>
      </c>
      <c r="W100" s="4">
        <f t="shared" si="42"/>
        <v>46</v>
      </c>
      <c r="X100" s="4">
        <f t="shared" si="43"/>
        <v>71</v>
      </c>
      <c r="Y100" s="4">
        <f t="shared" si="44"/>
        <v>39</v>
      </c>
      <c r="Z100" s="4">
        <f t="shared" si="45"/>
        <v>9</v>
      </c>
      <c r="AA100" s="102">
        <f t="shared" si="46"/>
        <v>78</v>
      </c>
      <c r="AC100" s="100">
        <f t="shared" si="47"/>
        <v>0.97891074760359642</v>
      </c>
    </row>
    <row r="101" spans="4:29" x14ac:dyDescent="0.35">
      <c r="D101">
        <f t="shared" si="48"/>
        <v>97</v>
      </c>
      <c r="E101" s="101">
        <v>4</v>
      </c>
      <c r="F101" s="4">
        <v>5</v>
      </c>
      <c r="G101" s="4">
        <v>7</v>
      </c>
      <c r="H101" s="4">
        <v>7</v>
      </c>
      <c r="I101" s="4">
        <v>1</v>
      </c>
      <c r="J101" s="4">
        <v>4</v>
      </c>
      <c r="K101" s="102">
        <v>1</v>
      </c>
      <c r="M101" s="101">
        <f t="shared" si="33"/>
        <v>12</v>
      </c>
      <c r="N101" s="4">
        <f t="shared" si="34"/>
        <v>30</v>
      </c>
      <c r="O101" s="4">
        <f t="shared" si="35"/>
        <v>29</v>
      </c>
      <c r="P101" s="4">
        <f t="shared" si="36"/>
        <v>29</v>
      </c>
      <c r="Q101" s="4">
        <f t="shared" si="37"/>
        <v>34</v>
      </c>
      <c r="R101" s="4">
        <f t="shared" si="38"/>
        <v>12</v>
      </c>
      <c r="S101" s="102">
        <f t="shared" si="39"/>
        <v>34</v>
      </c>
      <c r="U101" s="101">
        <f t="shared" si="40"/>
        <v>9</v>
      </c>
      <c r="V101" s="4">
        <f t="shared" si="41"/>
        <v>39</v>
      </c>
      <c r="W101" s="4">
        <f t="shared" si="42"/>
        <v>41</v>
      </c>
      <c r="X101" s="4">
        <f t="shared" si="43"/>
        <v>41</v>
      </c>
      <c r="Y101" s="4">
        <f t="shared" si="44"/>
        <v>46</v>
      </c>
      <c r="Z101" s="4">
        <f t="shared" si="45"/>
        <v>9</v>
      </c>
      <c r="AA101" s="102">
        <f t="shared" si="46"/>
        <v>46</v>
      </c>
      <c r="AC101" s="100">
        <f t="shared" si="47"/>
        <v>0.99503511553007484</v>
      </c>
    </row>
    <row r="102" spans="4:29" x14ac:dyDescent="0.35">
      <c r="D102">
        <f t="shared" si="48"/>
        <v>98</v>
      </c>
      <c r="E102" s="101">
        <v>7</v>
      </c>
      <c r="F102" s="4">
        <v>7</v>
      </c>
      <c r="G102" s="4">
        <v>4</v>
      </c>
      <c r="H102" s="4">
        <v>5</v>
      </c>
      <c r="I102" s="4">
        <v>4</v>
      </c>
      <c r="J102" s="4">
        <v>1</v>
      </c>
      <c r="K102" s="102">
        <v>7</v>
      </c>
      <c r="M102" s="101">
        <f t="shared" si="33"/>
        <v>29</v>
      </c>
      <c r="N102" s="4">
        <f t="shared" si="34"/>
        <v>29</v>
      </c>
      <c r="O102" s="4">
        <f t="shared" si="35"/>
        <v>12</v>
      </c>
      <c r="P102" s="4">
        <f t="shared" si="36"/>
        <v>30</v>
      </c>
      <c r="Q102" s="4">
        <f t="shared" si="37"/>
        <v>12</v>
      </c>
      <c r="R102" s="4">
        <f t="shared" si="38"/>
        <v>34</v>
      </c>
      <c r="S102" s="102">
        <f t="shared" si="39"/>
        <v>29</v>
      </c>
      <c r="U102" s="101">
        <f t="shared" si="40"/>
        <v>41</v>
      </c>
      <c r="V102" s="4">
        <f t="shared" si="41"/>
        <v>41</v>
      </c>
      <c r="W102" s="4">
        <f t="shared" si="42"/>
        <v>9</v>
      </c>
      <c r="X102" s="4">
        <f t="shared" si="43"/>
        <v>39</v>
      </c>
      <c r="Y102" s="4">
        <f t="shared" si="44"/>
        <v>9</v>
      </c>
      <c r="Z102" s="4">
        <f t="shared" si="45"/>
        <v>46</v>
      </c>
      <c r="AA102" s="102">
        <f t="shared" si="46"/>
        <v>41</v>
      </c>
      <c r="AC102" s="100">
        <f t="shared" si="47"/>
        <v>0.9942877242913446</v>
      </c>
    </row>
    <row r="103" spans="4:29" x14ac:dyDescent="0.35">
      <c r="D103">
        <f t="shared" si="48"/>
        <v>99</v>
      </c>
      <c r="E103" s="101">
        <v>7</v>
      </c>
      <c r="F103" s="4">
        <v>5</v>
      </c>
      <c r="G103" s="4">
        <v>1</v>
      </c>
      <c r="H103" s="4">
        <v>6</v>
      </c>
      <c r="I103" s="4">
        <v>3</v>
      </c>
      <c r="J103" s="4">
        <v>7</v>
      </c>
      <c r="K103" s="102">
        <v>6</v>
      </c>
      <c r="M103" s="101">
        <f t="shared" si="33"/>
        <v>29</v>
      </c>
      <c r="N103" s="4">
        <f t="shared" si="34"/>
        <v>30</v>
      </c>
      <c r="O103" s="4">
        <f t="shared" si="35"/>
        <v>34</v>
      </c>
      <c r="P103" s="4">
        <f t="shared" si="36"/>
        <v>45</v>
      </c>
      <c r="Q103" s="4">
        <f t="shared" si="37"/>
        <v>23</v>
      </c>
      <c r="R103" s="4">
        <f t="shared" si="38"/>
        <v>29</v>
      </c>
      <c r="S103" s="102">
        <f t="shared" si="39"/>
        <v>45</v>
      </c>
      <c r="U103" s="101">
        <f t="shared" si="40"/>
        <v>41</v>
      </c>
      <c r="V103" s="4">
        <f t="shared" si="41"/>
        <v>39</v>
      </c>
      <c r="W103" s="4">
        <f t="shared" si="42"/>
        <v>46</v>
      </c>
      <c r="X103" s="4">
        <f t="shared" si="43"/>
        <v>71</v>
      </c>
      <c r="Y103" s="4">
        <f t="shared" si="44"/>
        <v>39</v>
      </c>
      <c r="Z103" s="4">
        <f t="shared" si="45"/>
        <v>41</v>
      </c>
      <c r="AA103" s="102">
        <f t="shared" si="46"/>
        <v>71</v>
      </c>
      <c r="AC103" s="100">
        <f t="shared" si="47"/>
        <v>0.95987044154347001</v>
      </c>
    </row>
    <row r="104" spans="4:29" x14ac:dyDescent="0.35">
      <c r="D104">
        <f t="shared" si="48"/>
        <v>100</v>
      </c>
      <c r="E104" s="101">
        <v>7</v>
      </c>
      <c r="F104" s="4">
        <v>2</v>
      </c>
      <c r="G104" s="4">
        <v>7</v>
      </c>
      <c r="H104" s="4">
        <v>7</v>
      </c>
      <c r="I104" s="4">
        <v>4</v>
      </c>
      <c r="J104" s="4">
        <v>1</v>
      </c>
      <c r="K104" s="102">
        <v>4</v>
      </c>
      <c r="M104" s="101">
        <f t="shared" si="33"/>
        <v>29</v>
      </c>
      <c r="N104" s="4">
        <f t="shared" si="34"/>
        <v>56</v>
      </c>
      <c r="O104" s="4">
        <f t="shared" si="35"/>
        <v>29</v>
      </c>
      <c r="P104" s="4">
        <f t="shared" si="36"/>
        <v>29</v>
      </c>
      <c r="Q104" s="4">
        <f t="shared" si="37"/>
        <v>12</v>
      </c>
      <c r="R104" s="4">
        <f t="shared" si="38"/>
        <v>34</v>
      </c>
      <c r="S104" s="102">
        <f t="shared" si="39"/>
        <v>12</v>
      </c>
      <c r="U104" s="101">
        <f t="shared" si="40"/>
        <v>41</v>
      </c>
      <c r="V104" s="4">
        <f t="shared" si="41"/>
        <v>78</v>
      </c>
      <c r="W104" s="4">
        <f t="shared" si="42"/>
        <v>41</v>
      </c>
      <c r="X104" s="4">
        <f t="shared" si="43"/>
        <v>41</v>
      </c>
      <c r="Y104" s="4">
        <f t="shared" si="44"/>
        <v>9</v>
      </c>
      <c r="Z104" s="4">
        <f t="shared" si="45"/>
        <v>46</v>
      </c>
      <c r="AA104" s="102">
        <f t="shared" si="46"/>
        <v>9</v>
      </c>
      <c r="AC104" s="100">
        <f t="shared" si="47"/>
        <v>0.99366852565568331</v>
      </c>
    </row>
    <row r="105" spans="4:29" x14ac:dyDescent="0.35">
      <c r="D105">
        <f t="shared" si="48"/>
        <v>101</v>
      </c>
      <c r="E105" s="101">
        <v>4</v>
      </c>
      <c r="F105" s="4">
        <v>1</v>
      </c>
      <c r="G105" s="4">
        <v>2</v>
      </c>
      <c r="H105" s="4">
        <v>1</v>
      </c>
      <c r="I105" s="4">
        <v>5</v>
      </c>
      <c r="J105" s="4">
        <v>2</v>
      </c>
      <c r="K105" s="102">
        <v>7</v>
      </c>
      <c r="M105" s="101">
        <f t="shared" si="33"/>
        <v>12</v>
      </c>
      <c r="N105" s="4">
        <f t="shared" si="34"/>
        <v>34</v>
      </c>
      <c r="O105" s="4">
        <f t="shared" si="35"/>
        <v>56</v>
      </c>
      <c r="P105" s="4">
        <f t="shared" si="36"/>
        <v>34</v>
      </c>
      <c r="Q105" s="4">
        <f t="shared" si="37"/>
        <v>30</v>
      </c>
      <c r="R105" s="4">
        <f t="shared" si="38"/>
        <v>56</v>
      </c>
      <c r="S105" s="102">
        <f t="shared" si="39"/>
        <v>29</v>
      </c>
      <c r="U105" s="101">
        <f t="shared" si="40"/>
        <v>9</v>
      </c>
      <c r="V105" s="4">
        <f t="shared" si="41"/>
        <v>46</v>
      </c>
      <c r="W105" s="4">
        <f t="shared" si="42"/>
        <v>78</v>
      </c>
      <c r="X105" s="4">
        <f t="shared" si="43"/>
        <v>46</v>
      </c>
      <c r="Y105" s="4">
        <f t="shared" si="44"/>
        <v>39</v>
      </c>
      <c r="Z105" s="4">
        <f t="shared" si="45"/>
        <v>78</v>
      </c>
      <c r="AA105" s="102">
        <f t="shared" si="46"/>
        <v>41</v>
      </c>
      <c r="AC105" s="100">
        <f t="shared" si="47"/>
        <v>0.99695278345642124</v>
      </c>
    </row>
    <row r="106" spans="4:29" x14ac:dyDescent="0.35">
      <c r="D106">
        <f t="shared" si="48"/>
        <v>102</v>
      </c>
      <c r="E106" s="101">
        <v>7</v>
      </c>
      <c r="F106" s="4">
        <v>7</v>
      </c>
      <c r="G106" s="4">
        <v>5</v>
      </c>
      <c r="H106" s="4">
        <v>6</v>
      </c>
      <c r="I106" s="4">
        <v>2</v>
      </c>
      <c r="J106" s="4">
        <v>2</v>
      </c>
      <c r="K106" s="102">
        <v>4</v>
      </c>
      <c r="M106" s="101">
        <f t="shared" si="33"/>
        <v>29</v>
      </c>
      <c r="N106" s="4">
        <f t="shared" si="34"/>
        <v>29</v>
      </c>
      <c r="O106" s="4">
        <f t="shared" si="35"/>
        <v>30</v>
      </c>
      <c r="P106" s="4">
        <f t="shared" si="36"/>
        <v>45</v>
      </c>
      <c r="Q106" s="4">
        <f t="shared" si="37"/>
        <v>56</v>
      </c>
      <c r="R106" s="4">
        <f t="shared" si="38"/>
        <v>56</v>
      </c>
      <c r="S106" s="102">
        <f t="shared" si="39"/>
        <v>12</v>
      </c>
      <c r="U106" s="101">
        <f t="shared" si="40"/>
        <v>41</v>
      </c>
      <c r="V106" s="4">
        <f t="shared" si="41"/>
        <v>41</v>
      </c>
      <c r="W106" s="4">
        <f t="shared" si="42"/>
        <v>39</v>
      </c>
      <c r="X106" s="4">
        <f t="shared" si="43"/>
        <v>71</v>
      </c>
      <c r="Y106" s="4">
        <f t="shared" si="44"/>
        <v>78</v>
      </c>
      <c r="Z106" s="4">
        <f t="shared" si="45"/>
        <v>78</v>
      </c>
      <c r="AA106" s="102">
        <f t="shared" si="46"/>
        <v>9</v>
      </c>
      <c r="AC106" s="100">
        <f t="shared" si="47"/>
        <v>0.98838974223778464</v>
      </c>
    </row>
    <row r="107" spans="4:29" x14ac:dyDescent="0.35">
      <c r="D107">
        <f t="shared" si="48"/>
        <v>103</v>
      </c>
      <c r="E107" s="101">
        <v>6</v>
      </c>
      <c r="F107" s="4">
        <v>7</v>
      </c>
      <c r="G107" s="4">
        <v>1</v>
      </c>
      <c r="H107" s="4">
        <v>7</v>
      </c>
      <c r="I107" s="4">
        <v>6</v>
      </c>
      <c r="J107" s="4">
        <v>3</v>
      </c>
      <c r="K107" s="102">
        <v>5</v>
      </c>
      <c r="M107" s="101">
        <f t="shared" si="33"/>
        <v>45</v>
      </c>
      <c r="N107" s="4">
        <f t="shared" si="34"/>
        <v>29</v>
      </c>
      <c r="O107" s="4">
        <f t="shared" si="35"/>
        <v>34</v>
      </c>
      <c r="P107" s="4">
        <f t="shared" si="36"/>
        <v>29</v>
      </c>
      <c r="Q107" s="4">
        <f t="shared" si="37"/>
        <v>45</v>
      </c>
      <c r="R107" s="4">
        <f t="shared" si="38"/>
        <v>23</v>
      </c>
      <c r="S107" s="102">
        <f t="shared" si="39"/>
        <v>30</v>
      </c>
      <c r="U107" s="101">
        <f t="shared" si="40"/>
        <v>71</v>
      </c>
      <c r="V107" s="4">
        <f t="shared" si="41"/>
        <v>41</v>
      </c>
      <c r="W107" s="4">
        <f t="shared" si="42"/>
        <v>46</v>
      </c>
      <c r="X107" s="4">
        <f t="shared" si="43"/>
        <v>41</v>
      </c>
      <c r="Y107" s="4">
        <f t="shared" si="44"/>
        <v>71</v>
      </c>
      <c r="Z107" s="4">
        <f t="shared" si="45"/>
        <v>39</v>
      </c>
      <c r="AA107" s="102">
        <f t="shared" si="46"/>
        <v>39</v>
      </c>
      <c r="AC107" s="100">
        <f t="shared" si="47"/>
        <v>0.95987044154346968</v>
      </c>
    </row>
    <row r="108" spans="4:29" x14ac:dyDescent="0.35">
      <c r="D108">
        <f t="shared" si="48"/>
        <v>104</v>
      </c>
      <c r="E108" s="101">
        <v>3</v>
      </c>
      <c r="F108" s="4">
        <v>7</v>
      </c>
      <c r="G108" s="4">
        <v>4</v>
      </c>
      <c r="H108" s="4">
        <v>1</v>
      </c>
      <c r="I108" s="4">
        <v>5</v>
      </c>
      <c r="J108" s="4">
        <v>3</v>
      </c>
      <c r="K108" s="102">
        <v>4</v>
      </c>
      <c r="M108" s="101">
        <f t="shared" si="33"/>
        <v>23</v>
      </c>
      <c r="N108" s="4">
        <f t="shared" si="34"/>
        <v>29</v>
      </c>
      <c r="O108" s="4">
        <f t="shared" si="35"/>
        <v>12</v>
      </c>
      <c r="P108" s="4">
        <f t="shared" si="36"/>
        <v>34</v>
      </c>
      <c r="Q108" s="4">
        <f t="shared" si="37"/>
        <v>30</v>
      </c>
      <c r="R108" s="4">
        <f t="shared" si="38"/>
        <v>23</v>
      </c>
      <c r="S108" s="102">
        <f t="shared" si="39"/>
        <v>12</v>
      </c>
      <c r="U108" s="101">
        <f t="shared" si="40"/>
        <v>39</v>
      </c>
      <c r="V108" s="4">
        <f t="shared" si="41"/>
        <v>41</v>
      </c>
      <c r="W108" s="4">
        <f t="shared" si="42"/>
        <v>9</v>
      </c>
      <c r="X108" s="4">
        <f t="shared" si="43"/>
        <v>46</v>
      </c>
      <c r="Y108" s="4">
        <f t="shared" si="44"/>
        <v>39</v>
      </c>
      <c r="Z108" s="4">
        <f t="shared" si="45"/>
        <v>39</v>
      </c>
      <c r="AA108" s="102">
        <f t="shared" si="46"/>
        <v>9</v>
      </c>
      <c r="AC108" s="100">
        <f t="shared" si="47"/>
        <v>0.93788038849024824</v>
      </c>
    </row>
    <row r="109" spans="4:29" x14ac:dyDescent="0.35">
      <c r="D109">
        <f t="shared" si="48"/>
        <v>105</v>
      </c>
      <c r="E109" s="101">
        <v>5</v>
      </c>
      <c r="F109" s="4">
        <v>6</v>
      </c>
      <c r="G109" s="4">
        <v>2</v>
      </c>
      <c r="H109" s="4">
        <v>5</v>
      </c>
      <c r="I109" s="4">
        <v>3</v>
      </c>
      <c r="J109" s="4">
        <v>5</v>
      </c>
      <c r="K109" s="102">
        <v>1</v>
      </c>
      <c r="M109" s="101">
        <f t="shared" si="33"/>
        <v>30</v>
      </c>
      <c r="N109" s="4">
        <f t="shared" si="34"/>
        <v>45</v>
      </c>
      <c r="O109" s="4">
        <f t="shared" si="35"/>
        <v>56</v>
      </c>
      <c r="P109" s="4">
        <f t="shared" si="36"/>
        <v>30</v>
      </c>
      <c r="Q109" s="4">
        <f t="shared" si="37"/>
        <v>23</v>
      </c>
      <c r="R109" s="4">
        <f t="shared" si="38"/>
        <v>30</v>
      </c>
      <c r="S109" s="102">
        <f t="shared" si="39"/>
        <v>34</v>
      </c>
      <c r="U109" s="101">
        <f t="shared" si="40"/>
        <v>39</v>
      </c>
      <c r="V109" s="4">
        <f t="shared" si="41"/>
        <v>71</v>
      </c>
      <c r="W109" s="4">
        <f t="shared" si="42"/>
        <v>78</v>
      </c>
      <c r="X109" s="4">
        <f t="shared" si="43"/>
        <v>39</v>
      </c>
      <c r="Y109" s="4">
        <f t="shared" si="44"/>
        <v>39</v>
      </c>
      <c r="Z109" s="4">
        <f t="shared" si="45"/>
        <v>39</v>
      </c>
      <c r="AA109" s="102">
        <f t="shared" si="46"/>
        <v>46</v>
      </c>
      <c r="AC109" s="100">
        <f t="shared" si="47"/>
        <v>0.95968031702219692</v>
      </c>
    </row>
    <row r="110" spans="4:29" x14ac:dyDescent="0.35">
      <c r="D110">
        <f t="shared" si="48"/>
        <v>106</v>
      </c>
      <c r="E110" s="101">
        <v>2</v>
      </c>
      <c r="F110" s="4">
        <v>1</v>
      </c>
      <c r="G110" s="4">
        <v>1</v>
      </c>
      <c r="H110" s="4">
        <v>5</v>
      </c>
      <c r="I110" s="4">
        <v>7</v>
      </c>
      <c r="J110" s="4">
        <v>7</v>
      </c>
      <c r="K110" s="102">
        <v>7</v>
      </c>
      <c r="M110" s="101">
        <f t="shared" si="33"/>
        <v>56</v>
      </c>
      <c r="N110" s="4">
        <f t="shared" si="34"/>
        <v>34</v>
      </c>
      <c r="O110" s="4">
        <f t="shared" si="35"/>
        <v>34</v>
      </c>
      <c r="P110" s="4">
        <f t="shared" si="36"/>
        <v>30</v>
      </c>
      <c r="Q110" s="4">
        <f t="shared" si="37"/>
        <v>29</v>
      </c>
      <c r="R110" s="4">
        <f t="shared" si="38"/>
        <v>29</v>
      </c>
      <c r="S110" s="102">
        <f t="shared" si="39"/>
        <v>29</v>
      </c>
      <c r="U110" s="101">
        <f t="shared" si="40"/>
        <v>78</v>
      </c>
      <c r="V110" s="4">
        <f t="shared" si="41"/>
        <v>46</v>
      </c>
      <c r="W110" s="4">
        <f t="shared" si="42"/>
        <v>46</v>
      </c>
      <c r="X110" s="4">
        <f t="shared" si="43"/>
        <v>39</v>
      </c>
      <c r="Y110" s="4">
        <f t="shared" si="44"/>
        <v>41</v>
      </c>
      <c r="Z110" s="4">
        <f t="shared" si="45"/>
        <v>41</v>
      </c>
      <c r="AA110" s="102">
        <f t="shared" si="46"/>
        <v>41</v>
      </c>
      <c r="AC110" s="100">
        <f t="shared" si="47"/>
        <v>0.99531683631291024</v>
      </c>
    </row>
    <row r="111" spans="4:29" x14ac:dyDescent="0.35">
      <c r="D111">
        <f t="shared" si="48"/>
        <v>107</v>
      </c>
      <c r="E111" s="101">
        <v>7</v>
      </c>
      <c r="F111" s="4">
        <v>3</v>
      </c>
      <c r="G111" s="4">
        <v>2</v>
      </c>
      <c r="H111" s="4">
        <v>4</v>
      </c>
      <c r="I111" s="4">
        <v>7</v>
      </c>
      <c r="J111" s="4">
        <v>7</v>
      </c>
      <c r="K111" s="102">
        <v>5</v>
      </c>
      <c r="M111" s="101">
        <f t="shared" si="33"/>
        <v>29</v>
      </c>
      <c r="N111" s="4">
        <f t="shared" si="34"/>
        <v>23</v>
      </c>
      <c r="O111" s="4">
        <f t="shared" si="35"/>
        <v>56</v>
      </c>
      <c r="P111" s="4">
        <f t="shared" si="36"/>
        <v>12</v>
      </c>
      <c r="Q111" s="4">
        <f t="shared" si="37"/>
        <v>29</v>
      </c>
      <c r="R111" s="4">
        <f t="shared" si="38"/>
        <v>29</v>
      </c>
      <c r="S111" s="102">
        <f t="shared" si="39"/>
        <v>30</v>
      </c>
      <c r="U111" s="101">
        <f t="shared" si="40"/>
        <v>41</v>
      </c>
      <c r="V111" s="4">
        <f t="shared" si="41"/>
        <v>39</v>
      </c>
      <c r="W111" s="4">
        <f t="shared" si="42"/>
        <v>78</v>
      </c>
      <c r="X111" s="4">
        <f t="shared" si="43"/>
        <v>9</v>
      </c>
      <c r="Y111" s="4">
        <f t="shared" si="44"/>
        <v>41</v>
      </c>
      <c r="Z111" s="4">
        <f t="shared" si="45"/>
        <v>41</v>
      </c>
      <c r="AA111" s="102">
        <f t="shared" si="46"/>
        <v>39</v>
      </c>
      <c r="AC111" s="100">
        <f t="shared" si="47"/>
        <v>0.9770091114910251</v>
      </c>
    </row>
    <row r="112" spans="4:29" x14ac:dyDescent="0.35">
      <c r="D112">
        <f t="shared" si="48"/>
        <v>108</v>
      </c>
      <c r="E112" s="101">
        <v>6</v>
      </c>
      <c r="F112" s="4">
        <v>5</v>
      </c>
      <c r="G112" s="4">
        <v>7</v>
      </c>
      <c r="H112" s="4">
        <v>4</v>
      </c>
      <c r="I112" s="4">
        <v>1</v>
      </c>
      <c r="J112" s="4">
        <v>1</v>
      </c>
      <c r="K112" s="102">
        <v>1</v>
      </c>
      <c r="M112" s="101">
        <f t="shared" si="33"/>
        <v>45</v>
      </c>
      <c r="N112" s="4">
        <f t="shared" si="34"/>
        <v>30</v>
      </c>
      <c r="O112" s="4">
        <f t="shared" si="35"/>
        <v>29</v>
      </c>
      <c r="P112" s="4">
        <f t="shared" si="36"/>
        <v>12</v>
      </c>
      <c r="Q112" s="4">
        <f t="shared" si="37"/>
        <v>34</v>
      </c>
      <c r="R112" s="4">
        <f t="shared" si="38"/>
        <v>34</v>
      </c>
      <c r="S112" s="102">
        <f t="shared" si="39"/>
        <v>34</v>
      </c>
      <c r="U112" s="101">
        <f t="shared" si="40"/>
        <v>71</v>
      </c>
      <c r="V112" s="4">
        <f t="shared" si="41"/>
        <v>39</v>
      </c>
      <c r="W112" s="4">
        <f t="shared" si="42"/>
        <v>41</v>
      </c>
      <c r="X112" s="4">
        <f t="shared" si="43"/>
        <v>9</v>
      </c>
      <c r="Y112" s="4">
        <f t="shared" si="44"/>
        <v>46</v>
      </c>
      <c r="Z112" s="4">
        <f t="shared" si="45"/>
        <v>46</v>
      </c>
      <c r="AA112" s="102">
        <f t="shared" si="46"/>
        <v>46</v>
      </c>
      <c r="AC112" s="100">
        <f t="shared" si="47"/>
        <v>0.99268119966678847</v>
      </c>
    </row>
    <row r="113" spans="4:29" x14ac:dyDescent="0.35">
      <c r="D113">
        <f t="shared" si="48"/>
        <v>109</v>
      </c>
      <c r="E113" s="101">
        <v>6</v>
      </c>
      <c r="F113" s="4">
        <v>5</v>
      </c>
      <c r="G113" s="4">
        <v>2</v>
      </c>
      <c r="H113" s="4">
        <v>6</v>
      </c>
      <c r="I113" s="4">
        <v>5</v>
      </c>
      <c r="J113" s="4">
        <v>6</v>
      </c>
      <c r="K113" s="102">
        <v>3</v>
      </c>
      <c r="M113" s="101">
        <f t="shared" si="33"/>
        <v>45</v>
      </c>
      <c r="N113" s="4">
        <f t="shared" si="34"/>
        <v>30</v>
      </c>
      <c r="O113" s="4">
        <f t="shared" si="35"/>
        <v>56</v>
      </c>
      <c r="P113" s="4">
        <f t="shared" si="36"/>
        <v>45</v>
      </c>
      <c r="Q113" s="4">
        <f t="shared" si="37"/>
        <v>30</v>
      </c>
      <c r="R113" s="4">
        <f t="shared" si="38"/>
        <v>45</v>
      </c>
      <c r="S113" s="102">
        <f t="shared" si="39"/>
        <v>23</v>
      </c>
      <c r="U113" s="101">
        <f t="shared" si="40"/>
        <v>71</v>
      </c>
      <c r="V113" s="4">
        <f t="shared" si="41"/>
        <v>39</v>
      </c>
      <c r="W113" s="4">
        <f t="shared" si="42"/>
        <v>78</v>
      </c>
      <c r="X113" s="4">
        <f t="shared" si="43"/>
        <v>71</v>
      </c>
      <c r="Y113" s="4">
        <f t="shared" si="44"/>
        <v>39</v>
      </c>
      <c r="Z113" s="4">
        <f t="shared" si="45"/>
        <v>71</v>
      </c>
      <c r="AA113" s="102">
        <f t="shared" si="46"/>
        <v>39</v>
      </c>
      <c r="AC113" s="100">
        <f t="shared" si="47"/>
        <v>0.95797284063556754</v>
      </c>
    </row>
    <row r="114" spans="4:29" x14ac:dyDescent="0.35">
      <c r="D114">
        <f t="shared" si="48"/>
        <v>110</v>
      </c>
      <c r="E114" s="101">
        <v>2</v>
      </c>
      <c r="F114" s="4">
        <v>2</v>
      </c>
      <c r="G114" s="4">
        <v>2</v>
      </c>
      <c r="H114" s="4">
        <v>3</v>
      </c>
      <c r="I114" s="4">
        <v>5</v>
      </c>
      <c r="J114" s="4">
        <v>6</v>
      </c>
      <c r="K114" s="102">
        <v>4</v>
      </c>
      <c r="M114" s="101">
        <f t="shared" si="33"/>
        <v>56</v>
      </c>
      <c r="N114" s="4">
        <f t="shared" si="34"/>
        <v>56</v>
      </c>
      <c r="O114" s="4">
        <f t="shared" si="35"/>
        <v>56</v>
      </c>
      <c r="P114" s="4">
        <f t="shared" si="36"/>
        <v>23</v>
      </c>
      <c r="Q114" s="4">
        <f t="shared" si="37"/>
        <v>30</v>
      </c>
      <c r="R114" s="4">
        <f t="shared" si="38"/>
        <v>45</v>
      </c>
      <c r="S114" s="102">
        <f t="shared" si="39"/>
        <v>12</v>
      </c>
      <c r="U114" s="101">
        <f t="shared" si="40"/>
        <v>78</v>
      </c>
      <c r="V114" s="4">
        <f t="shared" si="41"/>
        <v>78</v>
      </c>
      <c r="W114" s="4">
        <f t="shared" si="42"/>
        <v>78</v>
      </c>
      <c r="X114" s="4">
        <f t="shared" si="43"/>
        <v>39</v>
      </c>
      <c r="Y114" s="4">
        <f t="shared" si="44"/>
        <v>39</v>
      </c>
      <c r="Z114" s="4">
        <f t="shared" si="45"/>
        <v>71</v>
      </c>
      <c r="AA114" s="102">
        <f t="shared" si="46"/>
        <v>9</v>
      </c>
      <c r="AC114" s="100">
        <f t="shared" si="47"/>
        <v>0.98108104375855121</v>
      </c>
    </row>
    <row r="115" spans="4:29" x14ac:dyDescent="0.35">
      <c r="D115">
        <f t="shared" si="48"/>
        <v>111</v>
      </c>
      <c r="E115" s="101">
        <v>4</v>
      </c>
      <c r="F115" s="4">
        <v>6</v>
      </c>
      <c r="G115" s="4">
        <v>2</v>
      </c>
      <c r="H115" s="4">
        <v>2</v>
      </c>
      <c r="I115" s="4">
        <v>4</v>
      </c>
      <c r="J115" s="4">
        <v>5</v>
      </c>
      <c r="K115" s="102">
        <v>1</v>
      </c>
      <c r="M115" s="101">
        <f t="shared" si="33"/>
        <v>12</v>
      </c>
      <c r="N115" s="4">
        <f t="shared" si="34"/>
        <v>45</v>
      </c>
      <c r="O115" s="4">
        <f t="shared" si="35"/>
        <v>56</v>
      </c>
      <c r="P115" s="4">
        <f t="shared" si="36"/>
        <v>56</v>
      </c>
      <c r="Q115" s="4">
        <f t="shared" si="37"/>
        <v>12</v>
      </c>
      <c r="R115" s="4">
        <f t="shared" si="38"/>
        <v>30</v>
      </c>
      <c r="S115" s="102">
        <f t="shared" si="39"/>
        <v>34</v>
      </c>
      <c r="U115" s="101">
        <f t="shared" si="40"/>
        <v>9</v>
      </c>
      <c r="V115" s="4">
        <f t="shared" si="41"/>
        <v>71</v>
      </c>
      <c r="W115" s="4">
        <f t="shared" si="42"/>
        <v>78</v>
      </c>
      <c r="X115" s="4">
        <f t="shared" si="43"/>
        <v>78</v>
      </c>
      <c r="Y115" s="4">
        <f t="shared" si="44"/>
        <v>9</v>
      </c>
      <c r="Z115" s="4">
        <f t="shared" si="45"/>
        <v>39</v>
      </c>
      <c r="AA115" s="102">
        <f t="shared" si="46"/>
        <v>46</v>
      </c>
      <c r="AC115" s="100">
        <f t="shared" si="47"/>
        <v>0.99260640683459267</v>
      </c>
    </row>
    <row r="116" spans="4:29" x14ac:dyDescent="0.35">
      <c r="D116">
        <f t="shared" si="48"/>
        <v>112</v>
      </c>
      <c r="E116" s="101">
        <v>5</v>
      </c>
      <c r="F116" s="4">
        <v>3</v>
      </c>
      <c r="G116" s="4">
        <v>5</v>
      </c>
      <c r="H116" s="4">
        <v>2</v>
      </c>
      <c r="I116" s="4">
        <v>6</v>
      </c>
      <c r="J116" s="4">
        <v>5</v>
      </c>
      <c r="K116" s="102">
        <v>5</v>
      </c>
      <c r="M116" s="101">
        <f t="shared" si="33"/>
        <v>30</v>
      </c>
      <c r="N116" s="4">
        <f t="shared" si="34"/>
        <v>23</v>
      </c>
      <c r="O116" s="4">
        <f t="shared" si="35"/>
        <v>30</v>
      </c>
      <c r="P116" s="4">
        <f t="shared" si="36"/>
        <v>56</v>
      </c>
      <c r="Q116" s="4">
        <f t="shared" si="37"/>
        <v>45</v>
      </c>
      <c r="R116" s="4">
        <f t="shared" si="38"/>
        <v>30</v>
      </c>
      <c r="S116" s="102">
        <f t="shared" si="39"/>
        <v>30</v>
      </c>
      <c r="U116" s="101">
        <f t="shared" si="40"/>
        <v>39</v>
      </c>
      <c r="V116" s="4">
        <f t="shared" si="41"/>
        <v>39</v>
      </c>
      <c r="W116" s="4">
        <f t="shared" si="42"/>
        <v>39</v>
      </c>
      <c r="X116" s="4">
        <f t="shared" si="43"/>
        <v>78</v>
      </c>
      <c r="Y116" s="4">
        <f t="shared" si="44"/>
        <v>71</v>
      </c>
      <c r="Z116" s="4">
        <f t="shared" si="45"/>
        <v>39</v>
      </c>
      <c r="AA116" s="102">
        <f t="shared" si="46"/>
        <v>39</v>
      </c>
      <c r="AC116" s="100">
        <f t="shared" si="47"/>
        <v>0.96020569725746441</v>
      </c>
    </row>
    <row r="117" spans="4:29" x14ac:dyDescent="0.35">
      <c r="D117">
        <f t="shared" si="48"/>
        <v>113</v>
      </c>
      <c r="E117" s="101">
        <v>6</v>
      </c>
      <c r="F117" s="4">
        <v>6</v>
      </c>
      <c r="G117" s="4">
        <v>7</v>
      </c>
      <c r="H117" s="4">
        <v>4</v>
      </c>
      <c r="I117" s="4">
        <v>5</v>
      </c>
      <c r="J117" s="4">
        <v>7</v>
      </c>
      <c r="K117" s="102">
        <v>4</v>
      </c>
      <c r="M117" s="101">
        <f t="shared" si="33"/>
        <v>45</v>
      </c>
      <c r="N117" s="4">
        <f t="shared" si="34"/>
        <v>45</v>
      </c>
      <c r="O117" s="4">
        <f t="shared" si="35"/>
        <v>29</v>
      </c>
      <c r="P117" s="4">
        <f t="shared" si="36"/>
        <v>12</v>
      </c>
      <c r="Q117" s="4">
        <f t="shared" si="37"/>
        <v>30</v>
      </c>
      <c r="R117" s="4">
        <f t="shared" si="38"/>
        <v>29</v>
      </c>
      <c r="S117" s="102">
        <f t="shared" si="39"/>
        <v>12</v>
      </c>
      <c r="U117" s="101">
        <f t="shared" si="40"/>
        <v>71</v>
      </c>
      <c r="V117" s="4">
        <f t="shared" si="41"/>
        <v>71</v>
      </c>
      <c r="W117" s="4">
        <f t="shared" si="42"/>
        <v>41</v>
      </c>
      <c r="X117" s="4">
        <f t="shared" si="43"/>
        <v>9</v>
      </c>
      <c r="Y117" s="4">
        <f t="shared" si="44"/>
        <v>39</v>
      </c>
      <c r="Z117" s="4">
        <f t="shared" si="45"/>
        <v>41</v>
      </c>
      <c r="AA117" s="102">
        <f t="shared" si="46"/>
        <v>9</v>
      </c>
      <c r="AC117" s="100">
        <f t="shared" si="47"/>
        <v>0.9983588693778368</v>
      </c>
    </row>
    <row r="118" spans="4:29" x14ac:dyDescent="0.35">
      <c r="D118">
        <f t="shared" si="48"/>
        <v>114</v>
      </c>
      <c r="E118" s="101">
        <v>4</v>
      </c>
      <c r="F118" s="4">
        <v>1</v>
      </c>
      <c r="G118" s="4">
        <v>6</v>
      </c>
      <c r="H118" s="4">
        <v>2</v>
      </c>
      <c r="I118" s="4">
        <v>6</v>
      </c>
      <c r="J118" s="4">
        <v>1</v>
      </c>
      <c r="K118" s="102">
        <v>1</v>
      </c>
      <c r="M118" s="101">
        <f t="shared" si="33"/>
        <v>12</v>
      </c>
      <c r="N118" s="4">
        <f t="shared" si="34"/>
        <v>34</v>
      </c>
      <c r="O118" s="4">
        <f t="shared" si="35"/>
        <v>45</v>
      </c>
      <c r="P118" s="4">
        <f t="shared" si="36"/>
        <v>56</v>
      </c>
      <c r="Q118" s="4">
        <f t="shared" si="37"/>
        <v>45</v>
      </c>
      <c r="R118" s="4">
        <f t="shared" si="38"/>
        <v>34</v>
      </c>
      <c r="S118" s="102">
        <f t="shared" si="39"/>
        <v>34</v>
      </c>
      <c r="U118" s="101">
        <f t="shared" si="40"/>
        <v>9</v>
      </c>
      <c r="V118" s="4">
        <f t="shared" si="41"/>
        <v>46</v>
      </c>
      <c r="W118" s="4">
        <f t="shared" si="42"/>
        <v>71</v>
      </c>
      <c r="X118" s="4">
        <f t="shared" si="43"/>
        <v>78</v>
      </c>
      <c r="Y118" s="4">
        <f t="shared" si="44"/>
        <v>71</v>
      </c>
      <c r="Z118" s="4">
        <f t="shared" si="45"/>
        <v>46</v>
      </c>
      <c r="AA118" s="102">
        <f t="shared" si="46"/>
        <v>46</v>
      </c>
      <c r="AC118" s="100">
        <f t="shared" si="47"/>
        <v>0.98493246328251127</v>
      </c>
    </row>
    <row r="119" spans="4:29" x14ac:dyDescent="0.35">
      <c r="D119">
        <f t="shared" si="48"/>
        <v>115</v>
      </c>
      <c r="E119" s="101">
        <v>2</v>
      </c>
      <c r="F119" s="4">
        <v>7</v>
      </c>
      <c r="G119" s="4">
        <v>7</v>
      </c>
      <c r="H119" s="4">
        <v>3</v>
      </c>
      <c r="I119" s="4">
        <v>4</v>
      </c>
      <c r="J119" s="4">
        <v>5</v>
      </c>
      <c r="K119" s="102">
        <v>6</v>
      </c>
      <c r="M119" s="101">
        <f t="shared" si="33"/>
        <v>56</v>
      </c>
      <c r="N119" s="4">
        <f t="shared" si="34"/>
        <v>29</v>
      </c>
      <c r="O119" s="4">
        <f t="shared" si="35"/>
        <v>29</v>
      </c>
      <c r="P119" s="4">
        <f t="shared" si="36"/>
        <v>23</v>
      </c>
      <c r="Q119" s="4">
        <f t="shared" si="37"/>
        <v>12</v>
      </c>
      <c r="R119" s="4">
        <f t="shared" si="38"/>
        <v>30</v>
      </c>
      <c r="S119" s="102">
        <f t="shared" si="39"/>
        <v>45</v>
      </c>
      <c r="U119" s="101">
        <f t="shared" si="40"/>
        <v>78</v>
      </c>
      <c r="V119" s="4">
        <f t="shared" si="41"/>
        <v>41</v>
      </c>
      <c r="W119" s="4">
        <f t="shared" si="42"/>
        <v>41</v>
      </c>
      <c r="X119" s="4">
        <f t="shared" si="43"/>
        <v>39</v>
      </c>
      <c r="Y119" s="4">
        <f t="shared" si="44"/>
        <v>9</v>
      </c>
      <c r="Z119" s="4">
        <f t="shared" si="45"/>
        <v>39</v>
      </c>
      <c r="AA119" s="102">
        <f t="shared" si="46"/>
        <v>71</v>
      </c>
      <c r="AC119" s="100">
        <f t="shared" si="47"/>
        <v>0.97632814590635097</v>
      </c>
    </row>
    <row r="120" spans="4:29" x14ac:dyDescent="0.35">
      <c r="D120">
        <f t="shared" si="48"/>
        <v>116</v>
      </c>
      <c r="E120" s="101">
        <v>2</v>
      </c>
      <c r="F120" s="4">
        <v>6</v>
      </c>
      <c r="G120" s="4">
        <v>4</v>
      </c>
      <c r="H120" s="4">
        <v>2</v>
      </c>
      <c r="I120" s="4">
        <v>6</v>
      </c>
      <c r="J120" s="4">
        <v>2</v>
      </c>
      <c r="K120" s="102">
        <v>7</v>
      </c>
      <c r="M120" s="101">
        <f t="shared" si="33"/>
        <v>56</v>
      </c>
      <c r="N120" s="4">
        <f t="shared" si="34"/>
        <v>45</v>
      </c>
      <c r="O120" s="4">
        <f t="shared" si="35"/>
        <v>12</v>
      </c>
      <c r="P120" s="4">
        <f t="shared" si="36"/>
        <v>56</v>
      </c>
      <c r="Q120" s="4">
        <f t="shared" si="37"/>
        <v>45</v>
      </c>
      <c r="R120" s="4">
        <f t="shared" si="38"/>
        <v>56</v>
      </c>
      <c r="S120" s="102">
        <f t="shared" si="39"/>
        <v>29</v>
      </c>
      <c r="U120" s="101">
        <f t="shared" si="40"/>
        <v>78</v>
      </c>
      <c r="V120" s="4">
        <f t="shared" si="41"/>
        <v>71</v>
      </c>
      <c r="W120" s="4">
        <f t="shared" si="42"/>
        <v>9</v>
      </c>
      <c r="X120" s="4">
        <f t="shared" si="43"/>
        <v>78</v>
      </c>
      <c r="Y120" s="4">
        <f t="shared" si="44"/>
        <v>71</v>
      </c>
      <c r="Z120" s="4">
        <f t="shared" si="45"/>
        <v>78</v>
      </c>
      <c r="AA120" s="102">
        <f t="shared" si="46"/>
        <v>41</v>
      </c>
      <c r="AC120" s="100">
        <f t="shared" si="47"/>
        <v>0.98272719530606767</v>
      </c>
    </row>
    <row r="121" spans="4:29" x14ac:dyDescent="0.35">
      <c r="D121">
        <f t="shared" si="48"/>
        <v>117</v>
      </c>
      <c r="E121" s="101">
        <v>5</v>
      </c>
      <c r="F121" s="4">
        <v>3</v>
      </c>
      <c r="G121" s="4">
        <v>1</v>
      </c>
      <c r="H121" s="4">
        <v>7</v>
      </c>
      <c r="I121" s="4">
        <v>5</v>
      </c>
      <c r="J121" s="4">
        <v>1</v>
      </c>
      <c r="K121" s="102">
        <v>6</v>
      </c>
      <c r="M121" s="101">
        <f t="shared" si="33"/>
        <v>30</v>
      </c>
      <c r="N121" s="4">
        <f t="shared" si="34"/>
        <v>23</v>
      </c>
      <c r="O121" s="4">
        <f t="shared" si="35"/>
        <v>34</v>
      </c>
      <c r="P121" s="4">
        <f t="shared" si="36"/>
        <v>29</v>
      </c>
      <c r="Q121" s="4">
        <f t="shared" si="37"/>
        <v>30</v>
      </c>
      <c r="R121" s="4">
        <f t="shared" si="38"/>
        <v>34</v>
      </c>
      <c r="S121" s="102">
        <f t="shared" si="39"/>
        <v>45</v>
      </c>
      <c r="U121" s="101">
        <f t="shared" si="40"/>
        <v>39</v>
      </c>
      <c r="V121" s="4">
        <f t="shared" si="41"/>
        <v>39</v>
      </c>
      <c r="W121" s="4">
        <f t="shared" si="42"/>
        <v>46</v>
      </c>
      <c r="X121" s="4">
        <f t="shared" si="43"/>
        <v>41</v>
      </c>
      <c r="Y121" s="4">
        <f t="shared" si="44"/>
        <v>39</v>
      </c>
      <c r="Z121" s="4">
        <f t="shared" si="45"/>
        <v>46</v>
      </c>
      <c r="AA121" s="102">
        <f t="shared" si="46"/>
        <v>71</v>
      </c>
      <c r="AC121" s="100">
        <f t="shared" si="47"/>
        <v>0.92124988493573623</v>
      </c>
    </row>
    <row r="122" spans="4:29" x14ac:dyDescent="0.35">
      <c r="D122">
        <f t="shared" si="48"/>
        <v>118</v>
      </c>
      <c r="E122" s="101">
        <v>2</v>
      </c>
      <c r="F122" s="4">
        <v>6</v>
      </c>
      <c r="G122" s="4">
        <v>4</v>
      </c>
      <c r="H122" s="4">
        <v>7</v>
      </c>
      <c r="I122" s="4">
        <v>2</v>
      </c>
      <c r="J122" s="4">
        <v>2</v>
      </c>
      <c r="K122" s="102">
        <v>5</v>
      </c>
      <c r="M122" s="101">
        <f t="shared" si="33"/>
        <v>56</v>
      </c>
      <c r="N122" s="4">
        <f t="shared" si="34"/>
        <v>45</v>
      </c>
      <c r="O122" s="4">
        <f t="shared" si="35"/>
        <v>12</v>
      </c>
      <c r="P122" s="4">
        <f t="shared" si="36"/>
        <v>29</v>
      </c>
      <c r="Q122" s="4">
        <f t="shared" si="37"/>
        <v>56</v>
      </c>
      <c r="R122" s="4">
        <f t="shared" si="38"/>
        <v>56</v>
      </c>
      <c r="S122" s="102">
        <f t="shared" si="39"/>
        <v>30</v>
      </c>
      <c r="U122" s="101">
        <f t="shared" si="40"/>
        <v>78</v>
      </c>
      <c r="V122" s="4">
        <f t="shared" si="41"/>
        <v>71</v>
      </c>
      <c r="W122" s="4">
        <f t="shared" si="42"/>
        <v>9</v>
      </c>
      <c r="X122" s="4">
        <f t="shared" si="43"/>
        <v>41</v>
      </c>
      <c r="Y122" s="4">
        <f t="shared" si="44"/>
        <v>78</v>
      </c>
      <c r="Z122" s="4">
        <f t="shared" si="45"/>
        <v>78</v>
      </c>
      <c r="AA122" s="102">
        <f t="shared" si="46"/>
        <v>39</v>
      </c>
      <c r="AC122" s="100">
        <f t="shared" si="47"/>
        <v>0.98937726106300594</v>
      </c>
    </row>
    <row r="123" spans="4:29" x14ac:dyDescent="0.35">
      <c r="D123">
        <f t="shared" si="48"/>
        <v>119</v>
      </c>
      <c r="E123" s="101">
        <v>5</v>
      </c>
      <c r="F123" s="4">
        <v>3</v>
      </c>
      <c r="G123" s="4">
        <v>6</v>
      </c>
      <c r="H123" s="4">
        <v>7</v>
      </c>
      <c r="I123" s="4">
        <v>6</v>
      </c>
      <c r="J123" s="4">
        <v>2</v>
      </c>
      <c r="K123" s="102">
        <v>4</v>
      </c>
      <c r="M123" s="101">
        <f t="shared" si="33"/>
        <v>30</v>
      </c>
      <c r="N123" s="4">
        <f t="shared" si="34"/>
        <v>23</v>
      </c>
      <c r="O123" s="4">
        <f t="shared" si="35"/>
        <v>45</v>
      </c>
      <c r="P123" s="4">
        <f t="shared" si="36"/>
        <v>29</v>
      </c>
      <c r="Q123" s="4">
        <f t="shared" si="37"/>
        <v>45</v>
      </c>
      <c r="R123" s="4">
        <f t="shared" si="38"/>
        <v>56</v>
      </c>
      <c r="S123" s="102">
        <f t="shared" si="39"/>
        <v>12</v>
      </c>
      <c r="U123" s="101">
        <f t="shared" si="40"/>
        <v>39</v>
      </c>
      <c r="V123" s="4">
        <f t="shared" si="41"/>
        <v>39</v>
      </c>
      <c r="W123" s="4">
        <f t="shared" si="42"/>
        <v>71</v>
      </c>
      <c r="X123" s="4">
        <f t="shared" si="43"/>
        <v>41</v>
      </c>
      <c r="Y123" s="4">
        <f t="shared" si="44"/>
        <v>71</v>
      </c>
      <c r="Z123" s="4">
        <f t="shared" si="45"/>
        <v>78</v>
      </c>
      <c r="AA123" s="102">
        <f t="shared" si="46"/>
        <v>9</v>
      </c>
      <c r="AC123" s="100">
        <f t="shared" si="47"/>
        <v>0.97649855123616347</v>
      </c>
    </row>
    <row r="124" spans="4:29" x14ac:dyDescent="0.35">
      <c r="D124">
        <f t="shared" si="48"/>
        <v>120</v>
      </c>
      <c r="E124" s="101">
        <v>2</v>
      </c>
      <c r="F124" s="4">
        <v>4</v>
      </c>
      <c r="G124" s="4">
        <v>5</v>
      </c>
      <c r="H124" s="4">
        <v>4</v>
      </c>
      <c r="I124" s="4">
        <v>6</v>
      </c>
      <c r="J124" s="4">
        <v>7</v>
      </c>
      <c r="K124" s="102">
        <v>3</v>
      </c>
      <c r="M124" s="101">
        <f t="shared" si="33"/>
        <v>56</v>
      </c>
      <c r="N124" s="4">
        <f t="shared" si="34"/>
        <v>12</v>
      </c>
      <c r="O124" s="4">
        <f t="shared" si="35"/>
        <v>30</v>
      </c>
      <c r="P124" s="4">
        <f t="shared" si="36"/>
        <v>12</v>
      </c>
      <c r="Q124" s="4">
        <f t="shared" si="37"/>
        <v>45</v>
      </c>
      <c r="R124" s="4">
        <f t="shared" si="38"/>
        <v>29</v>
      </c>
      <c r="S124" s="102">
        <f t="shared" si="39"/>
        <v>23</v>
      </c>
      <c r="U124" s="101">
        <f t="shared" si="40"/>
        <v>78</v>
      </c>
      <c r="V124" s="4">
        <f t="shared" si="41"/>
        <v>9</v>
      </c>
      <c r="W124" s="4">
        <f t="shared" si="42"/>
        <v>39</v>
      </c>
      <c r="X124" s="4">
        <f t="shared" si="43"/>
        <v>9</v>
      </c>
      <c r="Y124" s="4">
        <f t="shared" si="44"/>
        <v>71</v>
      </c>
      <c r="Z124" s="4">
        <f t="shared" si="45"/>
        <v>41</v>
      </c>
      <c r="AA124" s="102">
        <f t="shared" si="46"/>
        <v>39</v>
      </c>
      <c r="AC124" s="100">
        <f t="shared" si="47"/>
        <v>0.98056246901345057</v>
      </c>
    </row>
    <row r="125" spans="4:29" x14ac:dyDescent="0.35">
      <c r="D125">
        <f t="shared" si="48"/>
        <v>121</v>
      </c>
      <c r="E125" s="101">
        <v>5</v>
      </c>
      <c r="F125" s="4">
        <v>6</v>
      </c>
      <c r="G125" s="4">
        <v>4</v>
      </c>
      <c r="H125" s="4">
        <v>2</v>
      </c>
      <c r="I125" s="4">
        <v>2</v>
      </c>
      <c r="J125" s="4">
        <v>7</v>
      </c>
      <c r="K125" s="102">
        <v>7</v>
      </c>
      <c r="M125" s="101">
        <f t="shared" si="33"/>
        <v>30</v>
      </c>
      <c r="N125" s="4">
        <f t="shared" si="34"/>
        <v>45</v>
      </c>
      <c r="O125" s="4">
        <f t="shared" si="35"/>
        <v>12</v>
      </c>
      <c r="P125" s="4">
        <f t="shared" si="36"/>
        <v>56</v>
      </c>
      <c r="Q125" s="4">
        <f t="shared" si="37"/>
        <v>56</v>
      </c>
      <c r="R125" s="4">
        <f t="shared" si="38"/>
        <v>29</v>
      </c>
      <c r="S125" s="102">
        <f t="shared" si="39"/>
        <v>29</v>
      </c>
      <c r="U125" s="101">
        <f t="shared" si="40"/>
        <v>39</v>
      </c>
      <c r="V125" s="4">
        <f t="shared" si="41"/>
        <v>71</v>
      </c>
      <c r="W125" s="4">
        <f t="shared" si="42"/>
        <v>9</v>
      </c>
      <c r="X125" s="4">
        <f t="shared" si="43"/>
        <v>78</v>
      </c>
      <c r="Y125" s="4">
        <f t="shared" si="44"/>
        <v>78</v>
      </c>
      <c r="Z125" s="4">
        <f t="shared" si="45"/>
        <v>41</v>
      </c>
      <c r="AA125" s="102">
        <f t="shared" si="46"/>
        <v>41</v>
      </c>
      <c r="AC125" s="100">
        <f t="shared" si="47"/>
        <v>0.98838974223778486</v>
      </c>
    </row>
    <row r="126" spans="4:29" x14ac:dyDescent="0.35">
      <c r="D126">
        <f t="shared" si="48"/>
        <v>122</v>
      </c>
      <c r="E126" s="101">
        <v>6</v>
      </c>
      <c r="F126" s="4">
        <v>5</v>
      </c>
      <c r="G126" s="4">
        <v>4</v>
      </c>
      <c r="H126" s="4">
        <v>4</v>
      </c>
      <c r="I126" s="4">
        <v>7</v>
      </c>
      <c r="J126" s="4">
        <v>7</v>
      </c>
      <c r="K126" s="102">
        <v>7</v>
      </c>
      <c r="M126" s="101">
        <f t="shared" si="33"/>
        <v>45</v>
      </c>
      <c r="N126" s="4">
        <f t="shared" si="34"/>
        <v>30</v>
      </c>
      <c r="O126" s="4">
        <f t="shared" si="35"/>
        <v>12</v>
      </c>
      <c r="P126" s="4">
        <f t="shared" si="36"/>
        <v>12</v>
      </c>
      <c r="Q126" s="4">
        <f t="shared" si="37"/>
        <v>29</v>
      </c>
      <c r="R126" s="4">
        <f t="shared" si="38"/>
        <v>29</v>
      </c>
      <c r="S126" s="102">
        <f t="shared" si="39"/>
        <v>29</v>
      </c>
      <c r="U126" s="101">
        <f t="shared" si="40"/>
        <v>71</v>
      </c>
      <c r="V126" s="4">
        <f t="shared" si="41"/>
        <v>39</v>
      </c>
      <c r="W126" s="4">
        <f t="shared" si="42"/>
        <v>9</v>
      </c>
      <c r="X126" s="4">
        <f t="shared" si="43"/>
        <v>9</v>
      </c>
      <c r="Y126" s="4">
        <f t="shared" si="44"/>
        <v>41</v>
      </c>
      <c r="Z126" s="4">
        <f t="shared" si="45"/>
        <v>41</v>
      </c>
      <c r="AA126" s="102">
        <f t="shared" si="46"/>
        <v>41</v>
      </c>
      <c r="AC126" s="100">
        <f t="shared" si="47"/>
        <v>0.9977387579159529</v>
      </c>
    </row>
    <row r="127" spans="4:29" x14ac:dyDescent="0.35">
      <c r="D127">
        <f t="shared" si="48"/>
        <v>123</v>
      </c>
      <c r="E127" s="101">
        <v>3</v>
      </c>
      <c r="F127" s="4">
        <v>3</v>
      </c>
      <c r="G127" s="4">
        <v>1</v>
      </c>
      <c r="H127" s="4">
        <v>3</v>
      </c>
      <c r="I127" s="4">
        <v>7</v>
      </c>
      <c r="J127" s="4">
        <v>3</v>
      </c>
      <c r="K127" s="102">
        <v>7</v>
      </c>
      <c r="M127" s="101">
        <f t="shared" si="33"/>
        <v>23</v>
      </c>
      <c r="N127" s="4">
        <f t="shared" si="34"/>
        <v>23</v>
      </c>
      <c r="O127" s="4">
        <f t="shared" si="35"/>
        <v>34</v>
      </c>
      <c r="P127" s="4">
        <f t="shared" si="36"/>
        <v>23</v>
      </c>
      <c r="Q127" s="4">
        <f t="shared" si="37"/>
        <v>29</v>
      </c>
      <c r="R127" s="4">
        <f t="shared" si="38"/>
        <v>23</v>
      </c>
      <c r="S127" s="102">
        <f t="shared" si="39"/>
        <v>29</v>
      </c>
      <c r="U127" s="101">
        <f t="shared" si="40"/>
        <v>39</v>
      </c>
      <c r="V127" s="4">
        <f t="shared" si="41"/>
        <v>39</v>
      </c>
      <c r="W127" s="4">
        <f t="shared" si="42"/>
        <v>46</v>
      </c>
      <c r="X127" s="4">
        <f t="shared" si="43"/>
        <v>39</v>
      </c>
      <c r="Y127" s="4">
        <f t="shared" si="44"/>
        <v>41</v>
      </c>
      <c r="Z127" s="4">
        <f t="shared" si="45"/>
        <v>39</v>
      </c>
      <c r="AA127" s="102">
        <f t="shared" si="46"/>
        <v>41</v>
      </c>
      <c r="AC127" s="100">
        <f t="shared" si="47"/>
        <v>0.94972429116854229</v>
      </c>
    </row>
    <row r="128" spans="4:29" x14ac:dyDescent="0.35">
      <c r="D128">
        <f t="shared" si="48"/>
        <v>124</v>
      </c>
      <c r="E128" s="101">
        <v>7</v>
      </c>
      <c r="F128" s="4">
        <v>6</v>
      </c>
      <c r="G128" s="4">
        <v>6</v>
      </c>
      <c r="H128" s="4">
        <v>4</v>
      </c>
      <c r="I128" s="4">
        <v>6</v>
      </c>
      <c r="J128" s="4">
        <v>5</v>
      </c>
      <c r="K128" s="102">
        <v>7</v>
      </c>
      <c r="M128" s="101">
        <f t="shared" si="33"/>
        <v>29</v>
      </c>
      <c r="N128" s="4">
        <f t="shared" si="34"/>
        <v>45</v>
      </c>
      <c r="O128" s="4">
        <f t="shared" si="35"/>
        <v>45</v>
      </c>
      <c r="P128" s="4">
        <f t="shared" si="36"/>
        <v>12</v>
      </c>
      <c r="Q128" s="4">
        <f t="shared" si="37"/>
        <v>45</v>
      </c>
      <c r="R128" s="4">
        <f t="shared" si="38"/>
        <v>30</v>
      </c>
      <c r="S128" s="102">
        <f t="shared" si="39"/>
        <v>29</v>
      </c>
      <c r="U128" s="101">
        <f t="shared" si="40"/>
        <v>41</v>
      </c>
      <c r="V128" s="4">
        <f t="shared" si="41"/>
        <v>71</v>
      </c>
      <c r="W128" s="4">
        <f t="shared" si="42"/>
        <v>71</v>
      </c>
      <c r="X128" s="4">
        <f t="shared" si="43"/>
        <v>9</v>
      </c>
      <c r="Y128" s="4">
        <f t="shared" si="44"/>
        <v>71</v>
      </c>
      <c r="Z128" s="4">
        <f t="shared" si="45"/>
        <v>39</v>
      </c>
      <c r="AA128" s="102">
        <f t="shared" si="46"/>
        <v>41</v>
      </c>
      <c r="AC128" s="100">
        <f t="shared" si="47"/>
        <v>0.99810099745416592</v>
      </c>
    </row>
    <row r="129" spans="4:29" x14ac:dyDescent="0.35">
      <c r="D129">
        <f t="shared" si="48"/>
        <v>125</v>
      </c>
      <c r="E129" s="101">
        <v>1</v>
      </c>
      <c r="F129" s="4">
        <v>1</v>
      </c>
      <c r="G129" s="4">
        <v>6</v>
      </c>
      <c r="H129" s="4">
        <v>2</v>
      </c>
      <c r="I129" s="4">
        <v>2</v>
      </c>
      <c r="J129" s="4">
        <v>2</v>
      </c>
      <c r="K129" s="102">
        <v>2</v>
      </c>
      <c r="M129" s="101">
        <f t="shared" si="33"/>
        <v>34</v>
      </c>
      <c r="N129" s="4">
        <f t="shared" si="34"/>
        <v>34</v>
      </c>
      <c r="O129" s="4">
        <f t="shared" si="35"/>
        <v>45</v>
      </c>
      <c r="P129" s="4">
        <f t="shared" si="36"/>
        <v>56</v>
      </c>
      <c r="Q129" s="4">
        <f t="shared" si="37"/>
        <v>56</v>
      </c>
      <c r="R129" s="4">
        <f t="shared" si="38"/>
        <v>56</v>
      </c>
      <c r="S129" s="102">
        <f t="shared" si="39"/>
        <v>56</v>
      </c>
      <c r="U129" s="101">
        <f t="shared" si="40"/>
        <v>46</v>
      </c>
      <c r="V129" s="4">
        <f t="shared" si="41"/>
        <v>46</v>
      </c>
      <c r="W129" s="4">
        <f t="shared" si="42"/>
        <v>71</v>
      </c>
      <c r="X129" s="4">
        <f t="shared" si="43"/>
        <v>78</v>
      </c>
      <c r="Y129" s="4">
        <f t="shared" si="44"/>
        <v>78</v>
      </c>
      <c r="Z129" s="4">
        <f t="shared" si="45"/>
        <v>78</v>
      </c>
      <c r="AA129" s="102">
        <f t="shared" si="46"/>
        <v>78</v>
      </c>
      <c r="AC129" s="100">
        <f t="shared" si="47"/>
        <v>0.97491499971557327</v>
      </c>
    </row>
    <row r="130" spans="4:29" x14ac:dyDescent="0.35">
      <c r="D130">
        <f t="shared" si="48"/>
        <v>126</v>
      </c>
      <c r="E130" s="101">
        <v>4</v>
      </c>
      <c r="F130" s="4">
        <v>2</v>
      </c>
      <c r="G130" s="4">
        <v>4</v>
      </c>
      <c r="H130" s="4">
        <v>5</v>
      </c>
      <c r="I130" s="4">
        <v>3</v>
      </c>
      <c r="J130" s="4">
        <v>6</v>
      </c>
      <c r="K130" s="102">
        <v>3</v>
      </c>
      <c r="M130" s="101">
        <f t="shared" si="33"/>
        <v>12</v>
      </c>
      <c r="N130" s="4">
        <f t="shared" si="34"/>
        <v>56</v>
      </c>
      <c r="O130" s="4">
        <f t="shared" si="35"/>
        <v>12</v>
      </c>
      <c r="P130" s="4">
        <f t="shared" si="36"/>
        <v>30</v>
      </c>
      <c r="Q130" s="4">
        <f t="shared" si="37"/>
        <v>23</v>
      </c>
      <c r="R130" s="4">
        <f t="shared" si="38"/>
        <v>45</v>
      </c>
      <c r="S130" s="102">
        <f t="shared" si="39"/>
        <v>23</v>
      </c>
      <c r="U130" s="101">
        <f t="shared" si="40"/>
        <v>9</v>
      </c>
      <c r="V130" s="4">
        <f t="shared" si="41"/>
        <v>78</v>
      </c>
      <c r="W130" s="4">
        <f t="shared" si="42"/>
        <v>9</v>
      </c>
      <c r="X130" s="4">
        <f t="shared" si="43"/>
        <v>39</v>
      </c>
      <c r="Y130" s="4">
        <f t="shared" si="44"/>
        <v>39</v>
      </c>
      <c r="Z130" s="4">
        <f t="shared" si="45"/>
        <v>71</v>
      </c>
      <c r="AA130" s="102">
        <f t="shared" si="46"/>
        <v>39</v>
      </c>
      <c r="AC130" s="100">
        <f t="shared" si="47"/>
        <v>0.97284390742836813</v>
      </c>
    </row>
    <row r="131" spans="4:29" x14ac:dyDescent="0.35">
      <c r="D131">
        <f t="shared" si="48"/>
        <v>127</v>
      </c>
      <c r="E131" s="101">
        <v>1</v>
      </c>
      <c r="F131" s="4">
        <v>1</v>
      </c>
      <c r="G131" s="4">
        <v>7</v>
      </c>
      <c r="H131" s="4">
        <v>1</v>
      </c>
      <c r="I131" s="4">
        <v>1</v>
      </c>
      <c r="J131" s="4">
        <v>5</v>
      </c>
      <c r="K131" s="102">
        <v>2</v>
      </c>
      <c r="M131" s="101">
        <f t="shared" si="33"/>
        <v>34</v>
      </c>
      <c r="N131" s="4">
        <f t="shared" si="34"/>
        <v>34</v>
      </c>
      <c r="O131" s="4">
        <f t="shared" si="35"/>
        <v>29</v>
      </c>
      <c r="P131" s="4">
        <f t="shared" si="36"/>
        <v>34</v>
      </c>
      <c r="Q131" s="4">
        <f t="shared" si="37"/>
        <v>34</v>
      </c>
      <c r="R131" s="4">
        <f t="shared" si="38"/>
        <v>30</v>
      </c>
      <c r="S131" s="102">
        <f t="shared" si="39"/>
        <v>56</v>
      </c>
      <c r="U131" s="101">
        <f t="shared" si="40"/>
        <v>46</v>
      </c>
      <c r="V131" s="4">
        <f t="shared" si="41"/>
        <v>46</v>
      </c>
      <c r="W131" s="4">
        <f t="shared" si="42"/>
        <v>41</v>
      </c>
      <c r="X131" s="4">
        <f t="shared" si="43"/>
        <v>46</v>
      </c>
      <c r="Y131" s="4">
        <f t="shared" si="44"/>
        <v>46</v>
      </c>
      <c r="Z131" s="4">
        <f t="shared" si="45"/>
        <v>39</v>
      </c>
      <c r="AA131" s="102">
        <f t="shared" si="46"/>
        <v>78</v>
      </c>
      <c r="AC131" s="100">
        <f t="shared" si="47"/>
        <v>0.99699692543226481</v>
      </c>
    </row>
    <row r="132" spans="4:29" x14ac:dyDescent="0.35">
      <c r="D132">
        <f t="shared" si="48"/>
        <v>128</v>
      </c>
      <c r="E132" s="101">
        <v>2</v>
      </c>
      <c r="F132" s="4">
        <v>1</v>
      </c>
      <c r="G132" s="4">
        <v>2</v>
      </c>
      <c r="H132" s="4">
        <v>6</v>
      </c>
      <c r="I132" s="4">
        <v>1</v>
      </c>
      <c r="J132" s="4">
        <v>4</v>
      </c>
      <c r="K132" s="102">
        <v>6</v>
      </c>
      <c r="M132" s="101">
        <f t="shared" si="33"/>
        <v>56</v>
      </c>
      <c r="N132" s="4">
        <f t="shared" si="34"/>
        <v>34</v>
      </c>
      <c r="O132" s="4">
        <f t="shared" si="35"/>
        <v>56</v>
      </c>
      <c r="P132" s="4">
        <f t="shared" si="36"/>
        <v>45</v>
      </c>
      <c r="Q132" s="4">
        <f t="shared" si="37"/>
        <v>34</v>
      </c>
      <c r="R132" s="4">
        <f t="shared" si="38"/>
        <v>12</v>
      </c>
      <c r="S132" s="102">
        <f t="shared" si="39"/>
        <v>45</v>
      </c>
      <c r="U132" s="101">
        <f t="shared" si="40"/>
        <v>78</v>
      </c>
      <c r="V132" s="4">
        <f t="shared" si="41"/>
        <v>46</v>
      </c>
      <c r="W132" s="4">
        <f t="shared" si="42"/>
        <v>78</v>
      </c>
      <c r="X132" s="4">
        <f t="shared" si="43"/>
        <v>71</v>
      </c>
      <c r="Y132" s="4">
        <f t="shared" si="44"/>
        <v>46</v>
      </c>
      <c r="Z132" s="4">
        <f t="shared" si="45"/>
        <v>9</v>
      </c>
      <c r="AA132" s="102">
        <f t="shared" si="46"/>
        <v>71</v>
      </c>
      <c r="AC132" s="100">
        <f t="shared" si="47"/>
        <v>0.98327217004662582</v>
      </c>
    </row>
    <row r="133" spans="4:29" x14ac:dyDescent="0.35">
      <c r="D133">
        <f t="shared" si="48"/>
        <v>129</v>
      </c>
      <c r="E133" s="101">
        <v>7</v>
      </c>
      <c r="F133" s="4">
        <v>3</v>
      </c>
      <c r="G133" s="4">
        <v>3</v>
      </c>
      <c r="H133" s="4">
        <v>5</v>
      </c>
      <c r="I133" s="4">
        <v>5</v>
      </c>
      <c r="J133" s="4">
        <v>5</v>
      </c>
      <c r="K133" s="102">
        <v>5</v>
      </c>
      <c r="M133" s="101">
        <f t="shared" si="33"/>
        <v>29</v>
      </c>
      <c r="N133" s="4">
        <f t="shared" si="34"/>
        <v>23</v>
      </c>
      <c r="O133" s="4">
        <f t="shared" si="35"/>
        <v>23</v>
      </c>
      <c r="P133" s="4">
        <f t="shared" si="36"/>
        <v>30</v>
      </c>
      <c r="Q133" s="4">
        <f t="shared" si="37"/>
        <v>30</v>
      </c>
      <c r="R133" s="4">
        <f t="shared" si="38"/>
        <v>30</v>
      </c>
      <c r="S133" s="102">
        <f t="shared" si="39"/>
        <v>30</v>
      </c>
      <c r="U133" s="101">
        <f t="shared" si="40"/>
        <v>41</v>
      </c>
      <c r="V133" s="4">
        <f t="shared" si="41"/>
        <v>39</v>
      </c>
      <c r="W133" s="4">
        <f t="shared" si="42"/>
        <v>39</v>
      </c>
      <c r="X133" s="4">
        <f t="shared" si="43"/>
        <v>39</v>
      </c>
      <c r="Y133" s="4">
        <f t="shared" si="44"/>
        <v>39</v>
      </c>
      <c r="Z133" s="4">
        <f t="shared" si="45"/>
        <v>39</v>
      </c>
      <c r="AA133" s="102">
        <f t="shared" si="46"/>
        <v>39</v>
      </c>
      <c r="AC133" s="100">
        <f t="shared" si="47"/>
        <v>0.1509702712192795</v>
      </c>
    </row>
    <row r="134" spans="4:29" x14ac:dyDescent="0.35">
      <c r="D134">
        <f t="shared" si="48"/>
        <v>130</v>
      </c>
      <c r="E134" s="101">
        <v>4</v>
      </c>
      <c r="F134" s="4">
        <v>2</v>
      </c>
      <c r="G134" s="4">
        <v>5</v>
      </c>
      <c r="H134" s="4">
        <v>7</v>
      </c>
      <c r="I134" s="4">
        <v>4</v>
      </c>
      <c r="J134" s="4">
        <v>7</v>
      </c>
      <c r="K134" s="102">
        <v>6</v>
      </c>
      <c r="M134" s="101">
        <f t="shared" ref="M134:M197" si="49">INDEX($A$5:$A$11,E134)</f>
        <v>12</v>
      </c>
      <c r="N134" s="4">
        <f t="shared" ref="N134:N197" si="50">INDEX($A$5:$A$11,F134)</f>
        <v>56</v>
      </c>
      <c r="O134" s="4">
        <f t="shared" ref="O134:O197" si="51">INDEX($A$5:$A$11,G134)</f>
        <v>30</v>
      </c>
      <c r="P134" s="4">
        <f t="shared" ref="P134:P197" si="52">INDEX($A$5:$A$11,H134)</f>
        <v>29</v>
      </c>
      <c r="Q134" s="4">
        <f t="shared" ref="Q134:Q197" si="53">INDEX($A$5:$A$11,I134)</f>
        <v>12</v>
      </c>
      <c r="R134" s="4">
        <f t="shared" ref="R134:R197" si="54">INDEX($A$5:$A$11,J134)</f>
        <v>29</v>
      </c>
      <c r="S134" s="102">
        <f t="shared" ref="S134:S197" si="55">INDEX($A$5:$A$11,K134)</f>
        <v>45</v>
      </c>
      <c r="U134" s="101">
        <f t="shared" ref="U134:U197" si="56">INDEX($B$5:$B$11,E134)</f>
        <v>9</v>
      </c>
      <c r="V134" s="4">
        <f t="shared" ref="V134:V197" si="57">INDEX($B$5:$B$11,F134)</f>
        <v>78</v>
      </c>
      <c r="W134" s="4">
        <f t="shared" ref="W134:W197" si="58">INDEX($B$5:$B$11,G134)</f>
        <v>39</v>
      </c>
      <c r="X134" s="4">
        <f t="shared" ref="X134:X197" si="59">INDEX($B$5:$B$11,H134)</f>
        <v>41</v>
      </c>
      <c r="Y134" s="4">
        <f t="shared" ref="Y134:Y197" si="60">INDEX($B$5:$B$11,I134)</f>
        <v>9</v>
      </c>
      <c r="Z134" s="4">
        <f t="shared" ref="Z134:Z197" si="61">INDEX($B$5:$B$11,J134)</f>
        <v>41</v>
      </c>
      <c r="AA134" s="102">
        <f t="shared" ref="AA134:AA197" si="62">INDEX($B$5:$B$11,K134)</f>
        <v>71</v>
      </c>
      <c r="AC134" s="100">
        <f t="shared" ref="AC134:AC197" si="63">CORREL(M134:S134,U134:AA134)</f>
        <v>0.99068286286054319</v>
      </c>
    </row>
    <row r="135" spans="4:29" x14ac:dyDescent="0.35">
      <c r="D135">
        <f t="shared" ref="D135:D198" si="64">D134+1</f>
        <v>131</v>
      </c>
      <c r="E135" s="101">
        <v>1</v>
      </c>
      <c r="F135" s="4">
        <v>2</v>
      </c>
      <c r="G135" s="4">
        <v>5</v>
      </c>
      <c r="H135" s="4">
        <v>7</v>
      </c>
      <c r="I135" s="4">
        <v>2</v>
      </c>
      <c r="J135" s="4">
        <v>5</v>
      </c>
      <c r="K135" s="102">
        <v>2</v>
      </c>
      <c r="M135" s="101">
        <f t="shared" si="49"/>
        <v>34</v>
      </c>
      <c r="N135" s="4">
        <f t="shared" si="50"/>
        <v>56</v>
      </c>
      <c r="O135" s="4">
        <f t="shared" si="51"/>
        <v>30</v>
      </c>
      <c r="P135" s="4">
        <f t="shared" si="52"/>
        <v>29</v>
      </c>
      <c r="Q135" s="4">
        <f t="shared" si="53"/>
        <v>56</v>
      </c>
      <c r="R135" s="4">
        <f t="shared" si="54"/>
        <v>30</v>
      </c>
      <c r="S135" s="102">
        <f t="shared" si="55"/>
        <v>56</v>
      </c>
      <c r="U135" s="101">
        <f t="shared" si="56"/>
        <v>46</v>
      </c>
      <c r="V135" s="4">
        <f t="shared" si="57"/>
        <v>78</v>
      </c>
      <c r="W135" s="4">
        <f t="shared" si="58"/>
        <v>39</v>
      </c>
      <c r="X135" s="4">
        <f t="shared" si="59"/>
        <v>41</v>
      </c>
      <c r="Y135" s="4">
        <f t="shared" si="60"/>
        <v>78</v>
      </c>
      <c r="Z135" s="4">
        <f t="shared" si="61"/>
        <v>39</v>
      </c>
      <c r="AA135" s="102">
        <f t="shared" si="62"/>
        <v>78</v>
      </c>
      <c r="AC135" s="100">
        <f t="shared" si="63"/>
        <v>0.99830432220560261</v>
      </c>
    </row>
    <row r="136" spans="4:29" x14ac:dyDescent="0.35">
      <c r="D136">
        <f t="shared" si="64"/>
        <v>132</v>
      </c>
      <c r="E136" s="101">
        <v>5</v>
      </c>
      <c r="F136" s="4">
        <v>6</v>
      </c>
      <c r="G136" s="4">
        <v>4</v>
      </c>
      <c r="H136" s="4">
        <v>7</v>
      </c>
      <c r="I136" s="4">
        <v>7</v>
      </c>
      <c r="J136" s="4">
        <v>2</v>
      </c>
      <c r="K136" s="102">
        <v>7</v>
      </c>
      <c r="M136" s="101">
        <f t="shared" si="49"/>
        <v>30</v>
      </c>
      <c r="N136" s="4">
        <f t="shared" si="50"/>
        <v>45</v>
      </c>
      <c r="O136" s="4">
        <f t="shared" si="51"/>
        <v>12</v>
      </c>
      <c r="P136" s="4">
        <f t="shared" si="52"/>
        <v>29</v>
      </c>
      <c r="Q136" s="4">
        <f t="shared" si="53"/>
        <v>29</v>
      </c>
      <c r="R136" s="4">
        <f t="shared" si="54"/>
        <v>56</v>
      </c>
      <c r="S136" s="102">
        <f t="shared" si="55"/>
        <v>29</v>
      </c>
      <c r="U136" s="101">
        <f t="shared" si="56"/>
        <v>39</v>
      </c>
      <c r="V136" s="4">
        <f t="shared" si="57"/>
        <v>71</v>
      </c>
      <c r="W136" s="4">
        <f t="shared" si="58"/>
        <v>9</v>
      </c>
      <c r="X136" s="4">
        <f t="shared" si="59"/>
        <v>41</v>
      </c>
      <c r="Y136" s="4">
        <f t="shared" si="60"/>
        <v>41</v>
      </c>
      <c r="Z136" s="4">
        <f t="shared" si="61"/>
        <v>78</v>
      </c>
      <c r="AA136" s="102">
        <f t="shared" si="62"/>
        <v>41</v>
      </c>
      <c r="AC136" s="100">
        <f t="shared" si="63"/>
        <v>0.98741314811830772</v>
      </c>
    </row>
    <row r="137" spans="4:29" x14ac:dyDescent="0.35">
      <c r="D137">
        <f t="shared" si="64"/>
        <v>133</v>
      </c>
      <c r="E137" s="101">
        <v>4</v>
      </c>
      <c r="F137" s="4">
        <v>4</v>
      </c>
      <c r="G137" s="4">
        <v>2</v>
      </c>
      <c r="H137" s="4">
        <v>4</v>
      </c>
      <c r="I137" s="4">
        <v>3</v>
      </c>
      <c r="J137" s="4">
        <v>5</v>
      </c>
      <c r="K137" s="102">
        <v>4</v>
      </c>
      <c r="M137" s="101">
        <f t="shared" si="49"/>
        <v>12</v>
      </c>
      <c r="N137" s="4">
        <f t="shared" si="50"/>
        <v>12</v>
      </c>
      <c r="O137" s="4">
        <f t="shared" si="51"/>
        <v>56</v>
      </c>
      <c r="P137" s="4">
        <f t="shared" si="52"/>
        <v>12</v>
      </c>
      <c r="Q137" s="4">
        <f t="shared" si="53"/>
        <v>23</v>
      </c>
      <c r="R137" s="4">
        <f t="shared" si="54"/>
        <v>30</v>
      </c>
      <c r="S137" s="102">
        <f t="shared" si="55"/>
        <v>12</v>
      </c>
      <c r="U137" s="101">
        <f t="shared" si="56"/>
        <v>9</v>
      </c>
      <c r="V137" s="4">
        <f t="shared" si="57"/>
        <v>9</v>
      </c>
      <c r="W137" s="4">
        <f t="shared" si="58"/>
        <v>78</v>
      </c>
      <c r="X137" s="4">
        <f t="shared" si="59"/>
        <v>9</v>
      </c>
      <c r="Y137" s="4">
        <f t="shared" si="60"/>
        <v>39</v>
      </c>
      <c r="Z137" s="4">
        <f t="shared" si="61"/>
        <v>39</v>
      </c>
      <c r="AA137" s="102">
        <f t="shared" si="62"/>
        <v>9</v>
      </c>
      <c r="AC137" s="100">
        <f t="shared" si="63"/>
        <v>0.98369600808613611</v>
      </c>
    </row>
    <row r="138" spans="4:29" x14ac:dyDescent="0.35">
      <c r="D138">
        <f t="shared" si="64"/>
        <v>134</v>
      </c>
      <c r="E138" s="101">
        <v>1</v>
      </c>
      <c r="F138" s="4">
        <v>5</v>
      </c>
      <c r="G138" s="4">
        <v>1</v>
      </c>
      <c r="H138" s="4">
        <v>6</v>
      </c>
      <c r="I138" s="4">
        <v>6</v>
      </c>
      <c r="J138" s="4">
        <v>4</v>
      </c>
      <c r="K138" s="102">
        <v>1</v>
      </c>
      <c r="M138" s="101">
        <f t="shared" si="49"/>
        <v>34</v>
      </c>
      <c r="N138" s="4">
        <f t="shared" si="50"/>
        <v>30</v>
      </c>
      <c r="O138" s="4">
        <f t="shared" si="51"/>
        <v>34</v>
      </c>
      <c r="P138" s="4">
        <f t="shared" si="52"/>
        <v>45</v>
      </c>
      <c r="Q138" s="4">
        <f t="shared" si="53"/>
        <v>45</v>
      </c>
      <c r="R138" s="4">
        <f t="shared" si="54"/>
        <v>12</v>
      </c>
      <c r="S138" s="102">
        <f t="shared" si="55"/>
        <v>34</v>
      </c>
      <c r="U138" s="101">
        <f t="shared" si="56"/>
        <v>46</v>
      </c>
      <c r="V138" s="4">
        <f t="shared" si="57"/>
        <v>39</v>
      </c>
      <c r="W138" s="4">
        <f t="shared" si="58"/>
        <v>46</v>
      </c>
      <c r="X138" s="4">
        <f t="shared" si="59"/>
        <v>71</v>
      </c>
      <c r="Y138" s="4">
        <f t="shared" si="60"/>
        <v>71</v>
      </c>
      <c r="Z138" s="4">
        <f t="shared" si="61"/>
        <v>9</v>
      </c>
      <c r="AA138" s="102">
        <f t="shared" si="62"/>
        <v>46</v>
      </c>
      <c r="AC138" s="100">
        <f t="shared" si="63"/>
        <v>0.99426390608473914</v>
      </c>
    </row>
    <row r="139" spans="4:29" x14ac:dyDescent="0.35">
      <c r="D139">
        <f t="shared" si="64"/>
        <v>135</v>
      </c>
      <c r="E139" s="101">
        <v>7</v>
      </c>
      <c r="F139" s="4">
        <v>5</v>
      </c>
      <c r="G139" s="4">
        <v>1</v>
      </c>
      <c r="H139" s="4">
        <v>7</v>
      </c>
      <c r="I139" s="4">
        <v>4</v>
      </c>
      <c r="J139" s="4">
        <v>1</v>
      </c>
      <c r="K139" s="102">
        <v>7</v>
      </c>
      <c r="M139" s="101">
        <f t="shared" si="49"/>
        <v>29</v>
      </c>
      <c r="N139" s="4">
        <f t="shared" si="50"/>
        <v>30</v>
      </c>
      <c r="O139" s="4">
        <f t="shared" si="51"/>
        <v>34</v>
      </c>
      <c r="P139" s="4">
        <f t="shared" si="52"/>
        <v>29</v>
      </c>
      <c r="Q139" s="4">
        <f t="shared" si="53"/>
        <v>12</v>
      </c>
      <c r="R139" s="4">
        <f t="shared" si="54"/>
        <v>34</v>
      </c>
      <c r="S139" s="102">
        <f t="shared" si="55"/>
        <v>29</v>
      </c>
      <c r="U139" s="101">
        <f t="shared" si="56"/>
        <v>41</v>
      </c>
      <c r="V139" s="4">
        <f t="shared" si="57"/>
        <v>39</v>
      </c>
      <c r="W139" s="4">
        <f t="shared" si="58"/>
        <v>46</v>
      </c>
      <c r="X139" s="4">
        <f t="shared" si="59"/>
        <v>41</v>
      </c>
      <c r="Y139" s="4">
        <f t="shared" si="60"/>
        <v>9</v>
      </c>
      <c r="Z139" s="4">
        <f t="shared" si="61"/>
        <v>46</v>
      </c>
      <c r="AA139" s="102">
        <f t="shared" si="62"/>
        <v>41</v>
      </c>
      <c r="AC139" s="100">
        <f t="shared" si="63"/>
        <v>0.98961164843259219</v>
      </c>
    </row>
    <row r="140" spans="4:29" x14ac:dyDescent="0.35">
      <c r="D140">
        <f t="shared" si="64"/>
        <v>136</v>
      </c>
      <c r="E140" s="101">
        <v>2</v>
      </c>
      <c r="F140" s="4">
        <v>2</v>
      </c>
      <c r="G140" s="4">
        <v>4</v>
      </c>
      <c r="H140" s="4">
        <v>7</v>
      </c>
      <c r="I140" s="4">
        <v>5</v>
      </c>
      <c r="J140" s="4">
        <v>5</v>
      </c>
      <c r="K140" s="102">
        <v>2</v>
      </c>
      <c r="M140" s="101">
        <f t="shared" si="49"/>
        <v>56</v>
      </c>
      <c r="N140" s="4">
        <f t="shared" si="50"/>
        <v>56</v>
      </c>
      <c r="O140" s="4">
        <f t="shared" si="51"/>
        <v>12</v>
      </c>
      <c r="P140" s="4">
        <f t="shared" si="52"/>
        <v>29</v>
      </c>
      <c r="Q140" s="4">
        <f t="shared" si="53"/>
        <v>30</v>
      </c>
      <c r="R140" s="4">
        <f t="shared" si="54"/>
        <v>30</v>
      </c>
      <c r="S140" s="102">
        <f t="shared" si="55"/>
        <v>56</v>
      </c>
      <c r="U140" s="101">
        <f t="shared" si="56"/>
        <v>78</v>
      </c>
      <c r="V140" s="4">
        <f t="shared" si="57"/>
        <v>78</v>
      </c>
      <c r="W140" s="4">
        <f t="shared" si="58"/>
        <v>9</v>
      </c>
      <c r="X140" s="4">
        <f t="shared" si="59"/>
        <v>41</v>
      </c>
      <c r="Y140" s="4">
        <f t="shared" si="60"/>
        <v>39</v>
      </c>
      <c r="Z140" s="4">
        <f t="shared" si="61"/>
        <v>39</v>
      </c>
      <c r="AA140" s="102">
        <f t="shared" si="62"/>
        <v>78</v>
      </c>
      <c r="AC140" s="100">
        <f t="shared" si="63"/>
        <v>0.99768384224370288</v>
      </c>
    </row>
    <row r="141" spans="4:29" x14ac:dyDescent="0.35">
      <c r="D141">
        <f t="shared" si="64"/>
        <v>137</v>
      </c>
      <c r="E141" s="101">
        <v>5</v>
      </c>
      <c r="F141" s="4">
        <v>5</v>
      </c>
      <c r="G141" s="4">
        <v>5</v>
      </c>
      <c r="H141" s="4">
        <v>7</v>
      </c>
      <c r="I141" s="4">
        <v>5</v>
      </c>
      <c r="J141" s="4">
        <v>6</v>
      </c>
      <c r="K141" s="102">
        <v>3</v>
      </c>
      <c r="M141" s="101">
        <f t="shared" si="49"/>
        <v>30</v>
      </c>
      <c r="N141" s="4">
        <f t="shared" si="50"/>
        <v>30</v>
      </c>
      <c r="O141" s="4">
        <f t="shared" si="51"/>
        <v>30</v>
      </c>
      <c r="P141" s="4">
        <f t="shared" si="52"/>
        <v>29</v>
      </c>
      <c r="Q141" s="4">
        <f t="shared" si="53"/>
        <v>30</v>
      </c>
      <c r="R141" s="4">
        <f t="shared" si="54"/>
        <v>45</v>
      </c>
      <c r="S141" s="102">
        <f t="shared" si="55"/>
        <v>23</v>
      </c>
      <c r="U141" s="101">
        <f t="shared" si="56"/>
        <v>39</v>
      </c>
      <c r="V141" s="4">
        <f t="shared" si="57"/>
        <v>39</v>
      </c>
      <c r="W141" s="4">
        <f t="shared" si="58"/>
        <v>39</v>
      </c>
      <c r="X141" s="4">
        <f t="shared" si="59"/>
        <v>41</v>
      </c>
      <c r="Y141" s="4">
        <f t="shared" si="60"/>
        <v>39</v>
      </c>
      <c r="Z141" s="4">
        <f t="shared" si="61"/>
        <v>71</v>
      </c>
      <c r="AA141" s="102">
        <f t="shared" si="62"/>
        <v>39</v>
      </c>
      <c r="AC141" s="100">
        <f t="shared" si="63"/>
        <v>0.92330699074032019</v>
      </c>
    </row>
    <row r="142" spans="4:29" x14ac:dyDescent="0.35">
      <c r="D142">
        <f t="shared" si="64"/>
        <v>138</v>
      </c>
      <c r="E142" s="101">
        <v>3</v>
      </c>
      <c r="F142" s="4">
        <v>6</v>
      </c>
      <c r="G142" s="4">
        <v>3</v>
      </c>
      <c r="H142" s="4">
        <v>5</v>
      </c>
      <c r="I142" s="4">
        <v>5</v>
      </c>
      <c r="J142" s="4">
        <v>1</v>
      </c>
      <c r="K142" s="102">
        <v>1</v>
      </c>
      <c r="M142" s="101">
        <f t="shared" si="49"/>
        <v>23</v>
      </c>
      <c r="N142" s="4">
        <f t="shared" si="50"/>
        <v>45</v>
      </c>
      <c r="O142" s="4">
        <f t="shared" si="51"/>
        <v>23</v>
      </c>
      <c r="P142" s="4">
        <f t="shared" si="52"/>
        <v>30</v>
      </c>
      <c r="Q142" s="4">
        <f t="shared" si="53"/>
        <v>30</v>
      </c>
      <c r="R142" s="4">
        <f t="shared" si="54"/>
        <v>34</v>
      </c>
      <c r="S142" s="102">
        <f t="shared" si="55"/>
        <v>34</v>
      </c>
      <c r="U142" s="101">
        <f t="shared" si="56"/>
        <v>39</v>
      </c>
      <c r="V142" s="4">
        <f t="shared" si="57"/>
        <v>71</v>
      </c>
      <c r="W142" s="4">
        <f t="shared" si="58"/>
        <v>39</v>
      </c>
      <c r="X142" s="4">
        <f t="shared" si="59"/>
        <v>39</v>
      </c>
      <c r="Y142" s="4">
        <f t="shared" si="60"/>
        <v>39</v>
      </c>
      <c r="Z142" s="4">
        <f t="shared" si="61"/>
        <v>46</v>
      </c>
      <c r="AA142" s="102">
        <f t="shared" si="62"/>
        <v>46</v>
      </c>
      <c r="AC142" s="100">
        <f t="shared" si="63"/>
        <v>0.89874984547833636</v>
      </c>
    </row>
    <row r="143" spans="4:29" x14ac:dyDescent="0.35">
      <c r="D143">
        <f t="shared" si="64"/>
        <v>139</v>
      </c>
      <c r="E143" s="101">
        <v>2</v>
      </c>
      <c r="F143" s="4">
        <v>1</v>
      </c>
      <c r="G143" s="4">
        <v>5</v>
      </c>
      <c r="H143" s="4">
        <v>5</v>
      </c>
      <c r="I143" s="4">
        <v>5</v>
      </c>
      <c r="J143" s="4">
        <v>3</v>
      </c>
      <c r="K143" s="102">
        <v>2</v>
      </c>
      <c r="M143" s="101">
        <f t="shared" si="49"/>
        <v>56</v>
      </c>
      <c r="N143" s="4">
        <f t="shared" si="50"/>
        <v>34</v>
      </c>
      <c r="O143" s="4">
        <f t="shared" si="51"/>
        <v>30</v>
      </c>
      <c r="P143" s="4">
        <f t="shared" si="52"/>
        <v>30</v>
      </c>
      <c r="Q143" s="4">
        <f t="shared" si="53"/>
        <v>30</v>
      </c>
      <c r="R143" s="4">
        <f t="shared" si="54"/>
        <v>23</v>
      </c>
      <c r="S143" s="102">
        <f t="shared" si="55"/>
        <v>56</v>
      </c>
      <c r="U143" s="101">
        <f t="shared" si="56"/>
        <v>78</v>
      </c>
      <c r="V143" s="4">
        <f t="shared" si="57"/>
        <v>46</v>
      </c>
      <c r="W143" s="4">
        <f t="shared" si="58"/>
        <v>39</v>
      </c>
      <c r="X143" s="4">
        <f t="shared" si="59"/>
        <v>39</v>
      </c>
      <c r="Y143" s="4">
        <f t="shared" si="60"/>
        <v>39</v>
      </c>
      <c r="Z143" s="4">
        <f t="shared" si="61"/>
        <v>39</v>
      </c>
      <c r="AA143" s="102">
        <f t="shared" si="62"/>
        <v>78</v>
      </c>
      <c r="AC143" s="100">
        <f t="shared" si="63"/>
        <v>0.98250545097294928</v>
      </c>
    </row>
    <row r="144" spans="4:29" x14ac:dyDescent="0.35">
      <c r="D144">
        <f t="shared" si="64"/>
        <v>140</v>
      </c>
      <c r="E144" s="101">
        <v>6</v>
      </c>
      <c r="F144" s="4">
        <v>5</v>
      </c>
      <c r="G144" s="4">
        <v>5</v>
      </c>
      <c r="H144" s="4">
        <v>5</v>
      </c>
      <c r="I144" s="4">
        <v>4</v>
      </c>
      <c r="J144" s="4">
        <v>1</v>
      </c>
      <c r="K144" s="102">
        <v>7</v>
      </c>
      <c r="M144" s="101">
        <f t="shared" si="49"/>
        <v>45</v>
      </c>
      <c r="N144" s="4">
        <f t="shared" si="50"/>
        <v>30</v>
      </c>
      <c r="O144" s="4">
        <f t="shared" si="51"/>
        <v>30</v>
      </c>
      <c r="P144" s="4">
        <f t="shared" si="52"/>
        <v>30</v>
      </c>
      <c r="Q144" s="4">
        <f t="shared" si="53"/>
        <v>12</v>
      </c>
      <c r="R144" s="4">
        <f t="shared" si="54"/>
        <v>34</v>
      </c>
      <c r="S144" s="102">
        <f t="shared" si="55"/>
        <v>29</v>
      </c>
      <c r="U144" s="101">
        <f t="shared" si="56"/>
        <v>71</v>
      </c>
      <c r="V144" s="4">
        <f t="shared" si="57"/>
        <v>39</v>
      </c>
      <c r="W144" s="4">
        <f t="shared" si="58"/>
        <v>39</v>
      </c>
      <c r="X144" s="4">
        <f t="shared" si="59"/>
        <v>39</v>
      </c>
      <c r="Y144" s="4">
        <f t="shared" si="60"/>
        <v>9</v>
      </c>
      <c r="Z144" s="4">
        <f t="shared" si="61"/>
        <v>46</v>
      </c>
      <c r="AA144" s="102">
        <f t="shared" si="62"/>
        <v>41</v>
      </c>
      <c r="AC144" s="100">
        <f t="shared" si="63"/>
        <v>0.99317799725783495</v>
      </c>
    </row>
    <row r="145" spans="4:29" x14ac:dyDescent="0.35">
      <c r="D145">
        <f t="shared" si="64"/>
        <v>141</v>
      </c>
      <c r="E145" s="101">
        <v>5</v>
      </c>
      <c r="F145" s="4">
        <v>5</v>
      </c>
      <c r="G145" s="4">
        <v>3</v>
      </c>
      <c r="H145" s="4">
        <v>5</v>
      </c>
      <c r="I145" s="4">
        <v>2</v>
      </c>
      <c r="J145" s="4">
        <v>7</v>
      </c>
      <c r="K145" s="102">
        <v>5</v>
      </c>
      <c r="M145" s="101">
        <f t="shared" si="49"/>
        <v>30</v>
      </c>
      <c r="N145" s="4">
        <f t="shared" si="50"/>
        <v>30</v>
      </c>
      <c r="O145" s="4">
        <f t="shared" si="51"/>
        <v>23</v>
      </c>
      <c r="P145" s="4">
        <f t="shared" si="52"/>
        <v>30</v>
      </c>
      <c r="Q145" s="4">
        <f t="shared" si="53"/>
        <v>56</v>
      </c>
      <c r="R145" s="4">
        <f t="shared" si="54"/>
        <v>29</v>
      </c>
      <c r="S145" s="102">
        <f t="shared" si="55"/>
        <v>30</v>
      </c>
      <c r="U145" s="101">
        <f t="shared" si="56"/>
        <v>39</v>
      </c>
      <c r="V145" s="4">
        <f t="shared" si="57"/>
        <v>39</v>
      </c>
      <c r="W145" s="4">
        <f t="shared" si="58"/>
        <v>39</v>
      </c>
      <c r="X145" s="4">
        <f t="shared" si="59"/>
        <v>39</v>
      </c>
      <c r="Y145" s="4">
        <f t="shared" si="60"/>
        <v>78</v>
      </c>
      <c r="Z145" s="4">
        <f t="shared" si="61"/>
        <v>41</v>
      </c>
      <c r="AA145" s="102">
        <f t="shared" si="62"/>
        <v>39</v>
      </c>
      <c r="AC145" s="100">
        <f t="shared" si="63"/>
        <v>0.97008861406254854</v>
      </c>
    </row>
    <row r="146" spans="4:29" x14ac:dyDescent="0.35">
      <c r="D146">
        <f t="shared" si="64"/>
        <v>142</v>
      </c>
      <c r="E146" s="101">
        <v>3</v>
      </c>
      <c r="F146" s="4">
        <v>2</v>
      </c>
      <c r="G146" s="4">
        <v>5</v>
      </c>
      <c r="H146" s="4">
        <v>3</v>
      </c>
      <c r="I146" s="4">
        <v>1</v>
      </c>
      <c r="J146" s="4">
        <v>6</v>
      </c>
      <c r="K146" s="102">
        <v>7</v>
      </c>
      <c r="M146" s="101">
        <f t="shared" si="49"/>
        <v>23</v>
      </c>
      <c r="N146" s="4">
        <f t="shared" si="50"/>
        <v>56</v>
      </c>
      <c r="O146" s="4">
        <f t="shared" si="51"/>
        <v>30</v>
      </c>
      <c r="P146" s="4">
        <f t="shared" si="52"/>
        <v>23</v>
      </c>
      <c r="Q146" s="4">
        <f t="shared" si="53"/>
        <v>34</v>
      </c>
      <c r="R146" s="4">
        <f t="shared" si="54"/>
        <v>45</v>
      </c>
      <c r="S146" s="102">
        <f t="shared" si="55"/>
        <v>29</v>
      </c>
      <c r="U146" s="101">
        <f t="shared" si="56"/>
        <v>39</v>
      </c>
      <c r="V146" s="4">
        <f t="shared" si="57"/>
        <v>78</v>
      </c>
      <c r="W146" s="4">
        <f t="shared" si="58"/>
        <v>39</v>
      </c>
      <c r="X146" s="4">
        <f t="shared" si="59"/>
        <v>39</v>
      </c>
      <c r="Y146" s="4">
        <f t="shared" si="60"/>
        <v>46</v>
      </c>
      <c r="Z146" s="4">
        <f t="shared" si="61"/>
        <v>71</v>
      </c>
      <c r="AA146" s="102">
        <f t="shared" si="62"/>
        <v>41</v>
      </c>
      <c r="AC146" s="100">
        <f t="shared" si="63"/>
        <v>0.96300439634993629</v>
      </c>
    </row>
    <row r="147" spans="4:29" x14ac:dyDescent="0.35">
      <c r="D147">
        <f t="shared" si="64"/>
        <v>143</v>
      </c>
      <c r="E147" s="101">
        <v>4</v>
      </c>
      <c r="F147" s="4">
        <v>5</v>
      </c>
      <c r="G147" s="4">
        <v>1</v>
      </c>
      <c r="H147" s="4">
        <v>2</v>
      </c>
      <c r="I147" s="4">
        <v>2</v>
      </c>
      <c r="J147" s="4">
        <v>6</v>
      </c>
      <c r="K147" s="102">
        <v>7</v>
      </c>
      <c r="M147" s="101">
        <f t="shared" si="49"/>
        <v>12</v>
      </c>
      <c r="N147" s="4">
        <f t="shared" si="50"/>
        <v>30</v>
      </c>
      <c r="O147" s="4">
        <f t="shared" si="51"/>
        <v>34</v>
      </c>
      <c r="P147" s="4">
        <f t="shared" si="52"/>
        <v>56</v>
      </c>
      <c r="Q147" s="4">
        <f t="shared" si="53"/>
        <v>56</v>
      </c>
      <c r="R147" s="4">
        <f t="shared" si="54"/>
        <v>45</v>
      </c>
      <c r="S147" s="102">
        <f t="shared" si="55"/>
        <v>29</v>
      </c>
      <c r="U147" s="101">
        <f t="shared" si="56"/>
        <v>9</v>
      </c>
      <c r="V147" s="4">
        <f t="shared" si="57"/>
        <v>39</v>
      </c>
      <c r="W147" s="4">
        <f t="shared" si="58"/>
        <v>46</v>
      </c>
      <c r="X147" s="4">
        <f t="shared" si="59"/>
        <v>78</v>
      </c>
      <c r="Y147" s="4">
        <f t="shared" si="60"/>
        <v>78</v>
      </c>
      <c r="Z147" s="4">
        <f t="shared" si="61"/>
        <v>71</v>
      </c>
      <c r="AA147" s="102">
        <f t="shared" si="62"/>
        <v>41</v>
      </c>
      <c r="AC147" s="100">
        <f t="shared" si="63"/>
        <v>0.98880696528434309</v>
      </c>
    </row>
    <row r="148" spans="4:29" x14ac:dyDescent="0.35">
      <c r="D148">
        <f t="shared" si="64"/>
        <v>144</v>
      </c>
      <c r="E148" s="101">
        <v>5</v>
      </c>
      <c r="F148" s="4">
        <v>4</v>
      </c>
      <c r="G148" s="4">
        <v>1</v>
      </c>
      <c r="H148" s="4">
        <v>1</v>
      </c>
      <c r="I148" s="4">
        <v>6</v>
      </c>
      <c r="J148" s="4">
        <v>1</v>
      </c>
      <c r="K148" s="102">
        <v>1</v>
      </c>
      <c r="M148" s="101">
        <f t="shared" si="49"/>
        <v>30</v>
      </c>
      <c r="N148" s="4">
        <f t="shared" si="50"/>
        <v>12</v>
      </c>
      <c r="O148" s="4">
        <f t="shared" si="51"/>
        <v>34</v>
      </c>
      <c r="P148" s="4">
        <f t="shared" si="52"/>
        <v>34</v>
      </c>
      <c r="Q148" s="4">
        <f t="shared" si="53"/>
        <v>45</v>
      </c>
      <c r="R148" s="4">
        <f t="shared" si="54"/>
        <v>34</v>
      </c>
      <c r="S148" s="102">
        <f t="shared" si="55"/>
        <v>34</v>
      </c>
      <c r="U148" s="101">
        <f t="shared" si="56"/>
        <v>39</v>
      </c>
      <c r="V148" s="4">
        <f t="shared" si="57"/>
        <v>9</v>
      </c>
      <c r="W148" s="4">
        <f t="shared" si="58"/>
        <v>46</v>
      </c>
      <c r="X148" s="4">
        <f t="shared" si="59"/>
        <v>46</v>
      </c>
      <c r="Y148" s="4">
        <f t="shared" si="60"/>
        <v>71</v>
      </c>
      <c r="Z148" s="4">
        <f t="shared" si="61"/>
        <v>46</v>
      </c>
      <c r="AA148" s="102">
        <f t="shared" si="62"/>
        <v>46</v>
      </c>
      <c r="AC148" s="100">
        <f t="shared" si="63"/>
        <v>0.99389438088068449</v>
      </c>
    </row>
    <row r="149" spans="4:29" x14ac:dyDescent="0.35">
      <c r="D149">
        <f t="shared" si="64"/>
        <v>145</v>
      </c>
      <c r="E149" s="101">
        <v>2</v>
      </c>
      <c r="F149" s="4">
        <v>5</v>
      </c>
      <c r="G149" s="4">
        <v>6</v>
      </c>
      <c r="H149" s="4">
        <v>3</v>
      </c>
      <c r="I149" s="4">
        <v>6</v>
      </c>
      <c r="J149" s="4">
        <v>6</v>
      </c>
      <c r="K149" s="102">
        <v>7</v>
      </c>
      <c r="M149" s="101">
        <f t="shared" si="49"/>
        <v>56</v>
      </c>
      <c r="N149" s="4">
        <f t="shared" si="50"/>
        <v>30</v>
      </c>
      <c r="O149" s="4">
        <f t="shared" si="51"/>
        <v>45</v>
      </c>
      <c r="P149" s="4">
        <f t="shared" si="52"/>
        <v>23</v>
      </c>
      <c r="Q149" s="4">
        <f t="shared" si="53"/>
        <v>45</v>
      </c>
      <c r="R149" s="4">
        <f t="shared" si="54"/>
        <v>45</v>
      </c>
      <c r="S149" s="102">
        <f t="shared" si="55"/>
        <v>29</v>
      </c>
      <c r="U149" s="101">
        <f t="shared" si="56"/>
        <v>78</v>
      </c>
      <c r="V149" s="4">
        <f t="shared" si="57"/>
        <v>39</v>
      </c>
      <c r="W149" s="4">
        <f t="shared" si="58"/>
        <v>71</v>
      </c>
      <c r="X149" s="4">
        <f t="shared" si="59"/>
        <v>39</v>
      </c>
      <c r="Y149" s="4">
        <f t="shared" si="60"/>
        <v>71</v>
      </c>
      <c r="Z149" s="4">
        <f t="shared" si="61"/>
        <v>71</v>
      </c>
      <c r="AA149" s="102">
        <f t="shared" si="62"/>
        <v>41</v>
      </c>
      <c r="AC149" s="100">
        <f t="shared" si="63"/>
        <v>0.96439580232969047</v>
      </c>
    </row>
    <row r="150" spans="4:29" x14ac:dyDescent="0.35">
      <c r="D150">
        <f t="shared" si="64"/>
        <v>146</v>
      </c>
      <c r="E150" s="101">
        <v>1</v>
      </c>
      <c r="F150" s="4">
        <v>1</v>
      </c>
      <c r="G150" s="4">
        <v>7</v>
      </c>
      <c r="H150" s="4">
        <v>3</v>
      </c>
      <c r="I150" s="4">
        <v>4</v>
      </c>
      <c r="J150" s="4">
        <v>4</v>
      </c>
      <c r="K150" s="102">
        <v>5</v>
      </c>
      <c r="M150" s="101">
        <f t="shared" si="49"/>
        <v>34</v>
      </c>
      <c r="N150" s="4">
        <f t="shared" si="50"/>
        <v>34</v>
      </c>
      <c r="O150" s="4">
        <f t="shared" si="51"/>
        <v>29</v>
      </c>
      <c r="P150" s="4">
        <f t="shared" si="52"/>
        <v>23</v>
      </c>
      <c r="Q150" s="4">
        <f t="shared" si="53"/>
        <v>12</v>
      </c>
      <c r="R150" s="4">
        <f t="shared" si="54"/>
        <v>12</v>
      </c>
      <c r="S150" s="102">
        <f t="shared" si="55"/>
        <v>30</v>
      </c>
      <c r="U150" s="101">
        <f t="shared" si="56"/>
        <v>46</v>
      </c>
      <c r="V150" s="4">
        <f t="shared" si="57"/>
        <v>46</v>
      </c>
      <c r="W150" s="4">
        <f t="shared" si="58"/>
        <v>41</v>
      </c>
      <c r="X150" s="4">
        <f t="shared" si="59"/>
        <v>39</v>
      </c>
      <c r="Y150" s="4">
        <f t="shared" si="60"/>
        <v>9</v>
      </c>
      <c r="Z150" s="4">
        <f t="shared" si="61"/>
        <v>9</v>
      </c>
      <c r="AA150" s="102">
        <f t="shared" si="62"/>
        <v>39</v>
      </c>
      <c r="AC150" s="100">
        <f t="shared" si="63"/>
        <v>0.96454812563253101</v>
      </c>
    </row>
    <row r="151" spans="4:29" x14ac:dyDescent="0.35">
      <c r="D151">
        <f t="shared" si="64"/>
        <v>147</v>
      </c>
      <c r="E151" s="101">
        <v>3</v>
      </c>
      <c r="F151" s="4">
        <v>4</v>
      </c>
      <c r="G151" s="4">
        <v>2</v>
      </c>
      <c r="H151" s="4">
        <v>7</v>
      </c>
      <c r="I151" s="4">
        <v>6</v>
      </c>
      <c r="J151" s="4">
        <v>7</v>
      </c>
      <c r="K151" s="102">
        <v>7</v>
      </c>
      <c r="M151" s="101">
        <f t="shared" si="49"/>
        <v>23</v>
      </c>
      <c r="N151" s="4">
        <f t="shared" si="50"/>
        <v>12</v>
      </c>
      <c r="O151" s="4">
        <f t="shared" si="51"/>
        <v>56</v>
      </c>
      <c r="P151" s="4">
        <f t="shared" si="52"/>
        <v>29</v>
      </c>
      <c r="Q151" s="4">
        <f t="shared" si="53"/>
        <v>45</v>
      </c>
      <c r="R151" s="4">
        <f t="shared" si="54"/>
        <v>29</v>
      </c>
      <c r="S151" s="102">
        <f t="shared" si="55"/>
        <v>29</v>
      </c>
      <c r="U151" s="101">
        <f t="shared" si="56"/>
        <v>39</v>
      </c>
      <c r="V151" s="4">
        <f t="shared" si="57"/>
        <v>9</v>
      </c>
      <c r="W151" s="4">
        <f t="shared" si="58"/>
        <v>78</v>
      </c>
      <c r="X151" s="4">
        <f t="shared" si="59"/>
        <v>41</v>
      </c>
      <c r="Y151" s="4">
        <f t="shared" si="60"/>
        <v>71</v>
      </c>
      <c r="Z151" s="4">
        <f t="shared" si="61"/>
        <v>41</v>
      </c>
      <c r="AA151" s="102">
        <f t="shared" si="62"/>
        <v>41</v>
      </c>
      <c r="AC151" s="100">
        <f t="shared" si="63"/>
        <v>0.97824408678476071</v>
      </c>
    </row>
    <row r="152" spans="4:29" x14ac:dyDescent="0.35">
      <c r="D152">
        <f t="shared" si="64"/>
        <v>148</v>
      </c>
      <c r="E152" s="101">
        <v>4</v>
      </c>
      <c r="F152" s="4">
        <v>6</v>
      </c>
      <c r="G152" s="4">
        <v>5</v>
      </c>
      <c r="H152" s="4">
        <v>2</v>
      </c>
      <c r="I152" s="4">
        <v>3</v>
      </c>
      <c r="J152" s="4">
        <v>2</v>
      </c>
      <c r="K152" s="102">
        <v>7</v>
      </c>
      <c r="M152" s="101">
        <f t="shared" si="49"/>
        <v>12</v>
      </c>
      <c r="N152" s="4">
        <f t="shared" si="50"/>
        <v>45</v>
      </c>
      <c r="O152" s="4">
        <f t="shared" si="51"/>
        <v>30</v>
      </c>
      <c r="P152" s="4">
        <f t="shared" si="52"/>
        <v>56</v>
      </c>
      <c r="Q152" s="4">
        <f t="shared" si="53"/>
        <v>23</v>
      </c>
      <c r="R152" s="4">
        <f t="shared" si="54"/>
        <v>56</v>
      </c>
      <c r="S152" s="102">
        <f t="shared" si="55"/>
        <v>29</v>
      </c>
      <c r="U152" s="101">
        <f t="shared" si="56"/>
        <v>9</v>
      </c>
      <c r="V152" s="4">
        <f t="shared" si="57"/>
        <v>71</v>
      </c>
      <c r="W152" s="4">
        <f t="shared" si="58"/>
        <v>39</v>
      </c>
      <c r="X152" s="4">
        <f t="shared" si="59"/>
        <v>78</v>
      </c>
      <c r="Y152" s="4">
        <f t="shared" si="60"/>
        <v>39</v>
      </c>
      <c r="Z152" s="4">
        <f t="shared" si="61"/>
        <v>78</v>
      </c>
      <c r="AA152" s="102">
        <f t="shared" si="62"/>
        <v>41</v>
      </c>
      <c r="AC152" s="100">
        <f t="shared" si="63"/>
        <v>0.97962571832011647</v>
      </c>
    </row>
    <row r="153" spans="4:29" x14ac:dyDescent="0.35">
      <c r="D153">
        <f t="shared" si="64"/>
        <v>149</v>
      </c>
      <c r="E153" s="101">
        <v>1</v>
      </c>
      <c r="F153" s="4">
        <v>4</v>
      </c>
      <c r="G153" s="4">
        <v>3</v>
      </c>
      <c r="H153" s="4">
        <v>1</v>
      </c>
      <c r="I153" s="4">
        <v>5</v>
      </c>
      <c r="J153" s="4">
        <v>5</v>
      </c>
      <c r="K153" s="102">
        <v>7</v>
      </c>
      <c r="M153" s="101">
        <f t="shared" si="49"/>
        <v>34</v>
      </c>
      <c r="N153" s="4">
        <f t="shared" si="50"/>
        <v>12</v>
      </c>
      <c r="O153" s="4">
        <f t="shared" si="51"/>
        <v>23</v>
      </c>
      <c r="P153" s="4">
        <f t="shared" si="52"/>
        <v>34</v>
      </c>
      <c r="Q153" s="4">
        <f t="shared" si="53"/>
        <v>30</v>
      </c>
      <c r="R153" s="4">
        <f t="shared" si="54"/>
        <v>30</v>
      </c>
      <c r="S153" s="102">
        <f t="shared" si="55"/>
        <v>29</v>
      </c>
      <c r="U153" s="101">
        <f t="shared" si="56"/>
        <v>46</v>
      </c>
      <c r="V153" s="4">
        <f t="shared" si="57"/>
        <v>9</v>
      </c>
      <c r="W153" s="4">
        <f t="shared" si="58"/>
        <v>39</v>
      </c>
      <c r="X153" s="4">
        <f t="shared" si="59"/>
        <v>46</v>
      </c>
      <c r="Y153" s="4">
        <f t="shared" si="60"/>
        <v>39</v>
      </c>
      <c r="Z153" s="4">
        <f t="shared" si="61"/>
        <v>39</v>
      </c>
      <c r="AA153" s="102">
        <f t="shared" si="62"/>
        <v>41</v>
      </c>
      <c r="AC153" s="100">
        <f t="shared" si="63"/>
        <v>0.94270514561528129</v>
      </c>
    </row>
    <row r="154" spans="4:29" x14ac:dyDescent="0.35">
      <c r="D154">
        <f t="shared" si="64"/>
        <v>150</v>
      </c>
      <c r="E154" s="101">
        <v>4</v>
      </c>
      <c r="F154" s="4">
        <v>2</v>
      </c>
      <c r="G154" s="4">
        <v>3</v>
      </c>
      <c r="H154" s="4">
        <v>5</v>
      </c>
      <c r="I154" s="4">
        <v>3</v>
      </c>
      <c r="J154" s="4">
        <v>6</v>
      </c>
      <c r="K154" s="102">
        <v>2</v>
      </c>
      <c r="M154" s="101">
        <f t="shared" si="49"/>
        <v>12</v>
      </c>
      <c r="N154" s="4">
        <f t="shared" si="50"/>
        <v>56</v>
      </c>
      <c r="O154" s="4">
        <f t="shared" si="51"/>
        <v>23</v>
      </c>
      <c r="P154" s="4">
        <f t="shared" si="52"/>
        <v>30</v>
      </c>
      <c r="Q154" s="4">
        <f t="shared" si="53"/>
        <v>23</v>
      </c>
      <c r="R154" s="4">
        <f t="shared" si="54"/>
        <v>45</v>
      </c>
      <c r="S154" s="102">
        <f t="shared" si="55"/>
        <v>56</v>
      </c>
      <c r="U154" s="101">
        <f t="shared" si="56"/>
        <v>9</v>
      </c>
      <c r="V154" s="4">
        <f t="shared" si="57"/>
        <v>78</v>
      </c>
      <c r="W154" s="4">
        <f t="shared" si="58"/>
        <v>39</v>
      </c>
      <c r="X154" s="4">
        <f t="shared" si="59"/>
        <v>39</v>
      </c>
      <c r="Y154" s="4">
        <f t="shared" si="60"/>
        <v>39</v>
      </c>
      <c r="Z154" s="4">
        <f t="shared" si="61"/>
        <v>71</v>
      </c>
      <c r="AA154" s="102">
        <f t="shared" si="62"/>
        <v>78</v>
      </c>
      <c r="AC154" s="100">
        <f t="shared" si="63"/>
        <v>0.9740610050852706</v>
      </c>
    </row>
    <row r="155" spans="4:29" x14ac:dyDescent="0.35">
      <c r="D155">
        <f t="shared" si="64"/>
        <v>151</v>
      </c>
      <c r="E155" s="101">
        <v>2</v>
      </c>
      <c r="F155" s="4">
        <v>2</v>
      </c>
      <c r="G155" s="4">
        <v>1</v>
      </c>
      <c r="H155" s="4">
        <v>5</v>
      </c>
      <c r="I155" s="4">
        <v>3</v>
      </c>
      <c r="J155" s="4">
        <v>6</v>
      </c>
      <c r="K155" s="102">
        <v>6</v>
      </c>
      <c r="M155" s="101">
        <f t="shared" si="49"/>
        <v>56</v>
      </c>
      <c r="N155" s="4">
        <f t="shared" si="50"/>
        <v>56</v>
      </c>
      <c r="O155" s="4">
        <f t="shared" si="51"/>
        <v>34</v>
      </c>
      <c r="P155" s="4">
        <f t="shared" si="52"/>
        <v>30</v>
      </c>
      <c r="Q155" s="4">
        <f t="shared" si="53"/>
        <v>23</v>
      </c>
      <c r="R155" s="4">
        <f t="shared" si="54"/>
        <v>45</v>
      </c>
      <c r="S155" s="102">
        <f t="shared" si="55"/>
        <v>45</v>
      </c>
      <c r="U155" s="101">
        <f t="shared" si="56"/>
        <v>78</v>
      </c>
      <c r="V155" s="4">
        <f t="shared" si="57"/>
        <v>78</v>
      </c>
      <c r="W155" s="4">
        <f t="shared" si="58"/>
        <v>46</v>
      </c>
      <c r="X155" s="4">
        <f t="shared" si="59"/>
        <v>39</v>
      </c>
      <c r="Y155" s="4">
        <f t="shared" si="60"/>
        <v>39</v>
      </c>
      <c r="Z155" s="4">
        <f t="shared" si="61"/>
        <v>71</v>
      </c>
      <c r="AA155" s="102">
        <f t="shared" si="62"/>
        <v>71</v>
      </c>
      <c r="AC155" s="100">
        <f t="shared" si="63"/>
        <v>0.96327016407967792</v>
      </c>
    </row>
    <row r="156" spans="4:29" x14ac:dyDescent="0.35">
      <c r="D156">
        <f t="shared" si="64"/>
        <v>152</v>
      </c>
      <c r="E156" s="101">
        <v>2</v>
      </c>
      <c r="F156" s="4">
        <v>2</v>
      </c>
      <c r="G156" s="4">
        <v>5</v>
      </c>
      <c r="H156" s="4">
        <v>4</v>
      </c>
      <c r="I156" s="4">
        <v>7</v>
      </c>
      <c r="J156" s="4">
        <v>5</v>
      </c>
      <c r="K156" s="102">
        <v>7</v>
      </c>
      <c r="M156" s="101">
        <f t="shared" si="49"/>
        <v>56</v>
      </c>
      <c r="N156" s="4">
        <f t="shared" si="50"/>
        <v>56</v>
      </c>
      <c r="O156" s="4">
        <f t="shared" si="51"/>
        <v>30</v>
      </c>
      <c r="P156" s="4">
        <f t="shared" si="52"/>
        <v>12</v>
      </c>
      <c r="Q156" s="4">
        <f t="shared" si="53"/>
        <v>29</v>
      </c>
      <c r="R156" s="4">
        <f t="shared" si="54"/>
        <v>30</v>
      </c>
      <c r="S156" s="102">
        <f t="shared" si="55"/>
        <v>29</v>
      </c>
      <c r="U156" s="101">
        <f t="shared" si="56"/>
        <v>78</v>
      </c>
      <c r="V156" s="4">
        <f t="shared" si="57"/>
        <v>78</v>
      </c>
      <c r="W156" s="4">
        <f t="shared" si="58"/>
        <v>39</v>
      </c>
      <c r="X156" s="4">
        <f t="shared" si="59"/>
        <v>9</v>
      </c>
      <c r="Y156" s="4">
        <f t="shared" si="60"/>
        <v>41</v>
      </c>
      <c r="Z156" s="4">
        <f t="shared" si="61"/>
        <v>39</v>
      </c>
      <c r="AA156" s="102">
        <f t="shared" si="62"/>
        <v>41</v>
      </c>
      <c r="AC156" s="100">
        <f t="shared" si="63"/>
        <v>0.99568676243014487</v>
      </c>
    </row>
    <row r="157" spans="4:29" x14ac:dyDescent="0.35">
      <c r="D157">
        <f t="shared" si="64"/>
        <v>153</v>
      </c>
      <c r="E157" s="101">
        <v>1</v>
      </c>
      <c r="F157" s="4">
        <v>1</v>
      </c>
      <c r="G157" s="4">
        <v>5</v>
      </c>
      <c r="H157" s="4">
        <v>7</v>
      </c>
      <c r="I157" s="4">
        <v>4</v>
      </c>
      <c r="J157" s="4">
        <v>7</v>
      </c>
      <c r="K157" s="102">
        <v>6</v>
      </c>
      <c r="M157" s="101">
        <f t="shared" si="49"/>
        <v>34</v>
      </c>
      <c r="N157" s="4">
        <f t="shared" si="50"/>
        <v>34</v>
      </c>
      <c r="O157" s="4">
        <f t="shared" si="51"/>
        <v>30</v>
      </c>
      <c r="P157" s="4">
        <f t="shared" si="52"/>
        <v>29</v>
      </c>
      <c r="Q157" s="4">
        <f t="shared" si="53"/>
        <v>12</v>
      </c>
      <c r="R157" s="4">
        <f t="shared" si="54"/>
        <v>29</v>
      </c>
      <c r="S157" s="102">
        <f t="shared" si="55"/>
        <v>45</v>
      </c>
      <c r="U157" s="101">
        <f t="shared" si="56"/>
        <v>46</v>
      </c>
      <c r="V157" s="4">
        <f t="shared" si="57"/>
        <v>46</v>
      </c>
      <c r="W157" s="4">
        <f t="shared" si="58"/>
        <v>39</v>
      </c>
      <c r="X157" s="4">
        <f t="shared" si="59"/>
        <v>41</v>
      </c>
      <c r="Y157" s="4">
        <f t="shared" si="60"/>
        <v>9</v>
      </c>
      <c r="Z157" s="4">
        <f t="shared" si="61"/>
        <v>41</v>
      </c>
      <c r="AA157" s="102">
        <f t="shared" si="62"/>
        <v>71</v>
      </c>
      <c r="AC157" s="100">
        <f t="shared" si="63"/>
        <v>0.9926716993520982</v>
      </c>
    </row>
    <row r="158" spans="4:29" x14ac:dyDescent="0.35">
      <c r="D158">
        <f t="shared" si="64"/>
        <v>154</v>
      </c>
      <c r="E158" s="101">
        <v>6</v>
      </c>
      <c r="F158" s="4">
        <v>3</v>
      </c>
      <c r="G158" s="4">
        <v>6</v>
      </c>
      <c r="H158" s="4">
        <v>7</v>
      </c>
      <c r="I158" s="4">
        <v>1</v>
      </c>
      <c r="J158" s="4">
        <v>3</v>
      </c>
      <c r="K158" s="102">
        <v>5</v>
      </c>
      <c r="M158" s="101">
        <f t="shared" si="49"/>
        <v>45</v>
      </c>
      <c r="N158" s="4">
        <f t="shared" si="50"/>
        <v>23</v>
      </c>
      <c r="O158" s="4">
        <f t="shared" si="51"/>
        <v>45</v>
      </c>
      <c r="P158" s="4">
        <f t="shared" si="52"/>
        <v>29</v>
      </c>
      <c r="Q158" s="4">
        <f t="shared" si="53"/>
        <v>34</v>
      </c>
      <c r="R158" s="4">
        <f t="shared" si="54"/>
        <v>23</v>
      </c>
      <c r="S158" s="102">
        <f t="shared" si="55"/>
        <v>30</v>
      </c>
      <c r="U158" s="101">
        <f t="shared" si="56"/>
        <v>71</v>
      </c>
      <c r="V158" s="4">
        <f t="shared" si="57"/>
        <v>39</v>
      </c>
      <c r="W158" s="4">
        <f t="shared" si="58"/>
        <v>71</v>
      </c>
      <c r="X158" s="4">
        <f t="shared" si="59"/>
        <v>41</v>
      </c>
      <c r="Y158" s="4">
        <f t="shared" si="60"/>
        <v>46</v>
      </c>
      <c r="Z158" s="4">
        <f t="shared" si="61"/>
        <v>39</v>
      </c>
      <c r="AA158" s="102">
        <f t="shared" si="62"/>
        <v>39</v>
      </c>
      <c r="AC158" s="100">
        <f t="shared" si="63"/>
        <v>0.94995135419522736</v>
      </c>
    </row>
    <row r="159" spans="4:29" x14ac:dyDescent="0.35">
      <c r="D159">
        <f t="shared" si="64"/>
        <v>155</v>
      </c>
      <c r="E159" s="101">
        <v>6</v>
      </c>
      <c r="F159" s="4">
        <v>4</v>
      </c>
      <c r="G159" s="4">
        <v>4</v>
      </c>
      <c r="H159" s="4">
        <v>7</v>
      </c>
      <c r="I159" s="4">
        <v>7</v>
      </c>
      <c r="J159" s="4">
        <v>4</v>
      </c>
      <c r="K159" s="102">
        <v>5</v>
      </c>
      <c r="M159" s="101">
        <f t="shared" si="49"/>
        <v>45</v>
      </c>
      <c r="N159" s="4">
        <f t="shared" si="50"/>
        <v>12</v>
      </c>
      <c r="O159" s="4">
        <f t="shared" si="51"/>
        <v>12</v>
      </c>
      <c r="P159" s="4">
        <f t="shared" si="52"/>
        <v>29</v>
      </c>
      <c r="Q159" s="4">
        <f t="shared" si="53"/>
        <v>29</v>
      </c>
      <c r="R159" s="4">
        <f t="shared" si="54"/>
        <v>12</v>
      </c>
      <c r="S159" s="102">
        <f t="shared" si="55"/>
        <v>30</v>
      </c>
      <c r="U159" s="101">
        <f t="shared" si="56"/>
        <v>71</v>
      </c>
      <c r="V159" s="4">
        <f t="shared" si="57"/>
        <v>9</v>
      </c>
      <c r="W159" s="4">
        <f t="shared" si="58"/>
        <v>9</v>
      </c>
      <c r="X159" s="4">
        <f t="shared" si="59"/>
        <v>41</v>
      </c>
      <c r="Y159" s="4">
        <f t="shared" si="60"/>
        <v>41</v>
      </c>
      <c r="Z159" s="4">
        <f t="shared" si="61"/>
        <v>9</v>
      </c>
      <c r="AA159" s="102">
        <f t="shared" si="62"/>
        <v>39</v>
      </c>
      <c r="AC159" s="100">
        <f t="shared" si="63"/>
        <v>0.99816765962906606</v>
      </c>
    </row>
    <row r="160" spans="4:29" x14ac:dyDescent="0.35">
      <c r="D160">
        <f t="shared" si="64"/>
        <v>156</v>
      </c>
      <c r="E160" s="101">
        <v>5</v>
      </c>
      <c r="F160" s="4">
        <v>3</v>
      </c>
      <c r="G160" s="4">
        <v>2</v>
      </c>
      <c r="H160" s="4">
        <v>6</v>
      </c>
      <c r="I160" s="4">
        <v>5</v>
      </c>
      <c r="J160" s="4">
        <v>4</v>
      </c>
      <c r="K160" s="102">
        <v>1</v>
      </c>
      <c r="M160" s="101">
        <f t="shared" si="49"/>
        <v>30</v>
      </c>
      <c r="N160" s="4">
        <f t="shared" si="50"/>
        <v>23</v>
      </c>
      <c r="O160" s="4">
        <f t="shared" si="51"/>
        <v>56</v>
      </c>
      <c r="P160" s="4">
        <f t="shared" si="52"/>
        <v>45</v>
      </c>
      <c r="Q160" s="4">
        <f t="shared" si="53"/>
        <v>30</v>
      </c>
      <c r="R160" s="4">
        <f t="shared" si="54"/>
        <v>12</v>
      </c>
      <c r="S160" s="102">
        <f t="shared" si="55"/>
        <v>34</v>
      </c>
      <c r="U160" s="101">
        <f t="shared" si="56"/>
        <v>39</v>
      </c>
      <c r="V160" s="4">
        <f t="shared" si="57"/>
        <v>39</v>
      </c>
      <c r="W160" s="4">
        <f t="shared" si="58"/>
        <v>78</v>
      </c>
      <c r="X160" s="4">
        <f t="shared" si="59"/>
        <v>71</v>
      </c>
      <c r="Y160" s="4">
        <f t="shared" si="60"/>
        <v>39</v>
      </c>
      <c r="Z160" s="4">
        <f t="shared" si="61"/>
        <v>9</v>
      </c>
      <c r="AA160" s="102">
        <f t="shared" si="62"/>
        <v>46</v>
      </c>
      <c r="AC160" s="100">
        <f t="shared" si="63"/>
        <v>0.97446236210462145</v>
      </c>
    </row>
    <row r="161" spans="4:29" x14ac:dyDescent="0.35">
      <c r="D161">
        <f t="shared" si="64"/>
        <v>157</v>
      </c>
      <c r="E161" s="101">
        <v>2</v>
      </c>
      <c r="F161" s="4">
        <v>6</v>
      </c>
      <c r="G161" s="4">
        <v>6</v>
      </c>
      <c r="H161" s="4">
        <v>5</v>
      </c>
      <c r="I161" s="4">
        <v>3</v>
      </c>
      <c r="J161" s="4">
        <v>3</v>
      </c>
      <c r="K161" s="102">
        <v>7</v>
      </c>
      <c r="M161" s="101">
        <f t="shared" si="49"/>
        <v>56</v>
      </c>
      <c r="N161" s="4">
        <f t="shared" si="50"/>
        <v>45</v>
      </c>
      <c r="O161" s="4">
        <f t="shared" si="51"/>
        <v>45</v>
      </c>
      <c r="P161" s="4">
        <f t="shared" si="52"/>
        <v>30</v>
      </c>
      <c r="Q161" s="4">
        <f t="shared" si="53"/>
        <v>23</v>
      </c>
      <c r="R161" s="4">
        <f t="shared" si="54"/>
        <v>23</v>
      </c>
      <c r="S161" s="102">
        <f t="shared" si="55"/>
        <v>29</v>
      </c>
      <c r="U161" s="101">
        <f t="shared" si="56"/>
        <v>78</v>
      </c>
      <c r="V161" s="4">
        <f t="shared" si="57"/>
        <v>71</v>
      </c>
      <c r="W161" s="4">
        <f t="shared" si="58"/>
        <v>71</v>
      </c>
      <c r="X161" s="4">
        <f t="shared" si="59"/>
        <v>39</v>
      </c>
      <c r="Y161" s="4">
        <f t="shared" si="60"/>
        <v>39</v>
      </c>
      <c r="Z161" s="4">
        <f t="shared" si="61"/>
        <v>39</v>
      </c>
      <c r="AA161" s="102">
        <f t="shared" si="62"/>
        <v>41</v>
      </c>
      <c r="AC161" s="100">
        <f t="shared" si="63"/>
        <v>0.9673763955471949</v>
      </c>
    </row>
    <row r="162" spans="4:29" x14ac:dyDescent="0.35">
      <c r="D162">
        <f t="shared" si="64"/>
        <v>158</v>
      </c>
      <c r="E162" s="101">
        <v>6</v>
      </c>
      <c r="F162" s="4">
        <v>4</v>
      </c>
      <c r="G162" s="4">
        <v>4</v>
      </c>
      <c r="H162" s="4">
        <v>2</v>
      </c>
      <c r="I162" s="4">
        <v>1</v>
      </c>
      <c r="J162" s="4">
        <v>3</v>
      </c>
      <c r="K162" s="102">
        <v>3</v>
      </c>
      <c r="M162" s="101">
        <f t="shared" si="49"/>
        <v>45</v>
      </c>
      <c r="N162" s="4">
        <f t="shared" si="50"/>
        <v>12</v>
      </c>
      <c r="O162" s="4">
        <f t="shared" si="51"/>
        <v>12</v>
      </c>
      <c r="P162" s="4">
        <f t="shared" si="52"/>
        <v>56</v>
      </c>
      <c r="Q162" s="4">
        <f t="shared" si="53"/>
        <v>34</v>
      </c>
      <c r="R162" s="4">
        <f t="shared" si="54"/>
        <v>23</v>
      </c>
      <c r="S162" s="102">
        <f t="shared" si="55"/>
        <v>23</v>
      </c>
      <c r="U162" s="101">
        <f t="shared" si="56"/>
        <v>71</v>
      </c>
      <c r="V162" s="4">
        <f t="shared" si="57"/>
        <v>9</v>
      </c>
      <c r="W162" s="4">
        <f t="shared" si="58"/>
        <v>9</v>
      </c>
      <c r="X162" s="4">
        <f t="shared" si="59"/>
        <v>78</v>
      </c>
      <c r="Y162" s="4">
        <f t="shared" si="60"/>
        <v>46</v>
      </c>
      <c r="Z162" s="4">
        <f t="shared" si="61"/>
        <v>39</v>
      </c>
      <c r="AA162" s="102">
        <f t="shared" si="62"/>
        <v>39</v>
      </c>
      <c r="AC162" s="100">
        <f t="shared" si="63"/>
        <v>0.97350500193089584</v>
      </c>
    </row>
    <row r="163" spans="4:29" x14ac:dyDescent="0.35">
      <c r="D163">
        <f t="shared" si="64"/>
        <v>159</v>
      </c>
      <c r="E163" s="101">
        <v>1</v>
      </c>
      <c r="F163" s="4">
        <v>3</v>
      </c>
      <c r="G163" s="4">
        <v>3</v>
      </c>
      <c r="H163" s="4">
        <v>3</v>
      </c>
      <c r="I163" s="4">
        <v>4</v>
      </c>
      <c r="J163" s="4">
        <v>4</v>
      </c>
      <c r="K163" s="102">
        <v>5</v>
      </c>
      <c r="M163" s="101">
        <f t="shared" si="49"/>
        <v>34</v>
      </c>
      <c r="N163" s="4">
        <f t="shared" si="50"/>
        <v>23</v>
      </c>
      <c r="O163" s="4">
        <f t="shared" si="51"/>
        <v>23</v>
      </c>
      <c r="P163" s="4">
        <f t="shared" si="52"/>
        <v>23</v>
      </c>
      <c r="Q163" s="4">
        <f t="shared" si="53"/>
        <v>12</v>
      </c>
      <c r="R163" s="4">
        <f t="shared" si="54"/>
        <v>12</v>
      </c>
      <c r="S163" s="102">
        <f t="shared" si="55"/>
        <v>30</v>
      </c>
      <c r="U163" s="101">
        <f t="shared" si="56"/>
        <v>46</v>
      </c>
      <c r="V163" s="4">
        <f t="shared" si="57"/>
        <v>39</v>
      </c>
      <c r="W163" s="4">
        <f t="shared" si="58"/>
        <v>39</v>
      </c>
      <c r="X163" s="4">
        <f t="shared" si="59"/>
        <v>39</v>
      </c>
      <c r="Y163" s="4">
        <f t="shared" si="60"/>
        <v>9</v>
      </c>
      <c r="Z163" s="4">
        <f t="shared" si="61"/>
        <v>9</v>
      </c>
      <c r="AA163" s="102">
        <f t="shared" si="62"/>
        <v>39</v>
      </c>
      <c r="AC163" s="100">
        <f t="shared" si="63"/>
        <v>0.91761792137740694</v>
      </c>
    </row>
    <row r="164" spans="4:29" x14ac:dyDescent="0.35">
      <c r="D164">
        <f t="shared" si="64"/>
        <v>160</v>
      </c>
      <c r="E164" s="101">
        <v>6</v>
      </c>
      <c r="F164" s="4">
        <v>5</v>
      </c>
      <c r="G164" s="4">
        <v>7</v>
      </c>
      <c r="H164" s="4">
        <v>2</v>
      </c>
      <c r="I164" s="4">
        <v>3</v>
      </c>
      <c r="J164" s="4">
        <v>5</v>
      </c>
      <c r="K164" s="102">
        <v>1</v>
      </c>
      <c r="M164" s="101">
        <f t="shared" si="49"/>
        <v>45</v>
      </c>
      <c r="N164" s="4">
        <f t="shared" si="50"/>
        <v>30</v>
      </c>
      <c r="O164" s="4">
        <f t="shared" si="51"/>
        <v>29</v>
      </c>
      <c r="P164" s="4">
        <f t="shared" si="52"/>
        <v>56</v>
      </c>
      <c r="Q164" s="4">
        <f t="shared" si="53"/>
        <v>23</v>
      </c>
      <c r="R164" s="4">
        <f t="shared" si="54"/>
        <v>30</v>
      </c>
      <c r="S164" s="102">
        <f t="shared" si="55"/>
        <v>34</v>
      </c>
      <c r="U164" s="101">
        <f t="shared" si="56"/>
        <v>71</v>
      </c>
      <c r="V164" s="4">
        <f t="shared" si="57"/>
        <v>39</v>
      </c>
      <c r="W164" s="4">
        <f t="shared" si="58"/>
        <v>41</v>
      </c>
      <c r="X164" s="4">
        <f t="shared" si="59"/>
        <v>78</v>
      </c>
      <c r="Y164" s="4">
        <f t="shared" si="60"/>
        <v>39</v>
      </c>
      <c r="Z164" s="4">
        <f t="shared" si="61"/>
        <v>39</v>
      </c>
      <c r="AA164" s="102">
        <f t="shared" si="62"/>
        <v>46</v>
      </c>
      <c r="AC164" s="100">
        <f t="shared" si="63"/>
        <v>0.96267816560012387</v>
      </c>
    </row>
    <row r="165" spans="4:29" x14ac:dyDescent="0.35">
      <c r="D165">
        <f t="shared" si="64"/>
        <v>161</v>
      </c>
      <c r="E165" s="101">
        <v>5</v>
      </c>
      <c r="F165" s="4">
        <v>6</v>
      </c>
      <c r="G165" s="4">
        <v>4</v>
      </c>
      <c r="H165" s="4">
        <v>2</v>
      </c>
      <c r="I165" s="4">
        <v>5</v>
      </c>
      <c r="J165" s="4">
        <v>5</v>
      </c>
      <c r="K165" s="102">
        <v>5</v>
      </c>
      <c r="M165" s="101">
        <f t="shared" si="49"/>
        <v>30</v>
      </c>
      <c r="N165" s="4">
        <f t="shared" si="50"/>
        <v>45</v>
      </c>
      <c r="O165" s="4">
        <f t="shared" si="51"/>
        <v>12</v>
      </c>
      <c r="P165" s="4">
        <f t="shared" si="52"/>
        <v>56</v>
      </c>
      <c r="Q165" s="4">
        <f t="shared" si="53"/>
        <v>30</v>
      </c>
      <c r="R165" s="4">
        <f t="shared" si="54"/>
        <v>30</v>
      </c>
      <c r="S165" s="102">
        <f t="shared" si="55"/>
        <v>30</v>
      </c>
      <c r="U165" s="101">
        <f t="shared" si="56"/>
        <v>39</v>
      </c>
      <c r="V165" s="4">
        <f t="shared" si="57"/>
        <v>71</v>
      </c>
      <c r="W165" s="4">
        <f t="shared" si="58"/>
        <v>9</v>
      </c>
      <c r="X165" s="4">
        <f t="shared" si="59"/>
        <v>78</v>
      </c>
      <c r="Y165" s="4">
        <f t="shared" si="60"/>
        <v>39</v>
      </c>
      <c r="Z165" s="4">
        <f t="shared" si="61"/>
        <v>39</v>
      </c>
      <c r="AA165" s="102">
        <f t="shared" si="62"/>
        <v>39</v>
      </c>
      <c r="AC165" s="100">
        <f t="shared" si="63"/>
        <v>0.98956646621418209</v>
      </c>
    </row>
    <row r="166" spans="4:29" x14ac:dyDescent="0.35">
      <c r="D166">
        <f t="shared" si="64"/>
        <v>162</v>
      </c>
      <c r="E166" s="101">
        <v>5</v>
      </c>
      <c r="F166" s="4">
        <v>2</v>
      </c>
      <c r="G166" s="4">
        <v>5</v>
      </c>
      <c r="H166" s="4">
        <v>6</v>
      </c>
      <c r="I166" s="4">
        <v>4</v>
      </c>
      <c r="J166" s="4">
        <v>5</v>
      </c>
      <c r="K166" s="102">
        <v>7</v>
      </c>
      <c r="M166" s="101">
        <f t="shared" si="49"/>
        <v>30</v>
      </c>
      <c r="N166" s="4">
        <f t="shared" si="50"/>
        <v>56</v>
      </c>
      <c r="O166" s="4">
        <f t="shared" si="51"/>
        <v>30</v>
      </c>
      <c r="P166" s="4">
        <f t="shared" si="52"/>
        <v>45</v>
      </c>
      <c r="Q166" s="4">
        <f t="shared" si="53"/>
        <v>12</v>
      </c>
      <c r="R166" s="4">
        <f t="shared" si="54"/>
        <v>30</v>
      </c>
      <c r="S166" s="102">
        <f t="shared" si="55"/>
        <v>29</v>
      </c>
      <c r="U166" s="101">
        <f t="shared" si="56"/>
        <v>39</v>
      </c>
      <c r="V166" s="4">
        <f t="shared" si="57"/>
        <v>78</v>
      </c>
      <c r="W166" s="4">
        <f t="shared" si="58"/>
        <v>39</v>
      </c>
      <c r="X166" s="4">
        <f t="shared" si="59"/>
        <v>71</v>
      </c>
      <c r="Y166" s="4">
        <f t="shared" si="60"/>
        <v>9</v>
      </c>
      <c r="Z166" s="4">
        <f t="shared" si="61"/>
        <v>39</v>
      </c>
      <c r="AA166" s="102">
        <f t="shared" si="62"/>
        <v>41</v>
      </c>
      <c r="AC166" s="100">
        <f t="shared" si="63"/>
        <v>0.98821121818789981</v>
      </c>
    </row>
    <row r="167" spans="4:29" x14ac:dyDescent="0.35">
      <c r="D167">
        <f t="shared" si="64"/>
        <v>163</v>
      </c>
      <c r="E167" s="101">
        <v>4</v>
      </c>
      <c r="F167" s="4">
        <v>7</v>
      </c>
      <c r="G167" s="4">
        <v>6</v>
      </c>
      <c r="H167" s="4">
        <v>2</v>
      </c>
      <c r="I167" s="4">
        <v>5</v>
      </c>
      <c r="J167" s="4">
        <v>4</v>
      </c>
      <c r="K167" s="102">
        <v>4</v>
      </c>
      <c r="M167" s="101">
        <f t="shared" si="49"/>
        <v>12</v>
      </c>
      <c r="N167" s="4">
        <f t="shared" si="50"/>
        <v>29</v>
      </c>
      <c r="O167" s="4">
        <f t="shared" si="51"/>
        <v>45</v>
      </c>
      <c r="P167" s="4">
        <f t="shared" si="52"/>
        <v>56</v>
      </c>
      <c r="Q167" s="4">
        <f t="shared" si="53"/>
        <v>30</v>
      </c>
      <c r="R167" s="4">
        <f t="shared" si="54"/>
        <v>12</v>
      </c>
      <c r="S167" s="102">
        <f t="shared" si="55"/>
        <v>12</v>
      </c>
      <c r="U167" s="101">
        <f t="shared" si="56"/>
        <v>9</v>
      </c>
      <c r="V167" s="4">
        <f t="shared" si="57"/>
        <v>41</v>
      </c>
      <c r="W167" s="4">
        <f t="shared" si="58"/>
        <v>71</v>
      </c>
      <c r="X167" s="4">
        <f t="shared" si="59"/>
        <v>78</v>
      </c>
      <c r="Y167" s="4">
        <f t="shared" si="60"/>
        <v>39</v>
      </c>
      <c r="Z167" s="4">
        <f t="shared" si="61"/>
        <v>9</v>
      </c>
      <c r="AA167" s="102">
        <f t="shared" si="62"/>
        <v>9</v>
      </c>
      <c r="AC167" s="100">
        <f t="shared" si="63"/>
        <v>0.99272553395134622</v>
      </c>
    </row>
    <row r="168" spans="4:29" x14ac:dyDescent="0.35">
      <c r="D168">
        <f t="shared" si="64"/>
        <v>164</v>
      </c>
      <c r="E168" s="101">
        <v>1</v>
      </c>
      <c r="F168" s="4">
        <v>2</v>
      </c>
      <c r="G168" s="4">
        <v>1</v>
      </c>
      <c r="H168" s="4">
        <v>3</v>
      </c>
      <c r="I168" s="4">
        <v>5</v>
      </c>
      <c r="J168" s="4">
        <v>2</v>
      </c>
      <c r="K168" s="102">
        <v>6</v>
      </c>
      <c r="M168" s="101">
        <f t="shared" si="49"/>
        <v>34</v>
      </c>
      <c r="N168" s="4">
        <f t="shared" si="50"/>
        <v>56</v>
      </c>
      <c r="O168" s="4">
        <f t="shared" si="51"/>
        <v>34</v>
      </c>
      <c r="P168" s="4">
        <f t="shared" si="52"/>
        <v>23</v>
      </c>
      <c r="Q168" s="4">
        <f t="shared" si="53"/>
        <v>30</v>
      </c>
      <c r="R168" s="4">
        <f t="shared" si="54"/>
        <v>56</v>
      </c>
      <c r="S168" s="102">
        <f t="shared" si="55"/>
        <v>45</v>
      </c>
      <c r="U168" s="101">
        <f t="shared" si="56"/>
        <v>46</v>
      </c>
      <c r="V168" s="4">
        <f t="shared" si="57"/>
        <v>78</v>
      </c>
      <c r="W168" s="4">
        <f t="shared" si="58"/>
        <v>46</v>
      </c>
      <c r="X168" s="4">
        <f t="shared" si="59"/>
        <v>39</v>
      </c>
      <c r="Y168" s="4">
        <f t="shared" si="60"/>
        <v>39</v>
      </c>
      <c r="Z168" s="4">
        <f t="shared" si="61"/>
        <v>78</v>
      </c>
      <c r="AA168" s="102">
        <f t="shared" si="62"/>
        <v>71</v>
      </c>
      <c r="AC168" s="100">
        <f t="shared" si="63"/>
        <v>0.97043400022235338</v>
      </c>
    </row>
    <row r="169" spans="4:29" x14ac:dyDescent="0.35">
      <c r="D169">
        <f t="shared" si="64"/>
        <v>165</v>
      </c>
      <c r="E169" s="101">
        <v>4</v>
      </c>
      <c r="F169" s="4">
        <v>1</v>
      </c>
      <c r="G169" s="4">
        <v>6</v>
      </c>
      <c r="H169" s="4">
        <v>5</v>
      </c>
      <c r="I169" s="4">
        <v>1</v>
      </c>
      <c r="J169" s="4">
        <v>3</v>
      </c>
      <c r="K169" s="102">
        <v>2</v>
      </c>
      <c r="M169" s="101">
        <f t="shared" si="49"/>
        <v>12</v>
      </c>
      <c r="N169" s="4">
        <f t="shared" si="50"/>
        <v>34</v>
      </c>
      <c r="O169" s="4">
        <f t="shared" si="51"/>
        <v>45</v>
      </c>
      <c r="P169" s="4">
        <f t="shared" si="52"/>
        <v>30</v>
      </c>
      <c r="Q169" s="4">
        <f t="shared" si="53"/>
        <v>34</v>
      </c>
      <c r="R169" s="4">
        <f t="shared" si="54"/>
        <v>23</v>
      </c>
      <c r="S169" s="102">
        <f t="shared" si="55"/>
        <v>56</v>
      </c>
      <c r="U169" s="101">
        <f t="shared" si="56"/>
        <v>9</v>
      </c>
      <c r="V169" s="4">
        <f t="shared" si="57"/>
        <v>46</v>
      </c>
      <c r="W169" s="4">
        <f t="shared" si="58"/>
        <v>71</v>
      </c>
      <c r="X169" s="4">
        <f t="shared" si="59"/>
        <v>39</v>
      </c>
      <c r="Y169" s="4">
        <f t="shared" si="60"/>
        <v>46</v>
      </c>
      <c r="Z169" s="4">
        <f t="shared" si="61"/>
        <v>39</v>
      </c>
      <c r="AA169" s="102">
        <f t="shared" si="62"/>
        <v>78</v>
      </c>
      <c r="AC169" s="100">
        <f t="shared" si="63"/>
        <v>0.97454066662669314</v>
      </c>
    </row>
    <row r="170" spans="4:29" x14ac:dyDescent="0.35">
      <c r="D170">
        <f t="shared" si="64"/>
        <v>166</v>
      </c>
      <c r="E170" s="101">
        <v>5</v>
      </c>
      <c r="F170" s="4">
        <v>2</v>
      </c>
      <c r="G170" s="4">
        <v>4</v>
      </c>
      <c r="H170" s="4">
        <v>1</v>
      </c>
      <c r="I170" s="4">
        <v>3</v>
      </c>
      <c r="J170" s="4">
        <v>2</v>
      </c>
      <c r="K170" s="102">
        <v>3</v>
      </c>
      <c r="M170" s="101">
        <f t="shared" si="49"/>
        <v>30</v>
      </c>
      <c r="N170" s="4">
        <f t="shared" si="50"/>
        <v>56</v>
      </c>
      <c r="O170" s="4">
        <f t="shared" si="51"/>
        <v>12</v>
      </c>
      <c r="P170" s="4">
        <f t="shared" si="52"/>
        <v>34</v>
      </c>
      <c r="Q170" s="4">
        <f t="shared" si="53"/>
        <v>23</v>
      </c>
      <c r="R170" s="4">
        <f t="shared" si="54"/>
        <v>56</v>
      </c>
      <c r="S170" s="102">
        <f t="shared" si="55"/>
        <v>23</v>
      </c>
      <c r="U170" s="101">
        <f t="shared" si="56"/>
        <v>39</v>
      </c>
      <c r="V170" s="4">
        <f t="shared" si="57"/>
        <v>78</v>
      </c>
      <c r="W170" s="4">
        <f t="shared" si="58"/>
        <v>9</v>
      </c>
      <c r="X170" s="4">
        <f t="shared" si="59"/>
        <v>46</v>
      </c>
      <c r="Y170" s="4">
        <f t="shared" si="60"/>
        <v>39</v>
      </c>
      <c r="Z170" s="4">
        <f t="shared" si="61"/>
        <v>78</v>
      </c>
      <c r="AA170" s="102">
        <f t="shared" si="62"/>
        <v>39</v>
      </c>
      <c r="AC170" s="100">
        <f t="shared" si="63"/>
        <v>0.97654110178447284</v>
      </c>
    </row>
    <row r="171" spans="4:29" x14ac:dyDescent="0.35">
      <c r="D171">
        <f t="shared" si="64"/>
        <v>167</v>
      </c>
      <c r="E171" s="101">
        <v>3</v>
      </c>
      <c r="F171" s="4">
        <v>4</v>
      </c>
      <c r="G171" s="4">
        <v>2</v>
      </c>
      <c r="H171" s="4">
        <v>3</v>
      </c>
      <c r="I171" s="4">
        <v>6</v>
      </c>
      <c r="J171" s="4">
        <v>6</v>
      </c>
      <c r="K171" s="102">
        <v>6</v>
      </c>
      <c r="M171" s="101">
        <f t="shared" si="49"/>
        <v>23</v>
      </c>
      <c r="N171" s="4">
        <f t="shared" si="50"/>
        <v>12</v>
      </c>
      <c r="O171" s="4">
        <f t="shared" si="51"/>
        <v>56</v>
      </c>
      <c r="P171" s="4">
        <f t="shared" si="52"/>
        <v>23</v>
      </c>
      <c r="Q171" s="4">
        <f t="shared" si="53"/>
        <v>45</v>
      </c>
      <c r="R171" s="4">
        <f t="shared" si="54"/>
        <v>45</v>
      </c>
      <c r="S171" s="102">
        <f t="shared" si="55"/>
        <v>45</v>
      </c>
      <c r="U171" s="101">
        <f t="shared" si="56"/>
        <v>39</v>
      </c>
      <c r="V171" s="4">
        <f t="shared" si="57"/>
        <v>9</v>
      </c>
      <c r="W171" s="4">
        <f t="shared" si="58"/>
        <v>78</v>
      </c>
      <c r="X171" s="4">
        <f t="shared" si="59"/>
        <v>39</v>
      </c>
      <c r="Y171" s="4">
        <f t="shared" si="60"/>
        <v>71</v>
      </c>
      <c r="Z171" s="4">
        <f t="shared" si="61"/>
        <v>71</v>
      </c>
      <c r="AA171" s="102">
        <f t="shared" si="62"/>
        <v>71</v>
      </c>
      <c r="AC171" s="100">
        <f t="shared" si="63"/>
        <v>0.97575248118728031</v>
      </c>
    </row>
    <row r="172" spans="4:29" x14ac:dyDescent="0.35">
      <c r="D172">
        <f t="shared" si="64"/>
        <v>168</v>
      </c>
      <c r="E172" s="101">
        <v>4</v>
      </c>
      <c r="F172" s="4">
        <v>2</v>
      </c>
      <c r="G172" s="4">
        <v>1</v>
      </c>
      <c r="H172" s="4">
        <v>3</v>
      </c>
      <c r="I172" s="4">
        <v>1</v>
      </c>
      <c r="J172" s="4">
        <v>3</v>
      </c>
      <c r="K172" s="102">
        <v>4</v>
      </c>
      <c r="M172" s="101">
        <f t="shared" si="49"/>
        <v>12</v>
      </c>
      <c r="N172" s="4">
        <f t="shared" si="50"/>
        <v>56</v>
      </c>
      <c r="O172" s="4">
        <f t="shared" si="51"/>
        <v>34</v>
      </c>
      <c r="P172" s="4">
        <f t="shared" si="52"/>
        <v>23</v>
      </c>
      <c r="Q172" s="4">
        <f t="shared" si="53"/>
        <v>34</v>
      </c>
      <c r="R172" s="4">
        <f t="shared" si="54"/>
        <v>23</v>
      </c>
      <c r="S172" s="102">
        <f t="shared" si="55"/>
        <v>12</v>
      </c>
      <c r="U172" s="101">
        <f t="shared" si="56"/>
        <v>9</v>
      </c>
      <c r="V172" s="4">
        <f t="shared" si="57"/>
        <v>78</v>
      </c>
      <c r="W172" s="4">
        <f t="shared" si="58"/>
        <v>46</v>
      </c>
      <c r="X172" s="4">
        <f t="shared" si="59"/>
        <v>39</v>
      </c>
      <c r="Y172" s="4">
        <f t="shared" si="60"/>
        <v>46</v>
      </c>
      <c r="Z172" s="4">
        <f t="shared" si="61"/>
        <v>39</v>
      </c>
      <c r="AA172" s="102">
        <f t="shared" si="62"/>
        <v>9</v>
      </c>
      <c r="AC172" s="100">
        <f t="shared" si="63"/>
        <v>0.97037435946476225</v>
      </c>
    </row>
    <row r="173" spans="4:29" x14ac:dyDescent="0.35">
      <c r="D173">
        <f t="shared" si="64"/>
        <v>169</v>
      </c>
      <c r="E173" s="101">
        <v>4</v>
      </c>
      <c r="F173" s="4">
        <v>6</v>
      </c>
      <c r="G173" s="4">
        <v>1</v>
      </c>
      <c r="H173" s="4">
        <v>2</v>
      </c>
      <c r="I173" s="4">
        <v>7</v>
      </c>
      <c r="J173" s="4">
        <v>7</v>
      </c>
      <c r="K173" s="102">
        <v>5</v>
      </c>
      <c r="M173" s="101">
        <f t="shared" si="49"/>
        <v>12</v>
      </c>
      <c r="N173" s="4">
        <f t="shared" si="50"/>
        <v>45</v>
      </c>
      <c r="O173" s="4">
        <f t="shared" si="51"/>
        <v>34</v>
      </c>
      <c r="P173" s="4">
        <f t="shared" si="52"/>
        <v>56</v>
      </c>
      <c r="Q173" s="4">
        <f t="shared" si="53"/>
        <v>29</v>
      </c>
      <c r="R173" s="4">
        <f t="shared" si="54"/>
        <v>29</v>
      </c>
      <c r="S173" s="102">
        <f t="shared" si="55"/>
        <v>30</v>
      </c>
      <c r="U173" s="101">
        <f t="shared" si="56"/>
        <v>9</v>
      </c>
      <c r="V173" s="4">
        <f t="shared" si="57"/>
        <v>71</v>
      </c>
      <c r="W173" s="4">
        <f t="shared" si="58"/>
        <v>46</v>
      </c>
      <c r="X173" s="4">
        <f t="shared" si="59"/>
        <v>78</v>
      </c>
      <c r="Y173" s="4">
        <f t="shared" si="60"/>
        <v>41</v>
      </c>
      <c r="Z173" s="4">
        <f t="shared" si="61"/>
        <v>41</v>
      </c>
      <c r="AA173" s="102">
        <f t="shared" si="62"/>
        <v>39</v>
      </c>
      <c r="AC173" s="100">
        <f t="shared" si="63"/>
        <v>0.98751607909185291</v>
      </c>
    </row>
    <row r="174" spans="4:29" x14ac:dyDescent="0.35">
      <c r="D174">
        <f t="shared" si="64"/>
        <v>170</v>
      </c>
      <c r="E174" s="101">
        <v>1</v>
      </c>
      <c r="F174" s="4">
        <v>7</v>
      </c>
      <c r="G174" s="4">
        <v>6</v>
      </c>
      <c r="H174" s="4">
        <v>2</v>
      </c>
      <c r="I174" s="4">
        <v>1</v>
      </c>
      <c r="J174" s="4">
        <v>7</v>
      </c>
      <c r="K174" s="102">
        <v>5</v>
      </c>
      <c r="M174" s="101">
        <f t="shared" si="49"/>
        <v>34</v>
      </c>
      <c r="N174" s="4">
        <f t="shared" si="50"/>
        <v>29</v>
      </c>
      <c r="O174" s="4">
        <f t="shared" si="51"/>
        <v>45</v>
      </c>
      <c r="P174" s="4">
        <f t="shared" si="52"/>
        <v>56</v>
      </c>
      <c r="Q174" s="4">
        <f t="shared" si="53"/>
        <v>34</v>
      </c>
      <c r="R174" s="4">
        <f t="shared" si="54"/>
        <v>29</v>
      </c>
      <c r="S174" s="102">
        <f t="shared" si="55"/>
        <v>30</v>
      </c>
      <c r="U174" s="101">
        <f t="shared" si="56"/>
        <v>46</v>
      </c>
      <c r="V174" s="4">
        <f t="shared" si="57"/>
        <v>41</v>
      </c>
      <c r="W174" s="4">
        <f t="shared" si="58"/>
        <v>71</v>
      </c>
      <c r="X174" s="4">
        <f t="shared" si="59"/>
        <v>78</v>
      </c>
      <c r="Y174" s="4">
        <f t="shared" si="60"/>
        <v>46</v>
      </c>
      <c r="Z174" s="4">
        <f t="shared" si="61"/>
        <v>41</v>
      </c>
      <c r="AA174" s="102">
        <f t="shared" si="62"/>
        <v>39</v>
      </c>
      <c r="AC174" s="100">
        <f t="shared" si="63"/>
        <v>0.97761727585285618</v>
      </c>
    </row>
    <row r="175" spans="4:29" x14ac:dyDescent="0.35">
      <c r="D175">
        <f t="shared" si="64"/>
        <v>171</v>
      </c>
      <c r="E175" s="101">
        <v>2</v>
      </c>
      <c r="F175" s="4">
        <v>3</v>
      </c>
      <c r="G175" s="4">
        <v>5</v>
      </c>
      <c r="H175" s="4">
        <v>2</v>
      </c>
      <c r="I175" s="4">
        <v>1</v>
      </c>
      <c r="J175" s="4">
        <v>1</v>
      </c>
      <c r="K175" s="102">
        <v>3</v>
      </c>
      <c r="M175" s="101">
        <f t="shared" si="49"/>
        <v>56</v>
      </c>
      <c r="N175" s="4">
        <f t="shared" si="50"/>
        <v>23</v>
      </c>
      <c r="O175" s="4">
        <f t="shared" si="51"/>
        <v>30</v>
      </c>
      <c r="P175" s="4">
        <f t="shared" si="52"/>
        <v>56</v>
      </c>
      <c r="Q175" s="4">
        <f t="shared" si="53"/>
        <v>34</v>
      </c>
      <c r="R175" s="4">
        <f t="shared" si="54"/>
        <v>34</v>
      </c>
      <c r="S175" s="102">
        <f t="shared" si="55"/>
        <v>23</v>
      </c>
      <c r="U175" s="101">
        <f t="shared" si="56"/>
        <v>78</v>
      </c>
      <c r="V175" s="4">
        <f t="shared" si="57"/>
        <v>39</v>
      </c>
      <c r="W175" s="4">
        <f t="shared" si="58"/>
        <v>39</v>
      </c>
      <c r="X175" s="4">
        <f t="shared" si="59"/>
        <v>78</v>
      </c>
      <c r="Y175" s="4">
        <f t="shared" si="60"/>
        <v>46</v>
      </c>
      <c r="Z175" s="4">
        <f t="shared" si="61"/>
        <v>46</v>
      </c>
      <c r="AA175" s="102">
        <f t="shared" si="62"/>
        <v>39</v>
      </c>
      <c r="AC175" s="100">
        <f t="shared" si="63"/>
        <v>0.98023568996503341</v>
      </c>
    </row>
    <row r="176" spans="4:29" x14ac:dyDescent="0.35">
      <c r="D176">
        <f t="shared" si="64"/>
        <v>172</v>
      </c>
      <c r="E176" s="101">
        <v>3</v>
      </c>
      <c r="F176" s="4">
        <v>1</v>
      </c>
      <c r="G176" s="4">
        <v>5</v>
      </c>
      <c r="H176" s="4">
        <v>5</v>
      </c>
      <c r="I176" s="4">
        <v>1</v>
      </c>
      <c r="J176" s="4">
        <v>5</v>
      </c>
      <c r="K176" s="102">
        <v>5</v>
      </c>
      <c r="M176" s="101">
        <f t="shared" si="49"/>
        <v>23</v>
      </c>
      <c r="N176" s="4">
        <f t="shared" si="50"/>
        <v>34</v>
      </c>
      <c r="O176" s="4">
        <f t="shared" si="51"/>
        <v>30</v>
      </c>
      <c r="P176" s="4">
        <f t="shared" si="52"/>
        <v>30</v>
      </c>
      <c r="Q176" s="4">
        <f t="shared" si="53"/>
        <v>34</v>
      </c>
      <c r="R176" s="4">
        <f t="shared" si="54"/>
        <v>30</v>
      </c>
      <c r="S176" s="102">
        <f t="shared" si="55"/>
        <v>30</v>
      </c>
      <c r="U176" s="101">
        <f t="shared" si="56"/>
        <v>39</v>
      </c>
      <c r="V176" s="4">
        <f t="shared" si="57"/>
        <v>46</v>
      </c>
      <c r="W176" s="4">
        <f t="shared" si="58"/>
        <v>39</v>
      </c>
      <c r="X176" s="4">
        <f t="shared" si="59"/>
        <v>39</v>
      </c>
      <c r="Y176" s="4">
        <f t="shared" si="60"/>
        <v>46</v>
      </c>
      <c r="Z176" s="4">
        <f t="shared" si="61"/>
        <v>39</v>
      </c>
      <c r="AA176" s="102">
        <f t="shared" si="62"/>
        <v>39</v>
      </c>
      <c r="AC176" s="100">
        <f t="shared" si="63"/>
        <v>0.7177703994243233</v>
      </c>
    </row>
    <row r="177" spans="4:29" x14ac:dyDescent="0.35">
      <c r="D177">
        <f t="shared" si="64"/>
        <v>173</v>
      </c>
      <c r="E177" s="101">
        <v>2</v>
      </c>
      <c r="F177" s="4">
        <v>6</v>
      </c>
      <c r="G177" s="4">
        <v>2</v>
      </c>
      <c r="H177" s="4">
        <v>4</v>
      </c>
      <c r="I177" s="4">
        <v>7</v>
      </c>
      <c r="J177" s="4">
        <v>4</v>
      </c>
      <c r="K177" s="102">
        <v>6</v>
      </c>
      <c r="M177" s="101">
        <f t="shared" si="49"/>
        <v>56</v>
      </c>
      <c r="N177" s="4">
        <f t="shared" si="50"/>
        <v>45</v>
      </c>
      <c r="O177" s="4">
        <f t="shared" si="51"/>
        <v>56</v>
      </c>
      <c r="P177" s="4">
        <f t="shared" si="52"/>
        <v>12</v>
      </c>
      <c r="Q177" s="4">
        <f t="shared" si="53"/>
        <v>29</v>
      </c>
      <c r="R177" s="4">
        <f t="shared" si="54"/>
        <v>12</v>
      </c>
      <c r="S177" s="102">
        <f t="shared" si="55"/>
        <v>45</v>
      </c>
      <c r="U177" s="101">
        <f t="shared" si="56"/>
        <v>78</v>
      </c>
      <c r="V177" s="4">
        <f t="shared" si="57"/>
        <v>71</v>
      </c>
      <c r="W177" s="4">
        <f t="shared" si="58"/>
        <v>78</v>
      </c>
      <c r="X177" s="4">
        <f t="shared" si="59"/>
        <v>9</v>
      </c>
      <c r="Y177" s="4">
        <f t="shared" si="60"/>
        <v>41</v>
      </c>
      <c r="Z177" s="4">
        <f t="shared" si="61"/>
        <v>9</v>
      </c>
      <c r="AA177" s="102">
        <f t="shared" si="62"/>
        <v>71</v>
      </c>
      <c r="AC177" s="100">
        <f t="shared" si="63"/>
        <v>0.98849171302779193</v>
      </c>
    </row>
    <row r="178" spans="4:29" x14ac:dyDescent="0.35">
      <c r="D178">
        <f t="shared" si="64"/>
        <v>174</v>
      </c>
      <c r="E178" s="101">
        <v>6</v>
      </c>
      <c r="F178" s="4">
        <v>7</v>
      </c>
      <c r="G178" s="4">
        <v>1</v>
      </c>
      <c r="H178" s="4">
        <v>1</v>
      </c>
      <c r="I178" s="4">
        <v>1</v>
      </c>
      <c r="J178" s="4">
        <v>1</v>
      </c>
      <c r="K178" s="102">
        <v>3</v>
      </c>
      <c r="M178" s="101">
        <f t="shared" si="49"/>
        <v>45</v>
      </c>
      <c r="N178" s="4">
        <f t="shared" si="50"/>
        <v>29</v>
      </c>
      <c r="O178" s="4">
        <f t="shared" si="51"/>
        <v>34</v>
      </c>
      <c r="P178" s="4">
        <f t="shared" si="52"/>
        <v>34</v>
      </c>
      <c r="Q178" s="4">
        <f t="shared" si="53"/>
        <v>34</v>
      </c>
      <c r="R178" s="4">
        <f t="shared" si="54"/>
        <v>34</v>
      </c>
      <c r="S178" s="102">
        <f t="shared" si="55"/>
        <v>23</v>
      </c>
      <c r="U178" s="101">
        <f t="shared" si="56"/>
        <v>71</v>
      </c>
      <c r="V178" s="4">
        <f t="shared" si="57"/>
        <v>41</v>
      </c>
      <c r="W178" s="4">
        <f t="shared" si="58"/>
        <v>46</v>
      </c>
      <c r="X178" s="4">
        <f t="shared" si="59"/>
        <v>46</v>
      </c>
      <c r="Y178" s="4">
        <f t="shared" si="60"/>
        <v>46</v>
      </c>
      <c r="Z178" s="4">
        <f t="shared" si="61"/>
        <v>46</v>
      </c>
      <c r="AA178" s="102">
        <f t="shared" si="62"/>
        <v>39</v>
      </c>
      <c r="AC178" s="100">
        <f t="shared" si="63"/>
        <v>0.91615991160737176</v>
      </c>
    </row>
    <row r="179" spans="4:29" x14ac:dyDescent="0.35">
      <c r="D179">
        <f t="shared" si="64"/>
        <v>175</v>
      </c>
      <c r="E179" s="101">
        <v>2</v>
      </c>
      <c r="F179" s="4">
        <v>1</v>
      </c>
      <c r="G179" s="4">
        <v>3</v>
      </c>
      <c r="H179" s="4">
        <v>5</v>
      </c>
      <c r="I179" s="4">
        <v>5</v>
      </c>
      <c r="J179" s="4">
        <v>3</v>
      </c>
      <c r="K179" s="102">
        <v>4</v>
      </c>
      <c r="M179" s="101">
        <f t="shared" si="49"/>
        <v>56</v>
      </c>
      <c r="N179" s="4">
        <f t="shared" si="50"/>
        <v>34</v>
      </c>
      <c r="O179" s="4">
        <f t="shared" si="51"/>
        <v>23</v>
      </c>
      <c r="P179" s="4">
        <f t="shared" si="52"/>
        <v>30</v>
      </c>
      <c r="Q179" s="4">
        <f t="shared" si="53"/>
        <v>30</v>
      </c>
      <c r="R179" s="4">
        <f t="shared" si="54"/>
        <v>23</v>
      </c>
      <c r="S179" s="102">
        <f t="shared" si="55"/>
        <v>12</v>
      </c>
      <c r="U179" s="101">
        <f t="shared" si="56"/>
        <v>78</v>
      </c>
      <c r="V179" s="4">
        <f t="shared" si="57"/>
        <v>46</v>
      </c>
      <c r="W179" s="4">
        <f t="shared" si="58"/>
        <v>39</v>
      </c>
      <c r="X179" s="4">
        <f t="shared" si="59"/>
        <v>39</v>
      </c>
      <c r="Y179" s="4">
        <f t="shared" si="60"/>
        <v>39</v>
      </c>
      <c r="Z179" s="4">
        <f t="shared" si="61"/>
        <v>39</v>
      </c>
      <c r="AA179" s="102">
        <f t="shared" si="62"/>
        <v>9</v>
      </c>
      <c r="AC179" s="100">
        <f t="shared" si="63"/>
        <v>0.96387151736275645</v>
      </c>
    </row>
    <row r="180" spans="4:29" x14ac:dyDescent="0.35">
      <c r="D180">
        <f t="shared" si="64"/>
        <v>176</v>
      </c>
      <c r="E180" s="101">
        <v>2</v>
      </c>
      <c r="F180" s="4">
        <v>2</v>
      </c>
      <c r="G180" s="4">
        <v>1</v>
      </c>
      <c r="H180" s="4">
        <v>5</v>
      </c>
      <c r="I180" s="4">
        <v>2</v>
      </c>
      <c r="J180" s="4">
        <v>4</v>
      </c>
      <c r="K180" s="102">
        <v>2</v>
      </c>
      <c r="M180" s="101">
        <f t="shared" si="49"/>
        <v>56</v>
      </c>
      <c r="N180" s="4">
        <f t="shared" si="50"/>
        <v>56</v>
      </c>
      <c r="O180" s="4">
        <f t="shared" si="51"/>
        <v>34</v>
      </c>
      <c r="P180" s="4">
        <f t="shared" si="52"/>
        <v>30</v>
      </c>
      <c r="Q180" s="4">
        <f t="shared" si="53"/>
        <v>56</v>
      </c>
      <c r="R180" s="4">
        <f t="shared" si="54"/>
        <v>12</v>
      </c>
      <c r="S180" s="102">
        <f t="shared" si="55"/>
        <v>56</v>
      </c>
      <c r="U180" s="101">
        <f t="shared" si="56"/>
        <v>78</v>
      </c>
      <c r="V180" s="4">
        <f t="shared" si="57"/>
        <v>78</v>
      </c>
      <c r="W180" s="4">
        <f t="shared" si="58"/>
        <v>46</v>
      </c>
      <c r="X180" s="4">
        <f t="shared" si="59"/>
        <v>39</v>
      </c>
      <c r="Y180" s="4">
        <f t="shared" si="60"/>
        <v>78</v>
      </c>
      <c r="Z180" s="4">
        <f t="shared" si="61"/>
        <v>9</v>
      </c>
      <c r="AA180" s="102">
        <f t="shared" si="62"/>
        <v>78</v>
      </c>
      <c r="AC180" s="100">
        <f t="shared" si="63"/>
        <v>0.99936570923422197</v>
      </c>
    </row>
    <row r="181" spans="4:29" x14ac:dyDescent="0.35">
      <c r="D181">
        <f t="shared" si="64"/>
        <v>177</v>
      </c>
      <c r="E181" s="101">
        <v>2</v>
      </c>
      <c r="F181" s="4">
        <v>4</v>
      </c>
      <c r="G181" s="4">
        <v>5</v>
      </c>
      <c r="H181" s="4">
        <v>1</v>
      </c>
      <c r="I181" s="4">
        <v>5</v>
      </c>
      <c r="J181" s="4">
        <v>6</v>
      </c>
      <c r="K181" s="102">
        <v>3</v>
      </c>
      <c r="M181" s="101">
        <f t="shared" si="49"/>
        <v>56</v>
      </c>
      <c r="N181" s="4">
        <f t="shared" si="50"/>
        <v>12</v>
      </c>
      <c r="O181" s="4">
        <f t="shared" si="51"/>
        <v>30</v>
      </c>
      <c r="P181" s="4">
        <f t="shared" si="52"/>
        <v>34</v>
      </c>
      <c r="Q181" s="4">
        <f t="shared" si="53"/>
        <v>30</v>
      </c>
      <c r="R181" s="4">
        <f t="shared" si="54"/>
        <v>45</v>
      </c>
      <c r="S181" s="102">
        <f t="shared" si="55"/>
        <v>23</v>
      </c>
      <c r="U181" s="101">
        <f t="shared" si="56"/>
        <v>78</v>
      </c>
      <c r="V181" s="4">
        <f t="shared" si="57"/>
        <v>9</v>
      </c>
      <c r="W181" s="4">
        <f t="shared" si="58"/>
        <v>39</v>
      </c>
      <c r="X181" s="4">
        <f t="shared" si="59"/>
        <v>46</v>
      </c>
      <c r="Y181" s="4">
        <f t="shared" si="60"/>
        <v>39</v>
      </c>
      <c r="Z181" s="4">
        <f t="shared" si="61"/>
        <v>71</v>
      </c>
      <c r="AA181" s="102">
        <f t="shared" si="62"/>
        <v>39</v>
      </c>
      <c r="AC181" s="100">
        <f t="shared" si="63"/>
        <v>0.97446236210462145</v>
      </c>
    </row>
    <row r="182" spans="4:29" x14ac:dyDescent="0.35">
      <c r="D182">
        <f t="shared" si="64"/>
        <v>178</v>
      </c>
      <c r="E182" s="101">
        <v>1</v>
      </c>
      <c r="F182" s="4">
        <v>1</v>
      </c>
      <c r="G182" s="4">
        <v>4</v>
      </c>
      <c r="H182" s="4">
        <v>2</v>
      </c>
      <c r="I182" s="4">
        <v>4</v>
      </c>
      <c r="J182" s="4">
        <v>2</v>
      </c>
      <c r="K182" s="102">
        <v>6</v>
      </c>
      <c r="M182" s="101">
        <f t="shared" si="49"/>
        <v>34</v>
      </c>
      <c r="N182" s="4">
        <f t="shared" si="50"/>
        <v>34</v>
      </c>
      <c r="O182" s="4">
        <f t="shared" si="51"/>
        <v>12</v>
      </c>
      <c r="P182" s="4">
        <f t="shared" si="52"/>
        <v>56</v>
      </c>
      <c r="Q182" s="4">
        <f t="shared" si="53"/>
        <v>12</v>
      </c>
      <c r="R182" s="4">
        <f t="shared" si="54"/>
        <v>56</v>
      </c>
      <c r="S182" s="102">
        <f t="shared" si="55"/>
        <v>45</v>
      </c>
      <c r="U182" s="101">
        <f t="shared" si="56"/>
        <v>46</v>
      </c>
      <c r="V182" s="4">
        <f t="shared" si="57"/>
        <v>46</v>
      </c>
      <c r="W182" s="4">
        <f t="shared" si="58"/>
        <v>9</v>
      </c>
      <c r="X182" s="4">
        <f t="shared" si="59"/>
        <v>78</v>
      </c>
      <c r="Y182" s="4">
        <f t="shared" si="60"/>
        <v>9</v>
      </c>
      <c r="Z182" s="4">
        <f t="shared" si="61"/>
        <v>78</v>
      </c>
      <c r="AA182" s="102">
        <f t="shared" si="62"/>
        <v>71</v>
      </c>
      <c r="AC182" s="100">
        <f t="shared" si="63"/>
        <v>0.99249116980570407</v>
      </c>
    </row>
    <row r="183" spans="4:29" x14ac:dyDescent="0.35">
      <c r="D183">
        <f t="shared" si="64"/>
        <v>179</v>
      </c>
      <c r="E183" s="101">
        <v>6</v>
      </c>
      <c r="F183" s="4">
        <v>2</v>
      </c>
      <c r="G183" s="4">
        <v>6</v>
      </c>
      <c r="H183" s="4">
        <v>5</v>
      </c>
      <c r="I183" s="4">
        <v>2</v>
      </c>
      <c r="J183" s="4">
        <v>2</v>
      </c>
      <c r="K183" s="102">
        <v>4</v>
      </c>
      <c r="M183" s="101">
        <f t="shared" si="49"/>
        <v>45</v>
      </c>
      <c r="N183" s="4">
        <f t="shared" si="50"/>
        <v>56</v>
      </c>
      <c r="O183" s="4">
        <f t="shared" si="51"/>
        <v>45</v>
      </c>
      <c r="P183" s="4">
        <f t="shared" si="52"/>
        <v>30</v>
      </c>
      <c r="Q183" s="4">
        <f t="shared" si="53"/>
        <v>56</v>
      </c>
      <c r="R183" s="4">
        <f t="shared" si="54"/>
        <v>56</v>
      </c>
      <c r="S183" s="102">
        <f t="shared" si="55"/>
        <v>12</v>
      </c>
      <c r="U183" s="101">
        <f t="shared" si="56"/>
        <v>71</v>
      </c>
      <c r="V183" s="4">
        <f t="shared" si="57"/>
        <v>78</v>
      </c>
      <c r="W183" s="4">
        <f t="shared" si="58"/>
        <v>71</v>
      </c>
      <c r="X183" s="4">
        <f t="shared" si="59"/>
        <v>39</v>
      </c>
      <c r="Y183" s="4">
        <f t="shared" si="60"/>
        <v>78</v>
      </c>
      <c r="Z183" s="4">
        <f t="shared" si="61"/>
        <v>78</v>
      </c>
      <c r="AA183" s="102">
        <f t="shared" si="62"/>
        <v>9</v>
      </c>
      <c r="AC183" s="100">
        <f t="shared" si="63"/>
        <v>0.98315170424698373</v>
      </c>
    </row>
    <row r="184" spans="4:29" x14ac:dyDescent="0.35">
      <c r="D184">
        <f t="shared" si="64"/>
        <v>180</v>
      </c>
      <c r="E184" s="101">
        <v>5</v>
      </c>
      <c r="F184" s="4">
        <v>2</v>
      </c>
      <c r="G184" s="4">
        <v>6</v>
      </c>
      <c r="H184" s="4">
        <v>2</v>
      </c>
      <c r="I184" s="4">
        <v>6</v>
      </c>
      <c r="J184" s="4">
        <v>7</v>
      </c>
      <c r="K184" s="102">
        <v>2</v>
      </c>
      <c r="M184" s="101">
        <f t="shared" si="49"/>
        <v>30</v>
      </c>
      <c r="N184" s="4">
        <f t="shared" si="50"/>
        <v>56</v>
      </c>
      <c r="O184" s="4">
        <f t="shared" si="51"/>
        <v>45</v>
      </c>
      <c r="P184" s="4">
        <f t="shared" si="52"/>
        <v>56</v>
      </c>
      <c r="Q184" s="4">
        <f t="shared" si="53"/>
        <v>45</v>
      </c>
      <c r="R184" s="4">
        <f t="shared" si="54"/>
        <v>29</v>
      </c>
      <c r="S184" s="102">
        <f t="shared" si="55"/>
        <v>56</v>
      </c>
      <c r="U184" s="101">
        <f t="shared" si="56"/>
        <v>39</v>
      </c>
      <c r="V184" s="4">
        <f t="shared" si="57"/>
        <v>78</v>
      </c>
      <c r="W184" s="4">
        <f t="shared" si="58"/>
        <v>71</v>
      </c>
      <c r="X184" s="4">
        <f t="shared" si="59"/>
        <v>78</v>
      </c>
      <c r="Y184" s="4">
        <f t="shared" si="60"/>
        <v>71</v>
      </c>
      <c r="Z184" s="4">
        <f t="shared" si="61"/>
        <v>41</v>
      </c>
      <c r="AA184" s="102">
        <f t="shared" si="62"/>
        <v>78</v>
      </c>
      <c r="AC184" s="100">
        <f t="shared" si="63"/>
        <v>0.96785675555271988</v>
      </c>
    </row>
    <row r="185" spans="4:29" x14ac:dyDescent="0.35">
      <c r="D185">
        <f t="shared" si="64"/>
        <v>181</v>
      </c>
      <c r="E185" s="101">
        <v>1</v>
      </c>
      <c r="F185" s="4">
        <v>2</v>
      </c>
      <c r="G185" s="4">
        <v>3</v>
      </c>
      <c r="H185" s="4">
        <v>3</v>
      </c>
      <c r="I185" s="4">
        <v>4</v>
      </c>
      <c r="J185" s="4">
        <v>5</v>
      </c>
      <c r="K185" s="102">
        <v>6</v>
      </c>
      <c r="M185" s="101">
        <f t="shared" si="49"/>
        <v>34</v>
      </c>
      <c r="N185" s="4">
        <f t="shared" si="50"/>
        <v>56</v>
      </c>
      <c r="O185" s="4">
        <f t="shared" si="51"/>
        <v>23</v>
      </c>
      <c r="P185" s="4">
        <f t="shared" si="52"/>
        <v>23</v>
      </c>
      <c r="Q185" s="4">
        <f t="shared" si="53"/>
        <v>12</v>
      </c>
      <c r="R185" s="4">
        <f t="shared" si="54"/>
        <v>30</v>
      </c>
      <c r="S185" s="102">
        <f t="shared" si="55"/>
        <v>45</v>
      </c>
      <c r="U185" s="101">
        <f t="shared" si="56"/>
        <v>46</v>
      </c>
      <c r="V185" s="4">
        <f t="shared" si="57"/>
        <v>78</v>
      </c>
      <c r="W185" s="4">
        <f t="shared" si="58"/>
        <v>39</v>
      </c>
      <c r="X185" s="4">
        <f t="shared" si="59"/>
        <v>39</v>
      </c>
      <c r="Y185" s="4">
        <f t="shared" si="60"/>
        <v>9</v>
      </c>
      <c r="Z185" s="4">
        <f t="shared" si="61"/>
        <v>39</v>
      </c>
      <c r="AA185" s="102">
        <f t="shared" si="62"/>
        <v>71</v>
      </c>
      <c r="AC185" s="100">
        <f t="shared" si="63"/>
        <v>0.96711762463595619</v>
      </c>
    </row>
    <row r="186" spans="4:29" x14ac:dyDescent="0.35">
      <c r="D186">
        <f t="shared" si="64"/>
        <v>182</v>
      </c>
      <c r="E186" s="101">
        <v>1</v>
      </c>
      <c r="F186" s="4">
        <v>1</v>
      </c>
      <c r="G186" s="4">
        <v>7</v>
      </c>
      <c r="H186" s="4">
        <v>3</v>
      </c>
      <c r="I186" s="4">
        <v>6</v>
      </c>
      <c r="J186" s="4">
        <v>1</v>
      </c>
      <c r="K186" s="102">
        <v>5</v>
      </c>
      <c r="M186" s="101">
        <f t="shared" si="49"/>
        <v>34</v>
      </c>
      <c r="N186" s="4">
        <f t="shared" si="50"/>
        <v>34</v>
      </c>
      <c r="O186" s="4">
        <f t="shared" si="51"/>
        <v>29</v>
      </c>
      <c r="P186" s="4">
        <f t="shared" si="52"/>
        <v>23</v>
      </c>
      <c r="Q186" s="4">
        <f t="shared" si="53"/>
        <v>45</v>
      </c>
      <c r="R186" s="4">
        <f t="shared" si="54"/>
        <v>34</v>
      </c>
      <c r="S186" s="102">
        <f t="shared" si="55"/>
        <v>30</v>
      </c>
      <c r="U186" s="101">
        <f t="shared" si="56"/>
        <v>46</v>
      </c>
      <c r="V186" s="4">
        <f t="shared" si="57"/>
        <v>46</v>
      </c>
      <c r="W186" s="4">
        <f t="shared" si="58"/>
        <v>41</v>
      </c>
      <c r="X186" s="4">
        <f t="shared" si="59"/>
        <v>39</v>
      </c>
      <c r="Y186" s="4">
        <f t="shared" si="60"/>
        <v>71</v>
      </c>
      <c r="Z186" s="4">
        <f t="shared" si="61"/>
        <v>46</v>
      </c>
      <c r="AA186" s="102">
        <f t="shared" si="62"/>
        <v>39</v>
      </c>
      <c r="AC186" s="100">
        <f t="shared" si="63"/>
        <v>0.91911334011851109</v>
      </c>
    </row>
    <row r="187" spans="4:29" x14ac:dyDescent="0.35">
      <c r="D187">
        <f t="shared" si="64"/>
        <v>183</v>
      </c>
      <c r="E187" s="101">
        <v>7</v>
      </c>
      <c r="F187" s="4">
        <v>6</v>
      </c>
      <c r="G187" s="4">
        <v>4</v>
      </c>
      <c r="H187" s="4">
        <v>1</v>
      </c>
      <c r="I187" s="4">
        <v>4</v>
      </c>
      <c r="J187" s="4">
        <v>2</v>
      </c>
      <c r="K187" s="102">
        <v>1</v>
      </c>
      <c r="M187" s="101">
        <f t="shared" si="49"/>
        <v>29</v>
      </c>
      <c r="N187" s="4">
        <f t="shared" si="50"/>
        <v>45</v>
      </c>
      <c r="O187" s="4">
        <f t="shared" si="51"/>
        <v>12</v>
      </c>
      <c r="P187" s="4">
        <f t="shared" si="52"/>
        <v>34</v>
      </c>
      <c r="Q187" s="4">
        <f t="shared" si="53"/>
        <v>12</v>
      </c>
      <c r="R187" s="4">
        <f t="shared" si="54"/>
        <v>56</v>
      </c>
      <c r="S187" s="102">
        <f t="shared" si="55"/>
        <v>34</v>
      </c>
      <c r="U187" s="101">
        <f t="shared" si="56"/>
        <v>41</v>
      </c>
      <c r="V187" s="4">
        <f t="shared" si="57"/>
        <v>71</v>
      </c>
      <c r="W187" s="4">
        <f t="shared" si="58"/>
        <v>9</v>
      </c>
      <c r="X187" s="4">
        <f t="shared" si="59"/>
        <v>46</v>
      </c>
      <c r="Y187" s="4">
        <f t="shared" si="60"/>
        <v>9</v>
      </c>
      <c r="Z187" s="4">
        <f t="shared" si="61"/>
        <v>78</v>
      </c>
      <c r="AA187" s="102">
        <f t="shared" si="62"/>
        <v>46</v>
      </c>
      <c r="AC187" s="100">
        <f t="shared" si="63"/>
        <v>0.99142381099854537</v>
      </c>
    </row>
    <row r="188" spans="4:29" x14ac:dyDescent="0.35">
      <c r="D188">
        <f t="shared" si="64"/>
        <v>184</v>
      </c>
      <c r="E188" s="101">
        <v>4</v>
      </c>
      <c r="F188" s="4">
        <v>2</v>
      </c>
      <c r="G188" s="4">
        <v>4</v>
      </c>
      <c r="H188" s="4">
        <v>6</v>
      </c>
      <c r="I188" s="4">
        <v>6</v>
      </c>
      <c r="J188" s="4">
        <v>5</v>
      </c>
      <c r="K188" s="102">
        <v>6</v>
      </c>
      <c r="M188" s="101">
        <f t="shared" si="49"/>
        <v>12</v>
      </c>
      <c r="N188" s="4">
        <f t="shared" si="50"/>
        <v>56</v>
      </c>
      <c r="O188" s="4">
        <f t="shared" si="51"/>
        <v>12</v>
      </c>
      <c r="P188" s="4">
        <f t="shared" si="52"/>
        <v>45</v>
      </c>
      <c r="Q188" s="4">
        <f t="shared" si="53"/>
        <v>45</v>
      </c>
      <c r="R188" s="4">
        <f t="shared" si="54"/>
        <v>30</v>
      </c>
      <c r="S188" s="102">
        <f t="shared" si="55"/>
        <v>45</v>
      </c>
      <c r="U188" s="101">
        <f t="shared" si="56"/>
        <v>9</v>
      </c>
      <c r="V188" s="4">
        <f t="shared" si="57"/>
        <v>78</v>
      </c>
      <c r="W188" s="4">
        <f t="shared" si="58"/>
        <v>9</v>
      </c>
      <c r="X188" s="4">
        <f t="shared" si="59"/>
        <v>71</v>
      </c>
      <c r="Y188" s="4">
        <f t="shared" si="60"/>
        <v>71</v>
      </c>
      <c r="Z188" s="4">
        <f t="shared" si="61"/>
        <v>39</v>
      </c>
      <c r="AA188" s="102">
        <f t="shared" si="62"/>
        <v>71</v>
      </c>
      <c r="AC188" s="100">
        <f t="shared" si="63"/>
        <v>0.98935807693367583</v>
      </c>
    </row>
    <row r="189" spans="4:29" x14ac:dyDescent="0.35">
      <c r="D189">
        <f t="shared" si="64"/>
        <v>185</v>
      </c>
      <c r="E189" s="101">
        <v>1</v>
      </c>
      <c r="F189" s="4">
        <v>7</v>
      </c>
      <c r="G189" s="4">
        <v>7</v>
      </c>
      <c r="H189" s="4">
        <v>3</v>
      </c>
      <c r="I189" s="4">
        <v>2</v>
      </c>
      <c r="J189" s="4">
        <v>1</v>
      </c>
      <c r="K189" s="102">
        <v>1</v>
      </c>
      <c r="M189" s="101">
        <f t="shared" si="49"/>
        <v>34</v>
      </c>
      <c r="N189" s="4">
        <f t="shared" si="50"/>
        <v>29</v>
      </c>
      <c r="O189" s="4">
        <f t="shared" si="51"/>
        <v>29</v>
      </c>
      <c r="P189" s="4">
        <f t="shared" si="52"/>
        <v>23</v>
      </c>
      <c r="Q189" s="4">
        <f t="shared" si="53"/>
        <v>56</v>
      </c>
      <c r="R189" s="4">
        <f t="shared" si="54"/>
        <v>34</v>
      </c>
      <c r="S189" s="102">
        <f t="shared" si="55"/>
        <v>34</v>
      </c>
      <c r="U189" s="101">
        <f t="shared" si="56"/>
        <v>46</v>
      </c>
      <c r="V189" s="4">
        <f t="shared" si="57"/>
        <v>41</v>
      </c>
      <c r="W189" s="4">
        <f t="shared" si="58"/>
        <v>41</v>
      </c>
      <c r="X189" s="4">
        <f t="shared" si="59"/>
        <v>39</v>
      </c>
      <c r="Y189" s="4">
        <f t="shared" si="60"/>
        <v>78</v>
      </c>
      <c r="Z189" s="4">
        <f t="shared" si="61"/>
        <v>46</v>
      </c>
      <c r="AA189" s="102">
        <f t="shared" si="62"/>
        <v>46</v>
      </c>
      <c r="AC189" s="100">
        <f t="shared" si="63"/>
        <v>0.98066902963498426</v>
      </c>
    </row>
    <row r="190" spans="4:29" x14ac:dyDescent="0.35">
      <c r="D190">
        <f t="shared" si="64"/>
        <v>186</v>
      </c>
      <c r="E190" s="101">
        <v>5</v>
      </c>
      <c r="F190" s="4">
        <v>6</v>
      </c>
      <c r="G190" s="4">
        <v>7</v>
      </c>
      <c r="H190" s="4">
        <v>5</v>
      </c>
      <c r="I190" s="4">
        <v>7</v>
      </c>
      <c r="J190" s="4">
        <v>2</v>
      </c>
      <c r="K190" s="102">
        <v>1</v>
      </c>
      <c r="M190" s="101">
        <f t="shared" si="49"/>
        <v>30</v>
      </c>
      <c r="N190" s="4">
        <f t="shared" si="50"/>
        <v>45</v>
      </c>
      <c r="O190" s="4">
        <f t="shared" si="51"/>
        <v>29</v>
      </c>
      <c r="P190" s="4">
        <f t="shared" si="52"/>
        <v>30</v>
      </c>
      <c r="Q190" s="4">
        <f t="shared" si="53"/>
        <v>29</v>
      </c>
      <c r="R190" s="4">
        <f t="shared" si="54"/>
        <v>56</v>
      </c>
      <c r="S190" s="102">
        <f t="shared" si="55"/>
        <v>34</v>
      </c>
      <c r="U190" s="101">
        <f t="shared" si="56"/>
        <v>39</v>
      </c>
      <c r="V190" s="4">
        <f t="shared" si="57"/>
        <v>71</v>
      </c>
      <c r="W190" s="4">
        <f t="shared" si="58"/>
        <v>41</v>
      </c>
      <c r="X190" s="4">
        <f t="shared" si="59"/>
        <v>39</v>
      </c>
      <c r="Y190" s="4">
        <f t="shared" si="60"/>
        <v>41</v>
      </c>
      <c r="Z190" s="4">
        <f t="shared" si="61"/>
        <v>78</v>
      </c>
      <c r="AA190" s="102">
        <f t="shared" si="62"/>
        <v>46</v>
      </c>
      <c r="AC190" s="100">
        <f t="shared" si="63"/>
        <v>0.978308957286809</v>
      </c>
    </row>
    <row r="191" spans="4:29" x14ac:dyDescent="0.35">
      <c r="D191">
        <f t="shared" si="64"/>
        <v>187</v>
      </c>
      <c r="E191" s="101">
        <v>3</v>
      </c>
      <c r="F191" s="4">
        <v>2</v>
      </c>
      <c r="G191" s="4">
        <v>7</v>
      </c>
      <c r="H191" s="4">
        <v>4</v>
      </c>
      <c r="I191" s="4">
        <v>4</v>
      </c>
      <c r="J191" s="4">
        <v>6</v>
      </c>
      <c r="K191" s="102">
        <v>5</v>
      </c>
      <c r="M191" s="101">
        <f t="shared" si="49"/>
        <v>23</v>
      </c>
      <c r="N191" s="4">
        <f t="shared" si="50"/>
        <v>56</v>
      </c>
      <c r="O191" s="4">
        <f t="shared" si="51"/>
        <v>29</v>
      </c>
      <c r="P191" s="4">
        <f t="shared" si="52"/>
        <v>12</v>
      </c>
      <c r="Q191" s="4">
        <f t="shared" si="53"/>
        <v>12</v>
      </c>
      <c r="R191" s="4">
        <f t="shared" si="54"/>
        <v>45</v>
      </c>
      <c r="S191" s="102">
        <f t="shared" si="55"/>
        <v>30</v>
      </c>
      <c r="U191" s="101">
        <f t="shared" si="56"/>
        <v>39</v>
      </c>
      <c r="V191" s="4">
        <f t="shared" si="57"/>
        <v>78</v>
      </c>
      <c r="W191" s="4">
        <f t="shared" si="58"/>
        <v>41</v>
      </c>
      <c r="X191" s="4">
        <f t="shared" si="59"/>
        <v>9</v>
      </c>
      <c r="Y191" s="4">
        <f t="shared" si="60"/>
        <v>9</v>
      </c>
      <c r="Z191" s="4">
        <f t="shared" si="61"/>
        <v>71</v>
      </c>
      <c r="AA191" s="102">
        <f t="shared" si="62"/>
        <v>39</v>
      </c>
      <c r="AC191" s="100">
        <f t="shared" si="63"/>
        <v>0.98056246901345057</v>
      </c>
    </row>
    <row r="192" spans="4:29" x14ac:dyDescent="0.35">
      <c r="D192">
        <f t="shared" si="64"/>
        <v>188</v>
      </c>
      <c r="E192" s="101">
        <v>6</v>
      </c>
      <c r="F192" s="4">
        <v>3</v>
      </c>
      <c r="G192" s="4">
        <v>7</v>
      </c>
      <c r="H192" s="4">
        <v>5</v>
      </c>
      <c r="I192" s="4">
        <v>2</v>
      </c>
      <c r="J192" s="4">
        <v>5</v>
      </c>
      <c r="K192" s="102">
        <v>3</v>
      </c>
      <c r="M192" s="101">
        <f t="shared" si="49"/>
        <v>45</v>
      </c>
      <c r="N192" s="4">
        <f t="shared" si="50"/>
        <v>23</v>
      </c>
      <c r="O192" s="4">
        <f t="shared" si="51"/>
        <v>29</v>
      </c>
      <c r="P192" s="4">
        <f t="shared" si="52"/>
        <v>30</v>
      </c>
      <c r="Q192" s="4">
        <f t="shared" si="53"/>
        <v>56</v>
      </c>
      <c r="R192" s="4">
        <f t="shared" si="54"/>
        <v>30</v>
      </c>
      <c r="S192" s="102">
        <f t="shared" si="55"/>
        <v>23</v>
      </c>
      <c r="U192" s="101">
        <f t="shared" si="56"/>
        <v>71</v>
      </c>
      <c r="V192" s="4">
        <f t="shared" si="57"/>
        <v>39</v>
      </c>
      <c r="W192" s="4">
        <f t="shared" si="58"/>
        <v>41</v>
      </c>
      <c r="X192" s="4">
        <f t="shared" si="59"/>
        <v>39</v>
      </c>
      <c r="Y192" s="4">
        <f t="shared" si="60"/>
        <v>78</v>
      </c>
      <c r="Z192" s="4">
        <f t="shared" si="61"/>
        <v>39</v>
      </c>
      <c r="AA192" s="102">
        <f t="shared" si="62"/>
        <v>39</v>
      </c>
      <c r="AC192" s="100">
        <f t="shared" si="63"/>
        <v>0.96065817426764832</v>
      </c>
    </row>
    <row r="193" spans="4:29" x14ac:dyDescent="0.35">
      <c r="D193">
        <f t="shared" si="64"/>
        <v>189</v>
      </c>
      <c r="E193" s="101">
        <v>6</v>
      </c>
      <c r="F193" s="4">
        <v>4</v>
      </c>
      <c r="G193" s="4">
        <v>2</v>
      </c>
      <c r="H193" s="4">
        <v>2</v>
      </c>
      <c r="I193" s="4">
        <v>1</v>
      </c>
      <c r="J193" s="4">
        <v>4</v>
      </c>
      <c r="K193" s="102">
        <v>1</v>
      </c>
      <c r="M193" s="101">
        <f t="shared" si="49"/>
        <v>45</v>
      </c>
      <c r="N193" s="4">
        <f t="shared" si="50"/>
        <v>12</v>
      </c>
      <c r="O193" s="4">
        <f t="shared" si="51"/>
        <v>56</v>
      </c>
      <c r="P193" s="4">
        <f t="shared" si="52"/>
        <v>56</v>
      </c>
      <c r="Q193" s="4">
        <f t="shared" si="53"/>
        <v>34</v>
      </c>
      <c r="R193" s="4">
        <f t="shared" si="54"/>
        <v>12</v>
      </c>
      <c r="S193" s="102">
        <f t="shared" si="55"/>
        <v>34</v>
      </c>
      <c r="U193" s="101">
        <f t="shared" si="56"/>
        <v>71</v>
      </c>
      <c r="V193" s="4">
        <f t="shared" si="57"/>
        <v>9</v>
      </c>
      <c r="W193" s="4">
        <f t="shared" si="58"/>
        <v>78</v>
      </c>
      <c r="X193" s="4">
        <f t="shared" si="59"/>
        <v>78</v>
      </c>
      <c r="Y193" s="4">
        <f t="shared" si="60"/>
        <v>46</v>
      </c>
      <c r="Z193" s="4">
        <f t="shared" si="61"/>
        <v>9</v>
      </c>
      <c r="AA193" s="102">
        <f t="shared" si="62"/>
        <v>46</v>
      </c>
      <c r="AC193" s="100">
        <f t="shared" si="63"/>
        <v>0.99249116980570395</v>
      </c>
    </row>
    <row r="194" spans="4:29" x14ac:dyDescent="0.35">
      <c r="D194">
        <f t="shared" si="64"/>
        <v>190</v>
      </c>
      <c r="E194" s="101">
        <v>4</v>
      </c>
      <c r="F194" s="4">
        <v>5</v>
      </c>
      <c r="G194" s="4">
        <v>1</v>
      </c>
      <c r="H194" s="4">
        <v>1</v>
      </c>
      <c r="I194" s="4">
        <v>1</v>
      </c>
      <c r="J194" s="4">
        <v>2</v>
      </c>
      <c r="K194" s="102">
        <v>4</v>
      </c>
      <c r="M194" s="101">
        <f t="shared" si="49"/>
        <v>12</v>
      </c>
      <c r="N194" s="4">
        <f t="shared" si="50"/>
        <v>30</v>
      </c>
      <c r="O194" s="4">
        <f t="shared" si="51"/>
        <v>34</v>
      </c>
      <c r="P194" s="4">
        <f t="shared" si="52"/>
        <v>34</v>
      </c>
      <c r="Q194" s="4">
        <f t="shared" si="53"/>
        <v>34</v>
      </c>
      <c r="R194" s="4">
        <f t="shared" si="54"/>
        <v>56</v>
      </c>
      <c r="S194" s="102">
        <f t="shared" si="55"/>
        <v>12</v>
      </c>
      <c r="U194" s="101">
        <f t="shared" si="56"/>
        <v>9</v>
      </c>
      <c r="V194" s="4">
        <f t="shared" si="57"/>
        <v>39</v>
      </c>
      <c r="W194" s="4">
        <f t="shared" si="58"/>
        <v>46</v>
      </c>
      <c r="X194" s="4">
        <f t="shared" si="59"/>
        <v>46</v>
      </c>
      <c r="Y194" s="4">
        <f t="shared" si="60"/>
        <v>46</v>
      </c>
      <c r="Z194" s="4">
        <f t="shared" si="61"/>
        <v>78</v>
      </c>
      <c r="AA194" s="102">
        <f t="shared" si="62"/>
        <v>9</v>
      </c>
      <c r="AC194" s="100">
        <f t="shared" si="63"/>
        <v>0.99869237602863303</v>
      </c>
    </row>
    <row r="195" spans="4:29" x14ac:dyDescent="0.35">
      <c r="D195">
        <f t="shared" si="64"/>
        <v>191</v>
      </c>
      <c r="E195" s="101">
        <v>7</v>
      </c>
      <c r="F195" s="4">
        <v>7</v>
      </c>
      <c r="G195" s="4">
        <v>1</v>
      </c>
      <c r="H195" s="4">
        <v>7</v>
      </c>
      <c r="I195" s="4">
        <v>3</v>
      </c>
      <c r="J195" s="4">
        <v>4</v>
      </c>
      <c r="K195" s="102">
        <v>5</v>
      </c>
      <c r="M195" s="101">
        <f t="shared" si="49"/>
        <v>29</v>
      </c>
      <c r="N195" s="4">
        <f t="shared" si="50"/>
        <v>29</v>
      </c>
      <c r="O195" s="4">
        <f t="shared" si="51"/>
        <v>34</v>
      </c>
      <c r="P195" s="4">
        <f t="shared" si="52"/>
        <v>29</v>
      </c>
      <c r="Q195" s="4">
        <f t="shared" si="53"/>
        <v>23</v>
      </c>
      <c r="R195" s="4">
        <f t="shared" si="54"/>
        <v>12</v>
      </c>
      <c r="S195" s="102">
        <f t="shared" si="55"/>
        <v>30</v>
      </c>
      <c r="U195" s="101">
        <f t="shared" si="56"/>
        <v>41</v>
      </c>
      <c r="V195" s="4">
        <f t="shared" si="57"/>
        <v>41</v>
      </c>
      <c r="W195" s="4">
        <f t="shared" si="58"/>
        <v>46</v>
      </c>
      <c r="X195" s="4">
        <f t="shared" si="59"/>
        <v>41</v>
      </c>
      <c r="Y195" s="4">
        <f t="shared" si="60"/>
        <v>39</v>
      </c>
      <c r="Z195" s="4">
        <f t="shared" si="61"/>
        <v>9</v>
      </c>
      <c r="AA195" s="102">
        <f t="shared" si="62"/>
        <v>39</v>
      </c>
      <c r="AC195" s="100">
        <f t="shared" si="63"/>
        <v>0.94379393651835297</v>
      </c>
    </row>
    <row r="196" spans="4:29" x14ac:dyDescent="0.35">
      <c r="D196">
        <f t="shared" si="64"/>
        <v>192</v>
      </c>
      <c r="E196" s="101">
        <v>6</v>
      </c>
      <c r="F196" s="4">
        <v>2</v>
      </c>
      <c r="G196" s="4">
        <v>2</v>
      </c>
      <c r="H196" s="4">
        <v>5</v>
      </c>
      <c r="I196" s="4">
        <v>7</v>
      </c>
      <c r="J196" s="4">
        <v>7</v>
      </c>
      <c r="K196" s="102">
        <v>1</v>
      </c>
      <c r="M196" s="101">
        <f t="shared" si="49"/>
        <v>45</v>
      </c>
      <c r="N196" s="4">
        <f t="shared" si="50"/>
        <v>56</v>
      </c>
      <c r="O196" s="4">
        <f t="shared" si="51"/>
        <v>56</v>
      </c>
      <c r="P196" s="4">
        <f t="shared" si="52"/>
        <v>30</v>
      </c>
      <c r="Q196" s="4">
        <f t="shared" si="53"/>
        <v>29</v>
      </c>
      <c r="R196" s="4">
        <f t="shared" si="54"/>
        <v>29</v>
      </c>
      <c r="S196" s="102">
        <f t="shared" si="55"/>
        <v>34</v>
      </c>
      <c r="U196" s="101">
        <f t="shared" si="56"/>
        <v>71</v>
      </c>
      <c r="V196" s="4">
        <f t="shared" si="57"/>
        <v>78</v>
      </c>
      <c r="W196" s="4">
        <f t="shared" si="58"/>
        <v>78</v>
      </c>
      <c r="X196" s="4">
        <f t="shared" si="59"/>
        <v>39</v>
      </c>
      <c r="Y196" s="4">
        <f t="shared" si="60"/>
        <v>41</v>
      </c>
      <c r="Z196" s="4">
        <f t="shared" si="61"/>
        <v>41</v>
      </c>
      <c r="AA196" s="102">
        <f t="shared" si="62"/>
        <v>46</v>
      </c>
      <c r="AC196" s="100">
        <f t="shared" si="63"/>
        <v>0.9824168814030334</v>
      </c>
    </row>
    <row r="197" spans="4:29" x14ac:dyDescent="0.35">
      <c r="D197">
        <f t="shared" si="64"/>
        <v>193</v>
      </c>
      <c r="E197" s="101">
        <v>3</v>
      </c>
      <c r="F197" s="4">
        <v>4</v>
      </c>
      <c r="G197" s="4">
        <v>3</v>
      </c>
      <c r="H197" s="4">
        <v>7</v>
      </c>
      <c r="I197" s="4">
        <v>4</v>
      </c>
      <c r="J197" s="4">
        <v>7</v>
      </c>
      <c r="K197" s="102">
        <v>5</v>
      </c>
      <c r="M197" s="101">
        <f t="shared" si="49"/>
        <v>23</v>
      </c>
      <c r="N197" s="4">
        <f t="shared" si="50"/>
        <v>12</v>
      </c>
      <c r="O197" s="4">
        <f t="shared" si="51"/>
        <v>23</v>
      </c>
      <c r="P197" s="4">
        <f t="shared" si="52"/>
        <v>29</v>
      </c>
      <c r="Q197" s="4">
        <f t="shared" si="53"/>
        <v>12</v>
      </c>
      <c r="R197" s="4">
        <f t="shared" si="54"/>
        <v>29</v>
      </c>
      <c r="S197" s="102">
        <f t="shared" si="55"/>
        <v>30</v>
      </c>
      <c r="U197" s="101">
        <f t="shared" si="56"/>
        <v>39</v>
      </c>
      <c r="V197" s="4">
        <f t="shared" si="57"/>
        <v>9</v>
      </c>
      <c r="W197" s="4">
        <f t="shared" si="58"/>
        <v>39</v>
      </c>
      <c r="X197" s="4">
        <f t="shared" si="59"/>
        <v>41</v>
      </c>
      <c r="Y197" s="4">
        <f t="shared" si="60"/>
        <v>9</v>
      </c>
      <c r="Z197" s="4">
        <f t="shared" si="61"/>
        <v>41</v>
      </c>
      <c r="AA197" s="102">
        <f t="shared" si="62"/>
        <v>39</v>
      </c>
      <c r="AC197" s="100">
        <f t="shared" si="63"/>
        <v>0.94100439254913493</v>
      </c>
    </row>
    <row r="198" spans="4:29" x14ac:dyDescent="0.35">
      <c r="D198">
        <f t="shared" si="64"/>
        <v>194</v>
      </c>
      <c r="E198" s="101">
        <v>6</v>
      </c>
      <c r="F198" s="4">
        <v>7</v>
      </c>
      <c r="G198" s="4">
        <v>3</v>
      </c>
      <c r="H198" s="4">
        <v>3</v>
      </c>
      <c r="I198" s="4">
        <v>4</v>
      </c>
      <c r="J198" s="4">
        <v>7</v>
      </c>
      <c r="K198" s="102">
        <v>7</v>
      </c>
      <c r="M198" s="101">
        <f t="shared" ref="M198:M261" si="65">INDEX($A$5:$A$11,E198)</f>
        <v>45</v>
      </c>
      <c r="N198" s="4">
        <f t="shared" ref="N198:N261" si="66">INDEX($A$5:$A$11,F198)</f>
        <v>29</v>
      </c>
      <c r="O198" s="4">
        <f t="shared" ref="O198:O261" si="67">INDEX($A$5:$A$11,G198)</f>
        <v>23</v>
      </c>
      <c r="P198" s="4">
        <f t="shared" ref="P198:P261" si="68">INDEX($A$5:$A$11,H198)</f>
        <v>23</v>
      </c>
      <c r="Q198" s="4">
        <f t="shared" ref="Q198:Q261" si="69">INDEX($A$5:$A$11,I198)</f>
        <v>12</v>
      </c>
      <c r="R198" s="4">
        <f t="shared" ref="R198:R261" si="70">INDEX($A$5:$A$11,J198)</f>
        <v>29</v>
      </c>
      <c r="S198" s="102">
        <f t="shared" ref="S198:S261" si="71">INDEX($A$5:$A$11,K198)</f>
        <v>29</v>
      </c>
      <c r="U198" s="101">
        <f t="shared" ref="U198:U261" si="72">INDEX($B$5:$B$11,E198)</f>
        <v>71</v>
      </c>
      <c r="V198" s="4">
        <f t="shared" ref="V198:V261" si="73">INDEX($B$5:$B$11,F198)</f>
        <v>41</v>
      </c>
      <c r="W198" s="4">
        <f t="shared" ref="W198:W261" si="74">INDEX($B$5:$B$11,G198)</f>
        <v>39</v>
      </c>
      <c r="X198" s="4">
        <f t="shared" ref="X198:X261" si="75">INDEX($B$5:$B$11,H198)</f>
        <v>39</v>
      </c>
      <c r="Y198" s="4">
        <f t="shared" ref="Y198:Y261" si="76">INDEX($B$5:$B$11,I198)</f>
        <v>9</v>
      </c>
      <c r="Z198" s="4">
        <f t="shared" ref="Z198:Z261" si="77">INDEX($B$5:$B$11,J198)</f>
        <v>41</v>
      </c>
      <c r="AA198" s="102">
        <f t="shared" ref="AA198:AA261" si="78">INDEX($B$5:$B$11,K198)</f>
        <v>41</v>
      </c>
      <c r="AC198" s="100">
        <f t="shared" ref="AC198:AC261" si="79">CORREL(M198:S198,U198:AA198)</f>
        <v>0.97010587984700736</v>
      </c>
    </row>
    <row r="199" spans="4:29" x14ac:dyDescent="0.35">
      <c r="D199">
        <f t="shared" ref="D199:D262" si="80">D198+1</f>
        <v>195</v>
      </c>
      <c r="E199" s="101">
        <v>1</v>
      </c>
      <c r="F199" s="4">
        <v>4</v>
      </c>
      <c r="G199" s="4">
        <v>1</v>
      </c>
      <c r="H199" s="4">
        <v>7</v>
      </c>
      <c r="I199" s="4">
        <v>4</v>
      </c>
      <c r="J199" s="4">
        <v>3</v>
      </c>
      <c r="K199" s="102">
        <v>5</v>
      </c>
      <c r="M199" s="101">
        <f t="shared" si="65"/>
        <v>34</v>
      </c>
      <c r="N199" s="4">
        <f t="shared" si="66"/>
        <v>12</v>
      </c>
      <c r="O199" s="4">
        <f t="shared" si="67"/>
        <v>34</v>
      </c>
      <c r="P199" s="4">
        <f t="shared" si="68"/>
        <v>29</v>
      </c>
      <c r="Q199" s="4">
        <f t="shared" si="69"/>
        <v>12</v>
      </c>
      <c r="R199" s="4">
        <f t="shared" si="70"/>
        <v>23</v>
      </c>
      <c r="S199" s="102">
        <f t="shared" si="71"/>
        <v>30</v>
      </c>
      <c r="U199" s="101">
        <f t="shared" si="72"/>
        <v>46</v>
      </c>
      <c r="V199" s="4">
        <f t="shared" si="73"/>
        <v>9</v>
      </c>
      <c r="W199" s="4">
        <f t="shared" si="74"/>
        <v>46</v>
      </c>
      <c r="X199" s="4">
        <f t="shared" si="75"/>
        <v>41</v>
      </c>
      <c r="Y199" s="4">
        <f t="shared" si="76"/>
        <v>9</v>
      </c>
      <c r="Z199" s="4">
        <f t="shared" si="77"/>
        <v>39</v>
      </c>
      <c r="AA199" s="102">
        <f t="shared" si="78"/>
        <v>39</v>
      </c>
      <c r="AC199" s="100">
        <f t="shared" si="79"/>
        <v>0.96454812563253134</v>
      </c>
    </row>
    <row r="200" spans="4:29" x14ac:dyDescent="0.35">
      <c r="D200">
        <f t="shared" si="80"/>
        <v>196</v>
      </c>
      <c r="E200" s="101">
        <v>4</v>
      </c>
      <c r="F200" s="4">
        <v>5</v>
      </c>
      <c r="G200" s="4">
        <v>1</v>
      </c>
      <c r="H200" s="4">
        <v>2</v>
      </c>
      <c r="I200" s="4">
        <v>3</v>
      </c>
      <c r="J200" s="4">
        <v>2</v>
      </c>
      <c r="K200" s="102">
        <v>3</v>
      </c>
      <c r="M200" s="101">
        <f t="shared" si="65"/>
        <v>12</v>
      </c>
      <c r="N200" s="4">
        <f t="shared" si="66"/>
        <v>30</v>
      </c>
      <c r="O200" s="4">
        <f t="shared" si="67"/>
        <v>34</v>
      </c>
      <c r="P200" s="4">
        <f t="shared" si="68"/>
        <v>56</v>
      </c>
      <c r="Q200" s="4">
        <f t="shared" si="69"/>
        <v>23</v>
      </c>
      <c r="R200" s="4">
        <f t="shared" si="70"/>
        <v>56</v>
      </c>
      <c r="S200" s="102">
        <f t="shared" si="71"/>
        <v>23</v>
      </c>
      <c r="U200" s="101">
        <f t="shared" si="72"/>
        <v>9</v>
      </c>
      <c r="V200" s="4">
        <f t="shared" si="73"/>
        <v>39</v>
      </c>
      <c r="W200" s="4">
        <f t="shared" si="74"/>
        <v>46</v>
      </c>
      <c r="X200" s="4">
        <f t="shared" si="75"/>
        <v>78</v>
      </c>
      <c r="Y200" s="4">
        <f t="shared" si="76"/>
        <v>39</v>
      </c>
      <c r="Z200" s="4">
        <f t="shared" si="77"/>
        <v>78</v>
      </c>
      <c r="AA200" s="102">
        <f t="shared" si="78"/>
        <v>39</v>
      </c>
      <c r="AC200" s="100">
        <f t="shared" si="79"/>
        <v>0.97654110178447284</v>
      </c>
    </row>
    <row r="201" spans="4:29" x14ac:dyDescent="0.35">
      <c r="D201">
        <f t="shared" si="80"/>
        <v>197</v>
      </c>
      <c r="E201" s="101">
        <v>6</v>
      </c>
      <c r="F201" s="4">
        <v>4</v>
      </c>
      <c r="G201" s="4">
        <v>7</v>
      </c>
      <c r="H201" s="4">
        <v>6</v>
      </c>
      <c r="I201" s="4">
        <v>5</v>
      </c>
      <c r="J201" s="4">
        <v>5</v>
      </c>
      <c r="K201" s="102">
        <v>4</v>
      </c>
      <c r="M201" s="101">
        <f t="shared" si="65"/>
        <v>45</v>
      </c>
      <c r="N201" s="4">
        <f t="shared" si="66"/>
        <v>12</v>
      </c>
      <c r="O201" s="4">
        <f t="shared" si="67"/>
        <v>29</v>
      </c>
      <c r="P201" s="4">
        <f t="shared" si="68"/>
        <v>45</v>
      </c>
      <c r="Q201" s="4">
        <f t="shared" si="69"/>
        <v>30</v>
      </c>
      <c r="R201" s="4">
        <f t="shared" si="70"/>
        <v>30</v>
      </c>
      <c r="S201" s="102">
        <f t="shared" si="71"/>
        <v>12</v>
      </c>
      <c r="U201" s="101">
        <f t="shared" si="72"/>
        <v>71</v>
      </c>
      <c r="V201" s="4">
        <f t="shared" si="73"/>
        <v>9</v>
      </c>
      <c r="W201" s="4">
        <f t="shared" si="74"/>
        <v>41</v>
      </c>
      <c r="X201" s="4">
        <f t="shared" si="75"/>
        <v>71</v>
      </c>
      <c r="Y201" s="4">
        <f t="shared" si="76"/>
        <v>39</v>
      </c>
      <c r="Z201" s="4">
        <f t="shared" si="77"/>
        <v>39</v>
      </c>
      <c r="AA201" s="102">
        <f t="shared" si="78"/>
        <v>9</v>
      </c>
      <c r="AC201" s="100">
        <f t="shared" si="79"/>
        <v>0.99727869895447618</v>
      </c>
    </row>
    <row r="202" spans="4:29" x14ac:dyDescent="0.35">
      <c r="D202">
        <f t="shared" si="80"/>
        <v>198</v>
      </c>
      <c r="E202" s="101">
        <v>3</v>
      </c>
      <c r="F202" s="4">
        <v>3</v>
      </c>
      <c r="G202" s="4">
        <v>7</v>
      </c>
      <c r="H202" s="4">
        <v>7</v>
      </c>
      <c r="I202" s="4">
        <v>6</v>
      </c>
      <c r="J202" s="4">
        <v>1</v>
      </c>
      <c r="K202" s="102">
        <v>3</v>
      </c>
      <c r="M202" s="101">
        <f t="shared" si="65"/>
        <v>23</v>
      </c>
      <c r="N202" s="4">
        <f t="shared" si="66"/>
        <v>23</v>
      </c>
      <c r="O202" s="4">
        <f t="shared" si="67"/>
        <v>29</v>
      </c>
      <c r="P202" s="4">
        <f t="shared" si="68"/>
        <v>29</v>
      </c>
      <c r="Q202" s="4">
        <f t="shared" si="69"/>
        <v>45</v>
      </c>
      <c r="R202" s="4">
        <f t="shared" si="70"/>
        <v>34</v>
      </c>
      <c r="S202" s="102">
        <f t="shared" si="71"/>
        <v>23</v>
      </c>
      <c r="U202" s="101">
        <f t="shared" si="72"/>
        <v>39</v>
      </c>
      <c r="V202" s="4">
        <f t="shared" si="73"/>
        <v>39</v>
      </c>
      <c r="W202" s="4">
        <f t="shared" si="74"/>
        <v>41</v>
      </c>
      <c r="X202" s="4">
        <f t="shared" si="75"/>
        <v>41</v>
      </c>
      <c r="Y202" s="4">
        <f t="shared" si="76"/>
        <v>71</v>
      </c>
      <c r="Z202" s="4">
        <f t="shared" si="77"/>
        <v>46</v>
      </c>
      <c r="AA202" s="102">
        <f t="shared" si="78"/>
        <v>39</v>
      </c>
      <c r="AC202" s="100">
        <f t="shared" si="79"/>
        <v>0.93923599262008672</v>
      </c>
    </row>
    <row r="203" spans="4:29" x14ac:dyDescent="0.35">
      <c r="D203">
        <f t="shared" si="80"/>
        <v>199</v>
      </c>
      <c r="E203" s="101">
        <v>3</v>
      </c>
      <c r="F203" s="4">
        <v>4</v>
      </c>
      <c r="G203" s="4">
        <v>7</v>
      </c>
      <c r="H203" s="4">
        <v>2</v>
      </c>
      <c r="I203" s="4">
        <v>6</v>
      </c>
      <c r="J203" s="4">
        <v>7</v>
      </c>
      <c r="K203" s="102">
        <v>5</v>
      </c>
      <c r="M203" s="101">
        <f t="shared" si="65"/>
        <v>23</v>
      </c>
      <c r="N203" s="4">
        <f t="shared" si="66"/>
        <v>12</v>
      </c>
      <c r="O203" s="4">
        <f t="shared" si="67"/>
        <v>29</v>
      </c>
      <c r="P203" s="4">
        <f t="shared" si="68"/>
        <v>56</v>
      </c>
      <c r="Q203" s="4">
        <f t="shared" si="69"/>
        <v>45</v>
      </c>
      <c r="R203" s="4">
        <f t="shared" si="70"/>
        <v>29</v>
      </c>
      <c r="S203" s="102">
        <f t="shared" si="71"/>
        <v>30</v>
      </c>
      <c r="U203" s="101">
        <f t="shared" si="72"/>
        <v>39</v>
      </c>
      <c r="V203" s="4">
        <f t="shared" si="73"/>
        <v>9</v>
      </c>
      <c r="W203" s="4">
        <f t="shared" si="74"/>
        <v>41</v>
      </c>
      <c r="X203" s="4">
        <f t="shared" si="75"/>
        <v>78</v>
      </c>
      <c r="Y203" s="4">
        <f t="shared" si="76"/>
        <v>71</v>
      </c>
      <c r="Z203" s="4">
        <f t="shared" si="77"/>
        <v>41</v>
      </c>
      <c r="AA203" s="102">
        <f t="shared" si="78"/>
        <v>39</v>
      </c>
      <c r="AC203" s="100">
        <f t="shared" si="79"/>
        <v>0.97632814590635097</v>
      </c>
    </row>
    <row r="204" spans="4:29" x14ac:dyDescent="0.35">
      <c r="D204">
        <f t="shared" si="80"/>
        <v>200</v>
      </c>
      <c r="E204" s="101">
        <v>5</v>
      </c>
      <c r="F204" s="4">
        <v>4</v>
      </c>
      <c r="G204" s="4">
        <v>3</v>
      </c>
      <c r="H204" s="4">
        <v>4</v>
      </c>
      <c r="I204" s="4">
        <v>5</v>
      </c>
      <c r="J204" s="4">
        <v>1</v>
      </c>
      <c r="K204" s="102">
        <v>7</v>
      </c>
      <c r="M204" s="101">
        <f t="shared" si="65"/>
        <v>30</v>
      </c>
      <c r="N204" s="4">
        <f t="shared" si="66"/>
        <v>12</v>
      </c>
      <c r="O204" s="4">
        <f t="shared" si="67"/>
        <v>23</v>
      </c>
      <c r="P204" s="4">
        <f t="shared" si="68"/>
        <v>12</v>
      </c>
      <c r="Q204" s="4">
        <f t="shared" si="69"/>
        <v>30</v>
      </c>
      <c r="R204" s="4">
        <f t="shared" si="70"/>
        <v>34</v>
      </c>
      <c r="S204" s="102">
        <f t="shared" si="71"/>
        <v>29</v>
      </c>
      <c r="U204" s="101">
        <f t="shared" si="72"/>
        <v>39</v>
      </c>
      <c r="V204" s="4">
        <f t="shared" si="73"/>
        <v>9</v>
      </c>
      <c r="W204" s="4">
        <f t="shared" si="74"/>
        <v>39</v>
      </c>
      <c r="X204" s="4">
        <f t="shared" si="75"/>
        <v>9</v>
      </c>
      <c r="Y204" s="4">
        <f t="shared" si="76"/>
        <v>39</v>
      </c>
      <c r="Z204" s="4">
        <f t="shared" si="77"/>
        <v>46</v>
      </c>
      <c r="AA204" s="102">
        <f t="shared" si="78"/>
        <v>41</v>
      </c>
      <c r="AC204" s="100">
        <f t="shared" si="79"/>
        <v>0.96056364917875814</v>
      </c>
    </row>
    <row r="205" spans="4:29" x14ac:dyDescent="0.35">
      <c r="D205">
        <f t="shared" si="80"/>
        <v>201</v>
      </c>
      <c r="E205" s="101">
        <v>7</v>
      </c>
      <c r="F205" s="4">
        <v>7</v>
      </c>
      <c r="G205" s="4">
        <v>5</v>
      </c>
      <c r="H205" s="4">
        <v>4</v>
      </c>
      <c r="I205" s="4">
        <v>7</v>
      </c>
      <c r="J205" s="4">
        <v>5</v>
      </c>
      <c r="K205" s="102">
        <v>5</v>
      </c>
      <c r="M205" s="101">
        <f t="shared" si="65"/>
        <v>29</v>
      </c>
      <c r="N205" s="4">
        <f t="shared" si="66"/>
        <v>29</v>
      </c>
      <c r="O205" s="4">
        <f t="shared" si="67"/>
        <v>30</v>
      </c>
      <c r="P205" s="4">
        <f t="shared" si="68"/>
        <v>12</v>
      </c>
      <c r="Q205" s="4">
        <f t="shared" si="69"/>
        <v>29</v>
      </c>
      <c r="R205" s="4">
        <f t="shared" si="70"/>
        <v>30</v>
      </c>
      <c r="S205" s="102">
        <f t="shared" si="71"/>
        <v>30</v>
      </c>
      <c r="U205" s="101">
        <f t="shared" si="72"/>
        <v>41</v>
      </c>
      <c r="V205" s="4">
        <f t="shared" si="73"/>
        <v>41</v>
      </c>
      <c r="W205" s="4">
        <f t="shared" si="74"/>
        <v>39</v>
      </c>
      <c r="X205" s="4">
        <f t="shared" si="75"/>
        <v>9</v>
      </c>
      <c r="Y205" s="4">
        <f t="shared" si="76"/>
        <v>41</v>
      </c>
      <c r="Z205" s="4">
        <f t="shared" si="77"/>
        <v>39</v>
      </c>
      <c r="AA205" s="102">
        <f t="shared" si="78"/>
        <v>39</v>
      </c>
      <c r="AC205" s="100">
        <f t="shared" si="79"/>
        <v>0.9871331309310909</v>
      </c>
    </row>
    <row r="206" spans="4:29" x14ac:dyDescent="0.35">
      <c r="D206">
        <f t="shared" si="80"/>
        <v>202</v>
      </c>
      <c r="E206" s="101">
        <v>4</v>
      </c>
      <c r="F206" s="4">
        <v>5</v>
      </c>
      <c r="G206" s="4">
        <v>4</v>
      </c>
      <c r="H206" s="4">
        <v>3</v>
      </c>
      <c r="I206" s="4">
        <v>5</v>
      </c>
      <c r="J206" s="4">
        <v>5</v>
      </c>
      <c r="K206" s="102">
        <v>3</v>
      </c>
      <c r="M206" s="101">
        <f t="shared" si="65"/>
        <v>12</v>
      </c>
      <c r="N206" s="4">
        <f t="shared" si="66"/>
        <v>30</v>
      </c>
      <c r="O206" s="4">
        <f t="shared" si="67"/>
        <v>12</v>
      </c>
      <c r="P206" s="4">
        <f t="shared" si="68"/>
        <v>23</v>
      </c>
      <c r="Q206" s="4">
        <f t="shared" si="69"/>
        <v>30</v>
      </c>
      <c r="R206" s="4">
        <f t="shared" si="70"/>
        <v>30</v>
      </c>
      <c r="S206" s="102">
        <f t="shared" si="71"/>
        <v>23</v>
      </c>
      <c r="U206" s="101">
        <f t="shared" si="72"/>
        <v>9</v>
      </c>
      <c r="V206" s="4">
        <f t="shared" si="73"/>
        <v>39</v>
      </c>
      <c r="W206" s="4">
        <f t="shared" si="74"/>
        <v>9</v>
      </c>
      <c r="X206" s="4">
        <f t="shared" si="75"/>
        <v>39</v>
      </c>
      <c r="Y206" s="4">
        <f t="shared" si="76"/>
        <v>39</v>
      </c>
      <c r="Z206" s="4">
        <f t="shared" si="77"/>
        <v>39</v>
      </c>
      <c r="AA206" s="102">
        <f t="shared" si="78"/>
        <v>39</v>
      </c>
      <c r="AC206" s="100">
        <f t="shared" si="79"/>
        <v>0.9212967253470481</v>
      </c>
    </row>
    <row r="207" spans="4:29" x14ac:dyDescent="0.35">
      <c r="D207">
        <f t="shared" si="80"/>
        <v>203</v>
      </c>
      <c r="E207" s="101">
        <v>1</v>
      </c>
      <c r="F207" s="4">
        <v>2</v>
      </c>
      <c r="G207" s="4">
        <v>2</v>
      </c>
      <c r="H207" s="4">
        <v>3</v>
      </c>
      <c r="I207" s="4">
        <v>3</v>
      </c>
      <c r="J207" s="4">
        <v>3</v>
      </c>
      <c r="K207" s="102">
        <v>2</v>
      </c>
      <c r="M207" s="101">
        <f t="shared" si="65"/>
        <v>34</v>
      </c>
      <c r="N207" s="4">
        <f t="shared" si="66"/>
        <v>56</v>
      </c>
      <c r="O207" s="4">
        <f t="shared" si="67"/>
        <v>56</v>
      </c>
      <c r="P207" s="4">
        <f t="shared" si="68"/>
        <v>23</v>
      </c>
      <c r="Q207" s="4">
        <f t="shared" si="69"/>
        <v>23</v>
      </c>
      <c r="R207" s="4">
        <f t="shared" si="70"/>
        <v>23</v>
      </c>
      <c r="S207" s="102">
        <f t="shared" si="71"/>
        <v>56</v>
      </c>
      <c r="U207" s="101">
        <f t="shared" si="72"/>
        <v>46</v>
      </c>
      <c r="V207" s="4">
        <f t="shared" si="73"/>
        <v>78</v>
      </c>
      <c r="W207" s="4">
        <f t="shared" si="74"/>
        <v>78</v>
      </c>
      <c r="X207" s="4">
        <f t="shared" si="75"/>
        <v>39</v>
      </c>
      <c r="Y207" s="4">
        <f t="shared" si="76"/>
        <v>39</v>
      </c>
      <c r="Z207" s="4">
        <f t="shared" si="77"/>
        <v>39</v>
      </c>
      <c r="AA207" s="102">
        <f t="shared" si="78"/>
        <v>78</v>
      </c>
      <c r="AC207" s="100">
        <f t="shared" si="79"/>
        <v>0.9936924030650307</v>
      </c>
    </row>
    <row r="208" spans="4:29" x14ac:dyDescent="0.35">
      <c r="D208">
        <f t="shared" si="80"/>
        <v>204</v>
      </c>
      <c r="E208" s="101">
        <v>2</v>
      </c>
      <c r="F208" s="4">
        <v>4</v>
      </c>
      <c r="G208" s="4">
        <v>3</v>
      </c>
      <c r="H208" s="4">
        <v>7</v>
      </c>
      <c r="I208" s="4">
        <v>7</v>
      </c>
      <c r="J208" s="4">
        <v>7</v>
      </c>
      <c r="K208" s="102">
        <v>5</v>
      </c>
      <c r="M208" s="101">
        <f t="shared" si="65"/>
        <v>56</v>
      </c>
      <c r="N208" s="4">
        <f t="shared" si="66"/>
        <v>12</v>
      </c>
      <c r="O208" s="4">
        <f t="shared" si="67"/>
        <v>23</v>
      </c>
      <c r="P208" s="4">
        <f t="shared" si="68"/>
        <v>29</v>
      </c>
      <c r="Q208" s="4">
        <f t="shared" si="69"/>
        <v>29</v>
      </c>
      <c r="R208" s="4">
        <f t="shared" si="70"/>
        <v>29</v>
      </c>
      <c r="S208" s="102">
        <f t="shared" si="71"/>
        <v>30</v>
      </c>
      <c r="U208" s="101">
        <f t="shared" si="72"/>
        <v>78</v>
      </c>
      <c r="V208" s="4">
        <f t="shared" si="73"/>
        <v>9</v>
      </c>
      <c r="W208" s="4">
        <f t="shared" si="74"/>
        <v>39</v>
      </c>
      <c r="X208" s="4">
        <f t="shared" si="75"/>
        <v>41</v>
      </c>
      <c r="Y208" s="4">
        <f t="shared" si="76"/>
        <v>41</v>
      </c>
      <c r="Z208" s="4">
        <f t="shared" si="77"/>
        <v>41</v>
      </c>
      <c r="AA208" s="102">
        <f t="shared" si="78"/>
        <v>39</v>
      </c>
      <c r="AC208" s="100">
        <f t="shared" si="79"/>
        <v>0.97700911149102465</v>
      </c>
    </row>
    <row r="209" spans="4:29" x14ac:dyDescent="0.35">
      <c r="D209">
        <f t="shared" si="80"/>
        <v>205</v>
      </c>
      <c r="E209" s="101">
        <v>1</v>
      </c>
      <c r="F209" s="4">
        <v>4</v>
      </c>
      <c r="G209" s="4">
        <v>6</v>
      </c>
      <c r="H209" s="4">
        <v>2</v>
      </c>
      <c r="I209" s="4">
        <v>7</v>
      </c>
      <c r="J209" s="4">
        <v>6</v>
      </c>
      <c r="K209" s="102">
        <v>5</v>
      </c>
      <c r="M209" s="101">
        <f t="shared" si="65"/>
        <v>34</v>
      </c>
      <c r="N209" s="4">
        <f t="shared" si="66"/>
        <v>12</v>
      </c>
      <c r="O209" s="4">
        <f t="shared" si="67"/>
        <v>45</v>
      </c>
      <c r="P209" s="4">
        <f t="shared" si="68"/>
        <v>56</v>
      </c>
      <c r="Q209" s="4">
        <f t="shared" si="69"/>
        <v>29</v>
      </c>
      <c r="R209" s="4">
        <f t="shared" si="70"/>
        <v>45</v>
      </c>
      <c r="S209" s="102">
        <f t="shared" si="71"/>
        <v>30</v>
      </c>
      <c r="U209" s="101">
        <f t="shared" si="72"/>
        <v>46</v>
      </c>
      <c r="V209" s="4">
        <f t="shared" si="73"/>
        <v>9</v>
      </c>
      <c r="W209" s="4">
        <f t="shared" si="74"/>
        <v>71</v>
      </c>
      <c r="X209" s="4">
        <f t="shared" si="75"/>
        <v>78</v>
      </c>
      <c r="Y209" s="4">
        <f t="shared" si="76"/>
        <v>41</v>
      </c>
      <c r="Z209" s="4">
        <f t="shared" si="77"/>
        <v>71</v>
      </c>
      <c r="AA209" s="102">
        <f t="shared" si="78"/>
        <v>39</v>
      </c>
      <c r="AC209" s="100">
        <f t="shared" si="79"/>
        <v>0.98536666061791645</v>
      </c>
    </row>
    <row r="210" spans="4:29" x14ac:dyDescent="0.35">
      <c r="D210">
        <f t="shared" si="80"/>
        <v>206</v>
      </c>
      <c r="E210" s="101">
        <v>1</v>
      </c>
      <c r="F210" s="4">
        <v>1</v>
      </c>
      <c r="G210" s="4">
        <v>7</v>
      </c>
      <c r="H210" s="4">
        <v>3</v>
      </c>
      <c r="I210" s="4">
        <v>6</v>
      </c>
      <c r="J210" s="4">
        <v>4</v>
      </c>
      <c r="K210" s="102">
        <v>6</v>
      </c>
      <c r="M210" s="101">
        <f t="shared" si="65"/>
        <v>34</v>
      </c>
      <c r="N210" s="4">
        <f t="shared" si="66"/>
        <v>34</v>
      </c>
      <c r="O210" s="4">
        <f t="shared" si="67"/>
        <v>29</v>
      </c>
      <c r="P210" s="4">
        <f t="shared" si="68"/>
        <v>23</v>
      </c>
      <c r="Q210" s="4">
        <f t="shared" si="69"/>
        <v>45</v>
      </c>
      <c r="R210" s="4">
        <f t="shared" si="70"/>
        <v>12</v>
      </c>
      <c r="S210" s="102">
        <f t="shared" si="71"/>
        <v>45</v>
      </c>
      <c r="U210" s="101">
        <f t="shared" si="72"/>
        <v>46</v>
      </c>
      <c r="V210" s="4">
        <f t="shared" si="73"/>
        <v>46</v>
      </c>
      <c r="W210" s="4">
        <f t="shared" si="74"/>
        <v>41</v>
      </c>
      <c r="X210" s="4">
        <f t="shared" si="75"/>
        <v>39</v>
      </c>
      <c r="Y210" s="4">
        <f t="shared" si="76"/>
        <v>71</v>
      </c>
      <c r="Z210" s="4">
        <f t="shared" si="77"/>
        <v>9</v>
      </c>
      <c r="AA210" s="102">
        <f t="shared" si="78"/>
        <v>71</v>
      </c>
      <c r="AC210" s="100">
        <f t="shared" si="79"/>
        <v>0.97892462660870139</v>
      </c>
    </row>
    <row r="211" spans="4:29" x14ac:dyDescent="0.35">
      <c r="D211">
        <f t="shared" si="80"/>
        <v>207</v>
      </c>
      <c r="E211" s="101">
        <v>3</v>
      </c>
      <c r="F211" s="4">
        <v>7</v>
      </c>
      <c r="G211" s="4">
        <v>7</v>
      </c>
      <c r="H211" s="4">
        <v>6</v>
      </c>
      <c r="I211" s="4">
        <v>3</v>
      </c>
      <c r="J211" s="4">
        <v>1</v>
      </c>
      <c r="K211" s="102">
        <v>6</v>
      </c>
      <c r="M211" s="101">
        <f t="shared" si="65"/>
        <v>23</v>
      </c>
      <c r="N211" s="4">
        <f t="shared" si="66"/>
        <v>29</v>
      </c>
      <c r="O211" s="4">
        <f t="shared" si="67"/>
        <v>29</v>
      </c>
      <c r="P211" s="4">
        <f t="shared" si="68"/>
        <v>45</v>
      </c>
      <c r="Q211" s="4">
        <f t="shared" si="69"/>
        <v>23</v>
      </c>
      <c r="R211" s="4">
        <f t="shared" si="70"/>
        <v>34</v>
      </c>
      <c r="S211" s="102">
        <f t="shared" si="71"/>
        <v>45</v>
      </c>
      <c r="U211" s="101">
        <f t="shared" si="72"/>
        <v>39</v>
      </c>
      <c r="V211" s="4">
        <f t="shared" si="73"/>
        <v>41</v>
      </c>
      <c r="W211" s="4">
        <f t="shared" si="74"/>
        <v>41</v>
      </c>
      <c r="X211" s="4">
        <f t="shared" si="75"/>
        <v>71</v>
      </c>
      <c r="Y211" s="4">
        <f t="shared" si="76"/>
        <v>39</v>
      </c>
      <c r="Z211" s="4">
        <f t="shared" si="77"/>
        <v>46</v>
      </c>
      <c r="AA211" s="102">
        <f t="shared" si="78"/>
        <v>71</v>
      </c>
      <c r="AC211" s="100">
        <f t="shared" si="79"/>
        <v>0.96197196520931783</v>
      </c>
    </row>
    <row r="212" spans="4:29" x14ac:dyDescent="0.35">
      <c r="D212">
        <f t="shared" si="80"/>
        <v>208</v>
      </c>
      <c r="E212" s="101">
        <v>3</v>
      </c>
      <c r="F212" s="4">
        <v>2</v>
      </c>
      <c r="G212" s="4">
        <v>2</v>
      </c>
      <c r="H212" s="4">
        <v>4</v>
      </c>
      <c r="I212" s="4">
        <v>2</v>
      </c>
      <c r="J212" s="4">
        <v>4</v>
      </c>
      <c r="K212" s="102">
        <v>3</v>
      </c>
      <c r="M212" s="101">
        <f t="shared" si="65"/>
        <v>23</v>
      </c>
      <c r="N212" s="4">
        <f t="shared" si="66"/>
        <v>56</v>
      </c>
      <c r="O212" s="4">
        <f t="shared" si="67"/>
        <v>56</v>
      </c>
      <c r="P212" s="4">
        <f t="shared" si="68"/>
        <v>12</v>
      </c>
      <c r="Q212" s="4">
        <f t="shared" si="69"/>
        <v>56</v>
      </c>
      <c r="R212" s="4">
        <f t="shared" si="70"/>
        <v>12</v>
      </c>
      <c r="S212" s="102">
        <f t="shared" si="71"/>
        <v>23</v>
      </c>
      <c r="U212" s="101">
        <f t="shared" si="72"/>
        <v>39</v>
      </c>
      <c r="V212" s="4">
        <f t="shared" si="73"/>
        <v>78</v>
      </c>
      <c r="W212" s="4">
        <f t="shared" si="74"/>
        <v>78</v>
      </c>
      <c r="X212" s="4">
        <f t="shared" si="75"/>
        <v>9</v>
      </c>
      <c r="Y212" s="4">
        <f t="shared" si="76"/>
        <v>78</v>
      </c>
      <c r="Z212" s="4">
        <f t="shared" si="77"/>
        <v>9</v>
      </c>
      <c r="AA212" s="102">
        <f t="shared" si="78"/>
        <v>39</v>
      </c>
      <c r="AC212" s="100">
        <f t="shared" si="79"/>
        <v>0.98267064404807214</v>
      </c>
    </row>
    <row r="213" spans="4:29" x14ac:dyDescent="0.35">
      <c r="D213">
        <f t="shared" si="80"/>
        <v>209</v>
      </c>
      <c r="E213" s="101">
        <v>7</v>
      </c>
      <c r="F213" s="4">
        <v>3</v>
      </c>
      <c r="G213" s="4">
        <v>4</v>
      </c>
      <c r="H213" s="4">
        <v>5</v>
      </c>
      <c r="I213" s="4">
        <v>6</v>
      </c>
      <c r="J213" s="4">
        <v>1</v>
      </c>
      <c r="K213" s="102">
        <v>3</v>
      </c>
      <c r="M213" s="101">
        <f t="shared" si="65"/>
        <v>29</v>
      </c>
      <c r="N213" s="4">
        <f t="shared" si="66"/>
        <v>23</v>
      </c>
      <c r="O213" s="4">
        <f t="shared" si="67"/>
        <v>12</v>
      </c>
      <c r="P213" s="4">
        <f t="shared" si="68"/>
        <v>30</v>
      </c>
      <c r="Q213" s="4">
        <f t="shared" si="69"/>
        <v>45</v>
      </c>
      <c r="R213" s="4">
        <f t="shared" si="70"/>
        <v>34</v>
      </c>
      <c r="S213" s="102">
        <f t="shared" si="71"/>
        <v>23</v>
      </c>
      <c r="U213" s="101">
        <f t="shared" si="72"/>
        <v>41</v>
      </c>
      <c r="V213" s="4">
        <f t="shared" si="73"/>
        <v>39</v>
      </c>
      <c r="W213" s="4">
        <f t="shared" si="74"/>
        <v>9</v>
      </c>
      <c r="X213" s="4">
        <f t="shared" si="75"/>
        <v>39</v>
      </c>
      <c r="Y213" s="4">
        <f t="shared" si="76"/>
        <v>71</v>
      </c>
      <c r="Z213" s="4">
        <f t="shared" si="77"/>
        <v>46</v>
      </c>
      <c r="AA213" s="102">
        <f t="shared" si="78"/>
        <v>39</v>
      </c>
      <c r="AC213" s="100">
        <f t="shared" si="79"/>
        <v>0.95663510890125902</v>
      </c>
    </row>
    <row r="214" spans="4:29" x14ac:dyDescent="0.35">
      <c r="D214">
        <f t="shared" si="80"/>
        <v>210</v>
      </c>
      <c r="E214" s="101">
        <v>4</v>
      </c>
      <c r="F214" s="4">
        <v>1</v>
      </c>
      <c r="G214" s="4">
        <v>1</v>
      </c>
      <c r="H214" s="4">
        <v>7</v>
      </c>
      <c r="I214" s="4">
        <v>2</v>
      </c>
      <c r="J214" s="4">
        <v>1</v>
      </c>
      <c r="K214" s="102">
        <v>5</v>
      </c>
      <c r="M214" s="101">
        <f t="shared" si="65"/>
        <v>12</v>
      </c>
      <c r="N214" s="4">
        <f t="shared" si="66"/>
        <v>34</v>
      </c>
      <c r="O214" s="4">
        <f t="shared" si="67"/>
        <v>34</v>
      </c>
      <c r="P214" s="4">
        <f t="shared" si="68"/>
        <v>29</v>
      </c>
      <c r="Q214" s="4">
        <f t="shared" si="69"/>
        <v>56</v>
      </c>
      <c r="R214" s="4">
        <f t="shared" si="70"/>
        <v>34</v>
      </c>
      <c r="S214" s="102">
        <f t="shared" si="71"/>
        <v>30</v>
      </c>
      <c r="U214" s="101">
        <f t="shared" si="72"/>
        <v>9</v>
      </c>
      <c r="V214" s="4">
        <f t="shared" si="73"/>
        <v>46</v>
      </c>
      <c r="W214" s="4">
        <f t="shared" si="74"/>
        <v>46</v>
      </c>
      <c r="X214" s="4">
        <f t="shared" si="75"/>
        <v>41</v>
      </c>
      <c r="Y214" s="4">
        <f t="shared" si="76"/>
        <v>78</v>
      </c>
      <c r="Z214" s="4">
        <f t="shared" si="77"/>
        <v>46</v>
      </c>
      <c r="AA214" s="102">
        <f t="shared" si="78"/>
        <v>39</v>
      </c>
      <c r="AC214" s="100">
        <f t="shared" si="79"/>
        <v>0.99593442377678154</v>
      </c>
    </row>
    <row r="215" spans="4:29" x14ac:dyDescent="0.35">
      <c r="D215">
        <f t="shared" si="80"/>
        <v>211</v>
      </c>
      <c r="E215" s="101">
        <v>2</v>
      </c>
      <c r="F215" s="4">
        <v>1</v>
      </c>
      <c r="G215" s="4">
        <v>3</v>
      </c>
      <c r="H215" s="4">
        <v>1</v>
      </c>
      <c r="I215" s="4">
        <v>5</v>
      </c>
      <c r="J215" s="4">
        <v>3</v>
      </c>
      <c r="K215" s="102">
        <v>6</v>
      </c>
      <c r="M215" s="101">
        <f t="shared" si="65"/>
        <v>56</v>
      </c>
      <c r="N215" s="4">
        <f t="shared" si="66"/>
        <v>34</v>
      </c>
      <c r="O215" s="4">
        <f t="shared" si="67"/>
        <v>23</v>
      </c>
      <c r="P215" s="4">
        <f t="shared" si="68"/>
        <v>34</v>
      </c>
      <c r="Q215" s="4">
        <f t="shared" si="69"/>
        <v>30</v>
      </c>
      <c r="R215" s="4">
        <f t="shared" si="70"/>
        <v>23</v>
      </c>
      <c r="S215" s="102">
        <f t="shared" si="71"/>
        <v>45</v>
      </c>
      <c r="U215" s="101">
        <f t="shared" si="72"/>
        <v>78</v>
      </c>
      <c r="V215" s="4">
        <f t="shared" si="73"/>
        <v>46</v>
      </c>
      <c r="W215" s="4">
        <f t="shared" si="74"/>
        <v>39</v>
      </c>
      <c r="X215" s="4">
        <f t="shared" si="75"/>
        <v>46</v>
      </c>
      <c r="Y215" s="4">
        <f t="shared" si="76"/>
        <v>39</v>
      </c>
      <c r="Z215" s="4">
        <f t="shared" si="77"/>
        <v>39</v>
      </c>
      <c r="AA215" s="102">
        <f t="shared" si="78"/>
        <v>71</v>
      </c>
      <c r="AC215" s="100">
        <f t="shared" si="79"/>
        <v>0.9580476865848323</v>
      </c>
    </row>
    <row r="216" spans="4:29" x14ac:dyDescent="0.35">
      <c r="D216">
        <f t="shared" si="80"/>
        <v>212</v>
      </c>
      <c r="E216" s="101">
        <v>3</v>
      </c>
      <c r="F216" s="4">
        <v>7</v>
      </c>
      <c r="G216" s="4">
        <v>5</v>
      </c>
      <c r="H216" s="4">
        <v>5</v>
      </c>
      <c r="I216" s="4">
        <v>3</v>
      </c>
      <c r="J216" s="4">
        <v>6</v>
      </c>
      <c r="K216" s="102">
        <v>4</v>
      </c>
      <c r="M216" s="101">
        <f t="shared" si="65"/>
        <v>23</v>
      </c>
      <c r="N216" s="4">
        <f t="shared" si="66"/>
        <v>29</v>
      </c>
      <c r="O216" s="4">
        <f t="shared" si="67"/>
        <v>30</v>
      </c>
      <c r="P216" s="4">
        <f t="shared" si="68"/>
        <v>30</v>
      </c>
      <c r="Q216" s="4">
        <f t="shared" si="69"/>
        <v>23</v>
      </c>
      <c r="R216" s="4">
        <f t="shared" si="70"/>
        <v>45</v>
      </c>
      <c r="S216" s="102">
        <f t="shared" si="71"/>
        <v>12</v>
      </c>
      <c r="U216" s="101">
        <f t="shared" si="72"/>
        <v>39</v>
      </c>
      <c r="V216" s="4">
        <f t="shared" si="73"/>
        <v>41</v>
      </c>
      <c r="W216" s="4">
        <f t="shared" si="74"/>
        <v>39</v>
      </c>
      <c r="X216" s="4">
        <f t="shared" si="75"/>
        <v>39</v>
      </c>
      <c r="Y216" s="4">
        <f t="shared" si="76"/>
        <v>39</v>
      </c>
      <c r="Z216" s="4">
        <f t="shared" si="77"/>
        <v>71</v>
      </c>
      <c r="AA216" s="102">
        <f t="shared" si="78"/>
        <v>9</v>
      </c>
      <c r="AC216" s="100">
        <f t="shared" si="79"/>
        <v>0.95526246841897056</v>
      </c>
    </row>
    <row r="217" spans="4:29" x14ac:dyDescent="0.35">
      <c r="D217">
        <f t="shared" si="80"/>
        <v>213</v>
      </c>
      <c r="E217" s="101">
        <v>3</v>
      </c>
      <c r="F217" s="4">
        <v>5</v>
      </c>
      <c r="G217" s="4">
        <v>5</v>
      </c>
      <c r="H217" s="4">
        <v>1</v>
      </c>
      <c r="I217" s="4">
        <v>6</v>
      </c>
      <c r="J217" s="4">
        <v>5</v>
      </c>
      <c r="K217" s="102">
        <v>1</v>
      </c>
      <c r="M217" s="101">
        <f t="shared" si="65"/>
        <v>23</v>
      </c>
      <c r="N217" s="4">
        <f t="shared" si="66"/>
        <v>30</v>
      </c>
      <c r="O217" s="4">
        <f t="shared" si="67"/>
        <v>30</v>
      </c>
      <c r="P217" s="4">
        <f t="shared" si="68"/>
        <v>34</v>
      </c>
      <c r="Q217" s="4">
        <f t="shared" si="69"/>
        <v>45</v>
      </c>
      <c r="R217" s="4">
        <f t="shared" si="70"/>
        <v>30</v>
      </c>
      <c r="S217" s="102">
        <f t="shared" si="71"/>
        <v>34</v>
      </c>
      <c r="U217" s="101">
        <f t="shared" si="72"/>
        <v>39</v>
      </c>
      <c r="V217" s="4">
        <f t="shared" si="73"/>
        <v>39</v>
      </c>
      <c r="W217" s="4">
        <f t="shared" si="74"/>
        <v>39</v>
      </c>
      <c r="X217" s="4">
        <f t="shared" si="75"/>
        <v>46</v>
      </c>
      <c r="Y217" s="4">
        <f t="shared" si="76"/>
        <v>71</v>
      </c>
      <c r="Z217" s="4">
        <f t="shared" si="77"/>
        <v>39</v>
      </c>
      <c r="AA217" s="102">
        <f t="shared" si="78"/>
        <v>46</v>
      </c>
      <c r="AC217" s="100">
        <f t="shared" si="79"/>
        <v>0.91681185639294205</v>
      </c>
    </row>
    <row r="218" spans="4:29" x14ac:dyDescent="0.35">
      <c r="D218">
        <f t="shared" si="80"/>
        <v>214</v>
      </c>
      <c r="E218" s="101">
        <v>6</v>
      </c>
      <c r="F218" s="4">
        <v>1</v>
      </c>
      <c r="G218" s="4">
        <v>7</v>
      </c>
      <c r="H218" s="4">
        <v>1</v>
      </c>
      <c r="I218" s="4">
        <v>4</v>
      </c>
      <c r="J218" s="4">
        <v>7</v>
      </c>
      <c r="K218" s="102">
        <v>5</v>
      </c>
      <c r="M218" s="101">
        <f t="shared" si="65"/>
        <v>45</v>
      </c>
      <c r="N218" s="4">
        <f t="shared" si="66"/>
        <v>34</v>
      </c>
      <c r="O218" s="4">
        <f t="shared" si="67"/>
        <v>29</v>
      </c>
      <c r="P218" s="4">
        <f t="shared" si="68"/>
        <v>34</v>
      </c>
      <c r="Q218" s="4">
        <f t="shared" si="69"/>
        <v>12</v>
      </c>
      <c r="R218" s="4">
        <f t="shared" si="70"/>
        <v>29</v>
      </c>
      <c r="S218" s="102">
        <f t="shared" si="71"/>
        <v>30</v>
      </c>
      <c r="U218" s="101">
        <f t="shared" si="72"/>
        <v>71</v>
      </c>
      <c r="V218" s="4">
        <f t="shared" si="73"/>
        <v>46</v>
      </c>
      <c r="W218" s="4">
        <f t="shared" si="74"/>
        <v>41</v>
      </c>
      <c r="X218" s="4">
        <f t="shared" si="75"/>
        <v>46</v>
      </c>
      <c r="Y218" s="4">
        <f t="shared" si="76"/>
        <v>9</v>
      </c>
      <c r="Z218" s="4">
        <f t="shared" si="77"/>
        <v>41</v>
      </c>
      <c r="AA218" s="102">
        <f t="shared" si="78"/>
        <v>39</v>
      </c>
      <c r="AC218" s="100">
        <f t="shared" si="79"/>
        <v>0.9926716993520982</v>
      </c>
    </row>
    <row r="219" spans="4:29" x14ac:dyDescent="0.35">
      <c r="D219">
        <f t="shared" si="80"/>
        <v>215</v>
      </c>
      <c r="E219" s="101">
        <v>6</v>
      </c>
      <c r="F219" s="4">
        <v>4</v>
      </c>
      <c r="G219" s="4">
        <v>7</v>
      </c>
      <c r="H219" s="4">
        <v>2</v>
      </c>
      <c r="I219" s="4">
        <v>3</v>
      </c>
      <c r="J219" s="4">
        <v>1</v>
      </c>
      <c r="K219" s="102">
        <v>4</v>
      </c>
      <c r="M219" s="101">
        <f t="shared" si="65"/>
        <v>45</v>
      </c>
      <c r="N219" s="4">
        <f t="shared" si="66"/>
        <v>12</v>
      </c>
      <c r="O219" s="4">
        <f t="shared" si="67"/>
        <v>29</v>
      </c>
      <c r="P219" s="4">
        <f t="shared" si="68"/>
        <v>56</v>
      </c>
      <c r="Q219" s="4">
        <f t="shared" si="69"/>
        <v>23</v>
      </c>
      <c r="R219" s="4">
        <f t="shared" si="70"/>
        <v>34</v>
      </c>
      <c r="S219" s="102">
        <f t="shared" si="71"/>
        <v>12</v>
      </c>
      <c r="U219" s="101">
        <f t="shared" si="72"/>
        <v>71</v>
      </c>
      <c r="V219" s="4">
        <f t="shared" si="73"/>
        <v>9</v>
      </c>
      <c r="W219" s="4">
        <f t="shared" si="74"/>
        <v>41</v>
      </c>
      <c r="X219" s="4">
        <f t="shared" si="75"/>
        <v>78</v>
      </c>
      <c r="Y219" s="4">
        <f t="shared" si="76"/>
        <v>39</v>
      </c>
      <c r="Z219" s="4">
        <f t="shared" si="77"/>
        <v>46</v>
      </c>
      <c r="AA219" s="102">
        <f t="shared" si="78"/>
        <v>9</v>
      </c>
      <c r="AC219" s="100">
        <f t="shared" si="79"/>
        <v>0.98093682314678265</v>
      </c>
    </row>
    <row r="220" spans="4:29" x14ac:dyDescent="0.35">
      <c r="D220">
        <f t="shared" si="80"/>
        <v>216</v>
      </c>
      <c r="E220" s="101">
        <v>5</v>
      </c>
      <c r="F220" s="4">
        <v>1</v>
      </c>
      <c r="G220" s="4">
        <v>7</v>
      </c>
      <c r="H220" s="4">
        <v>3</v>
      </c>
      <c r="I220" s="4">
        <v>6</v>
      </c>
      <c r="J220" s="4">
        <v>5</v>
      </c>
      <c r="K220" s="102">
        <v>7</v>
      </c>
      <c r="M220" s="101">
        <f t="shared" si="65"/>
        <v>30</v>
      </c>
      <c r="N220" s="4">
        <f t="shared" si="66"/>
        <v>34</v>
      </c>
      <c r="O220" s="4">
        <f t="shared" si="67"/>
        <v>29</v>
      </c>
      <c r="P220" s="4">
        <f t="shared" si="68"/>
        <v>23</v>
      </c>
      <c r="Q220" s="4">
        <f t="shared" si="69"/>
        <v>45</v>
      </c>
      <c r="R220" s="4">
        <f t="shared" si="70"/>
        <v>30</v>
      </c>
      <c r="S220" s="102">
        <f t="shared" si="71"/>
        <v>29</v>
      </c>
      <c r="U220" s="101">
        <f t="shared" si="72"/>
        <v>39</v>
      </c>
      <c r="V220" s="4">
        <f t="shared" si="73"/>
        <v>46</v>
      </c>
      <c r="W220" s="4">
        <f t="shared" si="74"/>
        <v>41</v>
      </c>
      <c r="X220" s="4">
        <f t="shared" si="75"/>
        <v>39</v>
      </c>
      <c r="Y220" s="4">
        <f t="shared" si="76"/>
        <v>71</v>
      </c>
      <c r="Z220" s="4">
        <f t="shared" si="77"/>
        <v>39</v>
      </c>
      <c r="AA220" s="102">
        <f t="shared" si="78"/>
        <v>41</v>
      </c>
      <c r="AC220" s="100">
        <f t="shared" si="79"/>
        <v>0.9292042930174077</v>
      </c>
    </row>
    <row r="221" spans="4:29" x14ac:dyDescent="0.35">
      <c r="D221">
        <f t="shared" si="80"/>
        <v>217</v>
      </c>
      <c r="E221" s="101">
        <v>2</v>
      </c>
      <c r="F221" s="4">
        <v>3</v>
      </c>
      <c r="G221" s="4">
        <v>7</v>
      </c>
      <c r="H221" s="4">
        <v>4</v>
      </c>
      <c r="I221" s="4">
        <v>4</v>
      </c>
      <c r="J221" s="4">
        <v>6</v>
      </c>
      <c r="K221" s="102">
        <v>7</v>
      </c>
      <c r="M221" s="101">
        <f t="shared" si="65"/>
        <v>56</v>
      </c>
      <c r="N221" s="4">
        <f t="shared" si="66"/>
        <v>23</v>
      </c>
      <c r="O221" s="4">
        <f t="shared" si="67"/>
        <v>29</v>
      </c>
      <c r="P221" s="4">
        <f t="shared" si="68"/>
        <v>12</v>
      </c>
      <c r="Q221" s="4">
        <f t="shared" si="69"/>
        <v>12</v>
      </c>
      <c r="R221" s="4">
        <f t="shared" si="70"/>
        <v>45</v>
      </c>
      <c r="S221" s="102">
        <f t="shared" si="71"/>
        <v>29</v>
      </c>
      <c r="U221" s="101">
        <f t="shared" si="72"/>
        <v>78</v>
      </c>
      <c r="V221" s="4">
        <f t="shared" si="73"/>
        <v>39</v>
      </c>
      <c r="W221" s="4">
        <f t="shared" si="74"/>
        <v>41</v>
      </c>
      <c r="X221" s="4">
        <f t="shared" si="75"/>
        <v>9</v>
      </c>
      <c r="Y221" s="4">
        <f t="shared" si="76"/>
        <v>9</v>
      </c>
      <c r="Z221" s="4">
        <f t="shared" si="77"/>
        <v>71</v>
      </c>
      <c r="AA221" s="102">
        <f t="shared" si="78"/>
        <v>41</v>
      </c>
      <c r="AC221" s="100">
        <f t="shared" si="79"/>
        <v>0.98139683518169418</v>
      </c>
    </row>
    <row r="222" spans="4:29" x14ac:dyDescent="0.35">
      <c r="D222">
        <f t="shared" si="80"/>
        <v>218</v>
      </c>
      <c r="E222" s="101">
        <v>5</v>
      </c>
      <c r="F222" s="4">
        <v>6</v>
      </c>
      <c r="G222" s="4">
        <v>7</v>
      </c>
      <c r="H222" s="4">
        <v>4</v>
      </c>
      <c r="I222" s="4">
        <v>5</v>
      </c>
      <c r="J222" s="4">
        <v>6</v>
      </c>
      <c r="K222" s="102">
        <v>2</v>
      </c>
      <c r="M222" s="101">
        <f t="shared" si="65"/>
        <v>30</v>
      </c>
      <c r="N222" s="4">
        <f t="shared" si="66"/>
        <v>45</v>
      </c>
      <c r="O222" s="4">
        <f t="shared" si="67"/>
        <v>29</v>
      </c>
      <c r="P222" s="4">
        <f t="shared" si="68"/>
        <v>12</v>
      </c>
      <c r="Q222" s="4">
        <f t="shared" si="69"/>
        <v>30</v>
      </c>
      <c r="R222" s="4">
        <f t="shared" si="70"/>
        <v>45</v>
      </c>
      <c r="S222" s="102">
        <f t="shared" si="71"/>
        <v>56</v>
      </c>
      <c r="U222" s="101">
        <f t="shared" si="72"/>
        <v>39</v>
      </c>
      <c r="V222" s="4">
        <f t="shared" si="73"/>
        <v>71</v>
      </c>
      <c r="W222" s="4">
        <f t="shared" si="74"/>
        <v>41</v>
      </c>
      <c r="X222" s="4">
        <f t="shared" si="75"/>
        <v>9</v>
      </c>
      <c r="Y222" s="4">
        <f t="shared" si="76"/>
        <v>39</v>
      </c>
      <c r="Z222" s="4">
        <f t="shared" si="77"/>
        <v>71</v>
      </c>
      <c r="AA222" s="102">
        <f t="shared" si="78"/>
        <v>78</v>
      </c>
      <c r="AC222" s="100">
        <f t="shared" si="79"/>
        <v>0.98567211386655662</v>
      </c>
    </row>
    <row r="223" spans="4:29" x14ac:dyDescent="0.35">
      <c r="D223">
        <f t="shared" si="80"/>
        <v>219</v>
      </c>
      <c r="E223" s="101">
        <v>1</v>
      </c>
      <c r="F223" s="4">
        <v>4</v>
      </c>
      <c r="G223" s="4">
        <v>4</v>
      </c>
      <c r="H223" s="4">
        <v>7</v>
      </c>
      <c r="I223" s="4">
        <v>6</v>
      </c>
      <c r="J223" s="4">
        <v>6</v>
      </c>
      <c r="K223" s="102">
        <v>3</v>
      </c>
      <c r="M223" s="101">
        <f t="shared" si="65"/>
        <v>34</v>
      </c>
      <c r="N223" s="4">
        <f t="shared" si="66"/>
        <v>12</v>
      </c>
      <c r="O223" s="4">
        <f t="shared" si="67"/>
        <v>12</v>
      </c>
      <c r="P223" s="4">
        <f t="shared" si="68"/>
        <v>29</v>
      </c>
      <c r="Q223" s="4">
        <f t="shared" si="69"/>
        <v>45</v>
      </c>
      <c r="R223" s="4">
        <f t="shared" si="70"/>
        <v>45</v>
      </c>
      <c r="S223" s="102">
        <f t="shared" si="71"/>
        <v>23</v>
      </c>
      <c r="U223" s="101">
        <f t="shared" si="72"/>
        <v>46</v>
      </c>
      <c r="V223" s="4">
        <f t="shared" si="73"/>
        <v>9</v>
      </c>
      <c r="W223" s="4">
        <f t="shared" si="74"/>
        <v>9</v>
      </c>
      <c r="X223" s="4">
        <f t="shared" si="75"/>
        <v>41</v>
      </c>
      <c r="Y223" s="4">
        <f t="shared" si="76"/>
        <v>71</v>
      </c>
      <c r="Z223" s="4">
        <f t="shared" si="77"/>
        <v>71</v>
      </c>
      <c r="AA223" s="102">
        <f t="shared" si="78"/>
        <v>39</v>
      </c>
      <c r="AC223" s="100">
        <f t="shared" si="79"/>
        <v>0.98737452535804848</v>
      </c>
    </row>
    <row r="224" spans="4:29" x14ac:dyDescent="0.35">
      <c r="D224">
        <f t="shared" si="80"/>
        <v>220</v>
      </c>
      <c r="E224" s="101">
        <v>6</v>
      </c>
      <c r="F224" s="4">
        <v>1</v>
      </c>
      <c r="G224" s="4">
        <v>7</v>
      </c>
      <c r="H224" s="4">
        <v>6</v>
      </c>
      <c r="I224" s="4">
        <v>4</v>
      </c>
      <c r="J224" s="4">
        <v>4</v>
      </c>
      <c r="K224" s="102">
        <v>5</v>
      </c>
      <c r="M224" s="101">
        <f t="shared" si="65"/>
        <v>45</v>
      </c>
      <c r="N224" s="4">
        <f t="shared" si="66"/>
        <v>34</v>
      </c>
      <c r="O224" s="4">
        <f t="shared" si="67"/>
        <v>29</v>
      </c>
      <c r="P224" s="4">
        <f t="shared" si="68"/>
        <v>45</v>
      </c>
      <c r="Q224" s="4">
        <f t="shared" si="69"/>
        <v>12</v>
      </c>
      <c r="R224" s="4">
        <f t="shared" si="70"/>
        <v>12</v>
      </c>
      <c r="S224" s="102">
        <f t="shared" si="71"/>
        <v>30</v>
      </c>
      <c r="U224" s="101">
        <f t="shared" si="72"/>
        <v>71</v>
      </c>
      <c r="V224" s="4">
        <f t="shared" si="73"/>
        <v>46</v>
      </c>
      <c r="W224" s="4">
        <f t="shared" si="74"/>
        <v>41</v>
      </c>
      <c r="X224" s="4">
        <f t="shared" si="75"/>
        <v>71</v>
      </c>
      <c r="Y224" s="4">
        <f t="shared" si="76"/>
        <v>9</v>
      </c>
      <c r="Z224" s="4">
        <f t="shared" si="77"/>
        <v>9</v>
      </c>
      <c r="AA224" s="102">
        <f t="shared" si="78"/>
        <v>39</v>
      </c>
      <c r="AC224" s="100">
        <f t="shared" si="79"/>
        <v>0.99694940443266555</v>
      </c>
    </row>
    <row r="225" spans="4:29" x14ac:dyDescent="0.35">
      <c r="D225">
        <f t="shared" si="80"/>
        <v>221</v>
      </c>
      <c r="E225" s="101">
        <v>4</v>
      </c>
      <c r="F225" s="4">
        <v>1</v>
      </c>
      <c r="G225" s="4">
        <v>7</v>
      </c>
      <c r="H225" s="4">
        <v>5</v>
      </c>
      <c r="I225" s="4">
        <v>1</v>
      </c>
      <c r="J225" s="4">
        <v>5</v>
      </c>
      <c r="K225" s="102">
        <v>6</v>
      </c>
      <c r="M225" s="101">
        <f t="shared" si="65"/>
        <v>12</v>
      </c>
      <c r="N225" s="4">
        <f t="shared" si="66"/>
        <v>34</v>
      </c>
      <c r="O225" s="4">
        <f t="shared" si="67"/>
        <v>29</v>
      </c>
      <c r="P225" s="4">
        <f t="shared" si="68"/>
        <v>30</v>
      </c>
      <c r="Q225" s="4">
        <f t="shared" si="69"/>
        <v>34</v>
      </c>
      <c r="R225" s="4">
        <f t="shared" si="70"/>
        <v>30</v>
      </c>
      <c r="S225" s="102">
        <f t="shared" si="71"/>
        <v>45</v>
      </c>
      <c r="U225" s="101">
        <f t="shared" si="72"/>
        <v>9</v>
      </c>
      <c r="V225" s="4">
        <f t="shared" si="73"/>
        <v>46</v>
      </c>
      <c r="W225" s="4">
        <f t="shared" si="74"/>
        <v>41</v>
      </c>
      <c r="X225" s="4">
        <f t="shared" si="75"/>
        <v>39</v>
      </c>
      <c r="Y225" s="4">
        <f t="shared" si="76"/>
        <v>46</v>
      </c>
      <c r="Z225" s="4">
        <f t="shared" si="77"/>
        <v>39</v>
      </c>
      <c r="AA225" s="102">
        <f t="shared" si="78"/>
        <v>71</v>
      </c>
      <c r="AC225" s="100">
        <f t="shared" si="79"/>
        <v>0.99292565496971386</v>
      </c>
    </row>
    <row r="226" spans="4:29" x14ac:dyDescent="0.35">
      <c r="D226">
        <f t="shared" si="80"/>
        <v>222</v>
      </c>
      <c r="E226" s="101">
        <v>2</v>
      </c>
      <c r="F226" s="4">
        <v>6</v>
      </c>
      <c r="G226" s="4">
        <v>5</v>
      </c>
      <c r="H226" s="4">
        <v>5</v>
      </c>
      <c r="I226" s="4">
        <v>2</v>
      </c>
      <c r="J226" s="4">
        <v>1</v>
      </c>
      <c r="K226" s="102">
        <v>5</v>
      </c>
      <c r="M226" s="101">
        <f t="shared" si="65"/>
        <v>56</v>
      </c>
      <c r="N226" s="4">
        <f t="shared" si="66"/>
        <v>45</v>
      </c>
      <c r="O226" s="4">
        <f t="shared" si="67"/>
        <v>30</v>
      </c>
      <c r="P226" s="4">
        <f t="shared" si="68"/>
        <v>30</v>
      </c>
      <c r="Q226" s="4">
        <f t="shared" si="69"/>
        <v>56</v>
      </c>
      <c r="R226" s="4">
        <f t="shared" si="70"/>
        <v>34</v>
      </c>
      <c r="S226" s="102">
        <f t="shared" si="71"/>
        <v>30</v>
      </c>
      <c r="U226" s="101">
        <f t="shared" si="72"/>
        <v>78</v>
      </c>
      <c r="V226" s="4">
        <f t="shared" si="73"/>
        <v>71</v>
      </c>
      <c r="W226" s="4">
        <f t="shared" si="74"/>
        <v>39</v>
      </c>
      <c r="X226" s="4">
        <f t="shared" si="75"/>
        <v>39</v>
      </c>
      <c r="Y226" s="4">
        <f t="shared" si="76"/>
        <v>78</v>
      </c>
      <c r="Z226" s="4">
        <f t="shared" si="77"/>
        <v>46</v>
      </c>
      <c r="AA226" s="102">
        <f t="shared" si="78"/>
        <v>39</v>
      </c>
      <c r="AC226" s="100">
        <f t="shared" si="79"/>
        <v>0.98279494837500059</v>
      </c>
    </row>
    <row r="227" spans="4:29" x14ac:dyDescent="0.35">
      <c r="D227">
        <f t="shared" si="80"/>
        <v>223</v>
      </c>
      <c r="E227" s="101">
        <v>7</v>
      </c>
      <c r="F227" s="4">
        <v>6</v>
      </c>
      <c r="G227" s="4">
        <v>1</v>
      </c>
      <c r="H227" s="4">
        <v>6</v>
      </c>
      <c r="I227" s="4">
        <v>5</v>
      </c>
      <c r="J227" s="4">
        <v>5</v>
      </c>
      <c r="K227" s="102">
        <v>2</v>
      </c>
      <c r="M227" s="101">
        <f t="shared" si="65"/>
        <v>29</v>
      </c>
      <c r="N227" s="4">
        <f t="shared" si="66"/>
        <v>45</v>
      </c>
      <c r="O227" s="4">
        <f t="shared" si="67"/>
        <v>34</v>
      </c>
      <c r="P227" s="4">
        <f t="shared" si="68"/>
        <v>45</v>
      </c>
      <c r="Q227" s="4">
        <f t="shared" si="69"/>
        <v>30</v>
      </c>
      <c r="R227" s="4">
        <f t="shared" si="70"/>
        <v>30</v>
      </c>
      <c r="S227" s="102">
        <f t="shared" si="71"/>
        <v>56</v>
      </c>
      <c r="U227" s="101">
        <f t="shared" si="72"/>
        <v>41</v>
      </c>
      <c r="V227" s="4">
        <f t="shared" si="73"/>
        <v>71</v>
      </c>
      <c r="W227" s="4">
        <f t="shared" si="74"/>
        <v>46</v>
      </c>
      <c r="X227" s="4">
        <f t="shared" si="75"/>
        <v>71</v>
      </c>
      <c r="Y227" s="4">
        <f t="shared" si="76"/>
        <v>39</v>
      </c>
      <c r="Z227" s="4">
        <f t="shared" si="77"/>
        <v>39</v>
      </c>
      <c r="AA227" s="102">
        <f t="shared" si="78"/>
        <v>78</v>
      </c>
      <c r="AC227" s="100">
        <f t="shared" si="79"/>
        <v>0.971444907435421</v>
      </c>
    </row>
    <row r="228" spans="4:29" x14ac:dyDescent="0.35">
      <c r="D228">
        <f t="shared" si="80"/>
        <v>224</v>
      </c>
      <c r="E228" s="101">
        <v>4</v>
      </c>
      <c r="F228" s="4">
        <v>7</v>
      </c>
      <c r="G228" s="4">
        <v>1</v>
      </c>
      <c r="H228" s="4">
        <v>1</v>
      </c>
      <c r="I228" s="4">
        <v>4</v>
      </c>
      <c r="J228" s="4">
        <v>6</v>
      </c>
      <c r="K228" s="102">
        <v>1</v>
      </c>
      <c r="M228" s="101">
        <f t="shared" si="65"/>
        <v>12</v>
      </c>
      <c r="N228" s="4">
        <f t="shared" si="66"/>
        <v>29</v>
      </c>
      <c r="O228" s="4">
        <f t="shared" si="67"/>
        <v>34</v>
      </c>
      <c r="P228" s="4">
        <f t="shared" si="68"/>
        <v>34</v>
      </c>
      <c r="Q228" s="4">
        <f t="shared" si="69"/>
        <v>12</v>
      </c>
      <c r="R228" s="4">
        <f t="shared" si="70"/>
        <v>45</v>
      </c>
      <c r="S228" s="102">
        <f t="shared" si="71"/>
        <v>34</v>
      </c>
      <c r="U228" s="101">
        <f t="shared" si="72"/>
        <v>9</v>
      </c>
      <c r="V228" s="4">
        <f t="shared" si="73"/>
        <v>41</v>
      </c>
      <c r="W228" s="4">
        <f t="shared" si="74"/>
        <v>46</v>
      </c>
      <c r="X228" s="4">
        <f t="shared" si="75"/>
        <v>46</v>
      </c>
      <c r="Y228" s="4">
        <f t="shared" si="76"/>
        <v>9</v>
      </c>
      <c r="Z228" s="4">
        <f t="shared" si="77"/>
        <v>71</v>
      </c>
      <c r="AA228" s="102">
        <f t="shared" si="78"/>
        <v>46</v>
      </c>
      <c r="AC228" s="100">
        <f t="shared" si="79"/>
        <v>0.9954571639478409</v>
      </c>
    </row>
    <row r="229" spans="4:29" x14ac:dyDescent="0.35">
      <c r="D229">
        <f t="shared" si="80"/>
        <v>225</v>
      </c>
      <c r="E229" s="101">
        <v>2</v>
      </c>
      <c r="F229" s="4">
        <v>6</v>
      </c>
      <c r="G229" s="4">
        <v>3</v>
      </c>
      <c r="H229" s="4">
        <v>4</v>
      </c>
      <c r="I229" s="4">
        <v>4</v>
      </c>
      <c r="J229" s="4">
        <v>4</v>
      </c>
      <c r="K229" s="102">
        <v>4</v>
      </c>
      <c r="M229" s="101">
        <f t="shared" si="65"/>
        <v>56</v>
      </c>
      <c r="N229" s="4">
        <f t="shared" si="66"/>
        <v>45</v>
      </c>
      <c r="O229" s="4">
        <f t="shared" si="67"/>
        <v>23</v>
      </c>
      <c r="P229" s="4">
        <f t="shared" si="68"/>
        <v>12</v>
      </c>
      <c r="Q229" s="4">
        <f t="shared" si="69"/>
        <v>12</v>
      </c>
      <c r="R229" s="4">
        <f t="shared" si="70"/>
        <v>12</v>
      </c>
      <c r="S229" s="102">
        <f t="shared" si="71"/>
        <v>12</v>
      </c>
      <c r="U229" s="101">
        <f t="shared" si="72"/>
        <v>78</v>
      </c>
      <c r="V229" s="4">
        <f t="shared" si="73"/>
        <v>71</v>
      </c>
      <c r="W229" s="4">
        <f t="shared" si="74"/>
        <v>39</v>
      </c>
      <c r="X229" s="4">
        <f t="shared" si="75"/>
        <v>9</v>
      </c>
      <c r="Y229" s="4">
        <f t="shared" si="76"/>
        <v>9</v>
      </c>
      <c r="Z229" s="4">
        <f t="shared" si="77"/>
        <v>9</v>
      </c>
      <c r="AA229" s="102">
        <f t="shared" si="78"/>
        <v>9</v>
      </c>
      <c r="AC229" s="100">
        <f t="shared" si="79"/>
        <v>0.9848495042248202</v>
      </c>
    </row>
    <row r="230" spans="4:29" x14ac:dyDescent="0.35">
      <c r="D230">
        <f t="shared" si="80"/>
        <v>226</v>
      </c>
      <c r="E230" s="101">
        <v>7</v>
      </c>
      <c r="F230" s="4">
        <v>3</v>
      </c>
      <c r="G230" s="4">
        <v>6</v>
      </c>
      <c r="H230" s="4">
        <v>3</v>
      </c>
      <c r="I230" s="4">
        <v>3</v>
      </c>
      <c r="J230" s="4">
        <v>7</v>
      </c>
      <c r="K230" s="102">
        <v>7</v>
      </c>
      <c r="M230" s="101">
        <f t="shared" si="65"/>
        <v>29</v>
      </c>
      <c r="N230" s="4">
        <f t="shared" si="66"/>
        <v>23</v>
      </c>
      <c r="O230" s="4">
        <f t="shared" si="67"/>
        <v>45</v>
      </c>
      <c r="P230" s="4">
        <f t="shared" si="68"/>
        <v>23</v>
      </c>
      <c r="Q230" s="4">
        <f t="shared" si="69"/>
        <v>23</v>
      </c>
      <c r="R230" s="4">
        <f t="shared" si="70"/>
        <v>29</v>
      </c>
      <c r="S230" s="102">
        <f t="shared" si="71"/>
        <v>29</v>
      </c>
      <c r="U230" s="101">
        <f t="shared" si="72"/>
        <v>41</v>
      </c>
      <c r="V230" s="4">
        <f t="shared" si="73"/>
        <v>39</v>
      </c>
      <c r="W230" s="4">
        <f t="shared" si="74"/>
        <v>71</v>
      </c>
      <c r="X230" s="4">
        <f t="shared" si="75"/>
        <v>39</v>
      </c>
      <c r="Y230" s="4">
        <f t="shared" si="76"/>
        <v>39</v>
      </c>
      <c r="Z230" s="4">
        <f t="shared" si="77"/>
        <v>41</v>
      </c>
      <c r="AA230" s="102">
        <f t="shared" si="78"/>
        <v>41</v>
      </c>
      <c r="AC230" s="100">
        <f t="shared" si="79"/>
        <v>0.95215845464432136</v>
      </c>
    </row>
    <row r="231" spans="4:29" x14ac:dyDescent="0.35">
      <c r="D231">
        <f t="shared" si="80"/>
        <v>227</v>
      </c>
      <c r="E231" s="101">
        <v>1</v>
      </c>
      <c r="F231" s="4">
        <v>2</v>
      </c>
      <c r="G231" s="4">
        <v>3</v>
      </c>
      <c r="H231" s="4">
        <v>5</v>
      </c>
      <c r="I231" s="4">
        <v>2</v>
      </c>
      <c r="J231" s="4">
        <v>5</v>
      </c>
      <c r="K231" s="102">
        <v>5</v>
      </c>
      <c r="M231" s="101">
        <f t="shared" si="65"/>
        <v>34</v>
      </c>
      <c r="N231" s="4">
        <f t="shared" si="66"/>
        <v>56</v>
      </c>
      <c r="O231" s="4">
        <f t="shared" si="67"/>
        <v>23</v>
      </c>
      <c r="P231" s="4">
        <f t="shared" si="68"/>
        <v>30</v>
      </c>
      <c r="Q231" s="4">
        <f t="shared" si="69"/>
        <v>56</v>
      </c>
      <c r="R231" s="4">
        <f t="shared" si="70"/>
        <v>30</v>
      </c>
      <c r="S231" s="102">
        <f t="shared" si="71"/>
        <v>30</v>
      </c>
      <c r="U231" s="101">
        <f t="shared" si="72"/>
        <v>46</v>
      </c>
      <c r="V231" s="4">
        <f t="shared" si="73"/>
        <v>78</v>
      </c>
      <c r="W231" s="4">
        <f t="shared" si="74"/>
        <v>39</v>
      </c>
      <c r="X231" s="4">
        <f t="shared" si="75"/>
        <v>39</v>
      </c>
      <c r="Y231" s="4">
        <f t="shared" si="76"/>
        <v>78</v>
      </c>
      <c r="Z231" s="4">
        <f t="shared" si="77"/>
        <v>39</v>
      </c>
      <c r="AA231" s="102">
        <f t="shared" si="78"/>
        <v>39</v>
      </c>
      <c r="AC231" s="100">
        <f t="shared" si="79"/>
        <v>0.98250545097294928</v>
      </c>
    </row>
    <row r="232" spans="4:29" x14ac:dyDescent="0.35">
      <c r="D232">
        <f t="shared" si="80"/>
        <v>228</v>
      </c>
      <c r="E232" s="101">
        <v>6</v>
      </c>
      <c r="F232" s="4">
        <v>4</v>
      </c>
      <c r="G232" s="4">
        <v>7</v>
      </c>
      <c r="H232" s="4">
        <v>5</v>
      </c>
      <c r="I232" s="4">
        <v>3</v>
      </c>
      <c r="J232" s="4">
        <v>6</v>
      </c>
      <c r="K232" s="102">
        <v>7</v>
      </c>
      <c r="M232" s="101">
        <f t="shared" si="65"/>
        <v>45</v>
      </c>
      <c r="N232" s="4">
        <f t="shared" si="66"/>
        <v>12</v>
      </c>
      <c r="O232" s="4">
        <f t="shared" si="67"/>
        <v>29</v>
      </c>
      <c r="P232" s="4">
        <f t="shared" si="68"/>
        <v>30</v>
      </c>
      <c r="Q232" s="4">
        <f t="shared" si="69"/>
        <v>23</v>
      </c>
      <c r="R232" s="4">
        <f t="shared" si="70"/>
        <v>45</v>
      </c>
      <c r="S232" s="102">
        <f t="shared" si="71"/>
        <v>29</v>
      </c>
      <c r="U232" s="101">
        <f t="shared" si="72"/>
        <v>71</v>
      </c>
      <c r="V232" s="4">
        <f t="shared" si="73"/>
        <v>9</v>
      </c>
      <c r="W232" s="4">
        <f t="shared" si="74"/>
        <v>41</v>
      </c>
      <c r="X232" s="4">
        <f t="shared" si="75"/>
        <v>39</v>
      </c>
      <c r="Y232" s="4">
        <f t="shared" si="76"/>
        <v>39</v>
      </c>
      <c r="Z232" s="4">
        <f t="shared" si="77"/>
        <v>71</v>
      </c>
      <c r="AA232" s="102">
        <f t="shared" si="78"/>
        <v>41</v>
      </c>
      <c r="AC232" s="100">
        <f t="shared" si="79"/>
        <v>0.98320885818791848</v>
      </c>
    </row>
    <row r="233" spans="4:29" x14ac:dyDescent="0.35">
      <c r="D233">
        <f t="shared" si="80"/>
        <v>229</v>
      </c>
      <c r="E233" s="101">
        <v>6</v>
      </c>
      <c r="F233" s="4">
        <v>5</v>
      </c>
      <c r="G233" s="4">
        <v>2</v>
      </c>
      <c r="H233" s="4">
        <v>3</v>
      </c>
      <c r="I233" s="4">
        <v>3</v>
      </c>
      <c r="J233" s="4">
        <v>3</v>
      </c>
      <c r="K233" s="102">
        <v>4</v>
      </c>
      <c r="M233" s="101">
        <f t="shared" si="65"/>
        <v>45</v>
      </c>
      <c r="N233" s="4">
        <f t="shared" si="66"/>
        <v>30</v>
      </c>
      <c r="O233" s="4">
        <f t="shared" si="67"/>
        <v>56</v>
      </c>
      <c r="P233" s="4">
        <f t="shared" si="68"/>
        <v>23</v>
      </c>
      <c r="Q233" s="4">
        <f t="shared" si="69"/>
        <v>23</v>
      </c>
      <c r="R233" s="4">
        <f t="shared" si="70"/>
        <v>23</v>
      </c>
      <c r="S233" s="102">
        <f t="shared" si="71"/>
        <v>12</v>
      </c>
      <c r="U233" s="101">
        <f t="shared" si="72"/>
        <v>71</v>
      </c>
      <c r="V233" s="4">
        <f t="shared" si="73"/>
        <v>39</v>
      </c>
      <c r="W233" s="4">
        <f t="shared" si="74"/>
        <v>78</v>
      </c>
      <c r="X233" s="4">
        <f t="shared" si="75"/>
        <v>39</v>
      </c>
      <c r="Y233" s="4">
        <f t="shared" si="76"/>
        <v>39</v>
      </c>
      <c r="Z233" s="4">
        <f t="shared" si="77"/>
        <v>39</v>
      </c>
      <c r="AA233" s="102">
        <f t="shared" si="78"/>
        <v>9</v>
      </c>
      <c r="AC233" s="100">
        <f t="shared" si="79"/>
        <v>0.96460959972967442</v>
      </c>
    </row>
    <row r="234" spans="4:29" x14ac:dyDescent="0.35">
      <c r="D234">
        <f t="shared" si="80"/>
        <v>230</v>
      </c>
      <c r="E234" s="101">
        <v>6</v>
      </c>
      <c r="F234" s="4">
        <v>3</v>
      </c>
      <c r="G234" s="4">
        <v>1</v>
      </c>
      <c r="H234" s="4">
        <v>6</v>
      </c>
      <c r="I234" s="4">
        <v>7</v>
      </c>
      <c r="J234" s="4">
        <v>6</v>
      </c>
      <c r="K234" s="102">
        <v>4</v>
      </c>
      <c r="M234" s="101">
        <f t="shared" si="65"/>
        <v>45</v>
      </c>
      <c r="N234" s="4">
        <f t="shared" si="66"/>
        <v>23</v>
      </c>
      <c r="O234" s="4">
        <f t="shared" si="67"/>
        <v>34</v>
      </c>
      <c r="P234" s="4">
        <f t="shared" si="68"/>
        <v>45</v>
      </c>
      <c r="Q234" s="4">
        <f t="shared" si="69"/>
        <v>29</v>
      </c>
      <c r="R234" s="4">
        <f t="shared" si="70"/>
        <v>45</v>
      </c>
      <c r="S234" s="102">
        <f t="shared" si="71"/>
        <v>12</v>
      </c>
      <c r="U234" s="101">
        <f t="shared" si="72"/>
        <v>71</v>
      </c>
      <c r="V234" s="4">
        <f t="shared" si="73"/>
        <v>39</v>
      </c>
      <c r="W234" s="4">
        <f t="shared" si="74"/>
        <v>46</v>
      </c>
      <c r="X234" s="4">
        <f t="shared" si="75"/>
        <v>71</v>
      </c>
      <c r="Y234" s="4">
        <f t="shared" si="76"/>
        <v>41</v>
      </c>
      <c r="Z234" s="4">
        <f t="shared" si="77"/>
        <v>71</v>
      </c>
      <c r="AA234" s="102">
        <f t="shared" si="78"/>
        <v>9</v>
      </c>
      <c r="AC234" s="100">
        <f t="shared" si="79"/>
        <v>0.98557669300170281</v>
      </c>
    </row>
    <row r="235" spans="4:29" x14ac:dyDescent="0.35">
      <c r="D235">
        <f t="shared" si="80"/>
        <v>231</v>
      </c>
      <c r="E235" s="101">
        <v>6</v>
      </c>
      <c r="F235" s="4">
        <v>3</v>
      </c>
      <c r="G235" s="4">
        <v>1</v>
      </c>
      <c r="H235" s="4">
        <v>1</v>
      </c>
      <c r="I235" s="4">
        <v>5</v>
      </c>
      <c r="J235" s="4">
        <v>4</v>
      </c>
      <c r="K235" s="102">
        <v>7</v>
      </c>
      <c r="M235" s="101">
        <f t="shared" si="65"/>
        <v>45</v>
      </c>
      <c r="N235" s="4">
        <f t="shared" si="66"/>
        <v>23</v>
      </c>
      <c r="O235" s="4">
        <f t="shared" si="67"/>
        <v>34</v>
      </c>
      <c r="P235" s="4">
        <f t="shared" si="68"/>
        <v>34</v>
      </c>
      <c r="Q235" s="4">
        <f t="shared" si="69"/>
        <v>30</v>
      </c>
      <c r="R235" s="4">
        <f t="shared" si="70"/>
        <v>12</v>
      </c>
      <c r="S235" s="102">
        <f t="shared" si="71"/>
        <v>29</v>
      </c>
      <c r="U235" s="101">
        <f t="shared" si="72"/>
        <v>71</v>
      </c>
      <c r="V235" s="4">
        <f t="shared" si="73"/>
        <v>39</v>
      </c>
      <c r="W235" s="4">
        <f t="shared" si="74"/>
        <v>46</v>
      </c>
      <c r="X235" s="4">
        <f t="shared" si="75"/>
        <v>46</v>
      </c>
      <c r="Y235" s="4">
        <f t="shared" si="76"/>
        <v>39</v>
      </c>
      <c r="Z235" s="4">
        <f t="shared" si="77"/>
        <v>9</v>
      </c>
      <c r="AA235" s="102">
        <f t="shared" si="78"/>
        <v>41</v>
      </c>
      <c r="AC235" s="100">
        <f t="shared" si="79"/>
        <v>0.96881205442947571</v>
      </c>
    </row>
    <row r="236" spans="4:29" x14ac:dyDescent="0.35">
      <c r="D236">
        <f t="shared" si="80"/>
        <v>232</v>
      </c>
      <c r="E236" s="101">
        <v>4</v>
      </c>
      <c r="F236" s="4">
        <v>2</v>
      </c>
      <c r="G236" s="4">
        <v>4</v>
      </c>
      <c r="H236" s="4">
        <v>7</v>
      </c>
      <c r="I236" s="4">
        <v>1</v>
      </c>
      <c r="J236" s="4">
        <v>7</v>
      </c>
      <c r="K236" s="102">
        <v>4</v>
      </c>
      <c r="M236" s="101">
        <f t="shared" si="65"/>
        <v>12</v>
      </c>
      <c r="N236" s="4">
        <f t="shared" si="66"/>
        <v>56</v>
      </c>
      <c r="O236" s="4">
        <f t="shared" si="67"/>
        <v>12</v>
      </c>
      <c r="P236" s="4">
        <f t="shared" si="68"/>
        <v>29</v>
      </c>
      <c r="Q236" s="4">
        <f t="shared" si="69"/>
        <v>34</v>
      </c>
      <c r="R236" s="4">
        <f t="shared" si="70"/>
        <v>29</v>
      </c>
      <c r="S236" s="102">
        <f t="shared" si="71"/>
        <v>12</v>
      </c>
      <c r="U236" s="101">
        <f t="shared" si="72"/>
        <v>9</v>
      </c>
      <c r="V236" s="4">
        <f t="shared" si="73"/>
        <v>78</v>
      </c>
      <c r="W236" s="4">
        <f t="shared" si="74"/>
        <v>9</v>
      </c>
      <c r="X236" s="4">
        <f t="shared" si="75"/>
        <v>41</v>
      </c>
      <c r="Y236" s="4">
        <f t="shared" si="76"/>
        <v>46</v>
      </c>
      <c r="Z236" s="4">
        <f t="shared" si="77"/>
        <v>41</v>
      </c>
      <c r="AA236" s="102">
        <f t="shared" si="78"/>
        <v>9</v>
      </c>
      <c r="AC236" s="100">
        <f t="shared" si="79"/>
        <v>0.99542189627365318</v>
      </c>
    </row>
    <row r="237" spans="4:29" x14ac:dyDescent="0.35">
      <c r="D237">
        <f t="shared" si="80"/>
        <v>233</v>
      </c>
      <c r="E237" s="101">
        <v>1</v>
      </c>
      <c r="F237" s="4">
        <v>3</v>
      </c>
      <c r="G237" s="4">
        <v>3</v>
      </c>
      <c r="H237" s="4">
        <v>3</v>
      </c>
      <c r="I237" s="4">
        <v>6</v>
      </c>
      <c r="J237" s="4">
        <v>7</v>
      </c>
      <c r="K237" s="102">
        <v>4</v>
      </c>
      <c r="M237" s="101">
        <f t="shared" si="65"/>
        <v>34</v>
      </c>
      <c r="N237" s="4">
        <f t="shared" si="66"/>
        <v>23</v>
      </c>
      <c r="O237" s="4">
        <f t="shared" si="67"/>
        <v>23</v>
      </c>
      <c r="P237" s="4">
        <f t="shared" si="68"/>
        <v>23</v>
      </c>
      <c r="Q237" s="4">
        <f t="shared" si="69"/>
        <v>45</v>
      </c>
      <c r="R237" s="4">
        <f t="shared" si="70"/>
        <v>29</v>
      </c>
      <c r="S237" s="102">
        <f t="shared" si="71"/>
        <v>12</v>
      </c>
      <c r="U237" s="101">
        <f t="shared" si="72"/>
        <v>46</v>
      </c>
      <c r="V237" s="4">
        <f t="shared" si="73"/>
        <v>39</v>
      </c>
      <c r="W237" s="4">
        <f t="shared" si="74"/>
        <v>39</v>
      </c>
      <c r="X237" s="4">
        <f t="shared" si="75"/>
        <v>39</v>
      </c>
      <c r="Y237" s="4">
        <f t="shared" si="76"/>
        <v>71</v>
      </c>
      <c r="Z237" s="4">
        <f t="shared" si="77"/>
        <v>41</v>
      </c>
      <c r="AA237" s="102">
        <f t="shared" si="78"/>
        <v>9</v>
      </c>
      <c r="AC237" s="100">
        <f t="shared" si="79"/>
        <v>0.95602310225053666</v>
      </c>
    </row>
    <row r="238" spans="4:29" x14ac:dyDescent="0.35">
      <c r="D238">
        <f t="shared" si="80"/>
        <v>234</v>
      </c>
      <c r="E238" s="101">
        <v>3</v>
      </c>
      <c r="F238" s="4">
        <v>3</v>
      </c>
      <c r="G238" s="4">
        <v>5</v>
      </c>
      <c r="H238" s="4">
        <v>7</v>
      </c>
      <c r="I238" s="4">
        <v>1</v>
      </c>
      <c r="J238" s="4">
        <v>7</v>
      </c>
      <c r="K238" s="102">
        <v>1</v>
      </c>
      <c r="M238" s="101">
        <f t="shared" si="65"/>
        <v>23</v>
      </c>
      <c r="N238" s="4">
        <f t="shared" si="66"/>
        <v>23</v>
      </c>
      <c r="O238" s="4">
        <f t="shared" si="67"/>
        <v>30</v>
      </c>
      <c r="P238" s="4">
        <f t="shared" si="68"/>
        <v>29</v>
      </c>
      <c r="Q238" s="4">
        <f t="shared" si="69"/>
        <v>34</v>
      </c>
      <c r="R238" s="4">
        <f t="shared" si="70"/>
        <v>29</v>
      </c>
      <c r="S238" s="102">
        <f t="shared" si="71"/>
        <v>34</v>
      </c>
      <c r="U238" s="101">
        <f t="shared" si="72"/>
        <v>39</v>
      </c>
      <c r="V238" s="4">
        <f t="shared" si="73"/>
        <v>39</v>
      </c>
      <c r="W238" s="4">
        <f t="shared" si="74"/>
        <v>39</v>
      </c>
      <c r="X238" s="4">
        <f t="shared" si="75"/>
        <v>41</v>
      </c>
      <c r="Y238" s="4">
        <f t="shared" si="76"/>
        <v>46</v>
      </c>
      <c r="Z238" s="4">
        <f t="shared" si="77"/>
        <v>41</v>
      </c>
      <c r="AA238" s="102">
        <f t="shared" si="78"/>
        <v>46</v>
      </c>
      <c r="AC238" s="100">
        <f t="shared" si="79"/>
        <v>0.84727881138480821</v>
      </c>
    </row>
    <row r="239" spans="4:29" x14ac:dyDescent="0.35">
      <c r="D239">
        <f t="shared" si="80"/>
        <v>235</v>
      </c>
      <c r="E239" s="101">
        <v>5</v>
      </c>
      <c r="F239" s="4">
        <v>5</v>
      </c>
      <c r="G239" s="4">
        <v>2</v>
      </c>
      <c r="H239" s="4">
        <v>5</v>
      </c>
      <c r="I239" s="4">
        <v>5</v>
      </c>
      <c r="J239" s="4">
        <v>6</v>
      </c>
      <c r="K239" s="102">
        <v>2</v>
      </c>
      <c r="M239" s="101">
        <f t="shared" si="65"/>
        <v>30</v>
      </c>
      <c r="N239" s="4">
        <f t="shared" si="66"/>
        <v>30</v>
      </c>
      <c r="O239" s="4">
        <f t="shared" si="67"/>
        <v>56</v>
      </c>
      <c r="P239" s="4">
        <f t="shared" si="68"/>
        <v>30</v>
      </c>
      <c r="Q239" s="4">
        <f t="shared" si="69"/>
        <v>30</v>
      </c>
      <c r="R239" s="4">
        <f t="shared" si="70"/>
        <v>45</v>
      </c>
      <c r="S239" s="102">
        <f t="shared" si="71"/>
        <v>56</v>
      </c>
      <c r="U239" s="101">
        <f t="shared" si="72"/>
        <v>39</v>
      </c>
      <c r="V239" s="4">
        <f t="shared" si="73"/>
        <v>39</v>
      </c>
      <c r="W239" s="4">
        <f t="shared" si="74"/>
        <v>78</v>
      </c>
      <c r="X239" s="4">
        <f t="shared" si="75"/>
        <v>39</v>
      </c>
      <c r="Y239" s="4">
        <f t="shared" si="76"/>
        <v>39</v>
      </c>
      <c r="Z239" s="4">
        <f t="shared" si="77"/>
        <v>71</v>
      </c>
      <c r="AA239" s="102">
        <f t="shared" si="78"/>
        <v>78</v>
      </c>
      <c r="AC239" s="100">
        <f t="shared" si="79"/>
        <v>0.98393141662878714</v>
      </c>
    </row>
    <row r="240" spans="4:29" x14ac:dyDescent="0.35">
      <c r="D240">
        <f t="shared" si="80"/>
        <v>236</v>
      </c>
      <c r="E240" s="101">
        <v>6</v>
      </c>
      <c r="F240" s="4">
        <v>6</v>
      </c>
      <c r="G240" s="4">
        <v>6</v>
      </c>
      <c r="H240" s="4">
        <v>7</v>
      </c>
      <c r="I240" s="4">
        <v>1</v>
      </c>
      <c r="J240" s="4">
        <v>3</v>
      </c>
      <c r="K240" s="102">
        <v>6</v>
      </c>
      <c r="M240" s="101">
        <f t="shared" si="65"/>
        <v>45</v>
      </c>
      <c r="N240" s="4">
        <f t="shared" si="66"/>
        <v>45</v>
      </c>
      <c r="O240" s="4">
        <f t="shared" si="67"/>
        <v>45</v>
      </c>
      <c r="P240" s="4">
        <f t="shared" si="68"/>
        <v>29</v>
      </c>
      <c r="Q240" s="4">
        <f t="shared" si="69"/>
        <v>34</v>
      </c>
      <c r="R240" s="4">
        <f t="shared" si="70"/>
        <v>23</v>
      </c>
      <c r="S240" s="102">
        <f t="shared" si="71"/>
        <v>45</v>
      </c>
      <c r="U240" s="101">
        <f t="shared" si="72"/>
        <v>71</v>
      </c>
      <c r="V240" s="4">
        <f t="shared" si="73"/>
        <v>71</v>
      </c>
      <c r="W240" s="4">
        <f t="shared" si="74"/>
        <v>71</v>
      </c>
      <c r="X240" s="4">
        <f t="shared" si="75"/>
        <v>41</v>
      </c>
      <c r="Y240" s="4">
        <f t="shared" si="76"/>
        <v>46</v>
      </c>
      <c r="Z240" s="4">
        <f t="shared" si="77"/>
        <v>39</v>
      </c>
      <c r="AA240" s="102">
        <f t="shared" si="78"/>
        <v>71</v>
      </c>
      <c r="AC240" s="100">
        <f t="shared" si="79"/>
        <v>0.97483987461936472</v>
      </c>
    </row>
    <row r="241" spans="4:29" x14ac:dyDescent="0.35">
      <c r="D241">
        <f t="shared" si="80"/>
        <v>237</v>
      </c>
      <c r="E241" s="101">
        <v>7</v>
      </c>
      <c r="F241" s="4">
        <v>7</v>
      </c>
      <c r="G241" s="4">
        <v>3</v>
      </c>
      <c r="H241" s="4">
        <v>2</v>
      </c>
      <c r="I241" s="4">
        <v>2</v>
      </c>
      <c r="J241" s="4">
        <v>1</v>
      </c>
      <c r="K241" s="102">
        <v>2</v>
      </c>
      <c r="M241" s="101">
        <f t="shared" si="65"/>
        <v>29</v>
      </c>
      <c r="N241" s="4">
        <f t="shared" si="66"/>
        <v>29</v>
      </c>
      <c r="O241" s="4">
        <f t="shared" si="67"/>
        <v>23</v>
      </c>
      <c r="P241" s="4">
        <f t="shared" si="68"/>
        <v>56</v>
      </c>
      <c r="Q241" s="4">
        <f t="shared" si="69"/>
        <v>56</v>
      </c>
      <c r="R241" s="4">
        <f t="shared" si="70"/>
        <v>34</v>
      </c>
      <c r="S241" s="102">
        <f t="shared" si="71"/>
        <v>56</v>
      </c>
      <c r="U241" s="101">
        <f t="shared" si="72"/>
        <v>41</v>
      </c>
      <c r="V241" s="4">
        <f t="shared" si="73"/>
        <v>41</v>
      </c>
      <c r="W241" s="4">
        <f t="shared" si="74"/>
        <v>39</v>
      </c>
      <c r="X241" s="4">
        <f t="shared" si="75"/>
        <v>78</v>
      </c>
      <c r="Y241" s="4">
        <f t="shared" si="76"/>
        <v>78</v>
      </c>
      <c r="Z241" s="4">
        <f t="shared" si="77"/>
        <v>46</v>
      </c>
      <c r="AA241" s="102">
        <f t="shared" si="78"/>
        <v>78</v>
      </c>
      <c r="AC241" s="100">
        <f t="shared" si="79"/>
        <v>0.99286113959940625</v>
      </c>
    </row>
    <row r="242" spans="4:29" x14ac:dyDescent="0.35">
      <c r="D242">
        <f t="shared" si="80"/>
        <v>238</v>
      </c>
      <c r="E242" s="101">
        <v>2</v>
      </c>
      <c r="F242" s="4">
        <v>7</v>
      </c>
      <c r="G242" s="4">
        <v>2</v>
      </c>
      <c r="H242" s="4">
        <v>1</v>
      </c>
      <c r="I242" s="4">
        <v>4</v>
      </c>
      <c r="J242" s="4">
        <v>3</v>
      </c>
      <c r="K242" s="102">
        <v>5</v>
      </c>
      <c r="M242" s="101">
        <f t="shared" si="65"/>
        <v>56</v>
      </c>
      <c r="N242" s="4">
        <f t="shared" si="66"/>
        <v>29</v>
      </c>
      <c r="O242" s="4">
        <f t="shared" si="67"/>
        <v>56</v>
      </c>
      <c r="P242" s="4">
        <f t="shared" si="68"/>
        <v>34</v>
      </c>
      <c r="Q242" s="4">
        <f t="shared" si="69"/>
        <v>12</v>
      </c>
      <c r="R242" s="4">
        <f t="shared" si="70"/>
        <v>23</v>
      </c>
      <c r="S242" s="102">
        <f t="shared" si="71"/>
        <v>30</v>
      </c>
      <c r="U242" s="101">
        <f t="shared" si="72"/>
        <v>78</v>
      </c>
      <c r="V242" s="4">
        <f t="shared" si="73"/>
        <v>41</v>
      </c>
      <c r="W242" s="4">
        <f t="shared" si="74"/>
        <v>78</v>
      </c>
      <c r="X242" s="4">
        <f t="shared" si="75"/>
        <v>46</v>
      </c>
      <c r="Y242" s="4">
        <f t="shared" si="76"/>
        <v>9</v>
      </c>
      <c r="Z242" s="4">
        <f t="shared" si="77"/>
        <v>39</v>
      </c>
      <c r="AA242" s="102">
        <f t="shared" si="78"/>
        <v>39</v>
      </c>
      <c r="AC242" s="100">
        <f t="shared" si="79"/>
        <v>0.98446461864207147</v>
      </c>
    </row>
    <row r="243" spans="4:29" x14ac:dyDescent="0.35">
      <c r="D243">
        <f t="shared" si="80"/>
        <v>239</v>
      </c>
      <c r="E243" s="101">
        <v>1</v>
      </c>
      <c r="F243" s="4">
        <v>5</v>
      </c>
      <c r="G243" s="4">
        <v>3</v>
      </c>
      <c r="H243" s="4">
        <v>5</v>
      </c>
      <c r="I243" s="4">
        <v>5</v>
      </c>
      <c r="J243" s="4">
        <v>1</v>
      </c>
      <c r="K243" s="102">
        <v>6</v>
      </c>
      <c r="M243" s="101">
        <f t="shared" si="65"/>
        <v>34</v>
      </c>
      <c r="N243" s="4">
        <f t="shared" si="66"/>
        <v>30</v>
      </c>
      <c r="O243" s="4">
        <f t="shared" si="67"/>
        <v>23</v>
      </c>
      <c r="P243" s="4">
        <f t="shared" si="68"/>
        <v>30</v>
      </c>
      <c r="Q243" s="4">
        <f t="shared" si="69"/>
        <v>30</v>
      </c>
      <c r="R243" s="4">
        <f t="shared" si="70"/>
        <v>34</v>
      </c>
      <c r="S243" s="102">
        <f t="shared" si="71"/>
        <v>45</v>
      </c>
      <c r="U243" s="101">
        <f t="shared" si="72"/>
        <v>46</v>
      </c>
      <c r="V243" s="4">
        <f t="shared" si="73"/>
        <v>39</v>
      </c>
      <c r="W243" s="4">
        <f t="shared" si="74"/>
        <v>39</v>
      </c>
      <c r="X243" s="4">
        <f t="shared" si="75"/>
        <v>39</v>
      </c>
      <c r="Y243" s="4">
        <f t="shared" si="76"/>
        <v>39</v>
      </c>
      <c r="Z243" s="4">
        <f t="shared" si="77"/>
        <v>46</v>
      </c>
      <c r="AA243" s="102">
        <f t="shared" si="78"/>
        <v>71</v>
      </c>
      <c r="AC243" s="100">
        <f t="shared" si="79"/>
        <v>0.91681185639294216</v>
      </c>
    </row>
    <row r="244" spans="4:29" x14ac:dyDescent="0.35">
      <c r="D244">
        <f t="shared" si="80"/>
        <v>240</v>
      </c>
      <c r="E244" s="101">
        <v>3</v>
      </c>
      <c r="F244" s="4">
        <v>3</v>
      </c>
      <c r="G244" s="4">
        <v>7</v>
      </c>
      <c r="H244" s="4">
        <v>3</v>
      </c>
      <c r="I244" s="4">
        <v>2</v>
      </c>
      <c r="J244" s="4">
        <v>7</v>
      </c>
      <c r="K244" s="102">
        <v>6</v>
      </c>
      <c r="M244" s="101">
        <f t="shared" si="65"/>
        <v>23</v>
      </c>
      <c r="N244" s="4">
        <f t="shared" si="66"/>
        <v>23</v>
      </c>
      <c r="O244" s="4">
        <f t="shared" si="67"/>
        <v>29</v>
      </c>
      <c r="P244" s="4">
        <f t="shared" si="68"/>
        <v>23</v>
      </c>
      <c r="Q244" s="4">
        <f t="shared" si="69"/>
        <v>56</v>
      </c>
      <c r="R244" s="4">
        <f t="shared" si="70"/>
        <v>29</v>
      </c>
      <c r="S244" s="102">
        <f t="shared" si="71"/>
        <v>45</v>
      </c>
      <c r="U244" s="101">
        <f t="shared" si="72"/>
        <v>39</v>
      </c>
      <c r="V244" s="4">
        <f t="shared" si="73"/>
        <v>39</v>
      </c>
      <c r="W244" s="4">
        <f t="shared" si="74"/>
        <v>41</v>
      </c>
      <c r="X244" s="4">
        <f t="shared" si="75"/>
        <v>39</v>
      </c>
      <c r="Y244" s="4">
        <f t="shared" si="76"/>
        <v>78</v>
      </c>
      <c r="Z244" s="4">
        <f t="shared" si="77"/>
        <v>41</v>
      </c>
      <c r="AA244" s="102">
        <f t="shared" si="78"/>
        <v>71</v>
      </c>
      <c r="AC244" s="100">
        <f t="shared" si="79"/>
        <v>0.97889170471737197</v>
      </c>
    </row>
    <row r="245" spans="4:29" x14ac:dyDescent="0.35">
      <c r="D245">
        <f t="shared" si="80"/>
        <v>241</v>
      </c>
      <c r="E245" s="101">
        <v>1</v>
      </c>
      <c r="F245" s="4">
        <v>3</v>
      </c>
      <c r="G245" s="4">
        <v>3</v>
      </c>
      <c r="H245" s="4">
        <v>1</v>
      </c>
      <c r="I245" s="4">
        <v>5</v>
      </c>
      <c r="J245" s="4">
        <v>6</v>
      </c>
      <c r="K245" s="102">
        <v>6</v>
      </c>
      <c r="M245" s="101">
        <f t="shared" si="65"/>
        <v>34</v>
      </c>
      <c r="N245" s="4">
        <f t="shared" si="66"/>
        <v>23</v>
      </c>
      <c r="O245" s="4">
        <f t="shared" si="67"/>
        <v>23</v>
      </c>
      <c r="P245" s="4">
        <f t="shared" si="68"/>
        <v>34</v>
      </c>
      <c r="Q245" s="4">
        <f t="shared" si="69"/>
        <v>30</v>
      </c>
      <c r="R245" s="4">
        <f t="shared" si="70"/>
        <v>45</v>
      </c>
      <c r="S245" s="102">
        <f t="shared" si="71"/>
        <v>45</v>
      </c>
      <c r="U245" s="101">
        <f t="shared" si="72"/>
        <v>46</v>
      </c>
      <c r="V245" s="4">
        <f t="shared" si="73"/>
        <v>39</v>
      </c>
      <c r="W245" s="4">
        <f t="shared" si="74"/>
        <v>39</v>
      </c>
      <c r="X245" s="4">
        <f t="shared" si="75"/>
        <v>46</v>
      </c>
      <c r="Y245" s="4">
        <f t="shared" si="76"/>
        <v>39</v>
      </c>
      <c r="Z245" s="4">
        <f t="shared" si="77"/>
        <v>71</v>
      </c>
      <c r="AA245" s="102">
        <f t="shared" si="78"/>
        <v>71</v>
      </c>
      <c r="AC245" s="100">
        <f t="shared" si="79"/>
        <v>0.93901393801478994</v>
      </c>
    </row>
    <row r="246" spans="4:29" x14ac:dyDescent="0.35">
      <c r="D246">
        <f t="shared" si="80"/>
        <v>242</v>
      </c>
      <c r="E246" s="101">
        <v>4</v>
      </c>
      <c r="F246" s="4">
        <v>6</v>
      </c>
      <c r="G246" s="4">
        <v>6</v>
      </c>
      <c r="H246" s="4">
        <v>1</v>
      </c>
      <c r="I246" s="4">
        <v>7</v>
      </c>
      <c r="J246" s="4">
        <v>7</v>
      </c>
      <c r="K246" s="102">
        <v>5</v>
      </c>
      <c r="M246" s="101">
        <f t="shared" si="65"/>
        <v>12</v>
      </c>
      <c r="N246" s="4">
        <f t="shared" si="66"/>
        <v>45</v>
      </c>
      <c r="O246" s="4">
        <f t="shared" si="67"/>
        <v>45</v>
      </c>
      <c r="P246" s="4">
        <f t="shared" si="68"/>
        <v>34</v>
      </c>
      <c r="Q246" s="4">
        <f t="shared" si="69"/>
        <v>29</v>
      </c>
      <c r="R246" s="4">
        <f t="shared" si="70"/>
        <v>29</v>
      </c>
      <c r="S246" s="102">
        <f t="shared" si="71"/>
        <v>30</v>
      </c>
      <c r="U246" s="101">
        <f t="shared" si="72"/>
        <v>9</v>
      </c>
      <c r="V246" s="4">
        <f t="shared" si="73"/>
        <v>71</v>
      </c>
      <c r="W246" s="4">
        <f t="shared" si="74"/>
        <v>71</v>
      </c>
      <c r="X246" s="4">
        <f t="shared" si="75"/>
        <v>46</v>
      </c>
      <c r="Y246" s="4">
        <f t="shared" si="76"/>
        <v>41</v>
      </c>
      <c r="Z246" s="4">
        <f t="shared" si="77"/>
        <v>41</v>
      </c>
      <c r="AA246" s="102">
        <f t="shared" si="78"/>
        <v>39</v>
      </c>
      <c r="AC246" s="100">
        <f t="shared" si="79"/>
        <v>0.99554394118557743</v>
      </c>
    </row>
    <row r="247" spans="4:29" x14ac:dyDescent="0.35">
      <c r="D247">
        <f t="shared" si="80"/>
        <v>243</v>
      </c>
      <c r="E247" s="101">
        <v>5</v>
      </c>
      <c r="F247" s="4">
        <v>3</v>
      </c>
      <c r="G247" s="4">
        <v>2</v>
      </c>
      <c r="H247" s="4">
        <v>4</v>
      </c>
      <c r="I247" s="4">
        <v>1</v>
      </c>
      <c r="J247" s="4">
        <v>1</v>
      </c>
      <c r="K247" s="102">
        <v>7</v>
      </c>
      <c r="M247" s="101">
        <f t="shared" si="65"/>
        <v>30</v>
      </c>
      <c r="N247" s="4">
        <f t="shared" si="66"/>
        <v>23</v>
      </c>
      <c r="O247" s="4">
        <f t="shared" si="67"/>
        <v>56</v>
      </c>
      <c r="P247" s="4">
        <f t="shared" si="68"/>
        <v>12</v>
      </c>
      <c r="Q247" s="4">
        <f t="shared" si="69"/>
        <v>34</v>
      </c>
      <c r="R247" s="4">
        <f t="shared" si="70"/>
        <v>34</v>
      </c>
      <c r="S247" s="102">
        <f t="shared" si="71"/>
        <v>29</v>
      </c>
      <c r="U247" s="101">
        <f t="shared" si="72"/>
        <v>39</v>
      </c>
      <c r="V247" s="4">
        <f t="shared" si="73"/>
        <v>39</v>
      </c>
      <c r="W247" s="4">
        <f t="shared" si="74"/>
        <v>78</v>
      </c>
      <c r="X247" s="4">
        <f t="shared" si="75"/>
        <v>9</v>
      </c>
      <c r="Y247" s="4">
        <f t="shared" si="76"/>
        <v>46</v>
      </c>
      <c r="Z247" s="4">
        <f t="shared" si="77"/>
        <v>46</v>
      </c>
      <c r="AA247" s="102">
        <f t="shared" si="78"/>
        <v>41</v>
      </c>
      <c r="AC247" s="100">
        <f t="shared" si="79"/>
        <v>0.97744931327594864</v>
      </c>
    </row>
    <row r="248" spans="4:29" x14ac:dyDescent="0.35">
      <c r="D248">
        <f t="shared" si="80"/>
        <v>244</v>
      </c>
      <c r="E248" s="101">
        <v>4</v>
      </c>
      <c r="F248" s="4">
        <v>5</v>
      </c>
      <c r="G248" s="4">
        <v>3</v>
      </c>
      <c r="H248" s="4">
        <v>5</v>
      </c>
      <c r="I248" s="4">
        <v>7</v>
      </c>
      <c r="J248" s="4">
        <v>6</v>
      </c>
      <c r="K248" s="102">
        <v>4</v>
      </c>
      <c r="M248" s="101">
        <f t="shared" si="65"/>
        <v>12</v>
      </c>
      <c r="N248" s="4">
        <f t="shared" si="66"/>
        <v>30</v>
      </c>
      <c r="O248" s="4">
        <f t="shared" si="67"/>
        <v>23</v>
      </c>
      <c r="P248" s="4">
        <f t="shared" si="68"/>
        <v>30</v>
      </c>
      <c r="Q248" s="4">
        <f t="shared" si="69"/>
        <v>29</v>
      </c>
      <c r="R248" s="4">
        <f t="shared" si="70"/>
        <v>45</v>
      </c>
      <c r="S248" s="102">
        <f t="shared" si="71"/>
        <v>12</v>
      </c>
      <c r="U248" s="101">
        <f t="shared" si="72"/>
        <v>9</v>
      </c>
      <c r="V248" s="4">
        <f t="shared" si="73"/>
        <v>39</v>
      </c>
      <c r="W248" s="4">
        <f t="shared" si="74"/>
        <v>39</v>
      </c>
      <c r="X248" s="4">
        <f t="shared" si="75"/>
        <v>39</v>
      </c>
      <c r="Y248" s="4">
        <f t="shared" si="76"/>
        <v>41</v>
      </c>
      <c r="Z248" s="4">
        <f t="shared" si="77"/>
        <v>71</v>
      </c>
      <c r="AA248" s="102">
        <f t="shared" si="78"/>
        <v>9</v>
      </c>
      <c r="AC248" s="100">
        <f t="shared" si="79"/>
        <v>0.97935356222467762</v>
      </c>
    </row>
    <row r="249" spans="4:29" x14ac:dyDescent="0.35">
      <c r="D249">
        <f t="shared" si="80"/>
        <v>245</v>
      </c>
      <c r="E249" s="101">
        <v>4</v>
      </c>
      <c r="F249" s="4">
        <v>6</v>
      </c>
      <c r="G249" s="4">
        <v>2</v>
      </c>
      <c r="H249" s="4">
        <v>1</v>
      </c>
      <c r="I249" s="4">
        <v>1</v>
      </c>
      <c r="J249" s="4">
        <v>3</v>
      </c>
      <c r="K249" s="102">
        <v>5</v>
      </c>
      <c r="M249" s="101">
        <f t="shared" si="65"/>
        <v>12</v>
      </c>
      <c r="N249" s="4">
        <f t="shared" si="66"/>
        <v>45</v>
      </c>
      <c r="O249" s="4">
        <f t="shared" si="67"/>
        <v>56</v>
      </c>
      <c r="P249" s="4">
        <f t="shared" si="68"/>
        <v>34</v>
      </c>
      <c r="Q249" s="4">
        <f t="shared" si="69"/>
        <v>34</v>
      </c>
      <c r="R249" s="4">
        <f t="shared" si="70"/>
        <v>23</v>
      </c>
      <c r="S249" s="102">
        <f t="shared" si="71"/>
        <v>30</v>
      </c>
      <c r="U249" s="101">
        <f t="shared" si="72"/>
        <v>9</v>
      </c>
      <c r="V249" s="4">
        <f t="shared" si="73"/>
        <v>71</v>
      </c>
      <c r="W249" s="4">
        <f t="shared" si="74"/>
        <v>78</v>
      </c>
      <c r="X249" s="4">
        <f t="shared" si="75"/>
        <v>46</v>
      </c>
      <c r="Y249" s="4">
        <f t="shared" si="76"/>
        <v>46</v>
      </c>
      <c r="Z249" s="4">
        <f t="shared" si="77"/>
        <v>39</v>
      </c>
      <c r="AA249" s="102">
        <f t="shared" si="78"/>
        <v>39</v>
      </c>
      <c r="AC249" s="100">
        <f t="shared" si="79"/>
        <v>0.97454066662669314</v>
      </c>
    </row>
    <row r="250" spans="4:29" x14ac:dyDescent="0.35">
      <c r="D250">
        <f t="shared" si="80"/>
        <v>246</v>
      </c>
      <c r="E250" s="101">
        <v>5</v>
      </c>
      <c r="F250" s="4">
        <v>2</v>
      </c>
      <c r="G250" s="4">
        <v>3</v>
      </c>
      <c r="H250" s="4">
        <v>7</v>
      </c>
      <c r="I250" s="4">
        <v>1</v>
      </c>
      <c r="J250" s="4">
        <v>3</v>
      </c>
      <c r="K250" s="102">
        <v>7</v>
      </c>
      <c r="M250" s="101">
        <f t="shared" si="65"/>
        <v>30</v>
      </c>
      <c r="N250" s="4">
        <f t="shared" si="66"/>
        <v>56</v>
      </c>
      <c r="O250" s="4">
        <f t="shared" si="67"/>
        <v>23</v>
      </c>
      <c r="P250" s="4">
        <f t="shared" si="68"/>
        <v>29</v>
      </c>
      <c r="Q250" s="4">
        <f t="shared" si="69"/>
        <v>34</v>
      </c>
      <c r="R250" s="4">
        <f t="shared" si="70"/>
        <v>23</v>
      </c>
      <c r="S250" s="102">
        <f t="shared" si="71"/>
        <v>29</v>
      </c>
      <c r="U250" s="101">
        <f t="shared" si="72"/>
        <v>39</v>
      </c>
      <c r="V250" s="4">
        <f t="shared" si="73"/>
        <v>78</v>
      </c>
      <c r="W250" s="4">
        <f t="shared" si="74"/>
        <v>39</v>
      </c>
      <c r="X250" s="4">
        <f t="shared" si="75"/>
        <v>41</v>
      </c>
      <c r="Y250" s="4">
        <f t="shared" si="76"/>
        <v>46</v>
      </c>
      <c r="Z250" s="4">
        <f t="shared" si="77"/>
        <v>39</v>
      </c>
      <c r="AA250" s="102">
        <f t="shared" si="78"/>
        <v>41</v>
      </c>
      <c r="AC250" s="100">
        <f t="shared" si="79"/>
        <v>0.97123368133922683</v>
      </c>
    </row>
    <row r="251" spans="4:29" x14ac:dyDescent="0.35">
      <c r="D251">
        <f t="shared" si="80"/>
        <v>247</v>
      </c>
      <c r="E251" s="101">
        <v>2</v>
      </c>
      <c r="F251" s="4">
        <v>1</v>
      </c>
      <c r="G251" s="4">
        <v>5</v>
      </c>
      <c r="H251" s="4">
        <v>5</v>
      </c>
      <c r="I251" s="4">
        <v>6</v>
      </c>
      <c r="J251" s="4">
        <v>5</v>
      </c>
      <c r="K251" s="102">
        <v>5</v>
      </c>
      <c r="M251" s="101">
        <f t="shared" si="65"/>
        <v>56</v>
      </c>
      <c r="N251" s="4">
        <f t="shared" si="66"/>
        <v>34</v>
      </c>
      <c r="O251" s="4">
        <f t="shared" si="67"/>
        <v>30</v>
      </c>
      <c r="P251" s="4">
        <f t="shared" si="68"/>
        <v>30</v>
      </c>
      <c r="Q251" s="4">
        <f t="shared" si="69"/>
        <v>45</v>
      </c>
      <c r="R251" s="4">
        <f t="shared" si="70"/>
        <v>30</v>
      </c>
      <c r="S251" s="102">
        <f t="shared" si="71"/>
        <v>30</v>
      </c>
      <c r="U251" s="101">
        <f t="shared" si="72"/>
        <v>78</v>
      </c>
      <c r="V251" s="4">
        <f t="shared" si="73"/>
        <v>46</v>
      </c>
      <c r="W251" s="4">
        <f t="shared" si="74"/>
        <v>39</v>
      </c>
      <c r="X251" s="4">
        <f t="shared" si="75"/>
        <v>39</v>
      </c>
      <c r="Y251" s="4">
        <f t="shared" si="76"/>
        <v>71</v>
      </c>
      <c r="Z251" s="4">
        <f t="shared" si="77"/>
        <v>39</v>
      </c>
      <c r="AA251" s="102">
        <f t="shared" si="78"/>
        <v>39</v>
      </c>
      <c r="AC251" s="100">
        <f t="shared" si="79"/>
        <v>0.98081214258126914</v>
      </c>
    </row>
    <row r="252" spans="4:29" x14ac:dyDescent="0.35">
      <c r="D252">
        <f t="shared" si="80"/>
        <v>248</v>
      </c>
      <c r="E252" s="101">
        <v>7</v>
      </c>
      <c r="F252" s="4">
        <v>3</v>
      </c>
      <c r="G252" s="4">
        <v>3</v>
      </c>
      <c r="H252" s="4">
        <v>5</v>
      </c>
      <c r="I252" s="4">
        <v>4</v>
      </c>
      <c r="J252" s="4">
        <v>6</v>
      </c>
      <c r="K252" s="102">
        <v>4</v>
      </c>
      <c r="M252" s="101">
        <f t="shared" si="65"/>
        <v>29</v>
      </c>
      <c r="N252" s="4">
        <f t="shared" si="66"/>
        <v>23</v>
      </c>
      <c r="O252" s="4">
        <f t="shared" si="67"/>
        <v>23</v>
      </c>
      <c r="P252" s="4">
        <f t="shared" si="68"/>
        <v>30</v>
      </c>
      <c r="Q252" s="4">
        <f t="shared" si="69"/>
        <v>12</v>
      </c>
      <c r="R252" s="4">
        <f t="shared" si="70"/>
        <v>45</v>
      </c>
      <c r="S252" s="102">
        <f t="shared" si="71"/>
        <v>12</v>
      </c>
      <c r="U252" s="101">
        <f t="shared" si="72"/>
        <v>41</v>
      </c>
      <c r="V252" s="4">
        <f t="shared" si="73"/>
        <v>39</v>
      </c>
      <c r="W252" s="4">
        <f t="shared" si="74"/>
        <v>39</v>
      </c>
      <c r="X252" s="4">
        <f t="shared" si="75"/>
        <v>39</v>
      </c>
      <c r="Y252" s="4">
        <f t="shared" si="76"/>
        <v>9</v>
      </c>
      <c r="Z252" s="4">
        <f t="shared" si="77"/>
        <v>71</v>
      </c>
      <c r="AA252" s="102">
        <f t="shared" si="78"/>
        <v>9</v>
      </c>
      <c r="AC252" s="100">
        <f t="shared" si="79"/>
        <v>0.97152559925885829</v>
      </c>
    </row>
    <row r="253" spans="4:29" x14ac:dyDescent="0.35">
      <c r="D253">
        <f t="shared" si="80"/>
        <v>249</v>
      </c>
      <c r="E253" s="101">
        <v>3</v>
      </c>
      <c r="F253" s="4">
        <v>5</v>
      </c>
      <c r="G253" s="4">
        <v>4</v>
      </c>
      <c r="H253" s="4">
        <v>4</v>
      </c>
      <c r="I253" s="4">
        <v>2</v>
      </c>
      <c r="J253" s="4">
        <v>5</v>
      </c>
      <c r="K253" s="102">
        <v>3</v>
      </c>
      <c r="M253" s="101">
        <f t="shared" si="65"/>
        <v>23</v>
      </c>
      <c r="N253" s="4">
        <f t="shared" si="66"/>
        <v>30</v>
      </c>
      <c r="O253" s="4">
        <f t="shared" si="67"/>
        <v>12</v>
      </c>
      <c r="P253" s="4">
        <f t="shared" si="68"/>
        <v>12</v>
      </c>
      <c r="Q253" s="4">
        <f t="shared" si="69"/>
        <v>56</v>
      </c>
      <c r="R253" s="4">
        <f t="shared" si="70"/>
        <v>30</v>
      </c>
      <c r="S253" s="102">
        <f t="shared" si="71"/>
        <v>23</v>
      </c>
      <c r="U253" s="101">
        <f t="shared" si="72"/>
        <v>39</v>
      </c>
      <c r="V253" s="4">
        <f t="shared" si="73"/>
        <v>39</v>
      </c>
      <c r="W253" s="4">
        <f t="shared" si="74"/>
        <v>9</v>
      </c>
      <c r="X253" s="4">
        <f t="shared" si="75"/>
        <v>9</v>
      </c>
      <c r="Y253" s="4">
        <f t="shared" si="76"/>
        <v>78</v>
      </c>
      <c r="Z253" s="4">
        <f t="shared" si="77"/>
        <v>39</v>
      </c>
      <c r="AA253" s="102">
        <f t="shared" si="78"/>
        <v>39</v>
      </c>
      <c r="AC253" s="100">
        <f t="shared" si="79"/>
        <v>0.96783097428161158</v>
      </c>
    </row>
    <row r="254" spans="4:29" x14ac:dyDescent="0.35">
      <c r="D254">
        <f t="shared" si="80"/>
        <v>250</v>
      </c>
      <c r="E254" s="101">
        <v>1</v>
      </c>
      <c r="F254" s="4">
        <v>6</v>
      </c>
      <c r="G254" s="4">
        <v>4</v>
      </c>
      <c r="H254" s="4">
        <v>2</v>
      </c>
      <c r="I254" s="4">
        <v>2</v>
      </c>
      <c r="J254" s="4">
        <v>5</v>
      </c>
      <c r="K254" s="102">
        <v>6</v>
      </c>
      <c r="M254" s="101">
        <f t="shared" si="65"/>
        <v>34</v>
      </c>
      <c r="N254" s="4">
        <f t="shared" si="66"/>
        <v>45</v>
      </c>
      <c r="O254" s="4">
        <f t="shared" si="67"/>
        <v>12</v>
      </c>
      <c r="P254" s="4">
        <f t="shared" si="68"/>
        <v>56</v>
      </c>
      <c r="Q254" s="4">
        <f t="shared" si="69"/>
        <v>56</v>
      </c>
      <c r="R254" s="4">
        <f t="shared" si="70"/>
        <v>30</v>
      </c>
      <c r="S254" s="102">
        <f t="shared" si="71"/>
        <v>45</v>
      </c>
      <c r="U254" s="101">
        <f t="shared" si="72"/>
        <v>46</v>
      </c>
      <c r="V254" s="4">
        <f t="shared" si="73"/>
        <v>71</v>
      </c>
      <c r="W254" s="4">
        <f t="shared" si="74"/>
        <v>9</v>
      </c>
      <c r="X254" s="4">
        <f t="shared" si="75"/>
        <v>78</v>
      </c>
      <c r="Y254" s="4">
        <f t="shared" si="76"/>
        <v>78</v>
      </c>
      <c r="Z254" s="4">
        <f t="shared" si="77"/>
        <v>39</v>
      </c>
      <c r="AA254" s="102">
        <f t="shared" si="78"/>
        <v>71</v>
      </c>
      <c r="AC254" s="100">
        <f t="shared" si="79"/>
        <v>0.98395226878976627</v>
      </c>
    </row>
    <row r="255" spans="4:29" x14ac:dyDescent="0.35">
      <c r="D255">
        <f t="shared" si="80"/>
        <v>251</v>
      </c>
      <c r="E255" s="101">
        <v>7</v>
      </c>
      <c r="F255" s="4">
        <v>6</v>
      </c>
      <c r="G255" s="4">
        <v>3</v>
      </c>
      <c r="H255" s="4">
        <v>5</v>
      </c>
      <c r="I255" s="4">
        <v>7</v>
      </c>
      <c r="J255" s="4">
        <v>7</v>
      </c>
      <c r="K255" s="102">
        <v>4</v>
      </c>
      <c r="M255" s="101">
        <f t="shared" si="65"/>
        <v>29</v>
      </c>
      <c r="N255" s="4">
        <f t="shared" si="66"/>
        <v>45</v>
      </c>
      <c r="O255" s="4">
        <f t="shared" si="67"/>
        <v>23</v>
      </c>
      <c r="P255" s="4">
        <f t="shared" si="68"/>
        <v>30</v>
      </c>
      <c r="Q255" s="4">
        <f t="shared" si="69"/>
        <v>29</v>
      </c>
      <c r="R255" s="4">
        <f t="shared" si="70"/>
        <v>29</v>
      </c>
      <c r="S255" s="102">
        <f t="shared" si="71"/>
        <v>12</v>
      </c>
      <c r="U255" s="101">
        <f t="shared" si="72"/>
        <v>41</v>
      </c>
      <c r="V255" s="4">
        <f t="shared" si="73"/>
        <v>71</v>
      </c>
      <c r="W255" s="4">
        <f t="shared" si="74"/>
        <v>39</v>
      </c>
      <c r="X255" s="4">
        <f t="shared" si="75"/>
        <v>39</v>
      </c>
      <c r="Y255" s="4">
        <f t="shared" si="76"/>
        <v>41</v>
      </c>
      <c r="Z255" s="4">
        <f t="shared" si="77"/>
        <v>41</v>
      </c>
      <c r="AA255" s="102">
        <f t="shared" si="78"/>
        <v>9</v>
      </c>
      <c r="AC255" s="100">
        <f t="shared" si="79"/>
        <v>0.97587946873048603</v>
      </c>
    </row>
    <row r="256" spans="4:29" x14ac:dyDescent="0.35">
      <c r="D256">
        <f t="shared" si="80"/>
        <v>252</v>
      </c>
      <c r="E256" s="101">
        <v>5</v>
      </c>
      <c r="F256" s="4">
        <v>4</v>
      </c>
      <c r="G256" s="4">
        <v>1</v>
      </c>
      <c r="H256" s="4">
        <v>1</v>
      </c>
      <c r="I256" s="4">
        <v>3</v>
      </c>
      <c r="J256" s="4">
        <v>2</v>
      </c>
      <c r="K256" s="102">
        <v>4</v>
      </c>
      <c r="M256" s="101">
        <f t="shared" si="65"/>
        <v>30</v>
      </c>
      <c r="N256" s="4">
        <f t="shared" si="66"/>
        <v>12</v>
      </c>
      <c r="O256" s="4">
        <f t="shared" si="67"/>
        <v>34</v>
      </c>
      <c r="P256" s="4">
        <f t="shared" si="68"/>
        <v>34</v>
      </c>
      <c r="Q256" s="4">
        <f t="shared" si="69"/>
        <v>23</v>
      </c>
      <c r="R256" s="4">
        <f t="shared" si="70"/>
        <v>56</v>
      </c>
      <c r="S256" s="102">
        <f t="shared" si="71"/>
        <v>12</v>
      </c>
      <c r="U256" s="101">
        <f t="shared" si="72"/>
        <v>39</v>
      </c>
      <c r="V256" s="4">
        <f t="shared" si="73"/>
        <v>9</v>
      </c>
      <c r="W256" s="4">
        <f t="shared" si="74"/>
        <v>46</v>
      </c>
      <c r="X256" s="4">
        <f t="shared" si="75"/>
        <v>46</v>
      </c>
      <c r="Y256" s="4">
        <f t="shared" si="76"/>
        <v>39</v>
      </c>
      <c r="Z256" s="4">
        <f t="shared" si="77"/>
        <v>78</v>
      </c>
      <c r="AA256" s="102">
        <f t="shared" si="78"/>
        <v>9</v>
      </c>
      <c r="AC256" s="100">
        <f t="shared" si="79"/>
        <v>0.98190574362459604</v>
      </c>
    </row>
    <row r="257" spans="4:29" x14ac:dyDescent="0.35">
      <c r="D257">
        <f t="shared" si="80"/>
        <v>253</v>
      </c>
      <c r="E257" s="101">
        <v>1</v>
      </c>
      <c r="F257" s="4">
        <v>5</v>
      </c>
      <c r="G257" s="4">
        <v>3</v>
      </c>
      <c r="H257" s="4">
        <v>6</v>
      </c>
      <c r="I257" s="4">
        <v>7</v>
      </c>
      <c r="J257" s="4">
        <v>7</v>
      </c>
      <c r="K257" s="102">
        <v>2</v>
      </c>
      <c r="M257" s="101">
        <f t="shared" si="65"/>
        <v>34</v>
      </c>
      <c r="N257" s="4">
        <f t="shared" si="66"/>
        <v>30</v>
      </c>
      <c r="O257" s="4">
        <f t="shared" si="67"/>
        <v>23</v>
      </c>
      <c r="P257" s="4">
        <f t="shared" si="68"/>
        <v>45</v>
      </c>
      <c r="Q257" s="4">
        <f t="shared" si="69"/>
        <v>29</v>
      </c>
      <c r="R257" s="4">
        <f t="shared" si="70"/>
        <v>29</v>
      </c>
      <c r="S257" s="102">
        <f t="shared" si="71"/>
        <v>56</v>
      </c>
      <c r="U257" s="101">
        <f t="shared" si="72"/>
        <v>46</v>
      </c>
      <c r="V257" s="4">
        <f t="shared" si="73"/>
        <v>39</v>
      </c>
      <c r="W257" s="4">
        <f t="shared" si="74"/>
        <v>39</v>
      </c>
      <c r="X257" s="4">
        <f t="shared" si="75"/>
        <v>71</v>
      </c>
      <c r="Y257" s="4">
        <f t="shared" si="76"/>
        <v>41</v>
      </c>
      <c r="Z257" s="4">
        <f t="shared" si="77"/>
        <v>41</v>
      </c>
      <c r="AA257" s="102">
        <f t="shared" si="78"/>
        <v>78</v>
      </c>
      <c r="AC257" s="100">
        <f t="shared" si="79"/>
        <v>0.9671002627356573</v>
      </c>
    </row>
    <row r="258" spans="4:29" x14ac:dyDescent="0.35">
      <c r="D258">
        <f t="shared" si="80"/>
        <v>254</v>
      </c>
      <c r="E258" s="101">
        <v>1</v>
      </c>
      <c r="F258" s="4">
        <v>4</v>
      </c>
      <c r="G258" s="4">
        <v>4</v>
      </c>
      <c r="H258" s="4">
        <v>7</v>
      </c>
      <c r="I258" s="4">
        <v>2</v>
      </c>
      <c r="J258" s="4">
        <v>2</v>
      </c>
      <c r="K258" s="102">
        <v>4</v>
      </c>
      <c r="M258" s="101">
        <f t="shared" si="65"/>
        <v>34</v>
      </c>
      <c r="N258" s="4">
        <f t="shared" si="66"/>
        <v>12</v>
      </c>
      <c r="O258" s="4">
        <f t="shared" si="67"/>
        <v>12</v>
      </c>
      <c r="P258" s="4">
        <f t="shared" si="68"/>
        <v>29</v>
      </c>
      <c r="Q258" s="4">
        <f t="shared" si="69"/>
        <v>56</v>
      </c>
      <c r="R258" s="4">
        <f t="shared" si="70"/>
        <v>56</v>
      </c>
      <c r="S258" s="102">
        <f t="shared" si="71"/>
        <v>12</v>
      </c>
      <c r="U258" s="101">
        <f t="shared" si="72"/>
        <v>46</v>
      </c>
      <c r="V258" s="4">
        <f t="shared" si="73"/>
        <v>9</v>
      </c>
      <c r="W258" s="4">
        <f t="shared" si="74"/>
        <v>9</v>
      </c>
      <c r="X258" s="4">
        <f t="shared" si="75"/>
        <v>41</v>
      </c>
      <c r="Y258" s="4">
        <f t="shared" si="76"/>
        <v>78</v>
      </c>
      <c r="Z258" s="4">
        <f t="shared" si="77"/>
        <v>78</v>
      </c>
      <c r="AA258" s="102">
        <f t="shared" si="78"/>
        <v>9</v>
      </c>
      <c r="AC258" s="100">
        <f t="shared" si="79"/>
        <v>0.9977547797435502</v>
      </c>
    </row>
    <row r="259" spans="4:29" x14ac:dyDescent="0.35">
      <c r="D259">
        <f t="shared" si="80"/>
        <v>255</v>
      </c>
      <c r="E259" s="101">
        <v>2</v>
      </c>
      <c r="F259" s="4">
        <v>7</v>
      </c>
      <c r="G259" s="4">
        <v>6</v>
      </c>
      <c r="H259" s="4">
        <v>3</v>
      </c>
      <c r="I259" s="4">
        <v>1</v>
      </c>
      <c r="J259" s="4">
        <v>2</v>
      </c>
      <c r="K259" s="102">
        <v>7</v>
      </c>
      <c r="M259" s="101">
        <f t="shared" si="65"/>
        <v>56</v>
      </c>
      <c r="N259" s="4">
        <f t="shared" si="66"/>
        <v>29</v>
      </c>
      <c r="O259" s="4">
        <f t="shared" si="67"/>
        <v>45</v>
      </c>
      <c r="P259" s="4">
        <f t="shared" si="68"/>
        <v>23</v>
      </c>
      <c r="Q259" s="4">
        <f t="shared" si="69"/>
        <v>34</v>
      </c>
      <c r="R259" s="4">
        <f t="shared" si="70"/>
        <v>56</v>
      </c>
      <c r="S259" s="102">
        <f t="shared" si="71"/>
        <v>29</v>
      </c>
      <c r="U259" s="101">
        <f t="shared" si="72"/>
        <v>78</v>
      </c>
      <c r="V259" s="4">
        <f t="shared" si="73"/>
        <v>41</v>
      </c>
      <c r="W259" s="4">
        <f t="shared" si="74"/>
        <v>71</v>
      </c>
      <c r="X259" s="4">
        <f t="shared" si="75"/>
        <v>39</v>
      </c>
      <c r="Y259" s="4">
        <f t="shared" si="76"/>
        <v>46</v>
      </c>
      <c r="Z259" s="4">
        <f t="shared" si="77"/>
        <v>78</v>
      </c>
      <c r="AA259" s="102">
        <f t="shared" si="78"/>
        <v>41</v>
      </c>
      <c r="AC259" s="100">
        <f t="shared" si="79"/>
        <v>0.97917052167505447</v>
      </c>
    </row>
    <row r="260" spans="4:29" x14ac:dyDescent="0.35">
      <c r="D260">
        <f t="shared" si="80"/>
        <v>256</v>
      </c>
      <c r="E260" s="101">
        <v>6</v>
      </c>
      <c r="F260" s="4">
        <v>5</v>
      </c>
      <c r="G260" s="4">
        <v>1</v>
      </c>
      <c r="H260" s="4">
        <v>6</v>
      </c>
      <c r="I260" s="4">
        <v>5</v>
      </c>
      <c r="J260" s="4">
        <v>7</v>
      </c>
      <c r="K260" s="102">
        <v>1</v>
      </c>
      <c r="M260" s="101">
        <f t="shared" si="65"/>
        <v>45</v>
      </c>
      <c r="N260" s="4">
        <f t="shared" si="66"/>
        <v>30</v>
      </c>
      <c r="O260" s="4">
        <f t="shared" si="67"/>
        <v>34</v>
      </c>
      <c r="P260" s="4">
        <f t="shared" si="68"/>
        <v>45</v>
      </c>
      <c r="Q260" s="4">
        <f t="shared" si="69"/>
        <v>30</v>
      </c>
      <c r="R260" s="4">
        <f t="shared" si="70"/>
        <v>29</v>
      </c>
      <c r="S260" s="102">
        <f t="shared" si="71"/>
        <v>34</v>
      </c>
      <c r="U260" s="101">
        <f t="shared" si="72"/>
        <v>71</v>
      </c>
      <c r="V260" s="4">
        <f t="shared" si="73"/>
        <v>39</v>
      </c>
      <c r="W260" s="4">
        <f t="shared" si="74"/>
        <v>46</v>
      </c>
      <c r="X260" s="4">
        <f t="shared" si="75"/>
        <v>71</v>
      </c>
      <c r="Y260" s="4">
        <f t="shared" si="76"/>
        <v>39</v>
      </c>
      <c r="Z260" s="4">
        <f t="shared" si="77"/>
        <v>41</v>
      </c>
      <c r="AA260" s="102">
        <f t="shared" si="78"/>
        <v>46</v>
      </c>
      <c r="AC260" s="100">
        <f t="shared" si="79"/>
        <v>0.99190126562840808</v>
      </c>
    </row>
    <row r="261" spans="4:29" x14ac:dyDescent="0.35">
      <c r="D261">
        <f t="shared" si="80"/>
        <v>257</v>
      </c>
      <c r="E261" s="101">
        <v>5</v>
      </c>
      <c r="F261" s="4">
        <v>2</v>
      </c>
      <c r="G261" s="4">
        <v>5</v>
      </c>
      <c r="H261" s="4">
        <v>1</v>
      </c>
      <c r="I261" s="4">
        <v>3</v>
      </c>
      <c r="J261" s="4">
        <v>5</v>
      </c>
      <c r="K261" s="102">
        <v>6</v>
      </c>
      <c r="M261" s="101">
        <f t="shared" si="65"/>
        <v>30</v>
      </c>
      <c r="N261" s="4">
        <f t="shared" si="66"/>
        <v>56</v>
      </c>
      <c r="O261" s="4">
        <f t="shared" si="67"/>
        <v>30</v>
      </c>
      <c r="P261" s="4">
        <f t="shared" si="68"/>
        <v>34</v>
      </c>
      <c r="Q261" s="4">
        <f t="shared" si="69"/>
        <v>23</v>
      </c>
      <c r="R261" s="4">
        <f t="shared" si="70"/>
        <v>30</v>
      </c>
      <c r="S261" s="102">
        <f t="shared" si="71"/>
        <v>45</v>
      </c>
      <c r="U261" s="101">
        <f t="shared" si="72"/>
        <v>39</v>
      </c>
      <c r="V261" s="4">
        <f t="shared" si="73"/>
        <v>78</v>
      </c>
      <c r="W261" s="4">
        <f t="shared" si="74"/>
        <v>39</v>
      </c>
      <c r="X261" s="4">
        <f t="shared" si="75"/>
        <v>46</v>
      </c>
      <c r="Y261" s="4">
        <f t="shared" si="76"/>
        <v>39</v>
      </c>
      <c r="Z261" s="4">
        <f t="shared" si="77"/>
        <v>39</v>
      </c>
      <c r="AA261" s="102">
        <f t="shared" si="78"/>
        <v>71</v>
      </c>
      <c r="AC261" s="100">
        <f t="shared" si="79"/>
        <v>0.95968031702219669</v>
      </c>
    </row>
    <row r="262" spans="4:29" x14ac:dyDescent="0.35">
      <c r="D262">
        <f t="shared" si="80"/>
        <v>258</v>
      </c>
      <c r="E262" s="101">
        <v>2</v>
      </c>
      <c r="F262" s="4">
        <v>5</v>
      </c>
      <c r="G262" s="4">
        <v>5</v>
      </c>
      <c r="H262" s="4">
        <v>5</v>
      </c>
      <c r="I262" s="4">
        <v>4</v>
      </c>
      <c r="J262" s="4">
        <v>7</v>
      </c>
      <c r="K262" s="102">
        <v>6</v>
      </c>
      <c r="M262" s="101">
        <f t="shared" ref="M262:M325" si="81">INDEX($A$5:$A$11,E262)</f>
        <v>56</v>
      </c>
      <c r="N262" s="4">
        <f t="shared" ref="N262:N325" si="82">INDEX($A$5:$A$11,F262)</f>
        <v>30</v>
      </c>
      <c r="O262" s="4">
        <f t="shared" ref="O262:O325" si="83">INDEX($A$5:$A$11,G262)</f>
        <v>30</v>
      </c>
      <c r="P262" s="4">
        <f t="shared" ref="P262:P325" si="84">INDEX($A$5:$A$11,H262)</f>
        <v>30</v>
      </c>
      <c r="Q262" s="4">
        <f t="shared" ref="Q262:Q325" si="85">INDEX($A$5:$A$11,I262)</f>
        <v>12</v>
      </c>
      <c r="R262" s="4">
        <f t="shared" ref="R262:R325" si="86">INDEX($A$5:$A$11,J262)</f>
        <v>29</v>
      </c>
      <c r="S262" s="102">
        <f t="shared" ref="S262:S325" si="87">INDEX($A$5:$A$11,K262)</f>
        <v>45</v>
      </c>
      <c r="U262" s="101">
        <f t="shared" ref="U262:U325" si="88">INDEX($B$5:$B$11,E262)</f>
        <v>78</v>
      </c>
      <c r="V262" s="4">
        <f t="shared" ref="V262:V325" si="89">INDEX($B$5:$B$11,F262)</f>
        <v>39</v>
      </c>
      <c r="W262" s="4">
        <f t="shared" ref="W262:W325" si="90">INDEX($B$5:$B$11,G262)</f>
        <v>39</v>
      </c>
      <c r="X262" s="4">
        <f t="shared" ref="X262:X325" si="91">INDEX($B$5:$B$11,H262)</f>
        <v>39</v>
      </c>
      <c r="Y262" s="4">
        <f t="shared" ref="Y262:Y325" si="92">INDEX($B$5:$B$11,I262)</f>
        <v>9</v>
      </c>
      <c r="Z262" s="4">
        <f t="shared" ref="Z262:Z325" si="93">INDEX($B$5:$B$11,J262)</f>
        <v>41</v>
      </c>
      <c r="AA262" s="102">
        <f t="shared" ref="AA262:AA325" si="94">INDEX($B$5:$B$11,K262)</f>
        <v>71</v>
      </c>
      <c r="AC262" s="100">
        <f t="shared" ref="AC262:AC325" si="95">CORREL(M262:S262,U262:AA262)</f>
        <v>0.98821121818789981</v>
      </c>
    </row>
    <row r="263" spans="4:29" x14ac:dyDescent="0.35">
      <c r="D263">
        <f t="shared" ref="D263:D326" si="96">D262+1</f>
        <v>259</v>
      </c>
      <c r="E263" s="101">
        <v>2</v>
      </c>
      <c r="F263" s="4">
        <v>7</v>
      </c>
      <c r="G263" s="4">
        <v>1</v>
      </c>
      <c r="H263" s="4">
        <v>2</v>
      </c>
      <c r="I263" s="4">
        <v>4</v>
      </c>
      <c r="J263" s="4">
        <v>5</v>
      </c>
      <c r="K263" s="102">
        <v>7</v>
      </c>
      <c r="M263" s="101">
        <f t="shared" si="81"/>
        <v>56</v>
      </c>
      <c r="N263" s="4">
        <f t="shared" si="82"/>
        <v>29</v>
      </c>
      <c r="O263" s="4">
        <f t="shared" si="83"/>
        <v>34</v>
      </c>
      <c r="P263" s="4">
        <f t="shared" si="84"/>
        <v>56</v>
      </c>
      <c r="Q263" s="4">
        <f t="shared" si="85"/>
        <v>12</v>
      </c>
      <c r="R263" s="4">
        <f t="shared" si="86"/>
        <v>30</v>
      </c>
      <c r="S263" s="102">
        <f t="shared" si="87"/>
        <v>29</v>
      </c>
      <c r="U263" s="101">
        <f t="shared" si="88"/>
        <v>78</v>
      </c>
      <c r="V263" s="4">
        <f t="shared" si="89"/>
        <v>41</v>
      </c>
      <c r="W263" s="4">
        <f t="shared" si="90"/>
        <v>46</v>
      </c>
      <c r="X263" s="4">
        <f t="shared" si="91"/>
        <v>78</v>
      </c>
      <c r="Y263" s="4">
        <f t="shared" si="92"/>
        <v>9</v>
      </c>
      <c r="Z263" s="4">
        <f t="shared" si="93"/>
        <v>39</v>
      </c>
      <c r="AA263" s="102">
        <f t="shared" si="94"/>
        <v>41</v>
      </c>
      <c r="AC263" s="100">
        <f t="shared" si="95"/>
        <v>0.99563477313938265</v>
      </c>
    </row>
    <row r="264" spans="4:29" x14ac:dyDescent="0.35">
      <c r="D264">
        <f t="shared" si="96"/>
        <v>260</v>
      </c>
      <c r="E264" s="101">
        <v>7</v>
      </c>
      <c r="F264" s="4">
        <v>6</v>
      </c>
      <c r="G264" s="4">
        <v>5</v>
      </c>
      <c r="H264" s="4">
        <v>5</v>
      </c>
      <c r="I264" s="4">
        <v>1</v>
      </c>
      <c r="J264" s="4">
        <v>1</v>
      </c>
      <c r="K264" s="102">
        <v>3</v>
      </c>
      <c r="M264" s="101">
        <f t="shared" si="81"/>
        <v>29</v>
      </c>
      <c r="N264" s="4">
        <f t="shared" si="82"/>
        <v>45</v>
      </c>
      <c r="O264" s="4">
        <f t="shared" si="83"/>
        <v>30</v>
      </c>
      <c r="P264" s="4">
        <f t="shared" si="84"/>
        <v>30</v>
      </c>
      <c r="Q264" s="4">
        <f t="shared" si="85"/>
        <v>34</v>
      </c>
      <c r="R264" s="4">
        <f t="shared" si="86"/>
        <v>34</v>
      </c>
      <c r="S264" s="102">
        <f t="shared" si="87"/>
        <v>23</v>
      </c>
      <c r="U264" s="101">
        <f t="shared" si="88"/>
        <v>41</v>
      </c>
      <c r="V264" s="4">
        <f t="shared" si="89"/>
        <v>71</v>
      </c>
      <c r="W264" s="4">
        <f t="shared" si="90"/>
        <v>39</v>
      </c>
      <c r="X264" s="4">
        <f t="shared" si="91"/>
        <v>39</v>
      </c>
      <c r="Y264" s="4">
        <f t="shared" si="92"/>
        <v>46</v>
      </c>
      <c r="Z264" s="4">
        <f t="shared" si="93"/>
        <v>46</v>
      </c>
      <c r="AA264" s="102">
        <f t="shared" si="94"/>
        <v>39</v>
      </c>
      <c r="AC264" s="100">
        <f t="shared" si="95"/>
        <v>0.92124988493573623</v>
      </c>
    </row>
    <row r="265" spans="4:29" x14ac:dyDescent="0.35">
      <c r="D265">
        <f t="shared" si="96"/>
        <v>261</v>
      </c>
      <c r="E265" s="101">
        <v>3</v>
      </c>
      <c r="F265" s="4">
        <v>4</v>
      </c>
      <c r="G265" s="4">
        <v>3</v>
      </c>
      <c r="H265" s="4">
        <v>6</v>
      </c>
      <c r="I265" s="4">
        <v>7</v>
      </c>
      <c r="J265" s="4">
        <v>6</v>
      </c>
      <c r="K265" s="102">
        <v>1</v>
      </c>
      <c r="M265" s="101">
        <f t="shared" si="81"/>
        <v>23</v>
      </c>
      <c r="N265" s="4">
        <f t="shared" si="82"/>
        <v>12</v>
      </c>
      <c r="O265" s="4">
        <f t="shared" si="83"/>
        <v>23</v>
      </c>
      <c r="P265" s="4">
        <f t="shared" si="84"/>
        <v>45</v>
      </c>
      <c r="Q265" s="4">
        <f t="shared" si="85"/>
        <v>29</v>
      </c>
      <c r="R265" s="4">
        <f t="shared" si="86"/>
        <v>45</v>
      </c>
      <c r="S265" s="102">
        <f t="shared" si="87"/>
        <v>34</v>
      </c>
      <c r="U265" s="101">
        <f t="shared" si="88"/>
        <v>39</v>
      </c>
      <c r="V265" s="4">
        <f t="shared" si="89"/>
        <v>9</v>
      </c>
      <c r="W265" s="4">
        <f t="shared" si="90"/>
        <v>39</v>
      </c>
      <c r="X265" s="4">
        <f t="shared" si="91"/>
        <v>71</v>
      </c>
      <c r="Y265" s="4">
        <f t="shared" si="92"/>
        <v>41</v>
      </c>
      <c r="Z265" s="4">
        <f t="shared" si="93"/>
        <v>71</v>
      </c>
      <c r="AA265" s="102">
        <f t="shared" si="94"/>
        <v>46</v>
      </c>
      <c r="AC265" s="100">
        <f t="shared" si="95"/>
        <v>0.97445260522504451</v>
      </c>
    </row>
    <row r="266" spans="4:29" x14ac:dyDescent="0.35">
      <c r="D266">
        <f t="shared" si="96"/>
        <v>262</v>
      </c>
      <c r="E266" s="101">
        <v>3</v>
      </c>
      <c r="F266" s="4">
        <v>4</v>
      </c>
      <c r="G266" s="4">
        <v>5</v>
      </c>
      <c r="H266" s="4">
        <v>4</v>
      </c>
      <c r="I266" s="4">
        <v>2</v>
      </c>
      <c r="J266" s="4">
        <v>7</v>
      </c>
      <c r="K266" s="102">
        <v>1</v>
      </c>
      <c r="M266" s="101">
        <f t="shared" si="81"/>
        <v>23</v>
      </c>
      <c r="N266" s="4">
        <f t="shared" si="82"/>
        <v>12</v>
      </c>
      <c r="O266" s="4">
        <f t="shared" si="83"/>
        <v>30</v>
      </c>
      <c r="P266" s="4">
        <f t="shared" si="84"/>
        <v>12</v>
      </c>
      <c r="Q266" s="4">
        <f t="shared" si="85"/>
        <v>56</v>
      </c>
      <c r="R266" s="4">
        <f t="shared" si="86"/>
        <v>29</v>
      </c>
      <c r="S266" s="102">
        <f t="shared" si="87"/>
        <v>34</v>
      </c>
      <c r="U266" s="101">
        <f t="shared" si="88"/>
        <v>39</v>
      </c>
      <c r="V266" s="4">
        <f t="shared" si="89"/>
        <v>9</v>
      </c>
      <c r="W266" s="4">
        <f t="shared" si="90"/>
        <v>39</v>
      </c>
      <c r="X266" s="4">
        <f t="shared" si="91"/>
        <v>9</v>
      </c>
      <c r="Y266" s="4">
        <f t="shared" si="92"/>
        <v>78</v>
      </c>
      <c r="Z266" s="4">
        <f t="shared" si="93"/>
        <v>41</v>
      </c>
      <c r="AA266" s="102">
        <f t="shared" si="94"/>
        <v>46</v>
      </c>
      <c r="AC266" s="100">
        <f t="shared" si="95"/>
        <v>0.9807497236014463</v>
      </c>
    </row>
    <row r="267" spans="4:29" x14ac:dyDescent="0.35">
      <c r="D267">
        <f t="shared" si="96"/>
        <v>263</v>
      </c>
      <c r="E267" s="101">
        <v>6</v>
      </c>
      <c r="F267" s="4">
        <v>3</v>
      </c>
      <c r="G267" s="4">
        <v>2</v>
      </c>
      <c r="H267" s="4">
        <v>5</v>
      </c>
      <c r="I267" s="4">
        <v>2</v>
      </c>
      <c r="J267" s="4">
        <v>7</v>
      </c>
      <c r="K267" s="102">
        <v>5</v>
      </c>
      <c r="M267" s="101">
        <f t="shared" si="81"/>
        <v>45</v>
      </c>
      <c r="N267" s="4">
        <f t="shared" si="82"/>
        <v>23</v>
      </c>
      <c r="O267" s="4">
        <f t="shared" si="83"/>
        <v>56</v>
      </c>
      <c r="P267" s="4">
        <f t="shared" si="84"/>
        <v>30</v>
      </c>
      <c r="Q267" s="4">
        <f t="shared" si="85"/>
        <v>56</v>
      </c>
      <c r="R267" s="4">
        <f t="shared" si="86"/>
        <v>29</v>
      </c>
      <c r="S267" s="102">
        <f t="shared" si="87"/>
        <v>30</v>
      </c>
      <c r="U267" s="101">
        <f t="shared" si="88"/>
        <v>71</v>
      </c>
      <c r="V267" s="4">
        <f t="shared" si="89"/>
        <v>39</v>
      </c>
      <c r="W267" s="4">
        <f t="shared" si="90"/>
        <v>78</v>
      </c>
      <c r="X267" s="4">
        <f t="shared" si="91"/>
        <v>39</v>
      </c>
      <c r="Y267" s="4">
        <f t="shared" si="92"/>
        <v>78</v>
      </c>
      <c r="Z267" s="4">
        <f t="shared" si="93"/>
        <v>41</v>
      </c>
      <c r="AA267" s="102">
        <f t="shared" si="94"/>
        <v>39</v>
      </c>
      <c r="AC267" s="100">
        <f t="shared" si="95"/>
        <v>0.97368809345098895</v>
      </c>
    </row>
    <row r="268" spans="4:29" x14ac:dyDescent="0.35">
      <c r="D268">
        <f t="shared" si="96"/>
        <v>264</v>
      </c>
      <c r="E268" s="101">
        <v>4</v>
      </c>
      <c r="F268" s="4">
        <v>6</v>
      </c>
      <c r="G268" s="4">
        <v>4</v>
      </c>
      <c r="H268" s="4">
        <v>1</v>
      </c>
      <c r="I268" s="4">
        <v>7</v>
      </c>
      <c r="J268" s="4">
        <v>7</v>
      </c>
      <c r="K268" s="102">
        <v>7</v>
      </c>
      <c r="M268" s="101">
        <f t="shared" si="81"/>
        <v>12</v>
      </c>
      <c r="N268" s="4">
        <f t="shared" si="82"/>
        <v>45</v>
      </c>
      <c r="O268" s="4">
        <f t="shared" si="83"/>
        <v>12</v>
      </c>
      <c r="P268" s="4">
        <f t="shared" si="84"/>
        <v>34</v>
      </c>
      <c r="Q268" s="4">
        <f t="shared" si="85"/>
        <v>29</v>
      </c>
      <c r="R268" s="4">
        <f t="shared" si="86"/>
        <v>29</v>
      </c>
      <c r="S268" s="102">
        <f t="shared" si="87"/>
        <v>29</v>
      </c>
      <c r="U268" s="101">
        <f t="shared" si="88"/>
        <v>9</v>
      </c>
      <c r="V268" s="4">
        <f t="shared" si="89"/>
        <v>71</v>
      </c>
      <c r="W268" s="4">
        <f t="shared" si="90"/>
        <v>9</v>
      </c>
      <c r="X268" s="4">
        <f t="shared" si="91"/>
        <v>46</v>
      </c>
      <c r="Y268" s="4">
        <f t="shared" si="92"/>
        <v>41</v>
      </c>
      <c r="Z268" s="4">
        <f t="shared" si="93"/>
        <v>41</v>
      </c>
      <c r="AA268" s="102">
        <f t="shared" si="94"/>
        <v>41</v>
      </c>
      <c r="AC268" s="100">
        <f t="shared" si="95"/>
        <v>0.99731611168574041</v>
      </c>
    </row>
    <row r="269" spans="4:29" x14ac:dyDescent="0.35">
      <c r="D269">
        <f t="shared" si="96"/>
        <v>265</v>
      </c>
      <c r="E269" s="101">
        <v>5</v>
      </c>
      <c r="F269" s="4">
        <v>3</v>
      </c>
      <c r="G269" s="4">
        <v>3</v>
      </c>
      <c r="H269" s="4">
        <v>2</v>
      </c>
      <c r="I269" s="4">
        <v>3</v>
      </c>
      <c r="J269" s="4">
        <v>4</v>
      </c>
      <c r="K269" s="102">
        <v>5</v>
      </c>
      <c r="M269" s="101">
        <f t="shared" si="81"/>
        <v>30</v>
      </c>
      <c r="N269" s="4">
        <f t="shared" si="82"/>
        <v>23</v>
      </c>
      <c r="O269" s="4">
        <f t="shared" si="83"/>
        <v>23</v>
      </c>
      <c r="P269" s="4">
        <f t="shared" si="84"/>
        <v>56</v>
      </c>
      <c r="Q269" s="4">
        <f t="shared" si="85"/>
        <v>23</v>
      </c>
      <c r="R269" s="4">
        <f t="shared" si="86"/>
        <v>12</v>
      </c>
      <c r="S269" s="102">
        <f t="shared" si="87"/>
        <v>30</v>
      </c>
      <c r="U269" s="101">
        <f t="shared" si="88"/>
        <v>39</v>
      </c>
      <c r="V269" s="4">
        <f t="shared" si="89"/>
        <v>39</v>
      </c>
      <c r="W269" s="4">
        <f t="shared" si="90"/>
        <v>39</v>
      </c>
      <c r="X269" s="4">
        <f t="shared" si="91"/>
        <v>78</v>
      </c>
      <c r="Y269" s="4">
        <f t="shared" si="92"/>
        <v>39</v>
      </c>
      <c r="Z269" s="4">
        <f t="shared" si="93"/>
        <v>9</v>
      </c>
      <c r="AA269" s="102">
        <f t="shared" si="94"/>
        <v>39</v>
      </c>
      <c r="AC269" s="100">
        <f t="shared" si="95"/>
        <v>0.9549440183102138</v>
      </c>
    </row>
    <row r="270" spans="4:29" x14ac:dyDescent="0.35">
      <c r="D270">
        <f t="shared" si="96"/>
        <v>266</v>
      </c>
      <c r="E270" s="101">
        <v>7</v>
      </c>
      <c r="F270" s="4">
        <v>3</v>
      </c>
      <c r="G270" s="4">
        <v>3</v>
      </c>
      <c r="H270" s="4">
        <v>5</v>
      </c>
      <c r="I270" s="4">
        <v>7</v>
      </c>
      <c r="J270" s="4">
        <v>6</v>
      </c>
      <c r="K270" s="102">
        <v>6</v>
      </c>
      <c r="M270" s="101">
        <f t="shared" si="81"/>
        <v>29</v>
      </c>
      <c r="N270" s="4">
        <f t="shared" si="82"/>
        <v>23</v>
      </c>
      <c r="O270" s="4">
        <f t="shared" si="83"/>
        <v>23</v>
      </c>
      <c r="P270" s="4">
        <f t="shared" si="84"/>
        <v>30</v>
      </c>
      <c r="Q270" s="4">
        <f t="shared" si="85"/>
        <v>29</v>
      </c>
      <c r="R270" s="4">
        <f t="shared" si="86"/>
        <v>45</v>
      </c>
      <c r="S270" s="102">
        <f t="shared" si="87"/>
        <v>45</v>
      </c>
      <c r="U270" s="101">
        <f t="shared" si="88"/>
        <v>41</v>
      </c>
      <c r="V270" s="4">
        <f t="shared" si="89"/>
        <v>39</v>
      </c>
      <c r="W270" s="4">
        <f t="shared" si="90"/>
        <v>39</v>
      </c>
      <c r="X270" s="4">
        <f t="shared" si="91"/>
        <v>39</v>
      </c>
      <c r="Y270" s="4">
        <f t="shared" si="92"/>
        <v>41</v>
      </c>
      <c r="Z270" s="4">
        <f t="shared" si="93"/>
        <v>71</v>
      </c>
      <c r="AA270" s="102">
        <f t="shared" si="94"/>
        <v>71</v>
      </c>
      <c r="AC270" s="100">
        <f t="shared" si="95"/>
        <v>0.96078186138725086</v>
      </c>
    </row>
    <row r="271" spans="4:29" x14ac:dyDescent="0.35">
      <c r="D271">
        <f t="shared" si="96"/>
        <v>267</v>
      </c>
      <c r="E271" s="101">
        <v>3</v>
      </c>
      <c r="F271" s="4">
        <v>7</v>
      </c>
      <c r="G271" s="4">
        <v>1</v>
      </c>
      <c r="H271" s="4">
        <v>2</v>
      </c>
      <c r="I271" s="4">
        <v>3</v>
      </c>
      <c r="J271" s="4">
        <v>6</v>
      </c>
      <c r="K271" s="102">
        <v>3</v>
      </c>
      <c r="M271" s="101">
        <f t="shared" si="81"/>
        <v>23</v>
      </c>
      <c r="N271" s="4">
        <f t="shared" si="82"/>
        <v>29</v>
      </c>
      <c r="O271" s="4">
        <f t="shared" si="83"/>
        <v>34</v>
      </c>
      <c r="P271" s="4">
        <f t="shared" si="84"/>
        <v>56</v>
      </c>
      <c r="Q271" s="4">
        <f t="shared" si="85"/>
        <v>23</v>
      </c>
      <c r="R271" s="4">
        <f t="shared" si="86"/>
        <v>45</v>
      </c>
      <c r="S271" s="102">
        <f t="shared" si="87"/>
        <v>23</v>
      </c>
      <c r="U271" s="101">
        <f t="shared" si="88"/>
        <v>39</v>
      </c>
      <c r="V271" s="4">
        <f t="shared" si="89"/>
        <v>41</v>
      </c>
      <c r="W271" s="4">
        <f t="shared" si="90"/>
        <v>46</v>
      </c>
      <c r="X271" s="4">
        <f t="shared" si="91"/>
        <v>78</v>
      </c>
      <c r="Y271" s="4">
        <f t="shared" si="92"/>
        <v>39</v>
      </c>
      <c r="Z271" s="4">
        <f t="shared" si="93"/>
        <v>71</v>
      </c>
      <c r="AA271" s="102">
        <f t="shared" si="94"/>
        <v>39</v>
      </c>
      <c r="AC271" s="100">
        <f t="shared" si="95"/>
        <v>0.97399832533095632</v>
      </c>
    </row>
    <row r="272" spans="4:29" x14ac:dyDescent="0.35">
      <c r="D272">
        <f t="shared" si="96"/>
        <v>268</v>
      </c>
      <c r="E272" s="101">
        <v>4</v>
      </c>
      <c r="F272" s="4">
        <v>6</v>
      </c>
      <c r="G272" s="4">
        <v>3</v>
      </c>
      <c r="H272" s="4">
        <v>6</v>
      </c>
      <c r="I272" s="4">
        <v>1</v>
      </c>
      <c r="J272" s="4">
        <v>6</v>
      </c>
      <c r="K272" s="102">
        <v>2</v>
      </c>
      <c r="M272" s="101">
        <f t="shared" si="81"/>
        <v>12</v>
      </c>
      <c r="N272" s="4">
        <f t="shared" si="82"/>
        <v>45</v>
      </c>
      <c r="O272" s="4">
        <f t="shared" si="83"/>
        <v>23</v>
      </c>
      <c r="P272" s="4">
        <f t="shared" si="84"/>
        <v>45</v>
      </c>
      <c r="Q272" s="4">
        <f t="shared" si="85"/>
        <v>34</v>
      </c>
      <c r="R272" s="4">
        <f t="shared" si="86"/>
        <v>45</v>
      </c>
      <c r="S272" s="102">
        <f t="shared" si="87"/>
        <v>56</v>
      </c>
      <c r="U272" s="101">
        <f t="shared" si="88"/>
        <v>9</v>
      </c>
      <c r="V272" s="4">
        <f t="shared" si="89"/>
        <v>71</v>
      </c>
      <c r="W272" s="4">
        <f t="shared" si="90"/>
        <v>39</v>
      </c>
      <c r="X272" s="4">
        <f t="shared" si="91"/>
        <v>71</v>
      </c>
      <c r="Y272" s="4">
        <f t="shared" si="92"/>
        <v>46</v>
      </c>
      <c r="Z272" s="4">
        <f t="shared" si="93"/>
        <v>71</v>
      </c>
      <c r="AA272" s="102">
        <f t="shared" si="94"/>
        <v>78</v>
      </c>
      <c r="AC272" s="100">
        <f t="shared" si="95"/>
        <v>0.97575270091008892</v>
      </c>
    </row>
    <row r="273" spans="4:29" x14ac:dyDescent="0.35">
      <c r="D273">
        <f t="shared" si="96"/>
        <v>269</v>
      </c>
      <c r="E273" s="101">
        <v>1</v>
      </c>
      <c r="F273" s="4">
        <v>7</v>
      </c>
      <c r="G273" s="4">
        <v>5</v>
      </c>
      <c r="H273" s="4">
        <v>4</v>
      </c>
      <c r="I273" s="4">
        <v>2</v>
      </c>
      <c r="J273" s="4">
        <v>2</v>
      </c>
      <c r="K273" s="102">
        <v>5</v>
      </c>
      <c r="M273" s="101">
        <f t="shared" si="81"/>
        <v>34</v>
      </c>
      <c r="N273" s="4">
        <f t="shared" si="82"/>
        <v>29</v>
      </c>
      <c r="O273" s="4">
        <f t="shared" si="83"/>
        <v>30</v>
      </c>
      <c r="P273" s="4">
        <f t="shared" si="84"/>
        <v>12</v>
      </c>
      <c r="Q273" s="4">
        <f t="shared" si="85"/>
        <v>56</v>
      </c>
      <c r="R273" s="4">
        <f t="shared" si="86"/>
        <v>56</v>
      </c>
      <c r="S273" s="102">
        <f t="shared" si="87"/>
        <v>30</v>
      </c>
      <c r="U273" s="101">
        <f t="shared" si="88"/>
        <v>46</v>
      </c>
      <c r="V273" s="4">
        <f t="shared" si="89"/>
        <v>41</v>
      </c>
      <c r="W273" s="4">
        <f t="shared" si="90"/>
        <v>39</v>
      </c>
      <c r="X273" s="4">
        <f t="shared" si="91"/>
        <v>9</v>
      </c>
      <c r="Y273" s="4">
        <f t="shared" si="92"/>
        <v>78</v>
      </c>
      <c r="Z273" s="4">
        <f t="shared" si="93"/>
        <v>78</v>
      </c>
      <c r="AA273" s="102">
        <f t="shared" si="94"/>
        <v>39</v>
      </c>
      <c r="AC273" s="100">
        <f t="shared" si="95"/>
        <v>0.99709561446177808</v>
      </c>
    </row>
    <row r="274" spans="4:29" x14ac:dyDescent="0.35">
      <c r="D274">
        <f t="shared" si="96"/>
        <v>270</v>
      </c>
      <c r="E274" s="101">
        <v>6</v>
      </c>
      <c r="F274" s="4">
        <v>6</v>
      </c>
      <c r="G274" s="4">
        <v>6</v>
      </c>
      <c r="H274" s="4">
        <v>5</v>
      </c>
      <c r="I274" s="4">
        <v>1</v>
      </c>
      <c r="J274" s="4">
        <v>4</v>
      </c>
      <c r="K274" s="102">
        <v>1</v>
      </c>
      <c r="M274" s="101">
        <f t="shared" si="81"/>
        <v>45</v>
      </c>
      <c r="N274" s="4">
        <f t="shared" si="82"/>
        <v>45</v>
      </c>
      <c r="O274" s="4">
        <f t="shared" si="83"/>
        <v>45</v>
      </c>
      <c r="P274" s="4">
        <f t="shared" si="84"/>
        <v>30</v>
      </c>
      <c r="Q274" s="4">
        <f t="shared" si="85"/>
        <v>34</v>
      </c>
      <c r="R274" s="4">
        <f t="shared" si="86"/>
        <v>12</v>
      </c>
      <c r="S274" s="102">
        <f t="shared" si="87"/>
        <v>34</v>
      </c>
      <c r="U274" s="101">
        <f t="shared" si="88"/>
        <v>71</v>
      </c>
      <c r="V274" s="4">
        <f t="shared" si="89"/>
        <v>71</v>
      </c>
      <c r="W274" s="4">
        <f t="shared" si="90"/>
        <v>71</v>
      </c>
      <c r="X274" s="4">
        <f t="shared" si="91"/>
        <v>39</v>
      </c>
      <c r="Y274" s="4">
        <f t="shared" si="92"/>
        <v>46</v>
      </c>
      <c r="Z274" s="4">
        <f t="shared" si="93"/>
        <v>9</v>
      </c>
      <c r="AA274" s="102">
        <f t="shared" si="94"/>
        <v>46</v>
      </c>
      <c r="AC274" s="100">
        <f t="shared" si="95"/>
        <v>0.99539986857742602</v>
      </c>
    </row>
    <row r="275" spans="4:29" x14ac:dyDescent="0.35">
      <c r="D275">
        <f t="shared" si="96"/>
        <v>271</v>
      </c>
      <c r="E275" s="101">
        <v>3</v>
      </c>
      <c r="F275" s="4">
        <v>2</v>
      </c>
      <c r="G275" s="4">
        <v>2</v>
      </c>
      <c r="H275" s="4">
        <v>5</v>
      </c>
      <c r="I275" s="4">
        <v>1</v>
      </c>
      <c r="J275" s="4">
        <v>2</v>
      </c>
      <c r="K275" s="102">
        <v>2</v>
      </c>
      <c r="M275" s="101">
        <f t="shared" si="81"/>
        <v>23</v>
      </c>
      <c r="N275" s="4">
        <f t="shared" si="82"/>
        <v>56</v>
      </c>
      <c r="O275" s="4">
        <f t="shared" si="83"/>
        <v>56</v>
      </c>
      <c r="P275" s="4">
        <f t="shared" si="84"/>
        <v>30</v>
      </c>
      <c r="Q275" s="4">
        <f t="shared" si="85"/>
        <v>34</v>
      </c>
      <c r="R275" s="4">
        <f t="shared" si="86"/>
        <v>56</v>
      </c>
      <c r="S275" s="102">
        <f t="shared" si="87"/>
        <v>56</v>
      </c>
      <c r="U275" s="101">
        <f t="shared" si="88"/>
        <v>39</v>
      </c>
      <c r="V275" s="4">
        <f t="shared" si="89"/>
        <v>78</v>
      </c>
      <c r="W275" s="4">
        <f t="shared" si="90"/>
        <v>78</v>
      </c>
      <c r="X275" s="4">
        <f t="shared" si="91"/>
        <v>39</v>
      </c>
      <c r="Y275" s="4">
        <f t="shared" si="92"/>
        <v>46</v>
      </c>
      <c r="Z275" s="4">
        <f t="shared" si="93"/>
        <v>78</v>
      </c>
      <c r="AA275" s="102">
        <f t="shared" si="94"/>
        <v>78</v>
      </c>
      <c r="AC275" s="100">
        <f t="shared" si="95"/>
        <v>0.98922460240154175</v>
      </c>
    </row>
    <row r="276" spans="4:29" x14ac:dyDescent="0.35">
      <c r="D276">
        <f t="shared" si="96"/>
        <v>272</v>
      </c>
      <c r="E276" s="101">
        <v>5</v>
      </c>
      <c r="F276" s="4">
        <v>5</v>
      </c>
      <c r="G276" s="4">
        <v>1</v>
      </c>
      <c r="H276" s="4">
        <v>7</v>
      </c>
      <c r="I276" s="4">
        <v>5</v>
      </c>
      <c r="J276" s="4">
        <v>5</v>
      </c>
      <c r="K276" s="102">
        <v>2</v>
      </c>
      <c r="M276" s="101">
        <f t="shared" si="81"/>
        <v>30</v>
      </c>
      <c r="N276" s="4">
        <f t="shared" si="82"/>
        <v>30</v>
      </c>
      <c r="O276" s="4">
        <f t="shared" si="83"/>
        <v>34</v>
      </c>
      <c r="P276" s="4">
        <f t="shared" si="84"/>
        <v>29</v>
      </c>
      <c r="Q276" s="4">
        <f t="shared" si="85"/>
        <v>30</v>
      </c>
      <c r="R276" s="4">
        <f t="shared" si="86"/>
        <v>30</v>
      </c>
      <c r="S276" s="102">
        <f t="shared" si="87"/>
        <v>56</v>
      </c>
      <c r="U276" s="101">
        <f t="shared" si="88"/>
        <v>39</v>
      </c>
      <c r="V276" s="4">
        <f t="shared" si="89"/>
        <v>39</v>
      </c>
      <c r="W276" s="4">
        <f t="shared" si="90"/>
        <v>46</v>
      </c>
      <c r="X276" s="4">
        <f t="shared" si="91"/>
        <v>41</v>
      </c>
      <c r="Y276" s="4">
        <f t="shared" si="92"/>
        <v>39</v>
      </c>
      <c r="Z276" s="4">
        <f t="shared" si="93"/>
        <v>39</v>
      </c>
      <c r="AA276" s="102">
        <f t="shared" si="94"/>
        <v>78</v>
      </c>
      <c r="AC276" s="100">
        <f t="shared" si="95"/>
        <v>0.9960630670406091</v>
      </c>
    </row>
    <row r="277" spans="4:29" x14ac:dyDescent="0.35">
      <c r="D277">
        <f t="shared" si="96"/>
        <v>273</v>
      </c>
      <c r="E277" s="101">
        <v>5</v>
      </c>
      <c r="F277" s="4">
        <v>2</v>
      </c>
      <c r="G277" s="4">
        <v>5</v>
      </c>
      <c r="H277" s="4">
        <v>6</v>
      </c>
      <c r="I277" s="4">
        <v>5</v>
      </c>
      <c r="J277" s="4">
        <v>2</v>
      </c>
      <c r="K277" s="102">
        <v>1</v>
      </c>
      <c r="M277" s="101">
        <f t="shared" si="81"/>
        <v>30</v>
      </c>
      <c r="N277" s="4">
        <f t="shared" si="82"/>
        <v>56</v>
      </c>
      <c r="O277" s="4">
        <f t="shared" si="83"/>
        <v>30</v>
      </c>
      <c r="P277" s="4">
        <f t="shared" si="84"/>
        <v>45</v>
      </c>
      <c r="Q277" s="4">
        <f t="shared" si="85"/>
        <v>30</v>
      </c>
      <c r="R277" s="4">
        <f t="shared" si="86"/>
        <v>56</v>
      </c>
      <c r="S277" s="102">
        <f t="shared" si="87"/>
        <v>34</v>
      </c>
      <c r="U277" s="101">
        <f t="shared" si="88"/>
        <v>39</v>
      </c>
      <c r="V277" s="4">
        <f t="shared" si="89"/>
        <v>78</v>
      </c>
      <c r="W277" s="4">
        <f t="shared" si="90"/>
        <v>39</v>
      </c>
      <c r="X277" s="4">
        <f t="shared" si="91"/>
        <v>71</v>
      </c>
      <c r="Y277" s="4">
        <f t="shared" si="92"/>
        <v>39</v>
      </c>
      <c r="Z277" s="4">
        <f t="shared" si="93"/>
        <v>78</v>
      </c>
      <c r="AA277" s="102">
        <f t="shared" si="94"/>
        <v>46</v>
      </c>
      <c r="AC277" s="100">
        <f t="shared" si="95"/>
        <v>0.98279494837500059</v>
      </c>
    </row>
    <row r="278" spans="4:29" x14ac:dyDescent="0.35">
      <c r="D278">
        <f t="shared" si="96"/>
        <v>274</v>
      </c>
      <c r="E278" s="101">
        <v>2</v>
      </c>
      <c r="F278" s="4">
        <v>4</v>
      </c>
      <c r="G278" s="4">
        <v>5</v>
      </c>
      <c r="H278" s="4">
        <v>5</v>
      </c>
      <c r="I278" s="4">
        <v>2</v>
      </c>
      <c r="J278" s="4">
        <v>6</v>
      </c>
      <c r="K278" s="102">
        <v>5</v>
      </c>
      <c r="M278" s="101">
        <f t="shared" si="81"/>
        <v>56</v>
      </c>
      <c r="N278" s="4">
        <f t="shared" si="82"/>
        <v>12</v>
      </c>
      <c r="O278" s="4">
        <f t="shared" si="83"/>
        <v>30</v>
      </c>
      <c r="P278" s="4">
        <f t="shared" si="84"/>
        <v>30</v>
      </c>
      <c r="Q278" s="4">
        <f t="shared" si="85"/>
        <v>56</v>
      </c>
      <c r="R278" s="4">
        <f t="shared" si="86"/>
        <v>45</v>
      </c>
      <c r="S278" s="102">
        <f t="shared" si="87"/>
        <v>30</v>
      </c>
      <c r="U278" s="101">
        <f t="shared" si="88"/>
        <v>78</v>
      </c>
      <c r="V278" s="4">
        <f t="shared" si="89"/>
        <v>9</v>
      </c>
      <c r="W278" s="4">
        <f t="shared" si="90"/>
        <v>39</v>
      </c>
      <c r="X278" s="4">
        <f t="shared" si="91"/>
        <v>39</v>
      </c>
      <c r="Y278" s="4">
        <f t="shared" si="92"/>
        <v>78</v>
      </c>
      <c r="Z278" s="4">
        <f t="shared" si="93"/>
        <v>71</v>
      </c>
      <c r="AA278" s="102">
        <f t="shared" si="94"/>
        <v>39</v>
      </c>
      <c r="AC278" s="100">
        <f t="shared" si="95"/>
        <v>0.99025545395636616</v>
      </c>
    </row>
    <row r="279" spans="4:29" x14ac:dyDescent="0.35">
      <c r="D279">
        <f t="shared" si="96"/>
        <v>275</v>
      </c>
      <c r="E279" s="101">
        <v>4</v>
      </c>
      <c r="F279" s="4">
        <v>5</v>
      </c>
      <c r="G279" s="4">
        <v>3</v>
      </c>
      <c r="H279" s="4">
        <v>4</v>
      </c>
      <c r="I279" s="4">
        <v>1</v>
      </c>
      <c r="J279" s="4">
        <v>4</v>
      </c>
      <c r="K279" s="102">
        <v>7</v>
      </c>
      <c r="M279" s="101">
        <f t="shared" si="81"/>
        <v>12</v>
      </c>
      <c r="N279" s="4">
        <f t="shared" si="82"/>
        <v>30</v>
      </c>
      <c r="O279" s="4">
        <f t="shared" si="83"/>
        <v>23</v>
      </c>
      <c r="P279" s="4">
        <f t="shared" si="84"/>
        <v>12</v>
      </c>
      <c r="Q279" s="4">
        <f t="shared" si="85"/>
        <v>34</v>
      </c>
      <c r="R279" s="4">
        <f t="shared" si="86"/>
        <v>12</v>
      </c>
      <c r="S279" s="102">
        <f t="shared" si="87"/>
        <v>29</v>
      </c>
      <c r="U279" s="101">
        <f t="shared" si="88"/>
        <v>9</v>
      </c>
      <c r="V279" s="4">
        <f t="shared" si="89"/>
        <v>39</v>
      </c>
      <c r="W279" s="4">
        <f t="shared" si="90"/>
        <v>39</v>
      </c>
      <c r="X279" s="4">
        <f t="shared" si="91"/>
        <v>9</v>
      </c>
      <c r="Y279" s="4">
        <f t="shared" si="92"/>
        <v>46</v>
      </c>
      <c r="Z279" s="4">
        <f t="shared" si="93"/>
        <v>9</v>
      </c>
      <c r="AA279" s="102">
        <f t="shared" si="94"/>
        <v>41</v>
      </c>
      <c r="AC279" s="100">
        <f t="shared" si="95"/>
        <v>0.96899739686213648</v>
      </c>
    </row>
    <row r="280" spans="4:29" x14ac:dyDescent="0.35">
      <c r="D280">
        <f t="shared" si="96"/>
        <v>276</v>
      </c>
      <c r="E280" s="101">
        <v>3</v>
      </c>
      <c r="F280" s="4">
        <v>2</v>
      </c>
      <c r="G280" s="4">
        <v>4</v>
      </c>
      <c r="H280" s="4">
        <v>1</v>
      </c>
      <c r="I280" s="4">
        <v>2</v>
      </c>
      <c r="J280" s="4">
        <v>3</v>
      </c>
      <c r="K280" s="102">
        <v>2</v>
      </c>
      <c r="M280" s="101">
        <f t="shared" si="81"/>
        <v>23</v>
      </c>
      <c r="N280" s="4">
        <f t="shared" si="82"/>
        <v>56</v>
      </c>
      <c r="O280" s="4">
        <f t="shared" si="83"/>
        <v>12</v>
      </c>
      <c r="P280" s="4">
        <f t="shared" si="84"/>
        <v>34</v>
      </c>
      <c r="Q280" s="4">
        <f t="shared" si="85"/>
        <v>56</v>
      </c>
      <c r="R280" s="4">
        <f t="shared" si="86"/>
        <v>23</v>
      </c>
      <c r="S280" s="102">
        <f t="shared" si="87"/>
        <v>56</v>
      </c>
      <c r="U280" s="101">
        <f t="shared" si="88"/>
        <v>39</v>
      </c>
      <c r="V280" s="4">
        <f t="shared" si="89"/>
        <v>78</v>
      </c>
      <c r="W280" s="4">
        <f t="shared" si="90"/>
        <v>9</v>
      </c>
      <c r="X280" s="4">
        <f t="shared" si="91"/>
        <v>46</v>
      </c>
      <c r="Y280" s="4">
        <f t="shared" si="92"/>
        <v>78</v>
      </c>
      <c r="Z280" s="4">
        <f t="shared" si="93"/>
        <v>39</v>
      </c>
      <c r="AA280" s="102">
        <f t="shared" si="94"/>
        <v>78</v>
      </c>
      <c r="AC280" s="100">
        <f t="shared" si="95"/>
        <v>0.98159605609209932</v>
      </c>
    </row>
    <row r="281" spans="4:29" x14ac:dyDescent="0.35">
      <c r="D281">
        <f t="shared" si="96"/>
        <v>277</v>
      </c>
      <c r="E281" s="101">
        <v>3</v>
      </c>
      <c r="F281" s="4">
        <v>3</v>
      </c>
      <c r="G281" s="4">
        <v>4</v>
      </c>
      <c r="H281" s="4">
        <v>6</v>
      </c>
      <c r="I281" s="4">
        <v>6</v>
      </c>
      <c r="J281" s="4">
        <v>7</v>
      </c>
      <c r="K281" s="102">
        <v>7</v>
      </c>
      <c r="M281" s="101">
        <f t="shared" si="81"/>
        <v>23</v>
      </c>
      <c r="N281" s="4">
        <f t="shared" si="82"/>
        <v>23</v>
      </c>
      <c r="O281" s="4">
        <f t="shared" si="83"/>
        <v>12</v>
      </c>
      <c r="P281" s="4">
        <f t="shared" si="84"/>
        <v>45</v>
      </c>
      <c r="Q281" s="4">
        <f t="shared" si="85"/>
        <v>45</v>
      </c>
      <c r="R281" s="4">
        <f t="shared" si="86"/>
        <v>29</v>
      </c>
      <c r="S281" s="102">
        <f t="shared" si="87"/>
        <v>29</v>
      </c>
      <c r="U281" s="101">
        <f t="shared" si="88"/>
        <v>39</v>
      </c>
      <c r="V281" s="4">
        <f t="shared" si="89"/>
        <v>39</v>
      </c>
      <c r="W281" s="4">
        <f t="shared" si="90"/>
        <v>9</v>
      </c>
      <c r="X281" s="4">
        <f t="shared" si="91"/>
        <v>71</v>
      </c>
      <c r="Y281" s="4">
        <f t="shared" si="92"/>
        <v>71</v>
      </c>
      <c r="Z281" s="4">
        <f t="shared" si="93"/>
        <v>41</v>
      </c>
      <c r="AA281" s="102">
        <f t="shared" si="94"/>
        <v>41</v>
      </c>
      <c r="AC281" s="100">
        <f t="shared" si="95"/>
        <v>0.98030034475699757</v>
      </c>
    </row>
    <row r="282" spans="4:29" x14ac:dyDescent="0.35">
      <c r="D282">
        <f t="shared" si="96"/>
        <v>278</v>
      </c>
      <c r="E282" s="101">
        <v>3</v>
      </c>
      <c r="F282" s="4">
        <v>4</v>
      </c>
      <c r="G282" s="4">
        <v>1</v>
      </c>
      <c r="H282" s="4">
        <v>4</v>
      </c>
      <c r="I282" s="4">
        <v>4</v>
      </c>
      <c r="J282" s="4">
        <v>1</v>
      </c>
      <c r="K282" s="102">
        <v>6</v>
      </c>
      <c r="M282" s="101">
        <f t="shared" si="81"/>
        <v>23</v>
      </c>
      <c r="N282" s="4">
        <f t="shared" si="82"/>
        <v>12</v>
      </c>
      <c r="O282" s="4">
        <f t="shared" si="83"/>
        <v>34</v>
      </c>
      <c r="P282" s="4">
        <f t="shared" si="84"/>
        <v>12</v>
      </c>
      <c r="Q282" s="4">
        <f t="shared" si="85"/>
        <v>12</v>
      </c>
      <c r="R282" s="4">
        <f t="shared" si="86"/>
        <v>34</v>
      </c>
      <c r="S282" s="102">
        <f t="shared" si="87"/>
        <v>45</v>
      </c>
      <c r="U282" s="101">
        <f t="shared" si="88"/>
        <v>39</v>
      </c>
      <c r="V282" s="4">
        <f t="shared" si="89"/>
        <v>9</v>
      </c>
      <c r="W282" s="4">
        <f t="shared" si="90"/>
        <v>46</v>
      </c>
      <c r="X282" s="4">
        <f t="shared" si="91"/>
        <v>9</v>
      </c>
      <c r="Y282" s="4">
        <f t="shared" si="92"/>
        <v>9</v>
      </c>
      <c r="Z282" s="4">
        <f t="shared" si="93"/>
        <v>46</v>
      </c>
      <c r="AA282" s="102">
        <f t="shared" si="94"/>
        <v>71</v>
      </c>
      <c r="AC282" s="100">
        <f t="shared" si="95"/>
        <v>0.98351411203834826</v>
      </c>
    </row>
    <row r="283" spans="4:29" x14ac:dyDescent="0.35">
      <c r="D283">
        <f t="shared" si="96"/>
        <v>279</v>
      </c>
      <c r="E283" s="101">
        <v>3</v>
      </c>
      <c r="F283" s="4">
        <v>2</v>
      </c>
      <c r="G283" s="4">
        <v>2</v>
      </c>
      <c r="H283" s="4">
        <v>2</v>
      </c>
      <c r="I283" s="4">
        <v>4</v>
      </c>
      <c r="J283" s="4">
        <v>1</v>
      </c>
      <c r="K283" s="102">
        <v>1</v>
      </c>
      <c r="M283" s="101">
        <f t="shared" si="81"/>
        <v>23</v>
      </c>
      <c r="N283" s="4">
        <f t="shared" si="82"/>
        <v>56</v>
      </c>
      <c r="O283" s="4">
        <f t="shared" si="83"/>
        <v>56</v>
      </c>
      <c r="P283" s="4">
        <f t="shared" si="84"/>
        <v>56</v>
      </c>
      <c r="Q283" s="4">
        <f t="shared" si="85"/>
        <v>12</v>
      </c>
      <c r="R283" s="4">
        <f t="shared" si="86"/>
        <v>34</v>
      </c>
      <c r="S283" s="102">
        <f t="shared" si="87"/>
        <v>34</v>
      </c>
      <c r="U283" s="101">
        <f t="shared" si="88"/>
        <v>39</v>
      </c>
      <c r="V283" s="4">
        <f t="shared" si="89"/>
        <v>78</v>
      </c>
      <c r="W283" s="4">
        <f t="shared" si="90"/>
        <v>78</v>
      </c>
      <c r="X283" s="4">
        <f t="shared" si="91"/>
        <v>78</v>
      </c>
      <c r="Y283" s="4">
        <f t="shared" si="92"/>
        <v>9</v>
      </c>
      <c r="Z283" s="4">
        <f t="shared" si="93"/>
        <v>46</v>
      </c>
      <c r="AA283" s="102">
        <f t="shared" si="94"/>
        <v>46</v>
      </c>
      <c r="AC283" s="100">
        <f t="shared" si="95"/>
        <v>0.98728650357547421</v>
      </c>
    </row>
    <row r="284" spans="4:29" x14ac:dyDescent="0.35">
      <c r="D284">
        <f t="shared" si="96"/>
        <v>280</v>
      </c>
      <c r="E284" s="101">
        <v>4</v>
      </c>
      <c r="F284" s="4">
        <v>3</v>
      </c>
      <c r="G284" s="4">
        <v>4</v>
      </c>
      <c r="H284" s="4">
        <v>7</v>
      </c>
      <c r="I284" s="4">
        <v>2</v>
      </c>
      <c r="J284" s="4">
        <v>2</v>
      </c>
      <c r="K284" s="102">
        <v>1</v>
      </c>
      <c r="M284" s="101">
        <f t="shared" si="81"/>
        <v>12</v>
      </c>
      <c r="N284" s="4">
        <f t="shared" si="82"/>
        <v>23</v>
      </c>
      <c r="O284" s="4">
        <f t="shared" si="83"/>
        <v>12</v>
      </c>
      <c r="P284" s="4">
        <f t="shared" si="84"/>
        <v>29</v>
      </c>
      <c r="Q284" s="4">
        <f t="shared" si="85"/>
        <v>56</v>
      </c>
      <c r="R284" s="4">
        <f t="shared" si="86"/>
        <v>56</v>
      </c>
      <c r="S284" s="102">
        <f t="shared" si="87"/>
        <v>34</v>
      </c>
      <c r="U284" s="101">
        <f t="shared" si="88"/>
        <v>9</v>
      </c>
      <c r="V284" s="4">
        <f t="shared" si="89"/>
        <v>39</v>
      </c>
      <c r="W284" s="4">
        <f t="shared" si="90"/>
        <v>9</v>
      </c>
      <c r="X284" s="4">
        <f t="shared" si="91"/>
        <v>41</v>
      </c>
      <c r="Y284" s="4">
        <f t="shared" si="92"/>
        <v>78</v>
      </c>
      <c r="Z284" s="4">
        <f t="shared" si="93"/>
        <v>78</v>
      </c>
      <c r="AA284" s="102">
        <f t="shared" si="94"/>
        <v>46</v>
      </c>
      <c r="AC284" s="100">
        <f t="shared" si="95"/>
        <v>0.98636655389013406</v>
      </c>
    </row>
    <row r="285" spans="4:29" x14ac:dyDescent="0.35">
      <c r="D285">
        <f t="shared" si="96"/>
        <v>281</v>
      </c>
      <c r="E285" s="101">
        <v>2</v>
      </c>
      <c r="F285" s="4">
        <v>2</v>
      </c>
      <c r="G285" s="4">
        <v>7</v>
      </c>
      <c r="H285" s="4">
        <v>1</v>
      </c>
      <c r="I285" s="4">
        <v>1</v>
      </c>
      <c r="J285" s="4">
        <v>7</v>
      </c>
      <c r="K285" s="102">
        <v>2</v>
      </c>
      <c r="M285" s="101">
        <f t="shared" si="81"/>
        <v>56</v>
      </c>
      <c r="N285" s="4">
        <f t="shared" si="82"/>
        <v>56</v>
      </c>
      <c r="O285" s="4">
        <f t="shared" si="83"/>
        <v>29</v>
      </c>
      <c r="P285" s="4">
        <f t="shared" si="84"/>
        <v>34</v>
      </c>
      <c r="Q285" s="4">
        <f t="shared" si="85"/>
        <v>34</v>
      </c>
      <c r="R285" s="4">
        <f t="shared" si="86"/>
        <v>29</v>
      </c>
      <c r="S285" s="102">
        <f t="shared" si="87"/>
        <v>56</v>
      </c>
      <c r="U285" s="101">
        <f t="shared" si="88"/>
        <v>78</v>
      </c>
      <c r="V285" s="4">
        <f t="shared" si="89"/>
        <v>78</v>
      </c>
      <c r="W285" s="4">
        <f t="shared" si="90"/>
        <v>41</v>
      </c>
      <c r="X285" s="4">
        <f t="shared" si="91"/>
        <v>46</v>
      </c>
      <c r="Y285" s="4">
        <f t="shared" si="92"/>
        <v>46</v>
      </c>
      <c r="Z285" s="4">
        <f t="shared" si="93"/>
        <v>41</v>
      </c>
      <c r="AA285" s="102">
        <f t="shared" si="94"/>
        <v>78</v>
      </c>
      <c r="AC285" s="100">
        <f t="shared" si="95"/>
        <v>0.99901518119881594</v>
      </c>
    </row>
    <row r="286" spans="4:29" x14ac:dyDescent="0.35">
      <c r="D286">
        <f t="shared" si="96"/>
        <v>282</v>
      </c>
      <c r="E286" s="101">
        <v>5</v>
      </c>
      <c r="F286" s="4">
        <v>5</v>
      </c>
      <c r="G286" s="4">
        <v>7</v>
      </c>
      <c r="H286" s="4">
        <v>1</v>
      </c>
      <c r="I286" s="4">
        <v>5</v>
      </c>
      <c r="J286" s="4">
        <v>6</v>
      </c>
      <c r="K286" s="102">
        <v>2</v>
      </c>
      <c r="M286" s="101">
        <f t="shared" si="81"/>
        <v>30</v>
      </c>
      <c r="N286" s="4">
        <f t="shared" si="82"/>
        <v>30</v>
      </c>
      <c r="O286" s="4">
        <f t="shared" si="83"/>
        <v>29</v>
      </c>
      <c r="P286" s="4">
        <f t="shared" si="84"/>
        <v>34</v>
      </c>
      <c r="Q286" s="4">
        <f t="shared" si="85"/>
        <v>30</v>
      </c>
      <c r="R286" s="4">
        <f t="shared" si="86"/>
        <v>45</v>
      </c>
      <c r="S286" s="102">
        <f t="shared" si="87"/>
        <v>56</v>
      </c>
      <c r="U286" s="101">
        <f t="shared" si="88"/>
        <v>39</v>
      </c>
      <c r="V286" s="4">
        <f t="shared" si="89"/>
        <v>39</v>
      </c>
      <c r="W286" s="4">
        <f t="shared" si="90"/>
        <v>41</v>
      </c>
      <c r="X286" s="4">
        <f t="shared" si="91"/>
        <v>46</v>
      </c>
      <c r="Y286" s="4">
        <f t="shared" si="92"/>
        <v>39</v>
      </c>
      <c r="Z286" s="4">
        <f t="shared" si="93"/>
        <v>71</v>
      </c>
      <c r="AA286" s="102">
        <f t="shared" si="94"/>
        <v>78</v>
      </c>
      <c r="AC286" s="100">
        <f t="shared" si="95"/>
        <v>0.97875412349816082</v>
      </c>
    </row>
    <row r="287" spans="4:29" x14ac:dyDescent="0.35">
      <c r="D287">
        <f t="shared" si="96"/>
        <v>283</v>
      </c>
      <c r="E287" s="101">
        <v>7</v>
      </c>
      <c r="F287" s="4">
        <v>2</v>
      </c>
      <c r="G287" s="4">
        <v>7</v>
      </c>
      <c r="H287" s="4">
        <v>7</v>
      </c>
      <c r="I287" s="4">
        <v>1</v>
      </c>
      <c r="J287" s="4">
        <v>1</v>
      </c>
      <c r="K287" s="102">
        <v>6</v>
      </c>
      <c r="M287" s="101">
        <f t="shared" si="81"/>
        <v>29</v>
      </c>
      <c r="N287" s="4">
        <f t="shared" si="82"/>
        <v>56</v>
      </c>
      <c r="O287" s="4">
        <f t="shared" si="83"/>
        <v>29</v>
      </c>
      <c r="P287" s="4">
        <f t="shared" si="84"/>
        <v>29</v>
      </c>
      <c r="Q287" s="4">
        <f t="shared" si="85"/>
        <v>34</v>
      </c>
      <c r="R287" s="4">
        <f t="shared" si="86"/>
        <v>34</v>
      </c>
      <c r="S287" s="102">
        <f t="shared" si="87"/>
        <v>45</v>
      </c>
      <c r="U287" s="101">
        <f t="shared" si="88"/>
        <v>41</v>
      </c>
      <c r="V287" s="4">
        <f t="shared" si="89"/>
        <v>78</v>
      </c>
      <c r="W287" s="4">
        <f t="shared" si="90"/>
        <v>41</v>
      </c>
      <c r="X287" s="4">
        <f t="shared" si="91"/>
        <v>41</v>
      </c>
      <c r="Y287" s="4">
        <f t="shared" si="92"/>
        <v>46</v>
      </c>
      <c r="Z287" s="4">
        <f t="shared" si="93"/>
        <v>46</v>
      </c>
      <c r="AA287" s="102">
        <f t="shared" si="94"/>
        <v>71</v>
      </c>
      <c r="AC287" s="100">
        <f t="shared" si="95"/>
        <v>0.97946852064679291</v>
      </c>
    </row>
    <row r="288" spans="4:29" x14ac:dyDescent="0.35">
      <c r="D288">
        <f t="shared" si="96"/>
        <v>284</v>
      </c>
      <c r="E288" s="101">
        <v>1</v>
      </c>
      <c r="F288" s="4">
        <v>1</v>
      </c>
      <c r="G288" s="4">
        <v>6</v>
      </c>
      <c r="H288" s="4">
        <v>3</v>
      </c>
      <c r="I288" s="4">
        <v>4</v>
      </c>
      <c r="J288" s="4">
        <v>3</v>
      </c>
      <c r="K288" s="102">
        <v>2</v>
      </c>
      <c r="M288" s="101">
        <f t="shared" si="81"/>
        <v>34</v>
      </c>
      <c r="N288" s="4">
        <f t="shared" si="82"/>
        <v>34</v>
      </c>
      <c r="O288" s="4">
        <f t="shared" si="83"/>
        <v>45</v>
      </c>
      <c r="P288" s="4">
        <f t="shared" si="84"/>
        <v>23</v>
      </c>
      <c r="Q288" s="4">
        <f t="shared" si="85"/>
        <v>12</v>
      </c>
      <c r="R288" s="4">
        <f t="shared" si="86"/>
        <v>23</v>
      </c>
      <c r="S288" s="102">
        <f t="shared" si="87"/>
        <v>56</v>
      </c>
      <c r="U288" s="101">
        <f t="shared" si="88"/>
        <v>46</v>
      </c>
      <c r="V288" s="4">
        <f t="shared" si="89"/>
        <v>46</v>
      </c>
      <c r="W288" s="4">
        <f t="shared" si="90"/>
        <v>71</v>
      </c>
      <c r="X288" s="4">
        <f t="shared" si="91"/>
        <v>39</v>
      </c>
      <c r="Y288" s="4">
        <f t="shared" si="92"/>
        <v>9</v>
      </c>
      <c r="Z288" s="4">
        <f t="shared" si="93"/>
        <v>39</v>
      </c>
      <c r="AA288" s="102">
        <f t="shared" si="94"/>
        <v>78</v>
      </c>
      <c r="AC288" s="100">
        <f t="shared" si="95"/>
        <v>0.96777299965954111</v>
      </c>
    </row>
    <row r="289" spans="4:29" x14ac:dyDescent="0.35">
      <c r="D289">
        <f t="shared" si="96"/>
        <v>285</v>
      </c>
      <c r="E289" s="101">
        <v>5</v>
      </c>
      <c r="F289" s="4">
        <v>4</v>
      </c>
      <c r="G289" s="4">
        <v>2</v>
      </c>
      <c r="H289" s="4">
        <v>4</v>
      </c>
      <c r="I289" s="4">
        <v>6</v>
      </c>
      <c r="J289" s="4">
        <v>5</v>
      </c>
      <c r="K289" s="102">
        <v>2</v>
      </c>
      <c r="M289" s="101">
        <f t="shared" si="81"/>
        <v>30</v>
      </c>
      <c r="N289" s="4">
        <f t="shared" si="82"/>
        <v>12</v>
      </c>
      <c r="O289" s="4">
        <f t="shared" si="83"/>
        <v>56</v>
      </c>
      <c r="P289" s="4">
        <f t="shared" si="84"/>
        <v>12</v>
      </c>
      <c r="Q289" s="4">
        <f t="shared" si="85"/>
        <v>45</v>
      </c>
      <c r="R289" s="4">
        <f t="shared" si="86"/>
        <v>30</v>
      </c>
      <c r="S289" s="102">
        <f t="shared" si="87"/>
        <v>56</v>
      </c>
      <c r="U289" s="101">
        <f t="shared" si="88"/>
        <v>39</v>
      </c>
      <c r="V289" s="4">
        <f t="shared" si="89"/>
        <v>9</v>
      </c>
      <c r="W289" s="4">
        <f t="shared" si="90"/>
        <v>78</v>
      </c>
      <c r="X289" s="4">
        <f t="shared" si="91"/>
        <v>9</v>
      </c>
      <c r="Y289" s="4">
        <f t="shared" si="92"/>
        <v>71</v>
      </c>
      <c r="Z289" s="4">
        <f t="shared" si="93"/>
        <v>39</v>
      </c>
      <c r="AA289" s="102">
        <f t="shared" si="94"/>
        <v>78</v>
      </c>
      <c r="AC289" s="100">
        <f t="shared" si="95"/>
        <v>0.99270805696904385</v>
      </c>
    </row>
    <row r="290" spans="4:29" x14ac:dyDescent="0.35">
      <c r="D290">
        <f t="shared" si="96"/>
        <v>286</v>
      </c>
      <c r="E290" s="101">
        <v>6</v>
      </c>
      <c r="F290" s="4">
        <v>1</v>
      </c>
      <c r="G290" s="4">
        <v>1</v>
      </c>
      <c r="H290" s="4">
        <v>6</v>
      </c>
      <c r="I290" s="4">
        <v>1</v>
      </c>
      <c r="J290" s="4">
        <v>1</v>
      </c>
      <c r="K290" s="102">
        <v>2</v>
      </c>
      <c r="M290" s="101">
        <f t="shared" si="81"/>
        <v>45</v>
      </c>
      <c r="N290" s="4">
        <f t="shared" si="82"/>
        <v>34</v>
      </c>
      <c r="O290" s="4">
        <f t="shared" si="83"/>
        <v>34</v>
      </c>
      <c r="P290" s="4">
        <f t="shared" si="84"/>
        <v>45</v>
      </c>
      <c r="Q290" s="4">
        <f t="shared" si="85"/>
        <v>34</v>
      </c>
      <c r="R290" s="4">
        <f t="shared" si="86"/>
        <v>34</v>
      </c>
      <c r="S290" s="102">
        <f t="shared" si="87"/>
        <v>56</v>
      </c>
      <c r="U290" s="101">
        <f t="shared" si="88"/>
        <v>71</v>
      </c>
      <c r="V290" s="4">
        <f t="shared" si="89"/>
        <v>46</v>
      </c>
      <c r="W290" s="4">
        <f t="shared" si="90"/>
        <v>46</v>
      </c>
      <c r="X290" s="4">
        <f t="shared" si="91"/>
        <v>71</v>
      </c>
      <c r="Y290" s="4">
        <f t="shared" si="92"/>
        <v>46</v>
      </c>
      <c r="Z290" s="4">
        <f t="shared" si="93"/>
        <v>46</v>
      </c>
      <c r="AA290" s="102">
        <f t="shared" si="94"/>
        <v>78</v>
      </c>
      <c r="AC290" s="100">
        <f t="shared" si="95"/>
        <v>0.96129998213966439</v>
      </c>
    </row>
    <row r="291" spans="4:29" x14ac:dyDescent="0.35">
      <c r="D291">
        <f t="shared" si="96"/>
        <v>287</v>
      </c>
      <c r="E291" s="101">
        <v>7</v>
      </c>
      <c r="F291" s="4">
        <v>6</v>
      </c>
      <c r="G291" s="4">
        <v>3</v>
      </c>
      <c r="H291" s="4">
        <v>3</v>
      </c>
      <c r="I291" s="4">
        <v>2</v>
      </c>
      <c r="J291" s="4">
        <v>5</v>
      </c>
      <c r="K291" s="102">
        <v>4</v>
      </c>
      <c r="M291" s="101">
        <f t="shared" si="81"/>
        <v>29</v>
      </c>
      <c r="N291" s="4">
        <f t="shared" si="82"/>
        <v>45</v>
      </c>
      <c r="O291" s="4">
        <f t="shared" si="83"/>
        <v>23</v>
      </c>
      <c r="P291" s="4">
        <f t="shared" si="84"/>
        <v>23</v>
      </c>
      <c r="Q291" s="4">
        <f t="shared" si="85"/>
        <v>56</v>
      </c>
      <c r="R291" s="4">
        <f t="shared" si="86"/>
        <v>30</v>
      </c>
      <c r="S291" s="102">
        <f t="shared" si="87"/>
        <v>12</v>
      </c>
      <c r="U291" s="101">
        <f t="shared" si="88"/>
        <v>41</v>
      </c>
      <c r="V291" s="4">
        <f t="shared" si="89"/>
        <v>71</v>
      </c>
      <c r="W291" s="4">
        <f t="shared" si="90"/>
        <v>39</v>
      </c>
      <c r="X291" s="4">
        <f t="shared" si="91"/>
        <v>39</v>
      </c>
      <c r="Y291" s="4">
        <f t="shared" si="92"/>
        <v>78</v>
      </c>
      <c r="Z291" s="4">
        <f t="shared" si="93"/>
        <v>39</v>
      </c>
      <c r="AA291" s="102">
        <f t="shared" si="94"/>
        <v>9</v>
      </c>
      <c r="AC291" s="100">
        <f t="shared" si="95"/>
        <v>0.96896293074172468</v>
      </c>
    </row>
    <row r="292" spans="4:29" x14ac:dyDescent="0.35">
      <c r="D292">
        <f t="shared" si="96"/>
        <v>288</v>
      </c>
      <c r="E292" s="101">
        <v>2</v>
      </c>
      <c r="F292" s="4">
        <v>2</v>
      </c>
      <c r="G292" s="4">
        <v>6</v>
      </c>
      <c r="H292" s="4">
        <v>7</v>
      </c>
      <c r="I292" s="4">
        <v>4</v>
      </c>
      <c r="J292" s="4">
        <v>3</v>
      </c>
      <c r="K292" s="102">
        <v>2</v>
      </c>
      <c r="M292" s="101">
        <f t="shared" si="81"/>
        <v>56</v>
      </c>
      <c r="N292" s="4">
        <f t="shared" si="82"/>
        <v>56</v>
      </c>
      <c r="O292" s="4">
        <f t="shared" si="83"/>
        <v>45</v>
      </c>
      <c r="P292" s="4">
        <f t="shared" si="84"/>
        <v>29</v>
      </c>
      <c r="Q292" s="4">
        <f t="shared" si="85"/>
        <v>12</v>
      </c>
      <c r="R292" s="4">
        <f t="shared" si="86"/>
        <v>23</v>
      </c>
      <c r="S292" s="102">
        <f t="shared" si="87"/>
        <v>56</v>
      </c>
      <c r="U292" s="101">
        <f t="shared" si="88"/>
        <v>78</v>
      </c>
      <c r="V292" s="4">
        <f t="shared" si="89"/>
        <v>78</v>
      </c>
      <c r="W292" s="4">
        <f t="shared" si="90"/>
        <v>71</v>
      </c>
      <c r="X292" s="4">
        <f t="shared" si="91"/>
        <v>41</v>
      </c>
      <c r="Y292" s="4">
        <f t="shared" si="92"/>
        <v>9</v>
      </c>
      <c r="Z292" s="4">
        <f t="shared" si="93"/>
        <v>39</v>
      </c>
      <c r="AA292" s="102">
        <f t="shared" si="94"/>
        <v>78</v>
      </c>
      <c r="AC292" s="100">
        <f t="shared" si="95"/>
        <v>0.98179205408281744</v>
      </c>
    </row>
    <row r="293" spans="4:29" x14ac:dyDescent="0.35">
      <c r="D293">
        <f t="shared" si="96"/>
        <v>289</v>
      </c>
      <c r="E293" s="101">
        <v>2</v>
      </c>
      <c r="F293" s="4">
        <v>4</v>
      </c>
      <c r="G293" s="4">
        <v>1</v>
      </c>
      <c r="H293" s="4">
        <v>6</v>
      </c>
      <c r="I293" s="4">
        <v>6</v>
      </c>
      <c r="J293" s="4">
        <v>6</v>
      </c>
      <c r="K293" s="102">
        <v>4</v>
      </c>
      <c r="M293" s="101">
        <f t="shared" si="81"/>
        <v>56</v>
      </c>
      <c r="N293" s="4">
        <f t="shared" si="82"/>
        <v>12</v>
      </c>
      <c r="O293" s="4">
        <f t="shared" si="83"/>
        <v>34</v>
      </c>
      <c r="P293" s="4">
        <f t="shared" si="84"/>
        <v>45</v>
      </c>
      <c r="Q293" s="4">
        <f t="shared" si="85"/>
        <v>45</v>
      </c>
      <c r="R293" s="4">
        <f t="shared" si="86"/>
        <v>45</v>
      </c>
      <c r="S293" s="102">
        <f t="shared" si="87"/>
        <v>12</v>
      </c>
      <c r="U293" s="101">
        <f t="shared" si="88"/>
        <v>78</v>
      </c>
      <c r="V293" s="4">
        <f t="shared" si="89"/>
        <v>9</v>
      </c>
      <c r="W293" s="4">
        <f t="shared" si="90"/>
        <v>46</v>
      </c>
      <c r="X293" s="4">
        <f t="shared" si="91"/>
        <v>71</v>
      </c>
      <c r="Y293" s="4">
        <f t="shared" si="92"/>
        <v>71</v>
      </c>
      <c r="Z293" s="4">
        <f t="shared" si="93"/>
        <v>71</v>
      </c>
      <c r="AA293" s="102">
        <f t="shared" si="94"/>
        <v>9</v>
      </c>
      <c r="AC293" s="100">
        <f t="shared" si="95"/>
        <v>0.98917782283122946</v>
      </c>
    </row>
    <row r="294" spans="4:29" x14ac:dyDescent="0.35">
      <c r="D294">
        <f t="shared" si="96"/>
        <v>290</v>
      </c>
      <c r="E294" s="101">
        <v>2</v>
      </c>
      <c r="F294" s="4">
        <v>1</v>
      </c>
      <c r="G294" s="4">
        <v>2</v>
      </c>
      <c r="H294" s="4">
        <v>6</v>
      </c>
      <c r="I294" s="4">
        <v>4</v>
      </c>
      <c r="J294" s="4">
        <v>1</v>
      </c>
      <c r="K294" s="102">
        <v>3</v>
      </c>
      <c r="M294" s="101">
        <f t="shared" si="81"/>
        <v>56</v>
      </c>
      <c r="N294" s="4">
        <f t="shared" si="82"/>
        <v>34</v>
      </c>
      <c r="O294" s="4">
        <f t="shared" si="83"/>
        <v>56</v>
      </c>
      <c r="P294" s="4">
        <f t="shared" si="84"/>
        <v>45</v>
      </c>
      <c r="Q294" s="4">
        <f t="shared" si="85"/>
        <v>12</v>
      </c>
      <c r="R294" s="4">
        <f t="shared" si="86"/>
        <v>34</v>
      </c>
      <c r="S294" s="102">
        <f t="shared" si="87"/>
        <v>23</v>
      </c>
      <c r="U294" s="101">
        <f t="shared" si="88"/>
        <v>78</v>
      </c>
      <c r="V294" s="4">
        <f t="shared" si="89"/>
        <v>46</v>
      </c>
      <c r="W294" s="4">
        <f t="shared" si="90"/>
        <v>78</v>
      </c>
      <c r="X294" s="4">
        <f t="shared" si="91"/>
        <v>71</v>
      </c>
      <c r="Y294" s="4">
        <f t="shared" si="92"/>
        <v>9</v>
      </c>
      <c r="Z294" s="4">
        <f t="shared" si="93"/>
        <v>46</v>
      </c>
      <c r="AA294" s="102">
        <f t="shared" si="94"/>
        <v>39</v>
      </c>
      <c r="AC294" s="100">
        <f t="shared" si="95"/>
        <v>0.97874210568969833</v>
      </c>
    </row>
    <row r="295" spans="4:29" x14ac:dyDescent="0.35">
      <c r="D295">
        <f t="shared" si="96"/>
        <v>291</v>
      </c>
      <c r="E295" s="101">
        <v>1</v>
      </c>
      <c r="F295" s="4">
        <v>1</v>
      </c>
      <c r="G295" s="4">
        <v>2</v>
      </c>
      <c r="H295" s="4">
        <v>5</v>
      </c>
      <c r="I295" s="4">
        <v>3</v>
      </c>
      <c r="J295" s="4">
        <v>4</v>
      </c>
      <c r="K295" s="102">
        <v>6</v>
      </c>
      <c r="M295" s="101">
        <f t="shared" si="81"/>
        <v>34</v>
      </c>
      <c r="N295" s="4">
        <f t="shared" si="82"/>
        <v>34</v>
      </c>
      <c r="O295" s="4">
        <f t="shared" si="83"/>
        <v>56</v>
      </c>
      <c r="P295" s="4">
        <f t="shared" si="84"/>
        <v>30</v>
      </c>
      <c r="Q295" s="4">
        <f t="shared" si="85"/>
        <v>23</v>
      </c>
      <c r="R295" s="4">
        <f t="shared" si="86"/>
        <v>12</v>
      </c>
      <c r="S295" s="102">
        <f t="shared" si="87"/>
        <v>45</v>
      </c>
      <c r="U295" s="101">
        <f t="shared" si="88"/>
        <v>46</v>
      </c>
      <c r="V295" s="4">
        <f t="shared" si="89"/>
        <v>46</v>
      </c>
      <c r="W295" s="4">
        <f t="shared" si="90"/>
        <v>78</v>
      </c>
      <c r="X295" s="4">
        <f t="shared" si="91"/>
        <v>39</v>
      </c>
      <c r="Y295" s="4">
        <f t="shared" si="92"/>
        <v>39</v>
      </c>
      <c r="Z295" s="4">
        <f t="shared" si="93"/>
        <v>9</v>
      </c>
      <c r="AA295" s="102">
        <f t="shared" si="94"/>
        <v>71</v>
      </c>
      <c r="AC295" s="100">
        <f t="shared" si="95"/>
        <v>0.97454066662669314</v>
      </c>
    </row>
    <row r="296" spans="4:29" x14ac:dyDescent="0.35">
      <c r="D296">
        <f t="shared" si="96"/>
        <v>292</v>
      </c>
      <c r="E296" s="101">
        <v>1</v>
      </c>
      <c r="F296" s="4">
        <v>6</v>
      </c>
      <c r="G296" s="4">
        <v>6</v>
      </c>
      <c r="H296" s="4">
        <v>6</v>
      </c>
      <c r="I296" s="4">
        <v>2</v>
      </c>
      <c r="J296" s="4">
        <v>4</v>
      </c>
      <c r="K296" s="102">
        <v>7</v>
      </c>
      <c r="M296" s="101">
        <f t="shared" si="81"/>
        <v>34</v>
      </c>
      <c r="N296" s="4">
        <f t="shared" si="82"/>
        <v>45</v>
      </c>
      <c r="O296" s="4">
        <f t="shared" si="83"/>
        <v>45</v>
      </c>
      <c r="P296" s="4">
        <f t="shared" si="84"/>
        <v>45</v>
      </c>
      <c r="Q296" s="4">
        <f t="shared" si="85"/>
        <v>56</v>
      </c>
      <c r="R296" s="4">
        <f t="shared" si="86"/>
        <v>12</v>
      </c>
      <c r="S296" s="102">
        <f t="shared" si="87"/>
        <v>29</v>
      </c>
      <c r="U296" s="101">
        <f t="shared" si="88"/>
        <v>46</v>
      </c>
      <c r="V296" s="4">
        <f t="shared" si="89"/>
        <v>71</v>
      </c>
      <c r="W296" s="4">
        <f t="shared" si="90"/>
        <v>71</v>
      </c>
      <c r="X296" s="4">
        <f t="shared" si="91"/>
        <v>71</v>
      </c>
      <c r="Y296" s="4">
        <f t="shared" si="92"/>
        <v>78</v>
      </c>
      <c r="Z296" s="4">
        <f t="shared" si="93"/>
        <v>9</v>
      </c>
      <c r="AA296" s="102">
        <f t="shared" si="94"/>
        <v>41</v>
      </c>
      <c r="AC296" s="100">
        <f t="shared" si="95"/>
        <v>0.98396774674628285</v>
      </c>
    </row>
    <row r="297" spans="4:29" x14ac:dyDescent="0.35">
      <c r="D297">
        <f t="shared" si="96"/>
        <v>293</v>
      </c>
      <c r="E297" s="101">
        <v>4</v>
      </c>
      <c r="F297" s="4">
        <v>1</v>
      </c>
      <c r="G297" s="4">
        <v>4</v>
      </c>
      <c r="H297" s="4">
        <v>3</v>
      </c>
      <c r="I297" s="4">
        <v>4</v>
      </c>
      <c r="J297" s="4">
        <v>7</v>
      </c>
      <c r="K297" s="102">
        <v>5</v>
      </c>
      <c r="M297" s="101">
        <f t="shared" si="81"/>
        <v>12</v>
      </c>
      <c r="N297" s="4">
        <f t="shared" si="82"/>
        <v>34</v>
      </c>
      <c r="O297" s="4">
        <f t="shared" si="83"/>
        <v>12</v>
      </c>
      <c r="P297" s="4">
        <f t="shared" si="84"/>
        <v>23</v>
      </c>
      <c r="Q297" s="4">
        <f t="shared" si="85"/>
        <v>12</v>
      </c>
      <c r="R297" s="4">
        <f t="shared" si="86"/>
        <v>29</v>
      </c>
      <c r="S297" s="102">
        <f t="shared" si="87"/>
        <v>30</v>
      </c>
      <c r="U297" s="101">
        <f t="shared" si="88"/>
        <v>9</v>
      </c>
      <c r="V297" s="4">
        <f t="shared" si="89"/>
        <v>46</v>
      </c>
      <c r="W297" s="4">
        <f t="shared" si="90"/>
        <v>9</v>
      </c>
      <c r="X297" s="4">
        <f t="shared" si="91"/>
        <v>39</v>
      </c>
      <c r="Y297" s="4">
        <f t="shared" si="92"/>
        <v>9</v>
      </c>
      <c r="Z297" s="4">
        <f t="shared" si="93"/>
        <v>41</v>
      </c>
      <c r="AA297" s="102">
        <f t="shared" si="94"/>
        <v>39</v>
      </c>
      <c r="AC297" s="100">
        <f t="shared" si="95"/>
        <v>0.96899739686213648</v>
      </c>
    </row>
    <row r="298" spans="4:29" x14ac:dyDescent="0.35">
      <c r="D298">
        <f t="shared" si="96"/>
        <v>294</v>
      </c>
      <c r="E298" s="101">
        <v>1</v>
      </c>
      <c r="F298" s="4">
        <v>6</v>
      </c>
      <c r="G298" s="4">
        <v>4</v>
      </c>
      <c r="H298" s="4">
        <v>3</v>
      </c>
      <c r="I298" s="4">
        <v>6</v>
      </c>
      <c r="J298" s="4">
        <v>6</v>
      </c>
      <c r="K298" s="102">
        <v>5</v>
      </c>
      <c r="M298" s="101">
        <f t="shared" si="81"/>
        <v>34</v>
      </c>
      <c r="N298" s="4">
        <f t="shared" si="82"/>
        <v>45</v>
      </c>
      <c r="O298" s="4">
        <f t="shared" si="83"/>
        <v>12</v>
      </c>
      <c r="P298" s="4">
        <f t="shared" si="84"/>
        <v>23</v>
      </c>
      <c r="Q298" s="4">
        <f t="shared" si="85"/>
        <v>45</v>
      </c>
      <c r="R298" s="4">
        <f t="shared" si="86"/>
        <v>45</v>
      </c>
      <c r="S298" s="102">
        <f t="shared" si="87"/>
        <v>30</v>
      </c>
      <c r="U298" s="101">
        <f t="shared" si="88"/>
        <v>46</v>
      </c>
      <c r="V298" s="4">
        <f t="shared" si="89"/>
        <v>71</v>
      </c>
      <c r="W298" s="4">
        <f t="shared" si="90"/>
        <v>9</v>
      </c>
      <c r="X298" s="4">
        <f t="shared" si="91"/>
        <v>39</v>
      </c>
      <c r="Y298" s="4">
        <f t="shared" si="92"/>
        <v>71</v>
      </c>
      <c r="Z298" s="4">
        <f t="shared" si="93"/>
        <v>71</v>
      </c>
      <c r="AA298" s="102">
        <f t="shared" si="94"/>
        <v>39</v>
      </c>
      <c r="AC298" s="100">
        <f t="shared" si="95"/>
        <v>0.98257556361453113</v>
      </c>
    </row>
    <row r="299" spans="4:29" x14ac:dyDescent="0.35">
      <c r="D299">
        <f t="shared" si="96"/>
        <v>295</v>
      </c>
      <c r="E299" s="101">
        <v>3</v>
      </c>
      <c r="F299" s="4">
        <v>5</v>
      </c>
      <c r="G299" s="4">
        <v>1</v>
      </c>
      <c r="H299" s="4">
        <v>4</v>
      </c>
      <c r="I299" s="4">
        <v>2</v>
      </c>
      <c r="J299" s="4">
        <v>7</v>
      </c>
      <c r="K299" s="102">
        <v>6</v>
      </c>
      <c r="M299" s="101">
        <f t="shared" si="81"/>
        <v>23</v>
      </c>
      <c r="N299" s="4">
        <f t="shared" si="82"/>
        <v>30</v>
      </c>
      <c r="O299" s="4">
        <f t="shared" si="83"/>
        <v>34</v>
      </c>
      <c r="P299" s="4">
        <f t="shared" si="84"/>
        <v>12</v>
      </c>
      <c r="Q299" s="4">
        <f t="shared" si="85"/>
        <v>56</v>
      </c>
      <c r="R299" s="4">
        <f t="shared" si="86"/>
        <v>29</v>
      </c>
      <c r="S299" s="102">
        <f t="shared" si="87"/>
        <v>45</v>
      </c>
      <c r="U299" s="101">
        <f t="shared" si="88"/>
        <v>39</v>
      </c>
      <c r="V299" s="4">
        <f t="shared" si="89"/>
        <v>39</v>
      </c>
      <c r="W299" s="4">
        <f t="shared" si="90"/>
        <v>46</v>
      </c>
      <c r="X299" s="4">
        <f t="shared" si="91"/>
        <v>9</v>
      </c>
      <c r="Y299" s="4">
        <f t="shared" si="92"/>
        <v>78</v>
      </c>
      <c r="Z299" s="4">
        <f t="shared" si="93"/>
        <v>41</v>
      </c>
      <c r="AA299" s="102">
        <f t="shared" si="94"/>
        <v>71</v>
      </c>
      <c r="AC299" s="100">
        <f t="shared" si="95"/>
        <v>0.97529211313754438</v>
      </c>
    </row>
    <row r="300" spans="4:29" x14ac:dyDescent="0.35">
      <c r="D300">
        <f t="shared" si="96"/>
        <v>296</v>
      </c>
      <c r="E300" s="101">
        <v>4</v>
      </c>
      <c r="F300" s="4">
        <v>5</v>
      </c>
      <c r="G300" s="4">
        <v>7</v>
      </c>
      <c r="H300" s="4">
        <v>4</v>
      </c>
      <c r="I300" s="4">
        <v>3</v>
      </c>
      <c r="J300" s="4">
        <v>6</v>
      </c>
      <c r="K300" s="102">
        <v>7</v>
      </c>
      <c r="M300" s="101">
        <f t="shared" si="81"/>
        <v>12</v>
      </c>
      <c r="N300" s="4">
        <f t="shared" si="82"/>
        <v>30</v>
      </c>
      <c r="O300" s="4">
        <f t="shared" si="83"/>
        <v>29</v>
      </c>
      <c r="P300" s="4">
        <f t="shared" si="84"/>
        <v>12</v>
      </c>
      <c r="Q300" s="4">
        <f t="shared" si="85"/>
        <v>23</v>
      </c>
      <c r="R300" s="4">
        <f t="shared" si="86"/>
        <v>45</v>
      </c>
      <c r="S300" s="102">
        <f t="shared" si="87"/>
        <v>29</v>
      </c>
      <c r="U300" s="101">
        <f t="shared" si="88"/>
        <v>9</v>
      </c>
      <c r="V300" s="4">
        <f t="shared" si="89"/>
        <v>39</v>
      </c>
      <c r="W300" s="4">
        <f t="shared" si="90"/>
        <v>41</v>
      </c>
      <c r="X300" s="4">
        <f t="shared" si="91"/>
        <v>9</v>
      </c>
      <c r="Y300" s="4">
        <f t="shared" si="92"/>
        <v>39</v>
      </c>
      <c r="Z300" s="4">
        <f t="shared" si="93"/>
        <v>71</v>
      </c>
      <c r="AA300" s="102">
        <f t="shared" si="94"/>
        <v>41</v>
      </c>
      <c r="AC300" s="100">
        <f t="shared" si="95"/>
        <v>0.98257098000103771</v>
      </c>
    </row>
    <row r="301" spans="4:29" x14ac:dyDescent="0.35">
      <c r="D301">
        <f t="shared" si="96"/>
        <v>297</v>
      </c>
      <c r="E301" s="101">
        <v>1</v>
      </c>
      <c r="F301" s="4">
        <v>6</v>
      </c>
      <c r="G301" s="4">
        <v>7</v>
      </c>
      <c r="H301" s="4">
        <v>6</v>
      </c>
      <c r="I301" s="4">
        <v>2</v>
      </c>
      <c r="J301" s="4">
        <v>2</v>
      </c>
      <c r="K301" s="102">
        <v>5</v>
      </c>
      <c r="M301" s="101">
        <f t="shared" si="81"/>
        <v>34</v>
      </c>
      <c r="N301" s="4">
        <f t="shared" si="82"/>
        <v>45</v>
      </c>
      <c r="O301" s="4">
        <f t="shared" si="83"/>
        <v>29</v>
      </c>
      <c r="P301" s="4">
        <f t="shared" si="84"/>
        <v>45</v>
      </c>
      <c r="Q301" s="4">
        <f t="shared" si="85"/>
        <v>56</v>
      </c>
      <c r="R301" s="4">
        <f t="shared" si="86"/>
        <v>56</v>
      </c>
      <c r="S301" s="102">
        <f t="shared" si="87"/>
        <v>30</v>
      </c>
      <c r="U301" s="101">
        <f t="shared" si="88"/>
        <v>46</v>
      </c>
      <c r="V301" s="4">
        <f t="shared" si="89"/>
        <v>71</v>
      </c>
      <c r="W301" s="4">
        <f t="shared" si="90"/>
        <v>41</v>
      </c>
      <c r="X301" s="4">
        <f t="shared" si="91"/>
        <v>71</v>
      </c>
      <c r="Y301" s="4">
        <f t="shared" si="92"/>
        <v>78</v>
      </c>
      <c r="Z301" s="4">
        <f t="shared" si="93"/>
        <v>78</v>
      </c>
      <c r="AA301" s="102">
        <f t="shared" si="94"/>
        <v>39</v>
      </c>
      <c r="AC301" s="100">
        <f t="shared" si="95"/>
        <v>0.96906703733281929</v>
      </c>
    </row>
    <row r="302" spans="4:29" x14ac:dyDescent="0.35">
      <c r="D302">
        <f t="shared" si="96"/>
        <v>298</v>
      </c>
      <c r="E302" s="101">
        <v>4</v>
      </c>
      <c r="F302" s="4">
        <v>3</v>
      </c>
      <c r="G302" s="4">
        <v>7</v>
      </c>
      <c r="H302" s="4">
        <v>6</v>
      </c>
      <c r="I302" s="4">
        <v>5</v>
      </c>
      <c r="J302" s="4">
        <v>7</v>
      </c>
      <c r="K302" s="102">
        <v>6</v>
      </c>
      <c r="M302" s="101">
        <f t="shared" si="81"/>
        <v>12</v>
      </c>
      <c r="N302" s="4">
        <f t="shared" si="82"/>
        <v>23</v>
      </c>
      <c r="O302" s="4">
        <f t="shared" si="83"/>
        <v>29</v>
      </c>
      <c r="P302" s="4">
        <f t="shared" si="84"/>
        <v>45</v>
      </c>
      <c r="Q302" s="4">
        <f t="shared" si="85"/>
        <v>30</v>
      </c>
      <c r="R302" s="4">
        <f t="shared" si="86"/>
        <v>29</v>
      </c>
      <c r="S302" s="102">
        <f t="shared" si="87"/>
        <v>45</v>
      </c>
      <c r="U302" s="101">
        <f t="shared" si="88"/>
        <v>9</v>
      </c>
      <c r="V302" s="4">
        <f t="shared" si="89"/>
        <v>39</v>
      </c>
      <c r="W302" s="4">
        <f t="shared" si="90"/>
        <v>41</v>
      </c>
      <c r="X302" s="4">
        <f t="shared" si="91"/>
        <v>71</v>
      </c>
      <c r="Y302" s="4">
        <f t="shared" si="92"/>
        <v>39</v>
      </c>
      <c r="Z302" s="4">
        <f t="shared" si="93"/>
        <v>41</v>
      </c>
      <c r="AA302" s="102">
        <f t="shared" si="94"/>
        <v>71</v>
      </c>
      <c r="AC302" s="100">
        <f t="shared" si="95"/>
        <v>0.9832088581879187</v>
      </c>
    </row>
    <row r="303" spans="4:29" x14ac:dyDescent="0.35">
      <c r="D303">
        <f t="shared" si="96"/>
        <v>299</v>
      </c>
      <c r="E303" s="101">
        <v>7</v>
      </c>
      <c r="F303" s="4">
        <v>6</v>
      </c>
      <c r="G303" s="4">
        <v>6</v>
      </c>
      <c r="H303" s="4">
        <v>5</v>
      </c>
      <c r="I303" s="4">
        <v>7</v>
      </c>
      <c r="J303" s="4">
        <v>5</v>
      </c>
      <c r="K303" s="102">
        <v>1</v>
      </c>
      <c r="M303" s="101">
        <f t="shared" si="81"/>
        <v>29</v>
      </c>
      <c r="N303" s="4">
        <f t="shared" si="82"/>
        <v>45</v>
      </c>
      <c r="O303" s="4">
        <f t="shared" si="83"/>
        <v>45</v>
      </c>
      <c r="P303" s="4">
        <f t="shared" si="84"/>
        <v>30</v>
      </c>
      <c r="Q303" s="4">
        <f t="shared" si="85"/>
        <v>29</v>
      </c>
      <c r="R303" s="4">
        <f t="shared" si="86"/>
        <v>30</v>
      </c>
      <c r="S303" s="102">
        <f t="shared" si="87"/>
        <v>34</v>
      </c>
      <c r="U303" s="101">
        <f t="shared" si="88"/>
        <v>41</v>
      </c>
      <c r="V303" s="4">
        <f t="shared" si="89"/>
        <v>71</v>
      </c>
      <c r="W303" s="4">
        <f t="shared" si="90"/>
        <v>71</v>
      </c>
      <c r="X303" s="4">
        <f t="shared" si="91"/>
        <v>39</v>
      </c>
      <c r="Y303" s="4">
        <f t="shared" si="92"/>
        <v>41</v>
      </c>
      <c r="Z303" s="4">
        <f t="shared" si="93"/>
        <v>39</v>
      </c>
      <c r="AA303" s="102">
        <f t="shared" si="94"/>
        <v>46</v>
      </c>
      <c r="AC303" s="100">
        <f t="shared" si="95"/>
        <v>0.99085354310228535</v>
      </c>
    </row>
    <row r="304" spans="4:29" x14ac:dyDescent="0.35">
      <c r="D304">
        <f t="shared" si="96"/>
        <v>300</v>
      </c>
      <c r="E304" s="101">
        <v>5</v>
      </c>
      <c r="F304" s="4">
        <v>3</v>
      </c>
      <c r="G304" s="4">
        <v>4</v>
      </c>
      <c r="H304" s="4">
        <v>3</v>
      </c>
      <c r="I304" s="4">
        <v>3</v>
      </c>
      <c r="J304" s="4">
        <v>6</v>
      </c>
      <c r="K304" s="102">
        <v>3</v>
      </c>
      <c r="M304" s="101">
        <f t="shared" si="81"/>
        <v>30</v>
      </c>
      <c r="N304" s="4">
        <f t="shared" si="82"/>
        <v>23</v>
      </c>
      <c r="O304" s="4">
        <f t="shared" si="83"/>
        <v>12</v>
      </c>
      <c r="P304" s="4">
        <f t="shared" si="84"/>
        <v>23</v>
      </c>
      <c r="Q304" s="4">
        <f t="shared" si="85"/>
        <v>23</v>
      </c>
      <c r="R304" s="4">
        <f t="shared" si="86"/>
        <v>45</v>
      </c>
      <c r="S304" s="102">
        <f t="shared" si="87"/>
        <v>23</v>
      </c>
      <c r="U304" s="101">
        <f t="shared" si="88"/>
        <v>39</v>
      </c>
      <c r="V304" s="4">
        <f t="shared" si="89"/>
        <v>39</v>
      </c>
      <c r="W304" s="4">
        <f t="shared" si="90"/>
        <v>9</v>
      </c>
      <c r="X304" s="4">
        <f t="shared" si="91"/>
        <v>39</v>
      </c>
      <c r="Y304" s="4">
        <f t="shared" si="92"/>
        <v>39</v>
      </c>
      <c r="Z304" s="4">
        <f t="shared" si="93"/>
        <v>71</v>
      </c>
      <c r="AA304" s="102">
        <f t="shared" si="94"/>
        <v>39</v>
      </c>
      <c r="AC304" s="100">
        <f t="shared" si="95"/>
        <v>0.95162824290482817</v>
      </c>
    </row>
    <row r="305" spans="4:29" x14ac:dyDescent="0.35">
      <c r="D305">
        <f t="shared" si="96"/>
        <v>301</v>
      </c>
      <c r="E305" s="101">
        <v>3</v>
      </c>
      <c r="F305" s="4">
        <v>6</v>
      </c>
      <c r="G305" s="4">
        <v>3</v>
      </c>
      <c r="H305" s="4">
        <v>1</v>
      </c>
      <c r="I305" s="4">
        <v>7</v>
      </c>
      <c r="J305" s="4">
        <v>7</v>
      </c>
      <c r="K305" s="102">
        <v>4</v>
      </c>
      <c r="M305" s="101">
        <f t="shared" si="81"/>
        <v>23</v>
      </c>
      <c r="N305" s="4">
        <f t="shared" si="82"/>
        <v>45</v>
      </c>
      <c r="O305" s="4">
        <f t="shared" si="83"/>
        <v>23</v>
      </c>
      <c r="P305" s="4">
        <f t="shared" si="84"/>
        <v>34</v>
      </c>
      <c r="Q305" s="4">
        <f t="shared" si="85"/>
        <v>29</v>
      </c>
      <c r="R305" s="4">
        <f t="shared" si="86"/>
        <v>29</v>
      </c>
      <c r="S305" s="102">
        <f t="shared" si="87"/>
        <v>12</v>
      </c>
      <c r="U305" s="101">
        <f t="shared" si="88"/>
        <v>39</v>
      </c>
      <c r="V305" s="4">
        <f t="shared" si="89"/>
        <v>71</v>
      </c>
      <c r="W305" s="4">
        <f t="shared" si="90"/>
        <v>39</v>
      </c>
      <c r="X305" s="4">
        <f t="shared" si="91"/>
        <v>46</v>
      </c>
      <c r="Y305" s="4">
        <f t="shared" si="92"/>
        <v>41</v>
      </c>
      <c r="Z305" s="4">
        <f t="shared" si="93"/>
        <v>41</v>
      </c>
      <c r="AA305" s="102">
        <f t="shared" si="94"/>
        <v>9</v>
      </c>
      <c r="AC305" s="100">
        <f t="shared" si="95"/>
        <v>0.96317344934838256</v>
      </c>
    </row>
    <row r="306" spans="4:29" x14ac:dyDescent="0.35">
      <c r="D306">
        <f t="shared" si="96"/>
        <v>302</v>
      </c>
      <c r="E306" s="101">
        <v>3</v>
      </c>
      <c r="F306" s="4">
        <v>6</v>
      </c>
      <c r="G306" s="4">
        <v>5</v>
      </c>
      <c r="H306" s="4">
        <v>2</v>
      </c>
      <c r="I306" s="4">
        <v>2</v>
      </c>
      <c r="J306" s="4">
        <v>2</v>
      </c>
      <c r="K306" s="102">
        <v>3</v>
      </c>
      <c r="M306" s="101">
        <f t="shared" si="81"/>
        <v>23</v>
      </c>
      <c r="N306" s="4">
        <f t="shared" si="82"/>
        <v>45</v>
      </c>
      <c r="O306" s="4">
        <f t="shared" si="83"/>
        <v>30</v>
      </c>
      <c r="P306" s="4">
        <f t="shared" si="84"/>
        <v>56</v>
      </c>
      <c r="Q306" s="4">
        <f t="shared" si="85"/>
        <v>56</v>
      </c>
      <c r="R306" s="4">
        <f t="shared" si="86"/>
        <v>56</v>
      </c>
      <c r="S306" s="102">
        <f t="shared" si="87"/>
        <v>23</v>
      </c>
      <c r="U306" s="101">
        <f t="shared" si="88"/>
        <v>39</v>
      </c>
      <c r="V306" s="4">
        <f t="shared" si="89"/>
        <v>71</v>
      </c>
      <c r="W306" s="4">
        <f t="shared" si="90"/>
        <v>39</v>
      </c>
      <c r="X306" s="4">
        <f t="shared" si="91"/>
        <v>78</v>
      </c>
      <c r="Y306" s="4">
        <f t="shared" si="92"/>
        <v>78</v>
      </c>
      <c r="Z306" s="4">
        <f t="shared" si="93"/>
        <v>78</v>
      </c>
      <c r="AA306" s="102">
        <f t="shared" si="94"/>
        <v>39</v>
      </c>
      <c r="AC306" s="100">
        <f t="shared" si="95"/>
        <v>0.98023554132276813</v>
      </c>
    </row>
    <row r="307" spans="4:29" x14ac:dyDescent="0.35">
      <c r="D307">
        <f t="shared" si="96"/>
        <v>303</v>
      </c>
      <c r="E307" s="101">
        <v>4</v>
      </c>
      <c r="F307" s="4">
        <v>2</v>
      </c>
      <c r="G307" s="4">
        <v>6</v>
      </c>
      <c r="H307" s="4">
        <v>7</v>
      </c>
      <c r="I307" s="4">
        <v>7</v>
      </c>
      <c r="J307" s="4">
        <v>3</v>
      </c>
      <c r="K307" s="102">
        <v>4</v>
      </c>
      <c r="M307" s="101">
        <f t="shared" si="81"/>
        <v>12</v>
      </c>
      <c r="N307" s="4">
        <f t="shared" si="82"/>
        <v>56</v>
      </c>
      <c r="O307" s="4">
        <f t="shared" si="83"/>
        <v>45</v>
      </c>
      <c r="P307" s="4">
        <f t="shared" si="84"/>
        <v>29</v>
      </c>
      <c r="Q307" s="4">
        <f t="shared" si="85"/>
        <v>29</v>
      </c>
      <c r="R307" s="4">
        <f t="shared" si="86"/>
        <v>23</v>
      </c>
      <c r="S307" s="102">
        <f t="shared" si="87"/>
        <v>12</v>
      </c>
      <c r="U307" s="101">
        <f t="shared" si="88"/>
        <v>9</v>
      </c>
      <c r="V307" s="4">
        <f t="shared" si="89"/>
        <v>78</v>
      </c>
      <c r="W307" s="4">
        <f t="shared" si="90"/>
        <v>71</v>
      </c>
      <c r="X307" s="4">
        <f t="shared" si="91"/>
        <v>41</v>
      </c>
      <c r="Y307" s="4">
        <f t="shared" si="92"/>
        <v>41</v>
      </c>
      <c r="Z307" s="4">
        <f t="shared" si="93"/>
        <v>39</v>
      </c>
      <c r="AA307" s="102">
        <f t="shared" si="94"/>
        <v>9</v>
      </c>
      <c r="AC307" s="100">
        <f t="shared" si="95"/>
        <v>0.98139683518169407</v>
      </c>
    </row>
    <row r="308" spans="4:29" x14ac:dyDescent="0.35">
      <c r="D308">
        <f t="shared" si="96"/>
        <v>304</v>
      </c>
      <c r="E308" s="101">
        <v>4</v>
      </c>
      <c r="F308" s="4">
        <v>7</v>
      </c>
      <c r="G308" s="4">
        <v>1</v>
      </c>
      <c r="H308" s="4">
        <v>1</v>
      </c>
      <c r="I308" s="4">
        <v>7</v>
      </c>
      <c r="J308" s="4">
        <v>4</v>
      </c>
      <c r="K308" s="102">
        <v>7</v>
      </c>
      <c r="M308" s="101">
        <f t="shared" si="81"/>
        <v>12</v>
      </c>
      <c r="N308" s="4">
        <f t="shared" si="82"/>
        <v>29</v>
      </c>
      <c r="O308" s="4">
        <f t="shared" si="83"/>
        <v>34</v>
      </c>
      <c r="P308" s="4">
        <f t="shared" si="84"/>
        <v>34</v>
      </c>
      <c r="Q308" s="4">
        <f t="shared" si="85"/>
        <v>29</v>
      </c>
      <c r="R308" s="4">
        <f t="shared" si="86"/>
        <v>12</v>
      </c>
      <c r="S308" s="102">
        <f t="shared" si="87"/>
        <v>29</v>
      </c>
      <c r="U308" s="101">
        <f t="shared" si="88"/>
        <v>9</v>
      </c>
      <c r="V308" s="4">
        <f t="shared" si="89"/>
        <v>41</v>
      </c>
      <c r="W308" s="4">
        <f t="shared" si="90"/>
        <v>46</v>
      </c>
      <c r="X308" s="4">
        <f t="shared" si="91"/>
        <v>46</v>
      </c>
      <c r="Y308" s="4">
        <f t="shared" si="92"/>
        <v>41</v>
      </c>
      <c r="Z308" s="4">
        <f t="shared" si="93"/>
        <v>9</v>
      </c>
      <c r="AA308" s="102">
        <f t="shared" si="94"/>
        <v>41</v>
      </c>
      <c r="AC308" s="100">
        <f t="shared" si="95"/>
        <v>0.99473161485949713</v>
      </c>
    </row>
    <row r="309" spans="4:29" x14ac:dyDescent="0.35">
      <c r="D309">
        <f t="shared" si="96"/>
        <v>305</v>
      </c>
      <c r="E309" s="101">
        <v>5</v>
      </c>
      <c r="F309" s="4">
        <v>5</v>
      </c>
      <c r="G309" s="4">
        <v>5</v>
      </c>
      <c r="H309" s="4">
        <v>3</v>
      </c>
      <c r="I309" s="4">
        <v>3</v>
      </c>
      <c r="J309" s="4">
        <v>5</v>
      </c>
      <c r="K309" s="102">
        <v>2</v>
      </c>
      <c r="M309" s="101">
        <f t="shared" si="81"/>
        <v>30</v>
      </c>
      <c r="N309" s="4">
        <f t="shared" si="82"/>
        <v>30</v>
      </c>
      <c r="O309" s="4">
        <f t="shared" si="83"/>
        <v>30</v>
      </c>
      <c r="P309" s="4">
        <f t="shared" si="84"/>
        <v>23</v>
      </c>
      <c r="Q309" s="4">
        <f t="shared" si="85"/>
        <v>23</v>
      </c>
      <c r="R309" s="4">
        <f t="shared" si="86"/>
        <v>30</v>
      </c>
      <c r="S309" s="102">
        <f t="shared" si="87"/>
        <v>56</v>
      </c>
      <c r="U309" s="101">
        <f t="shared" si="88"/>
        <v>39</v>
      </c>
      <c r="V309" s="4">
        <f t="shared" si="89"/>
        <v>39</v>
      </c>
      <c r="W309" s="4">
        <f t="shared" si="90"/>
        <v>39</v>
      </c>
      <c r="X309" s="4">
        <f t="shared" si="91"/>
        <v>39</v>
      </c>
      <c r="Y309" s="4">
        <f t="shared" si="92"/>
        <v>39</v>
      </c>
      <c r="Z309" s="4">
        <f t="shared" si="93"/>
        <v>39</v>
      </c>
      <c r="AA309" s="102">
        <f t="shared" si="94"/>
        <v>78</v>
      </c>
      <c r="AC309" s="100">
        <f t="shared" si="95"/>
        <v>0.95565961458608673</v>
      </c>
    </row>
    <row r="310" spans="4:29" x14ac:dyDescent="0.35">
      <c r="D310">
        <f t="shared" si="96"/>
        <v>306</v>
      </c>
      <c r="E310" s="101">
        <v>2</v>
      </c>
      <c r="F310" s="4">
        <v>5</v>
      </c>
      <c r="G310" s="4">
        <v>7</v>
      </c>
      <c r="H310" s="4">
        <v>1</v>
      </c>
      <c r="I310" s="4">
        <v>4</v>
      </c>
      <c r="J310" s="4">
        <v>7</v>
      </c>
      <c r="K310" s="102">
        <v>1</v>
      </c>
      <c r="M310" s="101">
        <f t="shared" si="81"/>
        <v>56</v>
      </c>
      <c r="N310" s="4">
        <f t="shared" si="82"/>
        <v>30</v>
      </c>
      <c r="O310" s="4">
        <f t="shared" si="83"/>
        <v>29</v>
      </c>
      <c r="P310" s="4">
        <f t="shared" si="84"/>
        <v>34</v>
      </c>
      <c r="Q310" s="4">
        <f t="shared" si="85"/>
        <v>12</v>
      </c>
      <c r="R310" s="4">
        <f t="shared" si="86"/>
        <v>29</v>
      </c>
      <c r="S310" s="102">
        <f t="shared" si="87"/>
        <v>34</v>
      </c>
      <c r="U310" s="101">
        <f t="shared" si="88"/>
        <v>78</v>
      </c>
      <c r="V310" s="4">
        <f t="shared" si="89"/>
        <v>39</v>
      </c>
      <c r="W310" s="4">
        <f t="shared" si="90"/>
        <v>41</v>
      </c>
      <c r="X310" s="4">
        <f t="shared" si="91"/>
        <v>46</v>
      </c>
      <c r="Y310" s="4">
        <f t="shared" si="92"/>
        <v>9</v>
      </c>
      <c r="Z310" s="4">
        <f t="shared" si="93"/>
        <v>41</v>
      </c>
      <c r="AA310" s="102">
        <f t="shared" si="94"/>
        <v>46</v>
      </c>
      <c r="AC310" s="100">
        <f t="shared" si="95"/>
        <v>0.99409713603390548</v>
      </c>
    </row>
    <row r="311" spans="4:29" x14ac:dyDescent="0.35">
      <c r="D311">
        <f t="shared" si="96"/>
        <v>307</v>
      </c>
      <c r="E311" s="101">
        <v>5</v>
      </c>
      <c r="F311" s="4">
        <v>6</v>
      </c>
      <c r="G311" s="4">
        <v>1</v>
      </c>
      <c r="H311" s="4">
        <v>3</v>
      </c>
      <c r="I311" s="4">
        <v>4</v>
      </c>
      <c r="J311" s="4">
        <v>7</v>
      </c>
      <c r="K311" s="102">
        <v>6</v>
      </c>
      <c r="M311" s="101">
        <f t="shared" si="81"/>
        <v>30</v>
      </c>
      <c r="N311" s="4">
        <f t="shared" si="82"/>
        <v>45</v>
      </c>
      <c r="O311" s="4">
        <f t="shared" si="83"/>
        <v>34</v>
      </c>
      <c r="P311" s="4">
        <f t="shared" si="84"/>
        <v>23</v>
      </c>
      <c r="Q311" s="4">
        <f t="shared" si="85"/>
        <v>12</v>
      </c>
      <c r="R311" s="4">
        <f t="shared" si="86"/>
        <v>29</v>
      </c>
      <c r="S311" s="102">
        <f t="shared" si="87"/>
        <v>45</v>
      </c>
      <c r="U311" s="101">
        <f t="shared" si="88"/>
        <v>39</v>
      </c>
      <c r="V311" s="4">
        <f t="shared" si="89"/>
        <v>71</v>
      </c>
      <c r="W311" s="4">
        <f t="shared" si="90"/>
        <v>46</v>
      </c>
      <c r="X311" s="4">
        <f t="shared" si="91"/>
        <v>39</v>
      </c>
      <c r="Y311" s="4">
        <f t="shared" si="92"/>
        <v>9</v>
      </c>
      <c r="Z311" s="4">
        <f t="shared" si="93"/>
        <v>41</v>
      </c>
      <c r="AA311" s="102">
        <f t="shared" si="94"/>
        <v>71</v>
      </c>
      <c r="AC311" s="100">
        <f t="shared" si="95"/>
        <v>0.97937552009697748</v>
      </c>
    </row>
    <row r="312" spans="4:29" x14ac:dyDescent="0.35">
      <c r="D312">
        <f t="shared" si="96"/>
        <v>308</v>
      </c>
      <c r="E312" s="101">
        <v>6</v>
      </c>
      <c r="F312" s="4">
        <v>1</v>
      </c>
      <c r="G312" s="4">
        <v>4</v>
      </c>
      <c r="H312" s="4">
        <v>3</v>
      </c>
      <c r="I312" s="4">
        <v>1</v>
      </c>
      <c r="J312" s="4">
        <v>6</v>
      </c>
      <c r="K312" s="102">
        <v>5</v>
      </c>
      <c r="M312" s="101">
        <f t="shared" si="81"/>
        <v>45</v>
      </c>
      <c r="N312" s="4">
        <f t="shared" si="82"/>
        <v>34</v>
      </c>
      <c r="O312" s="4">
        <f t="shared" si="83"/>
        <v>12</v>
      </c>
      <c r="P312" s="4">
        <f t="shared" si="84"/>
        <v>23</v>
      </c>
      <c r="Q312" s="4">
        <f t="shared" si="85"/>
        <v>34</v>
      </c>
      <c r="R312" s="4">
        <f t="shared" si="86"/>
        <v>45</v>
      </c>
      <c r="S312" s="102">
        <f t="shared" si="87"/>
        <v>30</v>
      </c>
      <c r="U312" s="101">
        <f t="shared" si="88"/>
        <v>71</v>
      </c>
      <c r="V312" s="4">
        <f t="shared" si="89"/>
        <v>46</v>
      </c>
      <c r="W312" s="4">
        <f t="shared" si="90"/>
        <v>9</v>
      </c>
      <c r="X312" s="4">
        <f t="shared" si="91"/>
        <v>39</v>
      </c>
      <c r="Y312" s="4">
        <f t="shared" si="92"/>
        <v>46</v>
      </c>
      <c r="Z312" s="4">
        <f t="shared" si="93"/>
        <v>71</v>
      </c>
      <c r="AA312" s="102">
        <f t="shared" si="94"/>
        <v>39</v>
      </c>
      <c r="AC312" s="100">
        <f t="shared" si="95"/>
        <v>0.97631787239453771</v>
      </c>
    </row>
    <row r="313" spans="4:29" x14ac:dyDescent="0.35">
      <c r="D313">
        <f t="shared" si="96"/>
        <v>309</v>
      </c>
      <c r="E313" s="101">
        <v>2</v>
      </c>
      <c r="F313" s="4">
        <v>5</v>
      </c>
      <c r="G313" s="4">
        <v>5</v>
      </c>
      <c r="H313" s="4">
        <v>7</v>
      </c>
      <c r="I313" s="4">
        <v>3</v>
      </c>
      <c r="J313" s="4">
        <v>7</v>
      </c>
      <c r="K313" s="102">
        <v>5</v>
      </c>
      <c r="M313" s="101">
        <f t="shared" si="81"/>
        <v>56</v>
      </c>
      <c r="N313" s="4">
        <f t="shared" si="82"/>
        <v>30</v>
      </c>
      <c r="O313" s="4">
        <f t="shared" si="83"/>
        <v>30</v>
      </c>
      <c r="P313" s="4">
        <f t="shared" si="84"/>
        <v>29</v>
      </c>
      <c r="Q313" s="4">
        <f t="shared" si="85"/>
        <v>23</v>
      </c>
      <c r="R313" s="4">
        <f t="shared" si="86"/>
        <v>29</v>
      </c>
      <c r="S313" s="102">
        <f t="shared" si="87"/>
        <v>30</v>
      </c>
      <c r="U313" s="101">
        <f t="shared" si="88"/>
        <v>78</v>
      </c>
      <c r="V313" s="4">
        <f t="shared" si="89"/>
        <v>39</v>
      </c>
      <c r="W313" s="4">
        <f t="shared" si="90"/>
        <v>39</v>
      </c>
      <c r="X313" s="4">
        <f t="shared" si="91"/>
        <v>41</v>
      </c>
      <c r="Y313" s="4">
        <f t="shared" si="92"/>
        <v>39</v>
      </c>
      <c r="Z313" s="4">
        <f t="shared" si="93"/>
        <v>41</v>
      </c>
      <c r="AA313" s="102">
        <f t="shared" si="94"/>
        <v>39</v>
      </c>
      <c r="AC313" s="100">
        <f t="shared" si="95"/>
        <v>0.97236736459660678</v>
      </c>
    </row>
    <row r="314" spans="4:29" x14ac:dyDescent="0.35">
      <c r="D314">
        <f t="shared" si="96"/>
        <v>310</v>
      </c>
      <c r="E314" s="101">
        <v>2</v>
      </c>
      <c r="F314" s="4">
        <v>3</v>
      </c>
      <c r="G314" s="4">
        <v>3</v>
      </c>
      <c r="H314" s="4">
        <v>5</v>
      </c>
      <c r="I314" s="4">
        <v>3</v>
      </c>
      <c r="J314" s="4">
        <v>5</v>
      </c>
      <c r="K314" s="102">
        <v>5</v>
      </c>
      <c r="M314" s="101">
        <f t="shared" si="81"/>
        <v>56</v>
      </c>
      <c r="N314" s="4">
        <f t="shared" si="82"/>
        <v>23</v>
      </c>
      <c r="O314" s="4">
        <f t="shared" si="83"/>
        <v>23</v>
      </c>
      <c r="P314" s="4">
        <f t="shared" si="84"/>
        <v>30</v>
      </c>
      <c r="Q314" s="4">
        <f t="shared" si="85"/>
        <v>23</v>
      </c>
      <c r="R314" s="4">
        <f t="shared" si="86"/>
        <v>30</v>
      </c>
      <c r="S314" s="102">
        <f t="shared" si="87"/>
        <v>30</v>
      </c>
      <c r="U314" s="101">
        <f t="shared" si="88"/>
        <v>78</v>
      </c>
      <c r="V314" s="4">
        <f t="shared" si="89"/>
        <v>39</v>
      </c>
      <c r="W314" s="4">
        <f t="shared" si="90"/>
        <v>39</v>
      </c>
      <c r="X314" s="4">
        <f t="shared" si="91"/>
        <v>39</v>
      </c>
      <c r="Y314" s="4">
        <f t="shared" si="92"/>
        <v>39</v>
      </c>
      <c r="Z314" s="4">
        <f t="shared" si="93"/>
        <v>39</v>
      </c>
      <c r="AA314" s="102">
        <f t="shared" si="94"/>
        <v>39</v>
      </c>
      <c r="AC314" s="100">
        <f t="shared" si="95"/>
        <v>0.95409818534589774</v>
      </c>
    </row>
    <row r="315" spans="4:29" x14ac:dyDescent="0.35">
      <c r="D315">
        <f t="shared" si="96"/>
        <v>311</v>
      </c>
      <c r="E315" s="101">
        <v>4</v>
      </c>
      <c r="F315" s="4">
        <v>3</v>
      </c>
      <c r="G315" s="4">
        <v>6</v>
      </c>
      <c r="H315" s="4">
        <v>6</v>
      </c>
      <c r="I315" s="4">
        <v>3</v>
      </c>
      <c r="J315" s="4">
        <v>2</v>
      </c>
      <c r="K315" s="102">
        <v>4</v>
      </c>
      <c r="M315" s="101">
        <f t="shared" si="81"/>
        <v>12</v>
      </c>
      <c r="N315" s="4">
        <f t="shared" si="82"/>
        <v>23</v>
      </c>
      <c r="O315" s="4">
        <f t="shared" si="83"/>
        <v>45</v>
      </c>
      <c r="P315" s="4">
        <f t="shared" si="84"/>
        <v>45</v>
      </c>
      <c r="Q315" s="4">
        <f t="shared" si="85"/>
        <v>23</v>
      </c>
      <c r="R315" s="4">
        <f t="shared" si="86"/>
        <v>56</v>
      </c>
      <c r="S315" s="102">
        <f t="shared" si="87"/>
        <v>12</v>
      </c>
      <c r="U315" s="101">
        <f t="shared" si="88"/>
        <v>9</v>
      </c>
      <c r="V315" s="4">
        <f t="shared" si="89"/>
        <v>39</v>
      </c>
      <c r="W315" s="4">
        <f t="shared" si="90"/>
        <v>71</v>
      </c>
      <c r="X315" s="4">
        <f t="shared" si="91"/>
        <v>71</v>
      </c>
      <c r="Y315" s="4">
        <f t="shared" si="92"/>
        <v>39</v>
      </c>
      <c r="Z315" s="4">
        <f t="shared" si="93"/>
        <v>78</v>
      </c>
      <c r="AA315" s="102">
        <f t="shared" si="94"/>
        <v>9</v>
      </c>
      <c r="AC315" s="100">
        <f t="shared" si="95"/>
        <v>0.97734643785529818</v>
      </c>
    </row>
    <row r="316" spans="4:29" x14ac:dyDescent="0.35">
      <c r="D316">
        <f t="shared" si="96"/>
        <v>312</v>
      </c>
      <c r="E316" s="101">
        <v>3</v>
      </c>
      <c r="F316" s="4">
        <v>7</v>
      </c>
      <c r="G316" s="4">
        <v>3</v>
      </c>
      <c r="H316" s="4">
        <v>4</v>
      </c>
      <c r="I316" s="4">
        <v>6</v>
      </c>
      <c r="J316" s="4">
        <v>6</v>
      </c>
      <c r="K316" s="102">
        <v>6</v>
      </c>
      <c r="M316" s="101">
        <f t="shared" si="81"/>
        <v>23</v>
      </c>
      <c r="N316" s="4">
        <f t="shared" si="82"/>
        <v>29</v>
      </c>
      <c r="O316" s="4">
        <f t="shared" si="83"/>
        <v>23</v>
      </c>
      <c r="P316" s="4">
        <f t="shared" si="84"/>
        <v>12</v>
      </c>
      <c r="Q316" s="4">
        <f t="shared" si="85"/>
        <v>45</v>
      </c>
      <c r="R316" s="4">
        <f t="shared" si="86"/>
        <v>45</v>
      </c>
      <c r="S316" s="102">
        <f t="shared" si="87"/>
        <v>45</v>
      </c>
      <c r="U316" s="101">
        <f t="shared" si="88"/>
        <v>39</v>
      </c>
      <c r="V316" s="4">
        <f t="shared" si="89"/>
        <v>41</v>
      </c>
      <c r="W316" s="4">
        <f t="shared" si="90"/>
        <v>39</v>
      </c>
      <c r="X316" s="4">
        <f t="shared" si="91"/>
        <v>9</v>
      </c>
      <c r="Y316" s="4">
        <f t="shared" si="92"/>
        <v>71</v>
      </c>
      <c r="Z316" s="4">
        <f t="shared" si="93"/>
        <v>71</v>
      </c>
      <c r="AA316" s="102">
        <f t="shared" si="94"/>
        <v>71</v>
      </c>
      <c r="AC316" s="100">
        <f t="shared" si="95"/>
        <v>0.98487767662344494</v>
      </c>
    </row>
    <row r="317" spans="4:29" x14ac:dyDescent="0.35">
      <c r="D317">
        <f t="shared" si="96"/>
        <v>313</v>
      </c>
      <c r="E317" s="101">
        <v>7</v>
      </c>
      <c r="F317" s="4">
        <v>6</v>
      </c>
      <c r="G317" s="4">
        <v>6</v>
      </c>
      <c r="H317" s="4">
        <v>2</v>
      </c>
      <c r="I317" s="4">
        <v>2</v>
      </c>
      <c r="J317" s="4">
        <v>2</v>
      </c>
      <c r="K317" s="102">
        <v>4</v>
      </c>
      <c r="M317" s="101">
        <f t="shared" si="81"/>
        <v>29</v>
      </c>
      <c r="N317" s="4">
        <f t="shared" si="82"/>
        <v>45</v>
      </c>
      <c r="O317" s="4">
        <f t="shared" si="83"/>
        <v>45</v>
      </c>
      <c r="P317" s="4">
        <f t="shared" si="84"/>
        <v>56</v>
      </c>
      <c r="Q317" s="4">
        <f t="shared" si="85"/>
        <v>56</v>
      </c>
      <c r="R317" s="4">
        <f t="shared" si="86"/>
        <v>56</v>
      </c>
      <c r="S317" s="102">
        <f t="shared" si="87"/>
        <v>12</v>
      </c>
      <c r="U317" s="101">
        <f t="shared" si="88"/>
        <v>41</v>
      </c>
      <c r="V317" s="4">
        <f t="shared" si="89"/>
        <v>71</v>
      </c>
      <c r="W317" s="4">
        <f t="shared" si="90"/>
        <v>71</v>
      </c>
      <c r="X317" s="4">
        <f t="shared" si="91"/>
        <v>78</v>
      </c>
      <c r="Y317" s="4">
        <f t="shared" si="92"/>
        <v>78</v>
      </c>
      <c r="Z317" s="4">
        <f t="shared" si="93"/>
        <v>78</v>
      </c>
      <c r="AA317" s="102">
        <f t="shared" si="94"/>
        <v>9</v>
      </c>
      <c r="AC317" s="100">
        <f t="shared" si="95"/>
        <v>0.98272719530606756</v>
      </c>
    </row>
    <row r="318" spans="4:29" x14ac:dyDescent="0.35">
      <c r="D318">
        <f t="shared" si="96"/>
        <v>314</v>
      </c>
      <c r="E318" s="101">
        <v>7</v>
      </c>
      <c r="F318" s="4">
        <v>2</v>
      </c>
      <c r="G318" s="4">
        <v>2</v>
      </c>
      <c r="H318" s="4">
        <v>4</v>
      </c>
      <c r="I318" s="4">
        <v>3</v>
      </c>
      <c r="J318" s="4">
        <v>5</v>
      </c>
      <c r="K318" s="102">
        <v>5</v>
      </c>
      <c r="M318" s="101">
        <f t="shared" si="81"/>
        <v>29</v>
      </c>
      <c r="N318" s="4">
        <f t="shared" si="82"/>
        <v>56</v>
      </c>
      <c r="O318" s="4">
        <f t="shared" si="83"/>
        <v>56</v>
      </c>
      <c r="P318" s="4">
        <f t="shared" si="84"/>
        <v>12</v>
      </c>
      <c r="Q318" s="4">
        <f t="shared" si="85"/>
        <v>23</v>
      </c>
      <c r="R318" s="4">
        <f t="shared" si="86"/>
        <v>30</v>
      </c>
      <c r="S318" s="102">
        <f t="shared" si="87"/>
        <v>30</v>
      </c>
      <c r="U318" s="101">
        <f t="shared" si="88"/>
        <v>41</v>
      </c>
      <c r="V318" s="4">
        <f t="shared" si="89"/>
        <v>78</v>
      </c>
      <c r="W318" s="4">
        <f t="shared" si="90"/>
        <v>78</v>
      </c>
      <c r="X318" s="4">
        <f t="shared" si="91"/>
        <v>9</v>
      </c>
      <c r="Y318" s="4">
        <f t="shared" si="92"/>
        <v>39</v>
      </c>
      <c r="Z318" s="4">
        <f t="shared" si="93"/>
        <v>39</v>
      </c>
      <c r="AA318" s="102">
        <f t="shared" si="94"/>
        <v>39</v>
      </c>
      <c r="AC318" s="100">
        <f t="shared" si="95"/>
        <v>0.98431327180007921</v>
      </c>
    </row>
    <row r="319" spans="4:29" x14ac:dyDescent="0.35">
      <c r="D319">
        <f t="shared" si="96"/>
        <v>315</v>
      </c>
      <c r="E319" s="101">
        <v>7</v>
      </c>
      <c r="F319" s="4">
        <v>5</v>
      </c>
      <c r="G319" s="4">
        <v>2</v>
      </c>
      <c r="H319" s="4">
        <v>7</v>
      </c>
      <c r="I319" s="4">
        <v>4</v>
      </c>
      <c r="J319" s="4">
        <v>6</v>
      </c>
      <c r="K319" s="102">
        <v>7</v>
      </c>
      <c r="M319" s="101">
        <f t="shared" si="81"/>
        <v>29</v>
      </c>
      <c r="N319" s="4">
        <f t="shared" si="82"/>
        <v>30</v>
      </c>
      <c r="O319" s="4">
        <f t="shared" si="83"/>
        <v>56</v>
      </c>
      <c r="P319" s="4">
        <f t="shared" si="84"/>
        <v>29</v>
      </c>
      <c r="Q319" s="4">
        <f t="shared" si="85"/>
        <v>12</v>
      </c>
      <c r="R319" s="4">
        <f t="shared" si="86"/>
        <v>45</v>
      </c>
      <c r="S319" s="102">
        <f t="shared" si="87"/>
        <v>29</v>
      </c>
      <c r="U319" s="101">
        <f t="shared" si="88"/>
        <v>41</v>
      </c>
      <c r="V319" s="4">
        <f t="shared" si="89"/>
        <v>39</v>
      </c>
      <c r="W319" s="4">
        <f t="shared" si="90"/>
        <v>78</v>
      </c>
      <c r="X319" s="4">
        <f t="shared" si="91"/>
        <v>41</v>
      </c>
      <c r="Y319" s="4">
        <f t="shared" si="92"/>
        <v>9</v>
      </c>
      <c r="Z319" s="4">
        <f t="shared" si="93"/>
        <v>71</v>
      </c>
      <c r="AA319" s="102">
        <f t="shared" si="94"/>
        <v>41</v>
      </c>
      <c r="AC319" s="100">
        <f t="shared" si="95"/>
        <v>0.98741314811830794</v>
      </c>
    </row>
    <row r="320" spans="4:29" x14ac:dyDescent="0.35">
      <c r="D320">
        <f t="shared" si="96"/>
        <v>316</v>
      </c>
      <c r="E320" s="101">
        <v>6</v>
      </c>
      <c r="F320" s="4">
        <v>1</v>
      </c>
      <c r="G320" s="4">
        <v>1</v>
      </c>
      <c r="H320" s="4">
        <v>2</v>
      </c>
      <c r="I320" s="4">
        <v>4</v>
      </c>
      <c r="J320" s="4">
        <v>5</v>
      </c>
      <c r="K320" s="102">
        <v>3</v>
      </c>
      <c r="M320" s="101">
        <f t="shared" si="81"/>
        <v>45</v>
      </c>
      <c r="N320" s="4">
        <f t="shared" si="82"/>
        <v>34</v>
      </c>
      <c r="O320" s="4">
        <f t="shared" si="83"/>
        <v>34</v>
      </c>
      <c r="P320" s="4">
        <f t="shared" si="84"/>
        <v>56</v>
      </c>
      <c r="Q320" s="4">
        <f t="shared" si="85"/>
        <v>12</v>
      </c>
      <c r="R320" s="4">
        <f t="shared" si="86"/>
        <v>30</v>
      </c>
      <c r="S320" s="102">
        <f t="shared" si="87"/>
        <v>23</v>
      </c>
      <c r="U320" s="101">
        <f t="shared" si="88"/>
        <v>71</v>
      </c>
      <c r="V320" s="4">
        <f t="shared" si="89"/>
        <v>46</v>
      </c>
      <c r="W320" s="4">
        <f t="shared" si="90"/>
        <v>46</v>
      </c>
      <c r="X320" s="4">
        <f t="shared" si="91"/>
        <v>78</v>
      </c>
      <c r="Y320" s="4">
        <f t="shared" si="92"/>
        <v>9</v>
      </c>
      <c r="Z320" s="4">
        <f t="shared" si="93"/>
        <v>39</v>
      </c>
      <c r="AA320" s="102">
        <f t="shared" si="94"/>
        <v>39</v>
      </c>
      <c r="AC320" s="100">
        <f t="shared" si="95"/>
        <v>0.97454066662669314</v>
      </c>
    </row>
    <row r="321" spans="4:29" x14ac:dyDescent="0.35">
      <c r="D321">
        <f t="shared" si="96"/>
        <v>317</v>
      </c>
      <c r="E321" s="101">
        <v>4</v>
      </c>
      <c r="F321" s="4">
        <v>4</v>
      </c>
      <c r="G321" s="4">
        <v>5</v>
      </c>
      <c r="H321" s="4">
        <v>5</v>
      </c>
      <c r="I321" s="4">
        <v>7</v>
      </c>
      <c r="J321" s="4">
        <v>5</v>
      </c>
      <c r="K321" s="102">
        <v>5</v>
      </c>
      <c r="M321" s="101">
        <f t="shared" si="81"/>
        <v>12</v>
      </c>
      <c r="N321" s="4">
        <f t="shared" si="82"/>
        <v>12</v>
      </c>
      <c r="O321" s="4">
        <f t="shared" si="83"/>
        <v>30</v>
      </c>
      <c r="P321" s="4">
        <f t="shared" si="84"/>
        <v>30</v>
      </c>
      <c r="Q321" s="4">
        <f t="shared" si="85"/>
        <v>29</v>
      </c>
      <c r="R321" s="4">
        <f t="shared" si="86"/>
        <v>30</v>
      </c>
      <c r="S321" s="102">
        <f t="shared" si="87"/>
        <v>30</v>
      </c>
      <c r="U321" s="101">
        <f t="shared" si="88"/>
        <v>9</v>
      </c>
      <c r="V321" s="4">
        <f t="shared" si="89"/>
        <v>9</v>
      </c>
      <c r="W321" s="4">
        <f t="shared" si="90"/>
        <v>39</v>
      </c>
      <c r="X321" s="4">
        <f t="shared" si="91"/>
        <v>39</v>
      </c>
      <c r="Y321" s="4">
        <f t="shared" si="92"/>
        <v>41</v>
      </c>
      <c r="Z321" s="4">
        <f t="shared" si="93"/>
        <v>39</v>
      </c>
      <c r="AA321" s="102">
        <f t="shared" si="94"/>
        <v>39</v>
      </c>
      <c r="AC321" s="100">
        <f t="shared" si="95"/>
        <v>0.99584334500730165</v>
      </c>
    </row>
    <row r="322" spans="4:29" x14ac:dyDescent="0.35">
      <c r="D322">
        <f t="shared" si="96"/>
        <v>318</v>
      </c>
      <c r="E322" s="101">
        <v>1</v>
      </c>
      <c r="F322" s="4">
        <v>5</v>
      </c>
      <c r="G322" s="4">
        <v>7</v>
      </c>
      <c r="H322" s="4">
        <v>3</v>
      </c>
      <c r="I322" s="4">
        <v>6</v>
      </c>
      <c r="J322" s="4">
        <v>5</v>
      </c>
      <c r="K322" s="102">
        <v>7</v>
      </c>
      <c r="M322" s="101">
        <f t="shared" si="81"/>
        <v>34</v>
      </c>
      <c r="N322" s="4">
        <f t="shared" si="82"/>
        <v>30</v>
      </c>
      <c r="O322" s="4">
        <f t="shared" si="83"/>
        <v>29</v>
      </c>
      <c r="P322" s="4">
        <f t="shared" si="84"/>
        <v>23</v>
      </c>
      <c r="Q322" s="4">
        <f t="shared" si="85"/>
        <v>45</v>
      </c>
      <c r="R322" s="4">
        <f t="shared" si="86"/>
        <v>30</v>
      </c>
      <c r="S322" s="102">
        <f t="shared" si="87"/>
        <v>29</v>
      </c>
      <c r="U322" s="101">
        <f t="shared" si="88"/>
        <v>46</v>
      </c>
      <c r="V322" s="4">
        <f t="shared" si="89"/>
        <v>39</v>
      </c>
      <c r="W322" s="4">
        <f t="shared" si="90"/>
        <v>41</v>
      </c>
      <c r="X322" s="4">
        <f t="shared" si="91"/>
        <v>39</v>
      </c>
      <c r="Y322" s="4">
        <f t="shared" si="92"/>
        <v>71</v>
      </c>
      <c r="Z322" s="4">
        <f t="shared" si="93"/>
        <v>39</v>
      </c>
      <c r="AA322" s="102">
        <f t="shared" si="94"/>
        <v>41</v>
      </c>
      <c r="AC322" s="100">
        <f t="shared" si="95"/>
        <v>0.9292042930174077</v>
      </c>
    </row>
    <row r="323" spans="4:29" x14ac:dyDescent="0.35">
      <c r="D323">
        <f t="shared" si="96"/>
        <v>319</v>
      </c>
      <c r="E323" s="101">
        <v>7</v>
      </c>
      <c r="F323" s="4">
        <v>2</v>
      </c>
      <c r="G323" s="4">
        <v>2</v>
      </c>
      <c r="H323" s="4">
        <v>7</v>
      </c>
      <c r="I323" s="4">
        <v>1</v>
      </c>
      <c r="J323" s="4">
        <v>5</v>
      </c>
      <c r="K323" s="102">
        <v>6</v>
      </c>
      <c r="M323" s="101">
        <f t="shared" si="81"/>
        <v>29</v>
      </c>
      <c r="N323" s="4">
        <f t="shared" si="82"/>
        <v>56</v>
      </c>
      <c r="O323" s="4">
        <f t="shared" si="83"/>
        <v>56</v>
      </c>
      <c r="P323" s="4">
        <f t="shared" si="84"/>
        <v>29</v>
      </c>
      <c r="Q323" s="4">
        <f t="shared" si="85"/>
        <v>34</v>
      </c>
      <c r="R323" s="4">
        <f t="shared" si="86"/>
        <v>30</v>
      </c>
      <c r="S323" s="102">
        <f t="shared" si="87"/>
        <v>45</v>
      </c>
      <c r="U323" s="101">
        <f t="shared" si="88"/>
        <v>41</v>
      </c>
      <c r="V323" s="4">
        <f t="shared" si="89"/>
        <v>78</v>
      </c>
      <c r="W323" s="4">
        <f t="shared" si="90"/>
        <v>78</v>
      </c>
      <c r="X323" s="4">
        <f t="shared" si="91"/>
        <v>41</v>
      </c>
      <c r="Y323" s="4">
        <f t="shared" si="92"/>
        <v>46</v>
      </c>
      <c r="Z323" s="4">
        <f t="shared" si="93"/>
        <v>39</v>
      </c>
      <c r="AA323" s="102">
        <f t="shared" si="94"/>
        <v>71</v>
      </c>
      <c r="AC323" s="100">
        <f t="shared" si="95"/>
        <v>0.9824168814030334</v>
      </c>
    </row>
    <row r="324" spans="4:29" x14ac:dyDescent="0.35">
      <c r="D324">
        <f t="shared" si="96"/>
        <v>320</v>
      </c>
      <c r="E324" s="101">
        <v>5</v>
      </c>
      <c r="F324" s="4">
        <v>3</v>
      </c>
      <c r="G324" s="4">
        <v>7</v>
      </c>
      <c r="H324" s="4">
        <v>1</v>
      </c>
      <c r="I324" s="4">
        <v>2</v>
      </c>
      <c r="J324" s="4">
        <v>1</v>
      </c>
      <c r="K324" s="102">
        <v>1</v>
      </c>
      <c r="M324" s="101">
        <f t="shared" si="81"/>
        <v>30</v>
      </c>
      <c r="N324" s="4">
        <f t="shared" si="82"/>
        <v>23</v>
      </c>
      <c r="O324" s="4">
        <f t="shared" si="83"/>
        <v>29</v>
      </c>
      <c r="P324" s="4">
        <f t="shared" si="84"/>
        <v>34</v>
      </c>
      <c r="Q324" s="4">
        <f t="shared" si="85"/>
        <v>56</v>
      </c>
      <c r="R324" s="4">
        <f t="shared" si="86"/>
        <v>34</v>
      </c>
      <c r="S324" s="102">
        <f t="shared" si="87"/>
        <v>34</v>
      </c>
      <c r="U324" s="101">
        <f t="shared" si="88"/>
        <v>39</v>
      </c>
      <c r="V324" s="4">
        <f t="shared" si="89"/>
        <v>39</v>
      </c>
      <c r="W324" s="4">
        <f t="shared" si="90"/>
        <v>41</v>
      </c>
      <c r="X324" s="4">
        <f t="shared" si="91"/>
        <v>46</v>
      </c>
      <c r="Y324" s="4">
        <f t="shared" si="92"/>
        <v>78</v>
      </c>
      <c r="Z324" s="4">
        <f t="shared" si="93"/>
        <v>46</v>
      </c>
      <c r="AA324" s="102">
        <f t="shared" si="94"/>
        <v>46</v>
      </c>
      <c r="AC324" s="100">
        <f t="shared" si="95"/>
        <v>0.97530672614915626</v>
      </c>
    </row>
    <row r="325" spans="4:29" x14ac:dyDescent="0.35">
      <c r="D325">
        <f t="shared" si="96"/>
        <v>321</v>
      </c>
      <c r="E325" s="101">
        <v>5</v>
      </c>
      <c r="F325" s="4">
        <v>7</v>
      </c>
      <c r="G325" s="4">
        <v>5</v>
      </c>
      <c r="H325" s="4">
        <v>1</v>
      </c>
      <c r="I325" s="4">
        <v>1</v>
      </c>
      <c r="J325" s="4">
        <v>3</v>
      </c>
      <c r="K325" s="102">
        <v>6</v>
      </c>
      <c r="M325" s="101">
        <f t="shared" si="81"/>
        <v>30</v>
      </c>
      <c r="N325" s="4">
        <f t="shared" si="82"/>
        <v>29</v>
      </c>
      <c r="O325" s="4">
        <f t="shared" si="83"/>
        <v>30</v>
      </c>
      <c r="P325" s="4">
        <f t="shared" si="84"/>
        <v>34</v>
      </c>
      <c r="Q325" s="4">
        <f t="shared" si="85"/>
        <v>34</v>
      </c>
      <c r="R325" s="4">
        <f t="shared" si="86"/>
        <v>23</v>
      </c>
      <c r="S325" s="102">
        <f t="shared" si="87"/>
        <v>45</v>
      </c>
      <c r="U325" s="101">
        <f t="shared" si="88"/>
        <v>39</v>
      </c>
      <c r="V325" s="4">
        <f t="shared" si="89"/>
        <v>41</v>
      </c>
      <c r="W325" s="4">
        <f t="shared" si="90"/>
        <v>39</v>
      </c>
      <c r="X325" s="4">
        <f t="shared" si="91"/>
        <v>46</v>
      </c>
      <c r="Y325" s="4">
        <f t="shared" si="92"/>
        <v>46</v>
      </c>
      <c r="Z325" s="4">
        <f t="shared" si="93"/>
        <v>39</v>
      </c>
      <c r="AA325" s="102">
        <f t="shared" si="94"/>
        <v>71</v>
      </c>
      <c r="AC325" s="100">
        <f t="shared" si="95"/>
        <v>0.92124988493573623</v>
      </c>
    </row>
    <row r="326" spans="4:29" x14ac:dyDescent="0.35">
      <c r="D326">
        <f t="shared" si="96"/>
        <v>322</v>
      </c>
      <c r="E326" s="101">
        <v>4</v>
      </c>
      <c r="F326" s="4">
        <v>5</v>
      </c>
      <c r="G326" s="4">
        <v>3</v>
      </c>
      <c r="H326" s="4">
        <v>2</v>
      </c>
      <c r="I326" s="4">
        <v>3</v>
      </c>
      <c r="J326" s="4">
        <v>4</v>
      </c>
      <c r="K326" s="102">
        <v>5</v>
      </c>
      <c r="M326" s="101">
        <f t="shared" ref="M326:M389" si="97">INDEX($A$5:$A$11,E326)</f>
        <v>12</v>
      </c>
      <c r="N326" s="4">
        <f t="shared" ref="N326:N389" si="98">INDEX($A$5:$A$11,F326)</f>
        <v>30</v>
      </c>
      <c r="O326" s="4">
        <f t="shared" ref="O326:O389" si="99">INDEX($A$5:$A$11,G326)</f>
        <v>23</v>
      </c>
      <c r="P326" s="4">
        <f t="shared" ref="P326:P389" si="100">INDEX($A$5:$A$11,H326)</f>
        <v>56</v>
      </c>
      <c r="Q326" s="4">
        <f t="shared" ref="Q326:Q389" si="101">INDEX($A$5:$A$11,I326)</f>
        <v>23</v>
      </c>
      <c r="R326" s="4">
        <f t="shared" ref="R326:R389" si="102">INDEX($A$5:$A$11,J326)</f>
        <v>12</v>
      </c>
      <c r="S326" s="102">
        <f t="shared" ref="S326:S389" si="103">INDEX($A$5:$A$11,K326)</f>
        <v>30</v>
      </c>
      <c r="U326" s="101">
        <f t="shared" ref="U326:U389" si="104">INDEX($B$5:$B$11,E326)</f>
        <v>9</v>
      </c>
      <c r="V326" s="4">
        <f t="shared" ref="V326:V389" si="105">INDEX($B$5:$B$11,F326)</f>
        <v>39</v>
      </c>
      <c r="W326" s="4">
        <f t="shared" ref="W326:W389" si="106">INDEX($B$5:$B$11,G326)</f>
        <v>39</v>
      </c>
      <c r="X326" s="4">
        <f t="shared" ref="X326:X389" si="107">INDEX($B$5:$B$11,H326)</f>
        <v>78</v>
      </c>
      <c r="Y326" s="4">
        <f t="shared" ref="Y326:Y389" si="108">INDEX($B$5:$B$11,I326)</f>
        <v>39</v>
      </c>
      <c r="Z326" s="4">
        <f t="shared" ref="Z326:Z389" si="109">INDEX($B$5:$B$11,J326)</f>
        <v>9</v>
      </c>
      <c r="AA326" s="102">
        <f t="shared" ref="AA326:AA389" si="110">INDEX($B$5:$B$11,K326)</f>
        <v>39</v>
      </c>
      <c r="AC326" s="100">
        <f t="shared" ref="AC326:AC389" si="111">CORREL(M326:S326,U326:AA326)</f>
        <v>0.96783097428161158</v>
      </c>
    </row>
    <row r="327" spans="4:29" x14ac:dyDescent="0.35">
      <c r="D327">
        <f t="shared" ref="D327:D390" si="112">D326+1</f>
        <v>323</v>
      </c>
      <c r="E327" s="101">
        <v>3</v>
      </c>
      <c r="F327" s="4">
        <v>3</v>
      </c>
      <c r="G327" s="4">
        <v>6</v>
      </c>
      <c r="H327" s="4">
        <v>5</v>
      </c>
      <c r="I327" s="4">
        <v>2</v>
      </c>
      <c r="J327" s="4">
        <v>5</v>
      </c>
      <c r="K327" s="102">
        <v>6</v>
      </c>
      <c r="M327" s="101">
        <f t="shared" si="97"/>
        <v>23</v>
      </c>
      <c r="N327" s="4">
        <f t="shared" si="98"/>
        <v>23</v>
      </c>
      <c r="O327" s="4">
        <f t="shared" si="99"/>
        <v>45</v>
      </c>
      <c r="P327" s="4">
        <f t="shared" si="100"/>
        <v>30</v>
      </c>
      <c r="Q327" s="4">
        <f t="shared" si="101"/>
        <v>56</v>
      </c>
      <c r="R327" s="4">
        <f t="shared" si="102"/>
        <v>30</v>
      </c>
      <c r="S327" s="102">
        <f t="shared" si="103"/>
        <v>45</v>
      </c>
      <c r="U327" s="101">
        <f t="shared" si="104"/>
        <v>39</v>
      </c>
      <c r="V327" s="4">
        <f t="shared" si="105"/>
        <v>39</v>
      </c>
      <c r="W327" s="4">
        <f t="shared" si="106"/>
        <v>71</v>
      </c>
      <c r="X327" s="4">
        <f t="shared" si="107"/>
        <v>39</v>
      </c>
      <c r="Y327" s="4">
        <f t="shared" si="108"/>
        <v>78</v>
      </c>
      <c r="Z327" s="4">
        <f t="shared" si="109"/>
        <v>39</v>
      </c>
      <c r="AA327" s="102">
        <f t="shared" si="110"/>
        <v>71</v>
      </c>
      <c r="AC327" s="100">
        <f t="shared" si="111"/>
        <v>0.95981328501158558</v>
      </c>
    </row>
    <row r="328" spans="4:29" x14ac:dyDescent="0.35">
      <c r="D328">
        <f t="shared" si="112"/>
        <v>324</v>
      </c>
      <c r="E328" s="101">
        <v>6</v>
      </c>
      <c r="F328" s="4">
        <v>3</v>
      </c>
      <c r="G328" s="4">
        <v>4</v>
      </c>
      <c r="H328" s="4">
        <v>3</v>
      </c>
      <c r="I328" s="4">
        <v>5</v>
      </c>
      <c r="J328" s="4">
        <v>2</v>
      </c>
      <c r="K328" s="102">
        <v>6</v>
      </c>
      <c r="M328" s="101">
        <f t="shared" si="97"/>
        <v>45</v>
      </c>
      <c r="N328" s="4">
        <f t="shared" si="98"/>
        <v>23</v>
      </c>
      <c r="O328" s="4">
        <f t="shared" si="99"/>
        <v>12</v>
      </c>
      <c r="P328" s="4">
        <f t="shared" si="100"/>
        <v>23</v>
      </c>
      <c r="Q328" s="4">
        <f t="shared" si="101"/>
        <v>30</v>
      </c>
      <c r="R328" s="4">
        <f t="shared" si="102"/>
        <v>56</v>
      </c>
      <c r="S328" s="102">
        <f t="shared" si="103"/>
        <v>45</v>
      </c>
      <c r="U328" s="101">
        <f t="shared" si="104"/>
        <v>71</v>
      </c>
      <c r="V328" s="4">
        <f t="shared" si="105"/>
        <v>39</v>
      </c>
      <c r="W328" s="4">
        <f t="shared" si="106"/>
        <v>9</v>
      </c>
      <c r="X328" s="4">
        <f t="shared" si="107"/>
        <v>39</v>
      </c>
      <c r="Y328" s="4">
        <f t="shared" si="108"/>
        <v>39</v>
      </c>
      <c r="Z328" s="4">
        <f t="shared" si="109"/>
        <v>78</v>
      </c>
      <c r="AA328" s="102">
        <f t="shared" si="110"/>
        <v>71</v>
      </c>
      <c r="AC328" s="100">
        <f t="shared" si="111"/>
        <v>0.97105498268871882</v>
      </c>
    </row>
    <row r="329" spans="4:29" x14ac:dyDescent="0.35">
      <c r="D329">
        <f t="shared" si="112"/>
        <v>325</v>
      </c>
      <c r="E329" s="101">
        <v>2</v>
      </c>
      <c r="F329" s="4">
        <v>1</v>
      </c>
      <c r="G329" s="4">
        <v>3</v>
      </c>
      <c r="H329" s="4">
        <v>6</v>
      </c>
      <c r="I329" s="4">
        <v>4</v>
      </c>
      <c r="J329" s="4">
        <v>7</v>
      </c>
      <c r="K329" s="102">
        <v>1</v>
      </c>
      <c r="M329" s="101">
        <f t="shared" si="97"/>
        <v>56</v>
      </c>
      <c r="N329" s="4">
        <f t="shared" si="98"/>
        <v>34</v>
      </c>
      <c r="O329" s="4">
        <f t="shared" si="99"/>
        <v>23</v>
      </c>
      <c r="P329" s="4">
        <f t="shared" si="100"/>
        <v>45</v>
      </c>
      <c r="Q329" s="4">
        <f t="shared" si="101"/>
        <v>12</v>
      </c>
      <c r="R329" s="4">
        <f t="shared" si="102"/>
        <v>29</v>
      </c>
      <c r="S329" s="102">
        <f t="shared" si="103"/>
        <v>34</v>
      </c>
      <c r="U329" s="101">
        <f t="shared" si="104"/>
        <v>78</v>
      </c>
      <c r="V329" s="4">
        <f t="shared" si="105"/>
        <v>46</v>
      </c>
      <c r="W329" s="4">
        <f t="shared" si="106"/>
        <v>39</v>
      </c>
      <c r="X329" s="4">
        <f t="shared" si="107"/>
        <v>71</v>
      </c>
      <c r="Y329" s="4">
        <f t="shared" si="108"/>
        <v>9</v>
      </c>
      <c r="Z329" s="4">
        <f t="shared" si="109"/>
        <v>41</v>
      </c>
      <c r="AA329" s="102">
        <f t="shared" si="110"/>
        <v>46</v>
      </c>
      <c r="AC329" s="100">
        <f t="shared" si="111"/>
        <v>0.97551853574507985</v>
      </c>
    </row>
    <row r="330" spans="4:29" x14ac:dyDescent="0.35">
      <c r="D330">
        <f t="shared" si="112"/>
        <v>326</v>
      </c>
      <c r="E330" s="101">
        <v>7</v>
      </c>
      <c r="F330" s="4">
        <v>2</v>
      </c>
      <c r="G330" s="4">
        <v>6</v>
      </c>
      <c r="H330" s="4">
        <v>1</v>
      </c>
      <c r="I330" s="4">
        <v>3</v>
      </c>
      <c r="J330" s="4">
        <v>7</v>
      </c>
      <c r="K330" s="102">
        <v>6</v>
      </c>
      <c r="M330" s="101">
        <f t="shared" si="97"/>
        <v>29</v>
      </c>
      <c r="N330" s="4">
        <f t="shared" si="98"/>
        <v>56</v>
      </c>
      <c r="O330" s="4">
        <f t="shared" si="99"/>
        <v>45</v>
      </c>
      <c r="P330" s="4">
        <f t="shared" si="100"/>
        <v>34</v>
      </c>
      <c r="Q330" s="4">
        <f t="shared" si="101"/>
        <v>23</v>
      </c>
      <c r="R330" s="4">
        <f t="shared" si="102"/>
        <v>29</v>
      </c>
      <c r="S330" s="102">
        <f t="shared" si="103"/>
        <v>45</v>
      </c>
      <c r="U330" s="101">
        <f t="shared" si="104"/>
        <v>41</v>
      </c>
      <c r="V330" s="4">
        <f t="shared" si="105"/>
        <v>78</v>
      </c>
      <c r="W330" s="4">
        <f t="shared" si="106"/>
        <v>71</v>
      </c>
      <c r="X330" s="4">
        <f t="shared" si="107"/>
        <v>46</v>
      </c>
      <c r="Y330" s="4">
        <f t="shared" si="108"/>
        <v>39</v>
      </c>
      <c r="Z330" s="4">
        <f t="shared" si="109"/>
        <v>41</v>
      </c>
      <c r="AA330" s="102">
        <f t="shared" si="110"/>
        <v>71</v>
      </c>
      <c r="AC330" s="100">
        <f t="shared" si="111"/>
        <v>0.96834228722097015</v>
      </c>
    </row>
    <row r="331" spans="4:29" x14ac:dyDescent="0.35">
      <c r="D331">
        <f t="shared" si="112"/>
        <v>327</v>
      </c>
      <c r="E331" s="101">
        <v>2</v>
      </c>
      <c r="F331" s="4">
        <v>3</v>
      </c>
      <c r="G331" s="4">
        <v>4</v>
      </c>
      <c r="H331" s="4">
        <v>5</v>
      </c>
      <c r="I331" s="4">
        <v>6</v>
      </c>
      <c r="J331" s="4">
        <v>5</v>
      </c>
      <c r="K331" s="102">
        <v>1</v>
      </c>
      <c r="M331" s="101">
        <f t="shared" si="97"/>
        <v>56</v>
      </c>
      <c r="N331" s="4">
        <f t="shared" si="98"/>
        <v>23</v>
      </c>
      <c r="O331" s="4">
        <f t="shared" si="99"/>
        <v>12</v>
      </c>
      <c r="P331" s="4">
        <f t="shared" si="100"/>
        <v>30</v>
      </c>
      <c r="Q331" s="4">
        <f t="shared" si="101"/>
        <v>45</v>
      </c>
      <c r="R331" s="4">
        <f t="shared" si="102"/>
        <v>30</v>
      </c>
      <c r="S331" s="102">
        <f t="shared" si="103"/>
        <v>34</v>
      </c>
      <c r="U331" s="101">
        <f t="shared" si="104"/>
        <v>78</v>
      </c>
      <c r="V331" s="4">
        <f t="shared" si="105"/>
        <v>39</v>
      </c>
      <c r="W331" s="4">
        <f t="shared" si="106"/>
        <v>9</v>
      </c>
      <c r="X331" s="4">
        <f t="shared" si="107"/>
        <v>39</v>
      </c>
      <c r="Y331" s="4">
        <f t="shared" si="108"/>
        <v>71</v>
      </c>
      <c r="Z331" s="4">
        <f t="shared" si="109"/>
        <v>39</v>
      </c>
      <c r="AA331" s="102">
        <f t="shared" si="110"/>
        <v>46</v>
      </c>
      <c r="AC331" s="100">
        <f t="shared" si="111"/>
        <v>0.97446236210462167</v>
      </c>
    </row>
    <row r="332" spans="4:29" x14ac:dyDescent="0.35">
      <c r="D332">
        <f t="shared" si="112"/>
        <v>328</v>
      </c>
      <c r="E332" s="101">
        <v>3</v>
      </c>
      <c r="F332" s="4">
        <v>6</v>
      </c>
      <c r="G332" s="4">
        <v>3</v>
      </c>
      <c r="H332" s="4">
        <v>5</v>
      </c>
      <c r="I332" s="4">
        <v>6</v>
      </c>
      <c r="J332" s="4">
        <v>2</v>
      </c>
      <c r="K332" s="102">
        <v>1</v>
      </c>
      <c r="M332" s="101">
        <f t="shared" si="97"/>
        <v>23</v>
      </c>
      <c r="N332" s="4">
        <f t="shared" si="98"/>
        <v>45</v>
      </c>
      <c r="O332" s="4">
        <f t="shared" si="99"/>
        <v>23</v>
      </c>
      <c r="P332" s="4">
        <f t="shared" si="100"/>
        <v>30</v>
      </c>
      <c r="Q332" s="4">
        <f t="shared" si="101"/>
        <v>45</v>
      </c>
      <c r="R332" s="4">
        <f t="shared" si="102"/>
        <v>56</v>
      </c>
      <c r="S332" s="102">
        <f t="shared" si="103"/>
        <v>34</v>
      </c>
      <c r="U332" s="101">
        <f t="shared" si="104"/>
        <v>39</v>
      </c>
      <c r="V332" s="4">
        <f t="shared" si="105"/>
        <v>71</v>
      </c>
      <c r="W332" s="4">
        <f t="shared" si="106"/>
        <v>39</v>
      </c>
      <c r="X332" s="4">
        <f t="shared" si="107"/>
        <v>39</v>
      </c>
      <c r="Y332" s="4">
        <f t="shared" si="108"/>
        <v>71</v>
      </c>
      <c r="Z332" s="4">
        <f t="shared" si="109"/>
        <v>78</v>
      </c>
      <c r="AA332" s="102">
        <f t="shared" si="110"/>
        <v>46</v>
      </c>
      <c r="AC332" s="100">
        <f t="shared" si="111"/>
        <v>0.96098928355518465</v>
      </c>
    </row>
    <row r="333" spans="4:29" x14ac:dyDescent="0.35">
      <c r="D333">
        <f t="shared" si="112"/>
        <v>329</v>
      </c>
      <c r="E333" s="101">
        <v>5</v>
      </c>
      <c r="F333" s="4">
        <v>5</v>
      </c>
      <c r="G333" s="4">
        <v>4</v>
      </c>
      <c r="H333" s="4">
        <v>7</v>
      </c>
      <c r="I333" s="4">
        <v>3</v>
      </c>
      <c r="J333" s="4">
        <v>2</v>
      </c>
      <c r="K333" s="102">
        <v>1</v>
      </c>
      <c r="M333" s="101">
        <f t="shared" si="97"/>
        <v>30</v>
      </c>
      <c r="N333" s="4">
        <f t="shared" si="98"/>
        <v>30</v>
      </c>
      <c r="O333" s="4">
        <f t="shared" si="99"/>
        <v>12</v>
      </c>
      <c r="P333" s="4">
        <f t="shared" si="100"/>
        <v>29</v>
      </c>
      <c r="Q333" s="4">
        <f t="shared" si="101"/>
        <v>23</v>
      </c>
      <c r="R333" s="4">
        <f t="shared" si="102"/>
        <v>56</v>
      </c>
      <c r="S333" s="102">
        <f t="shared" si="103"/>
        <v>34</v>
      </c>
      <c r="U333" s="101">
        <f t="shared" si="104"/>
        <v>39</v>
      </c>
      <c r="V333" s="4">
        <f t="shared" si="105"/>
        <v>39</v>
      </c>
      <c r="W333" s="4">
        <f t="shared" si="106"/>
        <v>9</v>
      </c>
      <c r="X333" s="4">
        <f t="shared" si="107"/>
        <v>41</v>
      </c>
      <c r="Y333" s="4">
        <f t="shared" si="108"/>
        <v>39</v>
      </c>
      <c r="Z333" s="4">
        <f t="shared" si="109"/>
        <v>78</v>
      </c>
      <c r="AA333" s="102">
        <f t="shared" si="110"/>
        <v>46</v>
      </c>
      <c r="AC333" s="100">
        <f t="shared" si="111"/>
        <v>0.97680827001719739</v>
      </c>
    </row>
    <row r="334" spans="4:29" x14ac:dyDescent="0.35">
      <c r="D334">
        <f t="shared" si="112"/>
        <v>330</v>
      </c>
      <c r="E334" s="101">
        <v>2</v>
      </c>
      <c r="F334" s="4">
        <v>5</v>
      </c>
      <c r="G334" s="4">
        <v>7</v>
      </c>
      <c r="H334" s="4">
        <v>2</v>
      </c>
      <c r="I334" s="4">
        <v>1</v>
      </c>
      <c r="J334" s="4">
        <v>3</v>
      </c>
      <c r="K334" s="102">
        <v>6</v>
      </c>
      <c r="M334" s="101">
        <f t="shared" si="97"/>
        <v>56</v>
      </c>
      <c r="N334" s="4">
        <f t="shared" si="98"/>
        <v>30</v>
      </c>
      <c r="O334" s="4">
        <f t="shared" si="99"/>
        <v>29</v>
      </c>
      <c r="P334" s="4">
        <f t="shared" si="100"/>
        <v>56</v>
      </c>
      <c r="Q334" s="4">
        <f t="shared" si="101"/>
        <v>34</v>
      </c>
      <c r="R334" s="4">
        <f t="shared" si="102"/>
        <v>23</v>
      </c>
      <c r="S334" s="102">
        <f t="shared" si="103"/>
        <v>45</v>
      </c>
      <c r="U334" s="101">
        <f t="shared" si="104"/>
        <v>78</v>
      </c>
      <c r="V334" s="4">
        <f t="shared" si="105"/>
        <v>39</v>
      </c>
      <c r="W334" s="4">
        <f t="shared" si="106"/>
        <v>41</v>
      </c>
      <c r="X334" s="4">
        <f t="shared" si="107"/>
        <v>78</v>
      </c>
      <c r="Y334" s="4">
        <f t="shared" si="108"/>
        <v>46</v>
      </c>
      <c r="Z334" s="4">
        <f t="shared" si="109"/>
        <v>39</v>
      </c>
      <c r="AA334" s="102">
        <f t="shared" si="110"/>
        <v>71</v>
      </c>
      <c r="AC334" s="100">
        <f t="shared" si="111"/>
        <v>0.9741874967575731</v>
      </c>
    </row>
    <row r="335" spans="4:29" x14ac:dyDescent="0.35">
      <c r="D335">
        <f t="shared" si="112"/>
        <v>331</v>
      </c>
      <c r="E335" s="101">
        <v>6</v>
      </c>
      <c r="F335" s="4">
        <v>4</v>
      </c>
      <c r="G335" s="4">
        <v>5</v>
      </c>
      <c r="H335" s="4">
        <v>5</v>
      </c>
      <c r="I335" s="4">
        <v>5</v>
      </c>
      <c r="J335" s="4">
        <v>4</v>
      </c>
      <c r="K335" s="102">
        <v>5</v>
      </c>
      <c r="M335" s="101">
        <f t="shared" si="97"/>
        <v>45</v>
      </c>
      <c r="N335" s="4">
        <f t="shared" si="98"/>
        <v>12</v>
      </c>
      <c r="O335" s="4">
        <f t="shared" si="99"/>
        <v>30</v>
      </c>
      <c r="P335" s="4">
        <f t="shared" si="100"/>
        <v>30</v>
      </c>
      <c r="Q335" s="4">
        <f t="shared" si="101"/>
        <v>30</v>
      </c>
      <c r="R335" s="4">
        <f t="shared" si="102"/>
        <v>12</v>
      </c>
      <c r="S335" s="102">
        <f t="shared" si="103"/>
        <v>30</v>
      </c>
      <c r="U335" s="101">
        <f t="shared" si="104"/>
        <v>71</v>
      </c>
      <c r="V335" s="4">
        <f t="shared" si="105"/>
        <v>9</v>
      </c>
      <c r="W335" s="4">
        <f t="shared" si="106"/>
        <v>39</v>
      </c>
      <c r="X335" s="4">
        <f t="shared" si="107"/>
        <v>39</v>
      </c>
      <c r="Y335" s="4">
        <f t="shared" si="108"/>
        <v>39</v>
      </c>
      <c r="Z335" s="4">
        <f t="shared" si="109"/>
        <v>9</v>
      </c>
      <c r="AA335" s="102">
        <f t="shared" si="110"/>
        <v>39</v>
      </c>
      <c r="AC335" s="100">
        <f t="shared" si="111"/>
        <v>0.99586164349238337</v>
      </c>
    </row>
    <row r="336" spans="4:29" x14ac:dyDescent="0.35">
      <c r="D336">
        <f t="shared" si="112"/>
        <v>332</v>
      </c>
      <c r="E336" s="101">
        <v>7</v>
      </c>
      <c r="F336" s="4">
        <v>1</v>
      </c>
      <c r="G336" s="4">
        <v>3</v>
      </c>
      <c r="H336" s="4">
        <v>6</v>
      </c>
      <c r="I336" s="4">
        <v>1</v>
      </c>
      <c r="J336" s="4">
        <v>1</v>
      </c>
      <c r="K336" s="102">
        <v>3</v>
      </c>
      <c r="M336" s="101">
        <f t="shared" si="97"/>
        <v>29</v>
      </c>
      <c r="N336" s="4">
        <f t="shared" si="98"/>
        <v>34</v>
      </c>
      <c r="O336" s="4">
        <f t="shared" si="99"/>
        <v>23</v>
      </c>
      <c r="P336" s="4">
        <f t="shared" si="100"/>
        <v>45</v>
      </c>
      <c r="Q336" s="4">
        <f t="shared" si="101"/>
        <v>34</v>
      </c>
      <c r="R336" s="4">
        <f t="shared" si="102"/>
        <v>34</v>
      </c>
      <c r="S336" s="102">
        <f t="shared" si="103"/>
        <v>23</v>
      </c>
      <c r="U336" s="101">
        <f t="shared" si="104"/>
        <v>41</v>
      </c>
      <c r="V336" s="4">
        <f t="shared" si="105"/>
        <v>46</v>
      </c>
      <c r="W336" s="4">
        <f t="shared" si="106"/>
        <v>39</v>
      </c>
      <c r="X336" s="4">
        <f t="shared" si="107"/>
        <v>71</v>
      </c>
      <c r="Y336" s="4">
        <f t="shared" si="108"/>
        <v>46</v>
      </c>
      <c r="Z336" s="4">
        <f t="shared" si="109"/>
        <v>46</v>
      </c>
      <c r="AA336" s="102">
        <f t="shared" si="110"/>
        <v>39</v>
      </c>
      <c r="AC336" s="100">
        <f t="shared" si="111"/>
        <v>0.91539692604226597</v>
      </c>
    </row>
    <row r="337" spans="4:29" x14ac:dyDescent="0.35">
      <c r="D337">
        <f t="shared" si="112"/>
        <v>333</v>
      </c>
      <c r="E337" s="101">
        <v>1</v>
      </c>
      <c r="F337" s="4">
        <v>6</v>
      </c>
      <c r="G337" s="4">
        <v>3</v>
      </c>
      <c r="H337" s="4">
        <v>2</v>
      </c>
      <c r="I337" s="4">
        <v>4</v>
      </c>
      <c r="J337" s="4">
        <v>3</v>
      </c>
      <c r="K337" s="102">
        <v>2</v>
      </c>
      <c r="M337" s="101">
        <f t="shared" si="97"/>
        <v>34</v>
      </c>
      <c r="N337" s="4">
        <f t="shared" si="98"/>
        <v>45</v>
      </c>
      <c r="O337" s="4">
        <f t="shared" si="99"/>
        <v>23</v>
      </c>
      <c r="P337" s="4">
        <f t="shared" si="100"/>
        <v>56</v>
      </c>
      <c r="Q337" s="4">
        <f t="shared" si="101"/>
        <v>12</v>
      </c>
      <c r="R337" s="4">
        <f t="shared" si="102"/>
        <v>23</v>
      </c>
      <c r="S337" s="102">
        <f t="shared" si="103"/>
        <v>56</v>
      </c>
      <c r="U337" s="101">
        <f t="shared" si="104"/>
        <v>46</v>
      </c>
      <c r="V337" s="4">
        <f t="shared" si="105"/>
        <v>71</v>
      </c>
      <c r="W337" s="4">
        <f t="shared" si="106"/>
        <v>39</v>
      </c>
      <c r="X337" s="4">
        <f t="shared" si="107"/>
        <v>78</v>
      </c>
      <c r="Y337" s="4">
        <f t="shared" si="108"/>
        <v>9</v>
      </c>
      <c r="Z337" s="4">
        <f t="shared" si="109"/>
        <v>39</v>
      </c>
      <c r="AA337" s="102">
        <f t="shared" si="110"/>
        <v>78</v>
      </c>
      <c r="AC337" s="100">
        <f t="shared" si="111"/>
        <v>0.97443653658251894</v>
      </c>
    </row>
    <row r="338" spans="4:29" x14ac:dyDescent="0.35">
      <c r="D338">
        <f t="shared" si="112"/>
        <v>334</v>
      </c>
      <c r="E338" s="101">
        <v>5</v>
      </c>
      <c r="F338" s="4">
        <v>6</v>
      </c>
      <c r="G338" s="4">
        <v>7</v>
      </c>
      <c r="H338" s="4">
        <v>6</v>
      </c>
      <c r="I338" s="4">
        <v>6</v>
      </c>
      <c r="J338" s="4">
        <v>7</v>
      </c>
      <c r="K338" s="102">
        <v>1</v>
      </c>
      <c r="M338" s="101">
        <f t="shared" si="97"/>
        <v>30</v>
      </c>
      <c r="N338" s="4">
        <f t="shared" si="98"/>
        <v>45</v>
      </c>
      <c r="O338" s="4">
        <f t="shared" si="99"/>
        <v>29</v>
      </c>
      <c r="P338" s="4">
        <f t="shared" si="100"/>
        <v>45</v>
      </c>
      <c r="Q338" s="4">
        <f t="shared" si="101"/>
        <v>45</v>
      </c>
      <c r="R338" s="4">
        <f t="shared" si="102"/>
        <v>29</v>
      </c>
      <c r="S338" s="102">
        <f t="shared" si="103"/>
        <v>34</v>
      </c>
      <c r="U338" s="101">
        <f t="shared" si="104"/>
        <v>39</v>
      </c>
      <c r="V338" s="4">
        <f t="shared" si="105"/>
        <v>71</v>
      </c>
      <c r="W338" s="4">
        <f t="shared" si="106"/>
        <v>41</v>
      </c>
      <c r="X338" s="4">
        <f t="shared" si="107"/>
        <v>71</v>
      </c>
      <c r="Y338" s="4">
        <f t="shared" si="108"/>
        <v>71</v>
      </c>
      <c r="Z338" s="4">
        <f t="shared" si="109"/>
        <v>41</v>
      </c>
      <c r="AA338" s="102">
        <f t="shared" si="110"/>
        <v>46</v>
      </c>
      <c r="AC338" s="100">
        <f t="shared" si="111"/>
        <v>0.99306949694381186</v>
      </c>
    </row>
    <row r="339" spans="4:29" x14ac:dyDescent="0.35">
      <c r="D339">
        <f t="shared" si="112"/>
        <v>335</v>
      </c>
      <c r="E339" s="101">
        <v>6</v>
      </c>
      <c r="F339" s="4">
        <v>6</v>
      </c>
      <c r="G339" s="4">
        <v>1</v>
      </c>
      <c r="H339" s="4">
        <v>1</v>
      </c>
      <c r="I339" s="4">
        <v>6</v>
      </c>
      <c r="J339" s="4">
        <v>7</v>
      </c>
      <c r="K339" s="102">
        <v>4</v>
      </c>
      <c r="M339" s="101">
        <f t="shared" si="97"/>
        <v>45</v>
      </c>
      <c r="N339" s="4">
        <f t="shared" si="98"/>
        <v>45</v>
      </c>
      <c r="O339" s="4">
        <f t="shared" si="99"/>
        <v>34</v>
      </c>
      <c r="P339" s="4">
        <f t="shared" si="100"/>
        <v>34</v>
      </c>
      <c r="Q339" s="4">
        <f t="shared" si="101"/>
        <v>45</v>
      </c>
      <c r="R339" s="4">
        <f t="shared" si="102"/>
        <v>29</v>
      </c>
      <c r="S339" s="102">
        <f t="shared" si="103"/>
        <v>12</v>
      </c>
      <c r="U339" s="101">
        <f t="shared" si="104"/>
        <v>71</v>
      </c>
      <c r="V339" s="4">
        <f t="shared" si="105"/>
        <v>71</v>
      </c>
      <c r="W339" s="4">
        <f t="shared" si="106"/>
        <v>46</v>
      </c>
      <c r="X339" s="4">
        <f t="shared" si="107"/>
        <v>46</v>
      </c>
      <c r="Y339" s="4">
        <f t="shared" si="108"/>
        <v>71</v>
      </c>
      <c r="Z339" s="4">
        <f t="shared" si="109"/>
        <v>41</v>
      </c>
      <c r="AA339" s="102">
        <f t="shared" si="110"/>
        <v>9</v>
      </c>
      <c r="AC339" s="100">
        <f t="shared" si="111"/>
        <v>0.9956672614919464</v>
      </c>
    </row>
    <row r="340" spans="4:29" x14ac:dyDescent="0.35">
      <c r="D340">
        <f t="shared" si="112"/>
        <v>336</v>
      </c>
      <c r="E340" s="101">
        <v>3</v>
      </c>
      <c r="F340" s="4">
        <v>3</v>
      </c>
      <c r="G340" s="4">
        <v>7</v>
      </c>
      <c r="H340" s="4">
        <v>7</v>
      </c>
      <c r="I340" s="4">
        <v>1</v>
      </c>
      <c r="J340" s="4">
        <v>4</v>
      </c>
      <c r="K340" s="102">
        <v>4</v>
      </c>
      <c r="M340" s="101">
        <f t="shared" si="97"/>
        <v>23</v>
      </c>
      <c r="N340" s="4">
        <f t="shared" si="98"/>
        <v>23</v>
      </c>
      <c r="O340" s="4">
        <f t="shared" si="99"/>
        <v>29</v>
      </c>
      <c r="P340" s="4">
        <f t="shared" si="100"/>
        <v>29</v>
      </c>
      <c r="Q340" s="4">
        <f t="shared" si="101"/>
        <v>34</v>
      </c>
      <c r="R340" s="4">
        <f t="shared" si="102"/>
        <v>12</v>
      </c>
      <c r="S340" s="102">
        <f t="shared" si="103"/>
        <v>12</v>
      </c>
      <c r="U340" s="101">
        <f t="shared" si="104"/>
        <v>39</v>
      </c>
      <c r="V340" s="4">
        <f t="shared" si="105"/>
        <v>39</v>
      </c>
      <c r="W340" s="4">
        <f t="shared" si="106"/>
        <v>41</v>
      </c>
      <c r="X340" s="4">
        <f t="shared" si="107"/>
        <v>41</v>
      </c>
      <c r="Y340" s="4">
        <f t="shared" si="108"/>
        <v>46</v>
      </c>
      <c r="Z340" s="4">
        <f t="shared" si="109"/>
        <v>9</v>
      </c>
      <c r="AA340" s="102">
        <f t="shared" si="110"/>
        <v>9</v>
      </c>
      <c r="AC340" s="100">
        <f t="shared" si="111"/>
        <v>0.94650950245205756</v>
      </c>
    </row>
    <row r="341" spans="4:29" x14ac:dyDescent="0.35">
      <c r="D341">
        <f t="shared" si="112"/>
        <v>337</v>
      </c>
      <c r="E341" s="101">
        <v>4</v>
      </c>
      <c r="F341" s="4">
        <v>7</v>
      </c>
      <c r="G341" s="4">
        <v>3</v>
      </c>
      <c r="H341" s="4">
        <v>7</v>
      </c>
      <c r="I341" s="4">
        <v>2</v>
      </c>
      <c r="J341" s="4">
        <v>1</v>
      </c>
      <c r="K341" s="102">
        <v>1</v>
      </c>
      <c r="M341" s="101">
        <f t="shared" si="97"/>
        <v>12</v>
      </c>
      <c r="N341" s="4">
        <f t="shared" si="98"/>
        <v>29</v>
      </c>
      <c r="O341" s="4">
        <f t="shared" si="99"/>
        <v>23</v>
      </c>
      <c r="P341" s="4">
        <f t="shared" si="100"/>
        <v>29</v>
      </c>
      <c r="Q341" s="4">
        <f t="shared" si="101"/>
        <v>56</v>
      </c>
      <c r="R341" s="4">
        <f t="shared" si="102"/>
        <v>34</v>
      </c>
      <c r="S341" s="102">
        <f t="shared" si="103"/>
        <v>34</v>
      </c>
      <c r="U341" s="101">
        <f t="shared" si="104"/>
        <v>9</v>
      </c>
      <c r="V341" s="4">
        <f t="shared" si="105"/>
        <v>41</v>
      </c>
      <c r="W341" s="4">
        <f t="shared" si="106"/>
        <v>39</v>
      </c>
      <c r="X341" s="4">
        <f t="shared" si="107"/>
        <v>41</v>
      </c>
      <c r="Y341" s="4">
        <f t="shared" si="108"/>
        <v>78</v>
      </c>
      <c r="Z341" s="4">
        <f t="shared" si="109"/>
        <v>46</v>
      </c>
      <c r="AA341" s="102">
        <f t="shared" si="110"/>
        <v>46</v>
      </c>
      <c r="AC341" s="100">
        <f t="shared" si="111"/>
        <v>0.97793973035462345</v>
      </c>
    </row>
    <row r="342" spans="4:29" x14ac:dyDescent="0.35">
      <c r="D342">
        <f t="shared" si="112"/>
        <v>338</v>
      </c>
      <c r="E342" s="101">
        <v>2</v>
      </c>
      <c r="F342" s="4">
        <v>7</v>
      </c>
      <c r="G342" s="4">
        <v>3</v>
      </c>
      <c r="H342" s="4">
        <v>6</v>
      </c>
      <c r="I342" s="4">
        <v>3</v>
      </c>
      <c r="J342" s="4">
        <v>4</v>
      </c>
      <c r="K342" s="102">
        <v>2</v>
      </c>
      <c r="M342" s="101">
        <f t="shared" si="97"/>
        <v>56</v>
      </c>
      <c r="N342" s="4">
        <f t="shared" si="98"/>
        <v>29</v>
      </c>
      <c r="O342" s="4">
        <f t="shared" si="99"/>
        <v>23</v>
      </c>
      <c r="P342" s="4">
        <f t="shared" si="100"/>
        <v>45</v>
      </c>
      <c r="Q342" s="4">
        <f t="shared" si="101"/>
        <v>23</v>
      </c>
      <c r="R342" s="4">
        <f t="shared" si="102"/>
        <v>12</v>
      </c>
      <c r="S342" s="102">
        <f t="shared" si="103"/>
        <v>56</v>
      </c>
      <c r="U342" s="101">
        <f t="shared" si="104"/>
        <v>78</v>
      </c>
      <c r="V342" s="4">
        <f t="shared" si="105"/>
        <v>41</v>
      </c>
      <c r="W342" s="4">
        <f t="shared" si="106"/>
        <v>39</v>
      </c>
      <c r="X342" s="4">
        <f t="shared" si="107"/>
        <v>71</v>
      </c>
      <c r="Y342" s="4">
        <f t="shared" si="108"/>
        <v>39</v>
      </c>
      <c r="Z342" s="4">
        <f t="shared" si="109"/>
        <v>9</v>
      </c>
      <c r="AA342" s="102">
        <f t="shared" si="110"/>
        <v>78</v>
      </c>
      <c r="AC342" s="100">
        <f t="shared" si="111"/>
        <v>0.97617740212525617</v>
      </c>
    </row>
    <row r="343" spans="4:29" x14ac:dyDescent="0.35">
      <c r="D343">
        <f t="shared" si="112"/>
        <v>339</v>
      </c>
      <c r="E343" s="101">
        <v>6</v>
      </c>
      <c r="F343" s="4">
        <v>2</v>
      </c>
      <c r="G343" s="4">
        <v>2</v>
      </c>
      <c r="H343" s="4">
        <v>2</v>
      </c>
      <c r="I343" s="4">
        <v>3</v>
      </c>
      <c r="J343" s="4">
        <v>6</v>
      </c>
      <c r="K343" s="102">
        <v>3</v>
      </c>
      <c r="M343" s="101">
        <f t="shared" si="97"/>
        <v>45</v>
      </c>
      <c r="N343" s="4">
        <f t="shared" si="98"/>
        <v>56</v>
      </c>
      <c r="O343" s="4">
        <f t="shared" si="99"/>
        <v>56</v>
      </c>
      <c r="P343" s="4">
        <f t="shared" si="100"/>
        <v>56</v>
      </c>
      <c r="Q343" s="4">
        <f t="shared" si="101"/>
        <v>23</v>
      </c>
      <c r="R343" s="4">
        <f t="shared" si="102"/>
        <v>45</v>
      </c>
      <c r="S343" s="102">
        <f t="shared" si="103"/>
        <v>23</v>
      </c>
      <c r="U343" s="101">
        <f t="shared" si="104"/>
        <v>71</v>
      </c>
      <c r="V343" s="4">
        <f t="shared" si="105"/>
        <v>78</v>
      </c>
      <c r="W343" s="4">
        <f t="shared" si="106"/>
        <v>78</v>
      </c>
      <c r="X343" s="4">
        <f t="shared" si="107"/>
        <v>78</v>
      </c>
      <c r="Y343" s="4">
        <f t="shared" si="108"/>
        <v>39</v>
      </c>
      <c r="Z343" s="4">
        <f t="shared" si="109"/>
        <v>71</v>
      </c>
      <c r="AA343" s="102">
        <f t="shared" si="110"/>
        <v>39</v>
      </c>
      <c r="AC343" s="100">
        <f t="shared" si="111"/>
        <v>0.98666361318869333</v>
      </c>
    </row>
    <row r="344" spans="4:29" x14ac:dyDescent="0.35">
      <c r="D344">
        <f t="shared" si="112"/>
        <v>340</v>
      </c>
      <c r="E344" s="101">
        <v>6</v>
      </c>
      <c r="F344" s="4">
        <v>7</v>
      </c>
      <c r="G344" s="4">
        <v>4</v>
      </c>
      <c r="H344" s="4">
        <v>4</v>
      </c>
      <c r="I344" s="4">
        <v>5</v>
      </c>
      <c r="J344" s="4">
        <v>3</v>
      </c>
      <c r="K344" s="102">
        <v>2</v>
      </c>
      <c r="M344" s="101">
        <f t="shared" si="97"/>
        <v>45</v>
      </c>
      <c r="N344" s="4">
        <f t="shared" si="98"/>
        <v>29</v>
      </c>
      <c r="O344" s="4">
        <f t="shared" si="99"/>
        <v>12</v>
      </c>
      <c r="P344" s="4">
        <f t="shared" si="100"/>
        <v>12</v>
      </c>
      <c r="Q344" s="4">
        <f t="shared" si="101"/>
        <v>30</v>
      </c>
      <c r="R344" s="4">
        <f t="shared" si="102"/>
        <v>23</v>
      </c>
      <c r="S344" s="102">
        <f t="shared" si="103"/>
        <v>56</v>
      </c>
      <c r="U344" s="101">
        <f t="shared" si="104"/>
        <v>71</v>
      </c>
      <c r="V344" s="4">
        <f t="shared" si="105"/>
        <v>41</v>
      </c>
      <c r="W344" s="4">
        <f t="shared" si="106"/>
        <v>9</v>
      </c>
      <c r="X344" s="4">
        <f t="shared" si="107"/>
        <v>9</v>
      </c>
      <c r="Y344" s="4">
        <f t="shared" si="108"/>
        <v>39</v>
      </c>
      <c r="Z344" s="4">
        <f t="shared" si="109"/>
        <v>39</v>
      </c>
      <c r="AA344" s="102">
        <f t="shared" si="110"/>
        <v>78</v>
      </c>
      <c r="AC344" s="100">
        <f t="shared" si="111"/>
        <v>0.98056246901345101</v>
      </c>
    </row>
    <row r="345" spans="4:29" x14ac:dyDescent="0.35">
      <c r="D345">
        <f t="shared" si="112"/>
        <v>341</v>
      </c>
      <c r="E345" s="101">
        <v>4</v>
      </c>
      <c r="F345" s="4">
        <v>2</v>
      </c>
      <c r="G345" s="4">
        <v>4</v>
      </c>
      <c r="H345" s="4">
        <v>5</v>
      </c>
      <c r="I345" s="4">
        <v>7</v>
      </c>
      <c r="J345" s="4">
        <v>7</v>
      </c>
      <c r="K345" s="102">
        <v>2</v>
      </c>
      <c r="M345" s="101">
        <f t="shared" si="97"/>
        <v>12</v>
      </c>
      <c r="N345" s="4">
        <f t="shared" si="98"/>
        <v>56</v>
      </c>
      <c r="O345" s="4">
        <f t="shared" si="99"/>
        <v>12</v>
      </c>
      <c r="P345" s="4">
        <f t="shared" si="100"/>
        <v>30</v>
      </c>
      <c r="Q345" s="4">
        <f t="shared" si="101"/>
        <v>29</v>
      </c>
      <c r="R345" s="4">
        <f t="shared" si="102"/>
        <v>29</v>
      </c>
      <c r="S345" s="102">
        <f t="shared" si="103"/>
        <v>56</v>
      </c>
      <c r="U345" s="101">
        <f t="shared" si="104"/>
        <v>9</v>
      </c>
      <c r="V345" s="4">
        <f t="shared" si="105"/>
        <v>78</v>
      </c>
      <c r="W345" s="4">
        <f t="shared" si="106"/>
        <v>9</v>
      </c>
      <c r="X345" s="4">
        <f t="shared" si="107"/>
        <v>39</v>
      </c>
      <c r="Y345" s="4">
        <f t="shared" si="108"/>
        <v>41</v>
      </c>
      <c r="Z345" s="4">
        <f t="shared" si="109"/>
        <v>41</v>
      </c>
      <c r="AA345" s="102">
        <f t="shared" si="110"/>
        <v>78</v>
      </c>
      <c r="AC345" s="100">
        <f t="shared" si="111"/>
        <v>0.99608171753036179</v>
      </c>
    </row>
    <row r="346" spans="4:29" x14ac:dyDescent="0.35">
      <c r="D346">
        <f t="shared" si="112"/>
        <v>342</v>
      </c>
      <c r="E346" s="101">
        <v>4</v>
      </c>
      <c r="F346" s="4">
        <v>6</v>
      </c>
      <c r="G346" s="4">
        <v>4</v>
      </c>
      <c r="H346" s="4">
        <v>3</v>
      </c>
      <c r="I346" s="4">
        <v>5</v>
      </c>
      <c r="J346" s="4">
        <v>3</v>
      </c>
      <c r="K346" s="102">
        <v>4</v>
      </c>
      <c r="M346" s="101">
        <f t="shared" si="97"/>
        <v>12</v>
      </c>
      <c r="N346" s="4">
        <f t="shared" si="98"/>
        <v>45</v>
      </c>
      <c r="O346" s="4">
        <f t="shared" si="99"/>
        <v>12</v>
      </c>
      <c r="P346" s="4">
        <f t="shared" si="100"/>
        <v>23</v>
      </c>
      <c r="Q346" s="4">
        <f t="shared" si="101"/>
        <v>30</v>
      </c>
      <c r="R346" s="4">
        <f t="shared" si="102"/>
        <v>23</v>
      </c>
      <c r="S346" s="102">
        <f t="shared" si="103"/>
        <v>12</v>
      </c>
      <c r="U346" s="101">
        <f t="shared" si="104"/>
        <v>9</v>
      </c>
      <c r="V346" s="4">
        <f t="shared" si="105"/>
        <v>71</v>
      </c>
      <c r="W346" s="4">
        <f t="shared" si="106"/>
        <v>9</v>
      </c>
      <c r="X346" s="4">
        <f t="shared" si="107"/>
        <v>39</v>
      </c>
      <c r="Y346" s="4">
        <f t="shared" si="108"/>
        <v>39</v>
      </c>
      <c r="Z346" s="4">
        <f t="shared" si="109"/>
        <v>39</v>
      </c>
      <c r="AA346" s="102">
        <f t="shared" si="110"/>
        <v>9</v>
      </c>
      <c r="AC346" s="100">
        <f t="shared" si="111"/>
        <v>0.97550782975319317</v>
      </c>
    </row>
    <row r="347" spans="4:29" x14ac:dyDescent="0.35">
      <c r="D347">
        <f t="shared" si="112"/>
        <v>343</v>
      </c>
      <c r="E347" s="101">
        <v>4</v>
      </c>
      <c r="F347" s="4">
        <v>2</v>
      </c>
      <c r="G347" s="4">
        <v>6</v>
      </c>
      <c r="H347" s="4">
        <v>7</v>
      </c>
      <c r="I347" s="4">
        <v>6</v>
      </c>
      <c r="J347" s="4">
        <v>5</v>
      </c>
      <c r="K347" s="102">
        <v>6</v>
      </c>
      <c r="M347" s="101">
        <f t="shared" si="97"/>
        <v>12</v>
      </c>
      <c r="N347" s="4">
        <f t="shared" si="98"/>
        <v>56</v>
      </c>
      <c r="O347" s="4">
        <f t="shared" si="99"/>
        <v>45</v>
      </c>
      <c r="P347" s="4">
        <f t="shared" si="100"/>
        <v>29</v>
      </c>
      <c r="Q347" s="4">
        <f t="shared" si="101"/>
        <v>45</v>
      </c>
      <c r="R347" s="4">
        <f t="shared" si="102"/>
        <v>30</v>
      </c>
      <c r="S347" s="102">
        <f t="shared" si="103"/>
        <v>45</v>
      </c>
      <c r="U347" s="101">
        <f t="shared" si="104"/>
        <v>9</v>
      </c>
      <c r="V347" s="4">
        <f t="shared" si="105"/>
        <v>78</v>
      </c>
      <c r="W347" s="4">
        <f t="shared" si="106"/>
        <v>71</v>
      </c>
      <c r="X347" s="4">
        <f t="shared" si="107"/>
        <v>41</v>
      </c>
      <c r="Y347" s="4">
        <f t="shared" si="108"/>
        <v>71</v>
      </c>
      <c r="Z347" s="4">
        <f t="shared" si="109"/>
        <v>39</v>
      </c>
      <c r="AA347" s="102">
        <f t="shared" si="110"/>
        <v>71</v>
      </c>
      <c r="AC347" s="100">
        <f t="shared" si="111"/>
        <v>0.98454945795283189</v>
      </c>
    </row>
    <row r="348" spans="4:29" x14ac:dyDescent="0.35">
      <c r="D348">
        <f t="shared" si="112"/>
        <v>344</v>
      </c>
      <c r="E348" s="101">
        <v>2</v>
      </c>
      <c r="F348" s="4">
        <v>1</v>
      </c>
      <c r="G348" s="4">
        <v>2</v>
      </c>
      <c r="H348" s="4">
        <v>4</v>
      </c>
      <c r="I348" s="4">
        <v>1</v>
      </c>
      <c r="J348" s="4">
        <v>2</v>
      </c>
      <c r="K348" s="102">
        <v>6</v>
      </c>
      <c r="M348" s="101">
        <f t="shared" si="97"/>
        <v>56</v>
      </c>
      <c r="N348" s="4">
        <f t="shared" si="98"/>
        <v>34</v>
      </c>
      <c r="O348" s="4">
        <f t="shared" si="99"/>
        <v>56</v>
      </c>
      <c r="P348" s="4">
        <f t="shared" si="100"/>
        <v>12</v>
      </c>
      <c r="Q348" s="4">
        <f t="shared" si="101"/>
        <v>34</v>
      </c>
      <c r="R348" s="4">
        <f t="shared" si="102"/>
        <v>56</v>
      </c>
      <c r="S348" s="102">
        <f t="shared" si="103"/>
        <v>45</v>
      </c>
      <c r="U348" s="101">
        <f t="shared" si="104"/>
        <v>78</v>
      </c>
      <c r="V348" s="4">
        <f t="shared" si="105"/>
        <v>46</v>
      </c>
      <c r="W348" s="4">
        <f t="shared" si="106"/>
        <v>78</v>
      </c>
      <c r="X348" s="4">
        <f t="shared" si="107"/>
        <v>9</v>
      </c>
      <c r="Y348" s="4">
        <f t="shared" si="108"/>
        <v>46</v>
      </c>
      <c r="Z348" s="4">
        <f t="shared" si="109"/>
        <v>78</v>
      </c>
      <c r="AA348" s="102">
        <f t="shared" si="110"/>
        <v>71</v>
      </c>
      <c r="AC348" s="100">
        <f t="shared" si="111"/>
        <v>0.98955753878350006</v>
      </c>
    </row>
    <row r="349" spans="4:29" x14ac:dyDescent="0.35">
      <c r="D349">
        <f t="shared" si="112"/>
        <v>345</v>
      </c>
      <c r="E349" s="101">
        <v>2</v>
      </c>
      <c r="F349" s="4">
        <v>6</v>
      </c>
      <c r="G349" s="4">
        <v>2</v>
      </c>
      <c r="H349" s="4">
        <v>2</v>
      </c>
      <c r="I349" s="4">
        <v>5</v>
      </c>
      <c r="J349" s="4">
        <v>1</v>
      </c>
      <c r="K349" s="102">
        <v>2</v>
      </c>
      <c r="M349" s="101">
        <f t="shared" si="97"/>
        <v>56</v>
      </c>
      <c r="N349" s="4">
        <f t="shared" si="98"/>
        <v>45</v>
      </c>
      <c r="O349" s="4">
        <f t="shared" si="99"/>
        <v>56</v>
      </c>
      <c r="P349" s="4">
        <f t="shared" si="100"/>
        <v>56</v>
      </c>
      <c r="Q349" s="4">
        <f t="shared" si="101"/>
        <v>30</v>
      </c>
      <c r="R349" s="4">
        <f t="shared" si="102"/>
        <v>34</v>
      </c>
      <c r="S349" s="102">
        <f t="shared" si="103"/>
        <v>56</v>
      </c>
      <c r="U349" s="101">
        <f t="shared" si="104"/>
        <v>78</v>
      </c>
      <c r="V349" s="4">
        <f t="shared" si="105"/>
        <v>71</v>
      </c>
      <c r="W349" s="4">
        <f t="shared" si="106"/>
        <v>78</v>
      </c>
      <c r="X349" s="4">
        <f t="shared" si="107"/>
        <v>78</v>
      </c>
      <c r="Y349" s="4">
        <f t="shared" si="108"/>
        <v>39</v>
      </c>
      <c r="Z349" s="4">
        <f t="shared" si="109"/>
        <v>46</v>
      </c>
      <c r="AA349" s="102">
        <f t="shared" si="110"/>
        <v>78</v>
      </c>
      <c r="AC349" s="100">
        <f t="shared" si="111"/>
        <v>0.97841528413594225</v>
      </c>
    </row>
    <row r="350" spans="4:29" x14ac:dyDescent="0.35">
      <c r="D350">
        <f t="shared" si="112"/>
        <v>346</v>
      </c>
      <c r="E350" s="101">
        <v>3</v>
      </c>
      <c r="F350" s="4">
        <v>3</v>
      </c>
      <c r="G350" s="4">
        <v>4</v>
      </c>
      <c r="H350" s="4">
        <v>1</v>
      </c>
      <c r="I350" s="4">
        <v>1</v>
      </c>
      <c r="J350" s="4">
        <v>3</v>
      </c>
      <c r="K350" s="102">
        <v>4</v>
      </c>
      <c r="M350" s="101">
        <f t="shared" si="97"/>
        <v>23</v>
      </c>
      <c r="N350" s="4">
        <f t="shared" si="98"/>
        <v>23</v>
      </c>
      <c r="O350" s="4">
        <f t="shared" si="99"/>
        <v>12</v>
      </c>
      <c r="P350" s="4">
        <f t="shared" si="100"/>
        <v>34</v>
      </c>
      <c r="Q350" s="4">
        <f t="shared" si="101"/>
        <v>34</v>
      </c>
      <c r="R350" s="4">
        <f t="shared" si="102"/>
        <v>23</v>
      </c>
      <c r="S350" s="102">
        <f t="shared" si="103"/>
        <v>12</v>
      </c>
      <c r="U350" s="101">
        <f t="shared" si="104"/>
        <v>39</v>
      </c>
      <c r="V350" s="4">
        <f t="shared" si="105"/>
        <v>39</v>
      </c>
      <c r="W350" s="4">
        <f t="shared" si="106"/>
        <v>9</v>
      </c>
      <c r="X350" s="4">
        <f t="shared" si="107"/>
        <v>46</v>
      </c>
      <c r="Y350" s="4">
        <f t="shared" si="108"/>
        <v>46</v>
      </c>
      <c r="Z350" s="4">
        <f t="shared" si="109"/>
        <v>39</v>
      </c>
      <c r="AA350" s="102">
        <f t="shared" si="110"/>
        <v>9</v>
      </c>
      <c r="AC350" s="100">
        <f t="shared" si="111"/>
        <v>0.92624133359362482</v>
      </c>
    </row>
    <row r="351" spans="4:29" x14ac:dyDescent="0.35">
      <c r="D351">
        <f t="shared" si="112"/>
        <v>347</v>
      </c>
      <c r="E351" s="101">
        <v>1</v>
      </c>
      <c r="F351" s="4">
        <v>2</v>
      </c>
      <c r="G351" s="4">
        <v>5</v>
      </c>
      <c r="H351" s="4">
        <v>7</v>
      </c>
      <c r="I351" s="4">
        <v>6</v>
      </c>
      <c r="J351" s="4">
        <v>7</v>
      </c>
      <c r="K351" s="102">
        <v>1</v>
      </c>
      <c r="M351" s="101">
        <f t="shared" si="97"/>
        <v>34</v>
      </c>
      <c r="N351" s="4">
        <f t="shared" si="98"/>
        <v>56</v>
      </c>
      <c r="O351" s="4">
        <f t="shared" si="99"/>
        <v>30</v>
      </c>
      <c r="P351" s="4">
        <f t="shared" si="100"/>
        <v>29</v>
      </c>
      <c r="Q351" s="4">
        <f t="shared" si="101"/>
        <v>45</v>
      </c>
      <c r="R351" s="4">
        <f t="shared" si="102"/>
        <v>29</v>
      </c>
      <c r="S351" s="102">
        <f t="shared" si="103"/>
        <v>34</v>
      </c>
      <c r="U351" s="101">
        <f t="shared" si="104"/>
        <v>46</v>
      </c>
      <c r="V351" s="4">
        <f t="shared" si="105"/>
        <v>78</v>
      </c>
      <c r="W351" s="4">
        <f t="shared" si="106"/>
        <v>39</v>
      </c>
      <c r="X351" s="4">
        <f t="shared" si="107"/>
        <v>41</v>
      </c>
      <c r="Y351" s="4">
        <f t="shared" si="108"/>
        <v>71</v>
      </c>
      <c r="Z351" s="4">
        <f t="shared" si="109"/>
        <v>41</v>
      </c>
      <c r="AA351" s="102">
        <f t="shared" si="110"/>
        <v>46</v>
      </c>
      <c r="AC351" s="100">
        <f t="shared" si="111"/>
        <v>0.97761727585285618</v>
      </c>
    </row>
    <row r="352" spans="4:29" x14ac:dyDescent="0.35">
      <c r="D352">
        <f t="shared" si="112"/>
        <v>348</v>
      </c>
      <c r="E352" s="101">
        <v>4</v>
      </c>
      <c r="F352" s="4">
        <v>6</v>
      </c>
      <c r="G352" s="4">
        <v>5</v>
      </c>
      <c r="H352" s="4">
        <v>4</v>
      </c>
      <c r="I352" s="4">
        <v>1</v>
      </c>
      <c r="J352" s="4">
        <v>6</v>
      </c>
      <c r="K352" s="102">
        <v>3</v>
      </c>
      <c r="M352" s="101">
        <f t="shared" si="97"/>
        <v>12</v>
      </c>
      <c r="N352" s="4">
        <f t="shared" si="98"/>
        <v>45</v>
      </c>
      <c r="O352" s="4">
        <f t="shared" si="99"/>
        <v>30</v>
      </c>
      <c r="P352" s="4">
        <f t="shared" si="100"/>
        <v>12</v>
      </c>
      <c r="Q352" s="4">
        <f t="shared" si="101"/>
        <v>34</v>
      </c>
      <c r="R352" s="4">
        <f t="shared" si="102"/>
        <v>45</v>
      </c>
      <c r="S352" s="102">
        <f t="shared" si="103"/>
        <v>23</v>
      </c>
      <c r="U352" s="101">
        <f t="shared" si="104"/>
        <v>9</v>
      </c>
      <c r="V352" s="4">
        <f t="shared" si="105"/>
        <v>71</v>
      </c>
      <c r="W352" s="4">
        <f t="shared" si="106"/>
        <v>39</v>
      </c>
      <c r="X352" s="4">
        <f t="shared" si="107"/>
        <v>9</v>
      </c>
      <c r="Y352" s="4">
        <f t="shared" si="108"/>
        <v>46</v>
      </c>
      <c r="Z352" s="4">
        <f t="shared" si="109"/>
        <v>71</v>
      </c>
      <c r="AA352" s="102">
        <f t="shared" si="110"/>
        <v>39</v>
      </c>
      <c r="AC352" s="100">
        <f t="shared" si="111"/>
        <v>0.98512683740495666</v>
      </c>
    </row>
    <row r="353" spans="4:29" x14ac:dyDescent="0.35">
      <c r="D353">
        <f t="shared" si="112"/>
        <v>349</v>
      </c>
      <c r="E353" s="101">
        <v>3</v>
      </c>
      <c r="F353" s="4">
        <v>3</v>
      </c>
      <c r="G353" s="4">
        <v>3</v>
      </c>
      <c r="H353" s="4">
        <v>3</v>
      </c>
      <c r="I353" s="4">
        <v>2</v>
      </c>
      <c r="J353" s="4">
        <v>3</v>
      </c>
      <c r="K353" s="102">
        <v>2</v>
      </c>
      <c r="M353" s="101">
        <f t="shared" si="97"/>
        <v>23</v>
      </c>
      <c r="N353" s="4">
        <f t="shared" si="98"/>
        <v>23</v>
      </c>
      <c r="O353" s="4">
        <f t="shared" si="99"/>
        <v>23</v>
      </c>
      <c r="P353" s="4">
        <f t="shared" si="100"/>
        <v>23</v>
      </c>
      <c r="Q353" s="4">
        <f t="shared" si="101"/>
        <v>56</v>
      </c>
      <c r="R353" s="4">
        <f t="shared" si="102"/>
        <v>23</v>
      </c>
      <c r="S353" s="102">
        <f t="shared" si="103"/>
        <v>56</v>
      </c>
      <c r="U353" s="101">
        <f t="shared" si="104"/>
        <v>39</v>
      </c>
      <c r="V353" s="4">
        <f t="shared" si="105"/>
        <v>39</v>
      </c>
      <c r="W353" s="4">
        <f t="shared" si="106"/>
        <v>39</v>
      </c>
      <c r="X353" s="4">
        <f t="shared" si="107"/>
        <v>39</v>
      </c>
      <c r="Y353" s="4">
        <f t="shared" si="108"/>
        <v>78</v>
      </c>
      <c r="Z353" s="4">
        <f t="shared" si="109"/>
        <v>39</v>
      </c>
      <c r="AA353" s="102">
        <f t="shared" si="110"/>
        <v>78</v>
      </c>
      <c r="AC353" s="100">
        <f t="shared" si="111"/>
        <v>1</v>
      </c>
    </row>
    <row r="354" spans="4:29" x14ac:dyDescent="0.35">
      <c r="D354">
        <f t="shared" si="112"/>
        <v>350</v>
      </c>
      <c r="E354" s="101">
        <v>3</v>
      </c>
      <c r="F354" s="4">
        <v>5</v>
      </c>
      <c r="G354" s="4">
        <v>3</v>
      </c>
      <c r="H354" s="4">
        <v>6</v>
      </c>
      <c r="I354" s="4">
        <v>6</v>
      </c>
      <c r="J354" s="4">
        <v>3</v>
      </c>
      <c r="K354" s="102">
        <v>7</v>
      </c>
      <c r="M354" s="101">
        <f t="shared" si="97"/>
        <v>23</v>
      </c>
      <c r="N354" s="4">
        <f t="shared" si="98"/>
        <v>30</v>
      </c>
      <c r="O354" s="4">
        <f t="shared" si="99"/>
        <v>23</v>
      </c>
      <c r="P354" s="4">
        <f t="shared" si="100"/>
        <v>45</v>
      </c>
      <c r="Q354" s="4">
        <f t="shared" si="101"/>
        <v>45</v>
      </c>
      <c r="R354" s="4">
        <f t="shared" si="102"/>
        <v>23</v>
      </c>
      <c r="S354" s="102">
        <f t="shared" si="103"/>
        <v>29</v>
      </c>
      <c r="U354" s="101">
        <f t="shared" si="104"/>
        <v>39</v>
      </c>
      <c r="V354" s="4">
        <f t="shared" si="105"/>
        <v>39</v>
      </c>
      <c r="W354" s="4">
        <f t="shared" si="106"/>
        <v>39</v>
      </c>
      <c r="X354" s="4">
        <f t="shared" si="107"/>
        <v>71</v>
      </c>
      <c r="Y354" s="4">
        <f t="shared" si="108"/>
        <v>71</v>
      </c>
      <c r="Z354" s="4">
        <f t="shared" si="109"/>
        <v>39</v>
      </c>
      <c r="AA354" s="102">
        <f t="shared" si="110"/>
        <v>41</v>
      </c>
      <c r="AC354" s="100">
        <f t="shared" si="111"/>
        <v>0.96187859844742252</v>
      </c>
    </row>
    <row r="355" spans="4:29" x14ac:dyDescent="0.35">
      <c r="D355">
        <f t="shared" si="112"/>
        <v>351</v>
      </c>
      <c r="E355" s="101">
        <v>1</v>
      </c>
      <c r="F355" s="4">
        <v>2</v>
      </c>
      <c r="G355" s="4">
        <v>5</v>
      </c>
      <c r="H355" s="4">
        <v>7</v>
      </c>
      <c r="I355" s="4">
        <v>5</v>
      </c>
      <c r="J355" s="4">
        <v>4</v>
      </c>
      <c r="K355" s="102">
        <v>1</v>
      </c>
      <c r="M355" s="101">
        <f t="shared" si="97"/>
        <v>34</v>
      </c>
      <c r="N355" s="4">
        <f t="shared" si="98"/>
        <v>56</v>
      </c>
      <c r="O355" s="4">
        <f t="shared" si="99"/>
        <v>30</v>
      </c>
      <c r="P355" s="4">
        <f t="shared" si="100"/>
        <v>29</v>
      </c>
      <c r="Q355" s="4">
        <f t="shared" si="101"/>
        <v>30</v>
      </c>
      <c r="R355" s="4">
        <f t="shared" si="102"/>
        <v>12</v>
      </c>
      <c r="S355" s="102">
        <f t="shared" si="103"/>
        <v>34</v>
      </c>
      <c r="U355" s="101">
        <f t="shared" si="104"/>
        <v>46</v>
      </c>
      <c r="V355" s="4">
        <f t="shared" si="105"/>
        <v>78</v>
      </c>
      <c r="W355" s="4">
        <f t="shared" si="106"/>
        <v>39</v>
      </c>
      <c r="X355" s="4">
        <f t="shared" si="107"/>
        <v>41</v>
      </c>
      <c r="Y355" s="4">
        <f t="shared" si="108"/>
        <v>39</v>
      </c>
      <c r="Z355" s="4">
        <f t="shared" si="109"/>
        <v>9</v>
      </c>
      <c r="AA355" s="102">
        <f t="shared" si="110"/>
        <v>46</v>
      </c>
      <c r="AC355" s="100">
        <f t="shared" si="111"/>
        <v>0.99597841885430127</v>
      </c>
    </row>
    <row r="356" spans="4:29" x14ac:dyDescent="0.35">
      <c r="D356">
        <f t="shared" si="112"/>
        <v>352</v>
      </c>
      <c r="E356" s="101">
        <v>2</v>
      </c>
      <c r="F356" s="4">
        <v>7</v>
      </c>
      <c r="G356" s="4">
        <v>2</v>
      </c>
      <c r="H356" s="4">
        <v>4</v>
      </c>
      <c r="I356" s="4">
        <v>2</v>
      </c>
      <c r="J356" s="4">
        <v>7</v>
      </c>
      <c r="K356" s="102">
        <v>4</v>
      </c>
      <c r="M356" s="101">
        <f t="shared" si="97"/>
        <v>56</v>
      </c>
      <c r="N356" s="4">
        <f t="shared" si="98"/>
        <v>29</v>
      </c>
      <c r="O356" s="4">
        <f t="shared" si="99"/>
        <v>56</v>
      </c>
      <c r="P356" s="4">
        <f t="shared" si="100"/>
        <v>12</v>
      </c>
      <c r="Q356" s="4">
        <f t="shared" si="101"/>
        <v>56</v>
      </c>
      <c r="R356" s="4">
        <f t="shared" si="102"/>
        <v>29</v>
      </c>
      <c r="S356" s="102">
        <f t="shared" si="103"/>
        <v>12</v>
      </c>
      <c r="U356" s="101">
        <f t="shared" si="104"/>
        <v>78</v>
      </c>
      <c r="V356" s="4">
        <f t="shared" si="105"/>
        <v>41</v>
      </c>
      <c r="W356" s="4">
        <f t="shared" si="106"/>
        <v>78</v>
      </c>
      <c r="X356" s="4">
        <f t="shared" si="107"/>
        <v>9</v>
      </c>
      <c r="Y356" s="4">
        <f t="shared" si="108"/>
        <v>78</v>
      </c>
      <c r="Z356" s="4">
        <f t="shared" si="109"/>
        <v>41</v>
      </c>
      <c r="AA356" s="102">
        <f t="shared" si="110"/>
        <v>9</v>
      </c>
      <c r="AC356" s="100">
        <f t="shared" si="111"/>
        <v>0.99668507100801407</v>
      </c>
    </row>
    <row r="357" spans="4:29" x14ac:dyDescent="0.35">
      <c r="D357">
        <f t="shared" si="112"/>
        <v>353</v>
      </c>
      <c r="E357" s="101">
        <v>4</v>
      </c>
      <c r="F357" s="4">
        <v>5</v>
      </c>
      <c r="G357" s="4">
        <v>1</v>
      </c>
      <c r="H357" s="4">
        <v>5</v>
      </c>
      <c r="I357" s="4">
        <v>1</v>
      </c>
      <c r="J357" s="4">
        <v>5</v>
      </c>
      <c r="K357" s="102">
        <v>2</v>
      </c>
      <c r="M357" s="101">
        <f t="shared" si="97"/>
        <v>12</v>
      </c>
      <c r="N357" s="4">
        <f t="shared" si="98"/>
        <v>30</v>
      </c>
      <c r="O357" s="4">
        <f t="shared" si="99"/>
        <v>34</v>
      </c>
      <c r="P357" s="4">
        <f t="shared" si="100"/>
        <v>30</v>
      </c>
      <c r="Q357" s="4">
        <f t="shared" si="101"/>
        <v>34</v>
      </c>
      <c r="R357" s="4">
        <f t="shared" si="102"/>
        <v>30</v>
      </c>
      <c r="S357" s="102">
        <f t="shared" si="103"/>
        <v>56</v>
      </c>
      <c r="U357" s="101">
        <f t="shared" si="104"/>
        <v>9</v>
      </c>
      <c r="V357" s="4">
        <f t="shared" si="105"/>
        <v>39</v>
      </c>
      <c r="W357" s="4">
        <f t="shared" si="106"/>
        <v>46</v>
      </c>
      <c r="X357" s="4">
        <f t="shared" si="107"/>
        <v>39</v>
      </c>
      <c r="Y357" s="4">
        <f t="shared" si="108"/>
        <v>46</v>
      </c>
      <c r="Z357" s="4">
        <f t="shared" si="109"/>
        <v>39</v>
      </c>
      <c r="AA357" s="102">
        <f t="shared" si="110"/>
        <v>78</v>
      </c>
      <c r="AC357" s="100">
        <f t="shared" si="111"/>
        <v>0.99862690528402209</v>
      </c>
    </row>
    <row r="358" spans="4:29" x14ac:dyDescent="0.35">
      <c r="D358">
        <f t="shared" si="112"/>
        <v>354</v>
      </c>
      <c r="E358" s="101">
        <v>4</v>
      </c>
      <c r="F358" s="4">
        <v>4</v>
      </c>
      <c r="G358" s="4">
        <v>3</v>
      </c>
      <c r="H358" s="4">
        <v>7</v>
      </c>
      <c r="I358" s="4">
        <v>4</v>
      </c>
      <c r="J358" s="4">
        <v>3</v>
      </c>
      <c r="K358" s="102">
        <v>7</v>
      </c>
      <c r="M358" s="101">
        <f t="shared" si="97"/>
        <v>12</v>
      </c>
      <c r="N358" s="4">
        <f t="shared" si="98"/>
        <v>12</v>
      </c>
      <c r="O358" s="4">
        <f t="shared" si="99"/>
        <v>23</v>
      </c>
      <c r="P358" s="4">
        <f t="shared" si="100"/>
        <v>29</v>
      </c>
      <c r="Q358" s="4">
        <f t="shared" si="101"/>
        <v>12</v>
      </c>
      <c r="R358" s="4">
        <f t="shared" si="102"/>
        <v>23</v>
      </c>
      <c r="S358" s="102">
        <f t="shared" si="103"/>
        <v>29</v>
      </c>
      <c r="U358" s="101">
        <f t="shared" si="104"/>
        <v>9</v>
      </c>
      <c r="V358" s="4">
        <f t="shared" si="105"/>
        <v>9</v>
      </c>
      <c r="W358" s="4">
        <f t="shared" si="106"/>
        <v>39</v>
      </c>
      <c r="X358" s="4">
        <f t="shared" si="107"/>
        <v>41</v>
      </c>
      <c r="Y358" s="4">
        <f t="shared" si="108"/>
        <v>9</v>
      </c>
      <c r="Z358" s="4">
        <f t="shared" si="109"/>
        <v>39</v>
      </c>
      <c r="AA358" s="102">
        <f t="shared" si="110"/>
        <v>41</v>
      </c>
      <c r="AC358" s="100">
        <f t="shared" si="111"/>
        <v>0.96454041252257405</v>
      </c>
    </row>
    <row r="359" spans="4:29" x14ac:dyDescent="0.35">
      <c r="D359">
        <f t="shared" si="112"/>
        <v>355</v>
      </c>
      <c r="E359" s="101">
        <v>7</v>
      </c>
      <c r="F359" s="4">
        <v>7</v>
      </c>
      <c r="G359" s="4">
        <v>5</v>
      </c>
      <c r="H359" s="4">
        <v>7</v>
      </c>
      <c r="I359" s="4">
        <v>1</v>
      </c>
      <c r="J359" s="4">
        <v>3</v>
      </c>
      <c r="K359" s="102">
        <v>6</v>
      </c>
      <c r="M359" s="101">
        <f t="shared" si="97"/>
        <v>29</v>
      </c>
      <c r="N359" s="4">
        <f t="shared" si="98"/>
        <v>29</v>
      </c>
      <c r="O359" s="4">
        <f t="shared" si="99"/>
        <v>30</v>
      </c>
      <c r="P359" s="4">
        <f t="shared" si="100"/>
        <v>29</v>
      </c>
      <c r="Q359" s="4">
        <f t="shared" si="101"/>
        <v>34</v>
      </c>
      <c r="R359" s="4">
        <f t="shared" si="102"/>
        <v>23</v>
      </c>
      <c r="S359" s="102">
        <f t="shared" si="103"/>
        <v>45</v>
      </c>
      <c r="U359" s="101">
        <f t="shared" si="104"/>
        <v>41</v>
      </c>
      <c r="V359" s="4">
        <f t="shared" si="105"/>
        <v>41</v>
      </c>
      <c r="W359" s="4">
        <f t="shared" si="106"/>
        <v>39</v>
      </c>
      <c r="X359" s="4">
        <f t="shared" si="107"/>
        <v>41</v>
      </c>
      <c r="Y359" s="4">
        <f t="shared" si="108"/>
        <v>46</v>
      </c>
      <c r="Z359" s="4">
        <f t="shared" si="109"/>
        <v>39</v>
      </c>
      <c r="AA359" s="102">
        <f t="shared" si="110"/>
        <v>71</v>
      </c>
      <c r="AC359" s="100">
        <f t="shared" si="111"/>
        <v>0.93855561311053559</v>
      </c>
    </row>
    <row r="360" spans="4:29" x14ac:dyDescent="0.35">
      <c r="D360">
        <f t="shared" si="112"/>
        <v>356</v>
      </c>
      <c r="E360" s="101">
        <v>1</v>
      </c>
      <c r="F360" s="4">
        <v>7</v>
      </c>
      <c r="G360" s="4">
        <v>1</v>
      </c>
      <c r="H360" s="4">
        <v>3</v>
      </c>
      <c r="I360" s="4">
        <v>7</v>
      </c>
      <c r="J360" s="4">
        <v>2</v>
      </c>
      <c r="K360" s="102">
        <v>5</v>
      </c>
      <c r="M360" s="101">
        <f t="shared" si="97"/>
        <v>34</v>
      </c>
      <c r="N360" s="4">
        <f t="shared" si="98"/>
        <v>29</v>
      </c>
      <c r="O360" s="4">
        <f t="shared" si="99"/>
        <v>34</v>
      </c>
      <c r="P360" s="4">
        <f t="shared" si="100"/>
        <v>23</v>
      </c>
      <c r="Q360" s="4">
        <f t="shared" si="101"/>
        <v>29</v>
      </c>
      <c r="R360" s="4">
        <f t="shared" si="102"/>
        <v>56</v>
      </c>
      <c r="S360" s="102">
        <f t="shared" si="103"/>
        <v>30</v>
      </c>
      <c r="U360" s="101">
        <f t="shared" si="104"/>
        <v>46</v>
      </c>
      <c r="V360" s="4">
        <f t="shared" si="105"/>
        <v>41</v>
      </c>
      <c r="W360" s="4">
        <f t="shared" si="106"/>
        <v>46</v>
      </c>
      <c r="X360" s="4">
        <f t="shared" si="107"/>
        <v>39</v>
      </c>
      <c r="Y360" s="4">
        <f t="shared" si="108"/>
        <v>41</v>
      </c>
      <c r="Z360" s="4">
        <f t="shared" si="109"/>
        <v>78</v>
      </c>
      <c r="AA360" s="102">
        <f t="shared" si="110"/>
        <v>39</v>
      </c>
      <c r="AC360" s="100">
        <f t="shared" si="111"/>
        <v>0.97727136094321709</v>
      </c>
    </row>
    <row r="361" spans="4:29" x14ac:dyDescent="0.35">
      <c r="D361">
        <f t="shared" si="112"/>
        <v>357</v>
      </c>
      <c r="E361" s="101">
        <v>4</v>
      </c>
      <c r="F361" s="4">
        <v>4</v>
      </c>
      <c r="G361" s="4">
        <v>3</v>
      </c>
      <c r="H361" s="4">
        <v>2</v>
      </c>
      <c r="I361" s="4">
        <v>5</v>
      </c>
      <c r="J361" s="4">
        <v>4</v>
      </c>
      <c r="K361" s="102">
        <v>1</v>
      </c>
      <c r="M361" s="101">
        <f t="shared" si="97"/>
        <v>12</v>
      </c>
      <c r="N361" s="4">
        <f t="shared" si="98"/>
        <v>12</v>
      </c>
      <c r="O361" s="4">
        <f t="shared" si="99"/>
        <v>23</v>
      </c>
      <c r="P361" s="4">
        <f t="shared" si="100"/>
        <v>56</v>
      </c>
      <c r="Q361" s="4">
        <f t="shared" si="101"/>
        <v>30</v>
      </c>
      <c r="R361" s="4">
        <f t="shared" si="102"/>
        <v>12</v>
      </c>
      <c r="S361" s="102">
        <f t="shared" si="103"/>
        <v>34</v>
      </c>
      <c r="U361" s="101">
        <f t="shared" si="104"/>
        <v>9</v>
      </c>
      <c r="V361" s="4">
        <f t="shared" si="105"/>
        <v>9</v>
      </c>
      <c r="W361" s="4">
        <f t="shared" si="106"/>
        <v>39</v>
      </c>
      <c r="X361" s="4">
        <f t="shared" si="107"/>
        <v>78</v>
      </c>
      <c r="Y361" s="4">
        <f t="shared" si="108"/>
        <v>39</v>
      </c>
      <c r="Z361" s="4">
        <f t="shared" si="109"/>
        <v>9</v>
      </c>
      <c r="AA361" s="102">
        <f t="shared" si="110"/>
        <v>46</v>
      </c>
      <c r="AC361" s="100">
        <f t="shared" si="111"/>
        <v>0.98351865289124452</v>
      </c>
    </row>
    <row r="362" spans="4:29" x14ac:dyDescent="0.35">
      <c r="D362">
        <f t="shared" si="112"/>
        <v>358</v>
      </c>
      <c r="E362" s="101">
        <v>1</v>
      </c>
      <c r="F362" s="4">
        <v>3</v>
      </c>
      <c r="G362" s="4">
        <v>4</v>
      </c>
      <c r="H362" s="4">
        <v>2</v>
      </c>
      <c r="I362" s="4">
        <v>6</v>
      </c>
      <c r="J362" s="4">
        <v>6</v>
      </c>
      <c r="K362" s="102">
        <v>6</v>
      </c>
      <c r="M362" s="101">
        <f t="shared" si="97"/>
        <v>34</v>
      </c>
      <c r="N362" s="4">
        <f t="shared" si="98"/>
        <v>23</v>
      </c>
      <c r="O362" s="4">
        <f t="shared" si="99"/>
        <v>12</v>
      </c>
      <c r="P362" s="4">
        <f t="shared" si="100"/>
        <v>56</v>
      </c>
      <c r="Q362" s="4">
        <f t="shared" si="101"/>
        <v>45</v>
      </c>
      <c r="R362" s="4">
        <f t="shared" si="102"/>
        <v>45</v>
      </c>
      <c r="S362" s="102">
        <f t="shared" si="103"/>
        <v>45</v>
      </c>
      <c r="U362" s="101">
        <f t="shared" si="104"/>
        <v>46</v>
      </c>
      <c r="V362" s="4">
        <f t="shared" si="105"/>
        <v>39</v>
      </c>
      <c r="W362" s="4">
        <f t="shared" si="106"/>
        <v>9</v>
      </c>
      <c r="X362" s="4">
        <f t="shared" si="107"/>
        <v>78</v>
      </c>
      <c r="Y362" s="4">
        <f t="shared" si="108"/>
        <v>71</v>
      </c>
      <c r="Z362" s="4">
        <f t="shared" si="109"/>
        <v>71</v>
      </c>
      <c r="AA362" s="102">
        <f t="shared" si="110"/>
        <v>71</v>
      </c>
      <c r="AC362" s="100">
        <f t="shared" si="111"/>
        <v>0.97575270091008892</v>
      </c>
    </row>
    <row r="363" spans="4:29" x14ac:dyDescent="0.35">
      <c r="D363">
        <f t="shared" si="112"/>
        <v>359</v>
      </c>
      <c r="E363" s="101">
        <v>7</v>
      </c>
      <c r="F363" s="4">
        <v>2</v>
      </c>
      <c r="G363" s="4">
        <v>5</v>
      </c>
      <c r="H363" s="4">
        <v>4</v>
      </c>
      <c r="I363" s="4">
        <v>7</v>
      </c>
      <c r="J363" s="4">
        <v>5</v>
      </c>
      <c r="K363" s="102">
        <v>5</v>
      </c>
      <c r="M363" s="101">
        <f t="shared" si="97"/>
        <v>29</v>
      </c>
      <c r="N363" s="4">
        <f t="shared" si="98"/>
        <v>56</v>
      </c>
      <c r="O363" s="4">
        <f t="shared" si="99"/>
        <v>30</v>
      </c>
      <c r="P363" s="4">
        <f t="shared" si="100"/>
        <v>12</v>
      </c>
      <c r="Q363" s="4">
        <f t="shared" si="101"/>
        <v>29</v>
      </c>
      <c r="R363" s="4">
        <f t="shared" si="102"/>
        <v>30</v>
      </c>
      <c r="S363" s="102">
        <f t="shared" si="103"/>
        <v>30</v>
      </c>
      <c r="U363" s="101">
        <f t="shared" si="104"/>
        <v>41</v>
      </c>
      <c r="V363" s="4">
        <f t="shared" si="105"/>
        <v>78</v>
      </c>
      <c r="W363" s="4">
        <f t="shared" si="106"/>
        <v>39</v>
      </c>
      <c r="X363" s="4">
        <f t="shared" si="107"/>
        <v>9</v>
      </c>
      <c r="Y363" s="4">
        <f t="shared" si="108"/>
        <v>41</v>
      </c>
      <c r="Z363" s="4">
        <f t="shared" si="109"/>
        <v>39</v>
      </c>
      <c r="AA363" s="102">
        <f t="shared" si="110"/>
        <v>39</v>
      </c>
      <c r="AC363" s="100">
        <f t="shared" si="111"/>
        <v>0.99388743636895238</v>
      </c>
    </row>
    <row r="364" spans="4:29" x14ac:dyDescent="0.35">
      <c r="D364">
        <f t="shared" si="112"/>
        <v>360</v>
      </c>
      <c r="E364" s="101">
        <v>3</v>
      </c>
      <c r="F364" s="4">
        <v>3</v>
      </c>
      <c r="G364" s="4">
        <v>4</v>
      </c>
      <c r="H364" s="4">
        <v>1</v>
      </c>
      <c r="I364" s="4">
        <v>7</v>
      </c>
      <c r="J364" s="4">
        <v>3</v>
      </c>
      <c r="K364" s="102">
        <v>5</v>
      </c>
      <c r="M364" s="101">
        <f t="shared" si="97"/>
        <v>23</v>
      </c>
      <c r="N364" s="4">
        <f t="shared" si="98"/>
        <v>23</v>
      </c>
      <c r="O364" s="4">
        <f t="shared" si="99"/>
        <v>12</v>
      </c>
      <c r="P364" s="4">
        <f t="shared" si="100"/>
        <v>34</v>
      </c>
      <c r="Q364" s="4">
        <f t="shared" si="101"/>
        <v>29</v>
      </c>
      <c r="R364" s="4">
        <f t="shared" si="102"/>
        <v>23</v>
      </c>
      <c r="S364" s="102">
        <f t="shared" si="103"/>
        <v>30</v>
      </c>
      <c r="U364" s="101">
        <f t="shared" si="104"/>
        <v>39</v>
      </c>
      <c r="V364" s="4">
        <f t="shared" si="105"/>
        <v>39</v>
      </c>
      <c r="W364" s="4">
        <f t="shared" si="106"/>
        <v>9</v>
      </c>
      <c r="X364" s="4">
        <f t="shared" si="107"/>
        <v>46</v>
      </c>
      <c r="Y364" s="4">
        <f t="shared" si="108"/>
        <v>41</v>
      </c>
      <c r="Z364" s="4">
        <f t="shared" si="109"/>
        <v>39</v>
      </c>
      <c r="AA364" s="102">
        <f t="shared" si="110"/>
        <v>39</v>
      </c>
      <c r="AC364" s="100">
        <f t="shared" si="111"/>
        <v>0.88216853668371753</v>
      </c>
    </row>
    <row r="365" spans="4:29" x14ac:dyDescent="0.35">
      <c r="D365">
        <f t="shared" si="112"/>
        <v>361</v>
      </c>
      <c r="E365" s="101">
        <v>3</v>
      </c>
      <c r="F365" s="4">
        <v>2</v>
      </c>
      <c r="G365" s="4">
        <v>7</v>
      </c>
      <c r="H365" s="4">
        <v>2</v>
      </c>
      <c r="I365" s="4">
        <v>1</v>
      </c>
      <c r="J365" s="4">
        <v>6</v>
      </c>
      <c r="K365" s="102">
        <v>7</v>
      </c>
      <c r="M365" s="101">
        <f t="shared" si="97"/>
        <v>23</v>
      </c>
      <c r="N365" s="4">
        <f t="shared" si="98"/>
        <v>56</v>
      </c>
      <c r="O365" s="4">
        <f t="shared" si="99"/>
        <v>29</v>
      </c>
      <c r="P365" s="4">
        <f t="shared" si="100"/>
        <v>56</v>
      </c>
      <c r="Q365" s="4">
        <f t="shared" si="101"/>
        <v>34</v>
      </c>
      <c r="R365" s="4">
        <f t="shared" si="102"/>
        <v>45</v>
      </c>
      <c r="S365" s="102">
        <f t="shared" si="103"/>
        <v>29</v>
      </c>
      <c r="U365" s="101">
        <f t="shared" si="104"/>
        <v>39</v>
      </c>
      <c r="V365" s="4">
        <f t="shared" si="105"/>
        <v>78</v>
      </c>
      <c r="W365" s="4">
        <f t="shared" si="106"/>
        <v>41</v>
      </c>
      <c r="X365" s="4">
        <f t="shared" si="107"/>
        <v>78</v>
      </c>
      <c r="Y365" s="4">
        <f t="shared" si="108"/>
        <v>46</v>
      </c>
      <c r="Z365" s="4">
        <f t="shared" si="109"/>
        <v>71</v>
      </c>
      <c r="AA365" s="102">
        <f t="shared" si="110"/>
        <v>41</v>
      </c>
      <c r="AC365" s="100">
        <f t="shared" si="111"/>
        <v>0.97917052167505492</v>
      </c>
    </row>
    <row r="366" spans="4:29" x14ac:dyDescent="0.35">
      <c r="D366">
        <f t="shared" si="112"/>
        <v>362</v>
      </c>
      <c r="E366" s="101">
        <v>1</v>
      </c>
      <c r="F366" s="4">
        <v>3</v>
      </c>
      <c r="G366" s="4">
        <v>2</v>
      </c>
      <c r="H366" s="4">
        <v>7</v>
      </c>
      <c r="I366" s="4">
        <v>3</v>
      </c>
      <c r="J366" s="4">
        <v>1</v>
      </c>
      <c r="K366" s="102">
        <v>7</v>
      </c>
      <c r="M366" s="101">
        <f t="shared" si="97"/>
        <v>34</v>
      </c>
      <c r="N366" s="4">
        <f t="shared" si="98"/>
        <v>23</v>
      </c>
      <c r="O366" s="4">
        <f t="shared" si="99"/>
        <v>56</v>
      </c>
      <c r="P366" s="4">
        <f t="shared" si="100"/>
        <v>29</v>
      </c>
      <c r="Q366" s="4">
        <f t="shared" si="101"/>
        <v>23</v>
      </c>
      <c r="R366" s="4">
        <f t="shared" si="102"/>
        <v>34</v>
      </c>
      <c r="S366" s="102">
        <f t="shared" si="103"/>
        <v>29</v>
      </c>
      <c r="U366" s="101">
        <f t="shared" si="104"/>
        <v>46</v>
      </c>
      <c r="V366" s="4">
        <f t="shared" si="105"/>
        <v>39</v>
      </c>
      <c r="W366" s="4">
        <f t="shared" si="106"/>
        <v>78</v>
      </c>
      <c r="X366" s="4">
        <f t="shared" si="107"/>
        <v>41</v>
      </c>
      <c r="Y366" s="4">
        <f t="shared" si="108"/>
        <v>39</v>
      </c>
      <c r="Z366" s="4">
        <f t="shared" si="109"/>
        <v>46</v>
      </c>
      <c r="AA366" s="102">
        <f t="shared" si="110"/>
        <v>41</v>
      </c>
      <c r="AC366" s="100">
        <f t="shared" si="111"/>
        <v>0.97691946423077547</v>
      </c>
    </row>
    <row r="367" spans="4:29" x14ac:dyDescent="0.35">
      <c r="D367">
        <f t="shared" si="112"/>
        <v>363</v>
      </c>
      <c r="E367" s="101">
        <v>2</v>
      </c>
      <c r="F367" s="4">
        <v>1</v>
      </c>
      <c r="G367" s="4">
        <v>1</v>
      </c>
      <c r="H367" s="4">
        <v>7</v>
      </c>
      <c r="I367" s="4">
        <v>2</v>
      </c>
      <c r="J367" s="4">
        <v>4</v>
      </c>
      <c r="K367" s="102">
        <v>1</v>
      </c>
      <c r="M367" s="101">
        <f t="shared" si="97"/>
        <v>56</v>
      </c>
      <c r="N367" s="4">
        <f t="shared" si="98"/>
        <v>34</v>
      </c>
      <c r="O367" s="4">
        <f t="shared" si="99"/>
        <v>34</v>
      </c>
      <c r="P367" s="4">
        <f t="shared" si="100"/>
        <v>29</v>
      </c>
      <c r="Q367" s="4">
        <f t="shared" si="101"/>
        <v>56</v>
      </c>
      <c r="R367" s="4">
        <f t="shared" si="102"/>
        <v>12</v>
      </c>
      <c r="S367" s="102">
        <f t="shared" si="103"/>
        <v>34</v>
      </c>
      <c r="U367" s="101">
        <f t="shared" si="104"/>
        <v>78</v>
      </c>
      <c r="V367" s="4">
        <f t="shared" si="105"/>
        <v>46</v>
      </c>
      <c r="W367" s="4">
        <f t="shared" si="106"/>
        <v>46</v>
      </c>
      <c r="X367" s="4">
        <f t="shared" si="107"/>
        <v>41</v>
      </c>
      <c r="Y367" s="4">
        <f t="shared" si="108"/>
        <v>78</v>
      </c>
      <c r="Z367" s="4">
        <f t="shared" si="109"/>
        <v>9</v>
      </c>
      <c r="AA367" s="102">
        <f t="shared" si="110"/>
        <v>46</v>
      </c>
      <c r="AC367" s="100">
        <f t="shared" si="111"/>
        <v>0.99682471301229303</v>
      </c>
    </row>
    <row r="368" spans="4:29" x14ac:dyDescent="0.35">
      <c r="D368">
        <f t="shared" si="112"/>
        <v>364</v>
      </c>
      <c r="E368" s="101">
        <v>4</v>
      </c>
      <c r="F368" s="4">
        <v>6</v>
      </c>
      <c r="G368" s="4">
        <v>2</v>
      </c>
      <c r="H368" s="4">
        <v>7</v>
      </c>
      <c r="I368" s="4">
        <v>4</v>
      </c>
      <c r="J368" s="4">
        <v>7</v>
      </c>
      <c r="K368" s="102">
        <v>4</v>
      </c>
      <c r="M368" s="101">
        <f t="shared" si="97"/>
        <v>12</v>
      </c>
      <c r="N368" s="4">
        <f t="shared" si="98"/>
        <v>45</v>
      </c>
      <c r="O368" s="4">
        <f t="shared" si="99"/>
        <v>56</v>
      </c>
      <c r="P368" s="4">
        <f t="shared" si="100"/>
        <v>29</v>
      </c>
      <c r="Q368" s="4">
        <f t="shared" si="101"/>
        <v>12</v>
      </c>
      <c r="R368" s="4">
        <f t="shared" si="102"/>
        <v>29</v>
      </c>
      <c r="S368" s="102">
        <f t="shared" si="103"/>
        <v>12</v>
      </c>
      <c r="U368" s="101">
        <f t="shared" si="104"/>
        <v>9</v>
      </c>
      <c r="V368" s="4">
        <f t="shared" si="105"/>
        <v>71</v>
      </c>
      <c r="W368" s="4">
        <f t="shared" si="106"/>
        <v>78</v>
      </c>
      <c r="X368" s="4">
        <f t="shared" si="107"/>
        <v>41</v>
      </c>
      <c r="Y368" s="4">
        <f t="shared" si="108"/>
        <v>9</v>
      </c>
      <c r="Z368" s="4">
        <f t="shared" si="109"/>
        <v>41</v>
      </c>
      <c r="AA368" s="102">
        <f t="shared" si="110"/>
        <v>9</v>
      </c>
      <c r="AC368" s="100">
        <f t="shared" si="111"/>
        <v>0.99227424310864998</v>
      </c>
    </row>
    <row r="369" spans="4:29" x14ac:dyDescent="0.35">
      <c r="D369">
        <f t="shared" si="112"/>
        <v>365</v>
      </c>
      <c r="E369" s="101">
        <v>6</v>
      </c>
      <c r="F369" s="4">
        <v>1</v>
      </c>
      <c r="G369" s="4">
        <v>3</v>
      </c>
      <c r="H369" s="4">
        <v>4</v>
      </c>
      <c r="I369" s="4">
        <v>1</v>
      </c>
      <c r="J369" s="4">
        <v>2</v>
      </c>
      <c r="K369" s="102">
        <v>3</v>
      </c>
      <c r="M369" s="101">
        <f t="shared" si="97"/>
        <v>45</v>
      </c>
      <c r="N369" s="4">
        <f t="shared" si="98"/>
        <v>34</v>
      </c>
      <c r="O369" s="4">
        <f t="shared" si="99"/>
        <v>23</v>
      </c>
      <c r="P369" s="4">
        <f t="shared" si="100"/>
        <v>12</v>
      </c>
      <c r="Q369" s="4">
        <f t="shared" si="101"/>
        <v>34</v>
      </c>
      <c r="R369" s="4">
        <f t="shared" si="102"/>
        <v>56</v>
      </c>
      <c r="S369" s="102">
        <f t="shared" si="103"/>
        <v>23</v>
      </c>
      <c r="U369" s="101">
        <f t="shared" si="104"/>
        <v>71</v>
      </c>
      <c r="V369" s="4">
        <f t="shared" si="105"/>
        <v>46</v>
      </c>
      <c r="W369" s="4">
        <f t="shared" si="106"/>
        <v>39</v>
      </c>
      <c r="X369" s="4">
        <f t="shared" si="107"/>
        <v>9</v>
      </c>
      <c r="Y369" s="4">
        <f t="shared" si="108"/>
        <v>46</v>
      </c>
      <c r="Z369" s="4">
        <f t="shared" si="109"/>
        <v>78</v>
      </c>
      <c r="AA369" s="102">
        <f t="shared" si="110"/>
        <v>39</v>
      </c>
      <c r="AC369" s="100">
        <f t="shared" si="111"/>
        <v>0.96777299965954111</v>
      </c>
    </row>
    <row r="370" spans="4:29" x14ac:dyDescent="0.35">
      <c r="D370">
        <f t="shared" si="112"/>
        <v>366</v>
      </c>
      <c r="E370" s="101">
        <v>7</v>
      </c>
      <c r="F370" s="4">
        <v>3</v>
      </c>
      <c r="G370" s="4">
        <v>6</v>
      </c>
      <c r="H370" s="4">
        <v>3</v>
      </c>
      <c r="I370" s="4">
        <v>4</v>
      </c>
      <c r="J370" s="4">
        <v>2</v>
      </c>
      <c r="K370" s="102">
        <v>7</v>
      </c>
      <c r="M370" s="101">
        <f t="shared" si="97"/>
        <v>29</v>
      </c>
      <c r="N370" s="4">
        <f t="shared" si="98"/>
        <v>23</v>
      </c>
      <c r="O370" s="4">
        <f t="shared" si="99"/>
        <v>45</v>
      </c>
      <c r="P370" s="4">
        <f t="shared" si="100"/>
        <v>23</v>
      </c>
      <c r="Q370" s="4">
        <f t="shared" si="101"/>
        <v>12</v>
      </c>
      <c r="R370" s="4">
        <f t="shared" si="102"/>
        <v>56</v>
      </c>
      <c r="S370" s="102">
        <f t="shared" si="103"/>
        <v>29</v>
      </c>
      <c r="U370" s="101">
        <f t="shared" si="104"/>
        <v>41</v>
      </c>
      <c r="V370" s="4">
        <f t="shared" si="105"/>
        <v>39</v>
      </c>
      <c r="W370" s="4">
        <f t="shared" si="106"/>
        <v>71</v>
      </c>
      <c r="X370" s="4">
        <f t="shared" si="107"/>
        <v>39</v>
      </c>
      <c r="Y370" s="4">
        <f t="shared" si="108"/>
        <v>9</v>
      </c>
      <c r="Z370" s="4">
        <f t="shared" si="109"/>
        <v>78</v>
      </c>
      <c r="AA370" s="102">
        <f t="shared" si="110"/>
        <v>41</v>
      </c>
      <c r="AC370" s="100">
        <f t="shared" si="111"/>
        <v>0.97208485785602994</v>
      </c>
    </row>
    <row r="371" spans="4:29" x14ac:dyDescent="0.35">
      <c r="D371">
        <f t="shared" si="112"/>
        <v>367</v>
      </c>
      <c r="E371" s="101">
        <v>1</v>
      </c>
      <c r="F371" s="4">
        <v>5</v>
      </c>
      <c r="G371" s="4">
        <v>6</v>
      </c>
      <c r="H371" s="4">
        <v>4</v>
      </c>
      <c r="I371" s="4">
        <v>5</v>
      </c>
      <c r="J371" s="4">
        <v>6</v>
      </c>
      <c r="K371" s="102">
        <v>2</v>
      </c>
      <c r="M371" s="101">
        <f t="shared" si="97"/>
        <v>34</v>
      </c>
      <c r="N371" s="4">
        <f t="shared" si="98"/>
        <v>30</v>
      </c>
      <c r="O371" s="4">
        <f t="shared" si="99"/>
        <v>45</v>
      </c>
      <c r="P371" s="4">
        <f t="shared" si="100"/>
        <v>12</v>
      </c>
      <c r="Q371" s="4">
        <f t="shared" si="101"/>
        <v>30</v>
      </c>
      <c r="R371" s="4">
        <f t="shared" si="102"/>
        <v>45</v>
      </c>
      <c r="S371" s="102">
        <f t="shared" si="103"/>
        <v>56</v>
      </c>
      <c r="U371" s="101">
        <f t="shared" si="104"/>
        <v>46</v>
      </c>
      <c r="V371" s="4">
        <f t="shared" si="105"/>
        <v>39</v>
      </c>
      <c r="W371" s="4">
        <f t="shared" si="106"/>
        <v>71</v>
      </c>
      <c r="X371" s="4">
        <f t="shared" si="107"/>
        <v>9</v>
      </c>
      <c r="Y371" s="4">
        <f t="shared" si="108"/>
        <v>39</v>
      </c>
      <c r="Z371" s="4">
        <f t="shared" si="109"/>
        <v>71</v>
      </c>
      <c r="AA371" s="102">
        <f t="shared" si="110"/>
        <v>78</v>
      </c>
      <c r="AC371" s="100">
        <f t="shared" si="111"/>
        <v>0.98583479361874682</v>
      </c>
    </row>
    <row r="372" spans="4:29" x14ac:dyDescent="0.35">
      <c r="D372">
        <f t="shared" si="112"/>
        <v>368</v>
      </c>
      <c r="E372" s="101">
        <v>6</v>
      </c>
      <c r="F372" s="4">
        <v>6</v>
      </c>
      <c r="G372" s="4">
        <v>2</v>
      </c>
      <c r="H372" s="4">
        <v>1</v>
      </c>
      <c r="I372" s="4">
        <v>3</v>
      </c>
      <c r="J372" s="4">
        <v>6</v>
      </c>
      <c r="K372" s="102">
        <v>2</v>
      </c>
      <c r="M372" s="101">
        <f t="shared" si="97"/>
        <v>45</v>
      </c>
      <c r="N372" s="4">
        <f t="shared" si="98"/>
        <v>45</v>
      </c>
      <c r="O372" s="4">
        <f t="shared" si="99"/>
        <v>56</v>
      </c>
      <c r="P372" s="4">
        <f t="shared" si="100"/>
        <v>34</v>
      </c>
      <c r="Q372" s="4">
        <f t="shared" si="101"/>
        <v>23</v>
      </c>
      <c r="R372" s="4">
        <f t="shared" si="102"/>
        <v>45</v>
      </c>
      <c r="S372" s="102">
        <f t="shared" si="103"/>
        <v>56</v>
      </c>
      <c r="U372" s="101">
        <f t="shared" si="104"/>
        <v>71</v>
      </c>
      <c r="V372" s="4">
        <f t="shared" si="105"/>
        <v>71</v>
      </c>
      <c r="W372" s="4">
        <f t="shared" si="106"/>
        <v>78</v>
      </c>
      <c r="X372" s="4">
        <f t="shared" si="107"/>
        <v>46</v>
      </c>
      <c r="Y372" s="4">
        <f t="shared" si="108"/>
        <v>39</v>
      </c>
      <c r="Z372" s="4">
        <f t="shared" si="109"/>
        <v>71</v>
      </c>
      <c r="AA372" s="102">
        <f t="shared" si="110"/>
        <v>78</v>
      </c>
      <c r="AC372" s="100">
        <f t="shared" si="111"/>
        <v>0.9605288162967397</v>
      </c>
    </row>
    <row r="373" spans="4:29" x14ac:dyDescent="0.35">
      <c r="D373">
        <f t="shared" si="112"/>
        <v>369</v>
      </c>
      <c r="E373" s="101">
        <v>1</v>
      </c>
      <c r="F373" s="4">
        <v>5</v>
      </c>
      <c r="G373" s="4">
        <v>7</v>
      </c>
      <c r="H373" s="4">
        <v>5</v>
      </c>
      <c r="I373" s="4">
        <v>2</v>
      </c>
      <c r="J373" s="4">
        <v>2</v>
      </c>
      <c r="K373" s="102">
        <v>2</v>
      </c>
      <c r="M373" s="101">
        <f t="shared" si="97"/>
        <v>34</v>
      </c>
      <c r="N373" s="4">
        <f t="shared" si="98"/>
        <v>30</v>
      </c>
      <c r="O373" s="4">
        <f t="shared" si="99"/>
        <v>29</v>
      </c>
      <c r="P373" s="4">
        <f t="shared" si="100"/>
        <v>30</v>
      </c>
      <c r="Q373" s="4">
        <f t="shared" si="101"/>
        <v>56</v>
      </c>
      <c r="R373" s="4">
        <f t="shared" si="102"/>
        <v>56</v>
      </c>
      <c r="S373" s="102">
        <f t="shared" si="103"/>
        <v>56</v>
      </c>
      <c r="U373" s="101">
        <f t="shared" si="104"/>
        <v>46</v>
      </c>
      <c r="V373" s="4">
        <f t="shared" si="105"/>
        <v>39</v>
      </c>
      <c r="W373" s="4">
        <f t="shared" si="106"/>
        <v>41</v>
      </c>
      <c r="X373" s="4">
        <f t="shared" si="107"/>
        <v>39</v>
      </c>
      <c r="Y373" s="4">
        <f t="shared" si="108"/>
        <v>78</v>
      </c>
      <c r="Z373" s="4">
        <f t="shared" si="109"/>
        <v>78</v>
      </c>
      <c r="AA373" s="102">
        <f t="shared" si="110"/>
        <v>78</v>
      </c>
      <c r="AC373" s="100">
        <f t="shared" si="111"/>
        <v>0.99830432220560261</v>
      </c>
    </row>
    <row r="374" spans="4:29" x14ac:dyDescent="0.35">
      <c r="D374">
        <f t="shared" si="112"/>
        <v>370</v>
      </c>
      <c r="E374" s="101">
        <v>2</v>
      </c>
      <c r="F374" s="4">
        <v>4</v>
      </c>
      <c r="G374" s="4">
        <v>2</v>
      </c>
      <c r="H374" s="4">
        <v>1</v>
      </c>
      <c r="I374" s="4">
        <v>4</v>
      </c>
      <c r="J374" s="4">
        <v>5</v>
      </c>
      <c r="K374" s="102">
        <v>3</v>
      </c>
      <c r="M374" s="101">
        <f t="shared" si="97"/>
        <v>56</v>
      </c>
      <c r="N374" s="4">
        <f t="shared" si="98"/>
        <v>12</v>
      </c>
      <c r="O374" s="4">
        <f t="shared" si="99"/>
        <v>56</v>
      </c>
      <c r="P374" s="4">
        <f t="shared" si="100"/>
        <v>34</v>
      </c>
      <c r="Q374" s="4">
        <f t="shared" si="101"/>
        <v>12</v>
      </c>
      <c r="R374" s="4">
        <f t="shared" si="102"/>
        <v>30</v>
      </c>
      <c r="S374" s="102">
        <f t="shared" si="103"/>
        <v>23</v>
      </c>
      <c r="U374" s="101">
        <f t="shared" si="104"/>
        <v>78</v>
      </c>
      <c r="V374" s="4">
        <f t="shared" si="105"/>
        <v>9</v>
      </c>
      <c r="W374" s="4">
        <f t="shared" si="106"/>
        <v>78</v>
      </c>
      <c r="X374" s="4">
        <f t="shared" si="107"/>
        <v>46</v>
      </c>
      <c r="Y374" s="4">
        <f t="shared" si="108"/>
        <v>9</v>
      </c>
      <c r="Z374" s="4">
        <f t="shared" si="109"/>
        <v>39</v>
      </c>
      <c r="AA374" s="102">
        <f t="shared" si="110"/>
        <v>39</v>
      </c>
      <c r="AC374" s="100">
        <f t="shared" si="111"/>
        <v>0.98694688330003655</v>
      </c>
    </row>
    <row r="375" spans="4:29" x14ac:dyDescent="0.35">
      <c r="D375">
        <f t="shared" si="112"/>
        <v>371</v>
      </c>
      <c r="E375" s="101">
        <v>7</v>
      </c>
      <c r="F375" s="4">
        <v>5</v>
      </c>
      <c r="G375" s="4">
        <v>7</v>
      </c>
      <c r="H375" s="4">
        <v>3</v>
      </c>
      <c r="I375" s="4">
        <v>7</v>
      </c>
      <c r="J375" s="4">
        <v>5</v>
      </c>
      <c r="K375" s="102">
        <v>1</v>
      </c>
      <c r="M375" s="101">
        <f t="shared" si="97"/>
        <v>29</v>
      </c>
      <c r="N375" s="4">
        <f t="shared" si="98"/>
        <v>30</v>
      </c>
      <c r="O375" s="4">
        <f t="shared" si="99"/>
        <v>29</v>
      </c>
      <c r="P375" s="4">
        <f t="shared" si="100"/>
        <v>23</v>
      </c>
      <c r="Q375" s="4">
        <f t="shared" si="101"/>
        <v>29</v>
      </c>
      <c r="R375" s="4">
        <f t="shared" si="102"/>
        <v>30</v>
      </c>
      <c r="S375" s="102">
        <f t="shared" si="103"/>
        <v>34</v>
      </c>
      <c r="U375" s="101">
        <f t="shared" si="104"/>
        <v>41</v>
      </c>
      <c r="V375" s="4">
        <f t="shared" si="105"/>
        <v>39</v>
      </c>
      <c r="W375" s="4">
        <f t="shared" si="106"/>
        <v>41</v>
      </c>
      <c r="X375" s="4">
        <f t="shared" si="107"/>
        <v>39</v>
      </c>
      <c r="Y375" s="4">
        <f t="shared" si="108"/>
        <v>41</v>
      </c>
      <c r="Z375" s="4">
        <f t="shared" si="109"/>
        <v>39</v>
      </c>
      <c r="AA375" s="102">
        <f t="shared" si="110"/>
        <v>46</v>
      </c>
      <c r="AC375" s="100">
        <f t="shared" si="111"/>
        <v>0.68857586074243182</v>
      </c>
    </row>
    <row r="376" spans="4:29" x14ac:dyDescent="0.35">
      <c r="D376">
        <f t="shared" si="112"/>
        <v>372</v>
      </c>
      <c r="E376" s="101">
        <v>6</v>
      </c>
      <c r="F376" s="4">
        <v>2</v>
      </c>
      <c r="G376" s="4">
        <v>5</v>
      </c>
      <c r="H376" s="4">
        <v>1</v>
      </c>
      <c r="I376" s="4">
        <v>2</v>
      </c>
      <c r="J376" s="4">
        <v>4</v>
      </c>
      <c r="K376" s="102">
        <v>2</v>
      </c>
      <c r="M376" s="101">
        <f t="shared" si="97"/>
        <v>45</v>
      </c>
      <c r="N376" s="4">
        <f t="shared" si="98"/>
        <v>56</v>
      </c>
      <c r="O376" s="4">
        <f t="shared" si="99"/>
        <v>30</v>
      </c>
      <c r="P376" s="4">
        <f t="shared" si="100"/>
        <v>34</v>
      </c>
      <c r="Q376" s="4">
        <f t="shared" si="101"/>
        <v>56</v>
      </c>
      <c r="R376" s="4">
        <f t="shared" si="102"/>
        <v>12</v>
      </c>
      <c r="S376" s="102">
        <f t="shared" si="103"/>
        <v>56</v>
      </c>
      <c r="U376" s="101">
        <f t="shared" si="104"/>
        <v>71</v>
      </c>
      <c r="V376" s="4">
        <f t="shared" si="105"/>
        <v>78</v>
      </c>
      <c r="W376" s="4">
        <f t="shared" si="106"/>
        <v>39</v>
      </c>
      <c r="X376" s="4">
        <f t="shared" si="107"/>
        <v>46</v>
      </c>
      <c r="Y376" s="4">
        <f t="shared" si="108"/>
        <v>78</v>
      </c>
      <c r="Z376" s="4">
        <f t="shared" si="109"/>
        <v>9</v>
      </c>
      <c r="AA376" s="102">
        <f t="shared" si="110"/>
        <v>78</v>
      </c>
      <c r="AC376" s="100">
        <f t="shared" si="111"/>
        <v>0.99007195584571073</v>
      </c>
    </row>
    <row r="377" spans="4:29" x14ac:dyDescent="0.35">
      <c r="D377">
        <f t="shared" si="112"/>
        <v>373</v>
      </c>
      <c r="E377" s="101">
        <v>6</v>
      </c>
      <c r="F377" s="4">
        <v>1</v>
      </c>
      <c r="G377" s="4">
        <v>7</v>
      </c>
      <c r="H377" s="4">
        <v>4</v>
      </c>
      <c r="I377" s="4">
        <v>6</v>
      </c>
      <c r="J377" s="4">
        <v>6</v>
      </c>
      <c r="K377" s="102">
        <v>4</v>
      </c>
      <c r="M377" s="101">
        <f t="shared" si="97"/>
        <v>45</v>
      </c>
      <c r="N377" s="4">
        <f t="shared" si="98"/>
        <v>34</v>
      </c>
      <c r="O377" s="4">
        <f t="shared" si="99"/>
        <v>29</v>
      </c>
      <c r="P377" s="4">
        <f t="shared" si="100"/>
        <v>12</v>
      </c>
      <c r="Q377" s="4">
        <f t="shared" si="101"/>
        <v>45</v>
      </c>
      <c r="R377" s="4">
        <f t="shared" si="102"/>
        <v>45</v>
      </c>
      <c r="S377" s="102">
        <f t="shared" si="103"/>
        <v>12</v>
      </c>
      <c r="U377" s="101">
        <f t="shared" si="104"/>
        <v>71</v>
      </c>
      <c r="V377" s="4">
        <f t="shared" si="105"/>
        <v>46</v>
      </c>
      <c r="W377" s="4">
        <f t="shared" si="106"/>
        <v>41</v>
      </c>
      <c r="X377" s="4">
        <f t="shared" si="107"/>
        <v>9</v>
      </c>
      <c r="Y377" s="4">
        <f t="shared" si="108"/>
        <v>71</v>
      </c>
      <c r="Z377" s="4">
        <f t="shared" si="109"/>
        <v>71</v>
      </c>
      <c r="AA377" s="102">
        <f t="shared" si="110"/>
        <v>9</v>
      </c>
      <c r="AC377" s="100">
        <f t="shared" si="111"/>
        <v>0.99826234157764049</v>
      </c>
    </row>
    <row r="378" spans="4:29" x14ac:dyDescent="0.35">
      <c r="D378">
        <f t="shared" si="112"/>
        <v>374</v>
      </c>
      <c r="E378" s="101">
        <v>4</v>
      </c>
      <c r="F378" s="4">
        <v>3</v>
      </c>
      <c r="G378" s="4">
        <v>3</v>
      </c>
      <c r="H378" s="4">
        <v>7</v>
      </c>
      <c r="I378" s="4">
        <v>2</v>
      </c>
      <c r="J378" s="4">
        <v>7</v>
      </c>
      <c r="K378" s="102">
        <v>5</v>
      </c>
      <c r="M378" s="101">
        <f t="shared" si="97"/>
        <v>12</v>
      </c>
      <c r="N378" s="4">
        <f t="shared" si="98"/>
        <v>23</v>
      </c>
      <c r="O378" s="4">
        <f t="shared" si="99"/>
        <v>23</v>
      </c>
      <c r="P378" s="4">
        <f t="shared" si="100"/>
        <v>29</v>
      </c>
      <c r="Q378" s="4">
        <f t="shared" si="101"/>
        <v>56</v>
      </c>
      <c r="R378" s="4">
        <f t="shared" si="102"/>
        <v>29</v>
      </c>
      <c r="S378" s="102">
        <f t="shared" si="103"/>
        <v>30</v>
      </c>
      <c r="U378" s="101">
        <f t="shared" si="104"/>
        <v>9</v>
      </c>
      <c r="V378" s="4">
        <f t="shared" si="105"/>
        <v>39</v>
      </c>
      <c r="W378" s="4">
        <f t="shared" si="106"/>
        <v>39</v>
      </c>
      <c r="X378" s="4">
        <f t="shared" si="107"/>
        <v>41</v>
      </c>
      <c r="Y378" s="4">
        <f t="shared" si="108"/>
        <v>78</v>
      </c>
      <c r="Z378" s="4">
        <f t="shared" si="109"/>
        <v>41</v>
      </c>
      <c r="AA378" s="102">
        <f t="shared" si="110"/>
        <v>39</v>
      </c>
      <c r="AC378" s="100">
        <f t="shared" si="111"/>
        <v>0.96615346399811641</v>
      </c>
    </row>
    <row r="379" spans="4:29" x14ac:dyDescent="0.35">
      <c r="D379">
        <f t="shared" si="112"/>
        <v>375</v>
      </c>
      <c r="E379" s="101">
        <v>6</v>
      </c>
      <c r="F379" s="4">
        <v>5</v>
      </c>
      <c r="G379" s="4">
        <v>7</v>
      </c>
      <c r="H379" s="4">
        <v>6</v>
      </c>
      <c r="I379" s="4">
        <v>7</v>
      </c>
      <c r="J379" s="4">
        <v>1</v>
      </c>
      <c r="K379" s="102">
        <v>1</v>
      </c>
      <c r="M379" s="101">
        <f t="shared" si="97"/>
        <v>45</v>
      </c>
      <c r="N379" s="4">
        <f t="shared" si="98"/>
        <v>30</v>
      </c>
      <c r="O379" s="4">
        <f t="shared" si="99"/>
        <v>29</v>
      </c>
      <c r="P379" s="4">
        <f t="shared" si="100"/>
        <v>45</v>
      </c>
      <c r="Q379" s="4">
        <f t="shared" si="101"/>
        <v>29</v>
      </c>
      <c r="R379" s="4">
        <f t="shared" si="102"/>
        <v>34</v>
      </c>
      <c r="S379" s="102">
        <f t="shared" si="103"/>
        <v>34</v>
      </c>
      <c r="U379" s="101">
        <f t="shared" si="104"/>
        <v>71</v>
      </c>
      <c r="V379" s="4">
        <f t="shared" si="105"/>
        <v>39</v>
      </c>
      <c r="W379" s="4">
        <f t="shared" si="106"/>
        <v>41</v>
      </c>
      <c r="X379" s="4">
        <f t="shared" si="107"/>
        <v>71</v>
      </c>
      <c r="Y379" s="4">
        <f t="shared" si="108"/>
        <v>41</v>
      </c>
      <c r="Z379" s="4">
        <f t="shared" si="109"/>
        <v>46</v>
      </c>
      <c r="AA379" s="102">
        <f t="shared" si="110"/>
        <v>46</v>
      </c>
      <c r="AC379" s="100">
        <f t="shared" si="111"/>
        <v>0.98839886332705762</v>
      </c>
    </row>
    <row r="380" spans="4:29" x14ac:dyDescent="0.35">
      <c r="D380">
        <f t="shared" si="112"/>
        <v>376</v>
      </c>
      <c r="E380" s="101">
        <v>1</v>
      </c>
      <c r="F380" s="4">
        <v>5</v>
      </c>
      <c r="G380" s="4">
        <v>3</v>
      </c>
      <c r="H380" s="4">
        <v>2</v>
      </c>
      <c r="I380" s="4">
        <v>4</v>
      </c>
      <c r="J380" s="4">
        <v>5</v>
      </c>
      <c r="K380" s="102">
        <v>3</v>
      </c>
      <c r="M380" s="101">
        <f t="shared" si="97"/>
        <v>34</v>
      </c>
      <c r="N380" s="4">
        <f t="shared" si="98"/>
        <v>30</v>
      </c>
      <c r="O380" s="4">
        <f t="shared" si="99"/>
        <v>23</v>
      </c>
      <c r="P380" s="4">
        <f t="shared" si="100"/>
        <v>56</v>
      </c>
      <c r="Q380" s="4">
        <f t="shared" si="101"/>
        <v>12</v>
      </c>
      <c r="R380" s="4">
        <f t="shared" si="102"/>
        <v>30</v>
      </c>
      <c r="S380" s="102">
        <f t="shared" si="103"/>
        <v>23</v>
      </c>
      <c r="U380" s="101">
        <f t="shared" si="104"/>
        <v>46</v>
      </c>
      <c r="V380" s="4">
        <f t="shared" si="105"/>
        <v>39</v>
      </c>
      <c r="W380" s="4">
        <f t="shared" si="106"/>
        <v>39</v>
      </c>
      <c r="X380" s="4">
        <f t="shared" si="107"/>
        <v>78</v>
      </c>
      <c r="Y380" s="4">
        <f t="shared" si="108"/>
        <v>9</v>
      </c>
      <c r="Z380" s="4">
        <f t="shared" si="109"/>
        <v>39</v>
      </c>
      <c r="AA380" s="102">
        <f t="shared" si="110"/>
        <v>39</v>
      </c>
      <c r="AC380" s="100">
        <f t="shared" si="111"/>
        <v>0.96387151736275622</v>
      </c>
    </row>
    <row r="381" spans="4:29" x14ac:dyDescent="0.35">
      <c r="D381">
        <f t="shared" si="112"/>
        <v>377</v>
      </c>
      <c r="E381" s="101">
        <v>3</v>
      </c>
      <c r="F381" s="4">
        <v>7</v>
      </c>
      <c r="G381" s="4">
        <v>2</v>
      </c>
      <c r="H381" s="4">
        <v>5</v>
      </c>
      <c r="I381" s="4">
        <v>6</v>
      </c>
      <c r="J381" s="4">
        <v>3</v>
      </c>
      <c r="K381" s="102">
        <v>3</v>
      </c>
      <c r="M381" s="101">
        <f t="shared" si="97"/>
        <v>23</v>
      </c>
      <c r="N381" s="4">
        <f t="shared" si="98"/>
        <v>29</v>
      </c>
      <c r="O381" s="4">
        <f t="shared" si="99"/>
        <v>56</v>
      </c>
      <c r="P381" s="4">
        <f t="shared" si="100"/>
        <v>30</v>
      </c>
      <c r="Q381" s="4">
        <f t="shared" si="101"/>
        <v>45</v>
      </c>
      <c r="R381" s="4">
        <f t="shared" si="102"/>
        <v>23</v>
      </c>
      <c r="S381" s="102">
        <f t="shared" si="103"/>
        <v>23</v>
      </c>
      <c r="U381" s="101">
        <f t="shared" si="104"/>
        <v>39</v>
      </c>
      <c r="V381" s="4">
        <f t="shared" si="105"/>
        <v>41</v>
      </c>
      <c r="W381" s="4">
        <f t="shared" si="106"/>
        <v>78</v>
      </c>
      <c r="X381" s="4">
        <f t="shared" si="107"/>
        <v>39</v>
      </c>
      <c r="Y381" s="4">
        <f t="shared" si="108"/>
        <v>71</v>
      </c>
      <c r="Z381" s="4">
        <f t="shared" si="109"/>
        <v>39</v>
      </c>
      <c r="AA381" s="102">
        <f t="shared" si="110"/>
        <v>39</v>
      </c>
      <c r="AC381" s="100">
        <f t="shared" si="111"/>
        <v>0.96893885159013515</v>
      </c>
    </row>
    <row r="382" spans="4:29" x14ac:dyDescent="0.35">
      <c r="D382">
        <f t="shared" si="112"/>
        <v>378</v>
      </c>
      <c r="E382" s="101">
        <v>2</v>
      </c>
      <c r="F382" s="4">
        <v>3</v>
      </c>
      <c r="G382" s="4">
        <v>5</v>
      </c>
      <c r="H382" s="4">
        <v>1</v>
      </c>
      <c r="I382" s="4">
        <v>4</v>
      </c>
      <c r="J382" s="4">
        <v>4</v>
      </c>
      <c r="K382" s="102">
        <v>3</v>
      </c>
      <c r="M382" s="101">
        <f t="shared" si="97"/>
        <v>56</v>
      </c>
      <c r="N382" s="4">
        <f t="shared" si="98"/>
        <v>23</v>
      </c>
      <c r="O382" s="4">
        <f t="shared" si="99"/>
        <v>30</v>
      </c>
      <c r="P382" s="4">
        <f t="shared" si="100"/>
        <v>34</v>
      </c>
      <c r="Q382" s="4">
        <f t="shared" si="101"/>
        <v>12</v>
      </c>
      <c r="R382" s="4">
        <f t="shared" si="102"/>
        <v>12</v>
      </c>
      <c r="S382" s="102">
        <f t="shared" si="103"/>
        <v>23</v>
      </c>
      <c r="U382" s="101">
        <f t="shared" si="104"/>
        <v>78</v>
      </c>
      <c r="V382" s="4">
        <f t="shared" si="105"/>
        <v>39</v>
      </c>
      <c r="W382" s="4">
        <f t="shared" si="106"/>
        <v>39</v>
      </c>
      <c r="X382" s="4">
        <f t="shared" si="107"/>
        <v>46</v>
      </c>
      <c r="Y382" s="4">
        <f t="shared" si="108"/>
        <v>9</v>
      </c>
      <c r="Z382" s="4">
        <f t="shared" si="109"/>
        <v>9</v>
      </c>
      <c r="AA382" s="102">
        <f t="shared" si="110"/>
        <v>39</v>
      </c>
      <c r="AC382" s="100">
        <f t="shared" si="111"/>
        <v>0.9691770621783552</v>
      </c>
    </row>
    <row r="383" spans="4:29" x14ac:dyDescent="0.35">
      <c r="D383">
        <f t="shared" si="112"/>
        <v>379</v>
      </c>
      <c r="E383" s="101">
        <v>7</v>
      </c>
      <c r="F383" s="4">
        <v>4</v>
      </c>
      <c r="G383" s="4">
        <v>6</v>
      </c>
      <c r="H383" s="4">
        <v>3</v>
      </c>
      <c r="I383" s="4">
        <v>5</v>
      </c>
      <c r="J383" s="4">
        <v>2</v>
      </c>
      <c r="K383" s="102">
        <v>6</v>
      </c>
      <c r="M383" s="101">
        <f t="shared" si="97"/>
        <v>29</v>
      </c>
      <c r="N383" s="4">
        <f t="shared" si="98"/>
        <v>12</v>
      </c>
      <c r="O383" s="4">
        <f t="shared" si="99"/>
        <v>45</v>
      </c>
      <c r="P383" s="4">
        <f t="shared" si="100"/>
        <v>23</v>
      </c>
      <c r="Q383" s="4">
        <f t="shared" si="101"/>
        <v>30</v>
      </c>
      <c r="R383" s="4">
        <f t="shared" si="102"/>
        <v>56</v>
      </c>
      <c r="S383" s="102">
        <f t="shared" si="103"/>
        <v>45</v>
      </c>
      <c r="U383" s="101">
        <f t="shared" si="104"/>
        <v>41</v>
      </c>
      <c r="V383" s="4">
        <f t="shared" si="105"/>
        <v>9</v>
      </c>
      <c r="W383" s="4">
        <f t="shared" si="106"/>
        <v>71</v>
      </c>
      <c r="X383" s="4">
        <f t="shared" si="107"/>
        <v>39</v>
      </c>
      <c r="Y383" s="4">
        <f t="shared" si="108"/>
        <v>39</v>
      </c>
      <c r="Z383" s="4">
        <f t="shared" si="109"/>
        <v>78</v>
      </c>
      <c r="AA383" s="102">
        <f t="shared" si="110"/>
        <v>71</v>
      </c>
      <c r="AC383" s="100">
        <f t="shared" si="111"/>
        <v>0.9764985512361638</v>
      </c>
    </row>
    <row r="384" spans="4:29" x14ac:dyDescent="0.35">
      <c r="D384">
        <f t="shared" si="112"/>
        <v>380</v>
      </c>
      <c r="E384" s="101">
        <v>7</v>
      </c>
      <c r="F384" s="4">
        <v>7</v>
      </c>
      <c r="G384" s="4">
        <v>4</v>
      </c>
      <c r="H384" s="4">
        <v>7</v>
      </c>
      <c r="I384" s="4">
        <v>5</v>
      </c>
      <c r="J384" s="4">
        <v>5</v>
      </c>
      <c r="K384" s="102">
        <v>6</v>
      </c>
      <c r="M384" s="101">
        <f t="shared" si="97"/>
        <v>29</v>
      </c>
      <c r="N384" s="4">
        <f t="shared" si="98"/>
        <v>29</v>
      </c>
      <c r="O384" s="4">
        <f t="shared" si="99"/>
        <v>12</v>
      </c>
      <c r="P384" s="4">
        <f t="shared" si="100"/>
        <v>29</v>
      </c>
      <c r="Q384" s="4">
        <f t="shared" si="101"/>
        <v>30</v>
      </c>
      <c r="R384" s="4">
        <f t="shared" si="102"/>
        <v>30</v>
      </c>
      <c r="S384" s="102">
        <f t="shared" si="103"/>
        <v>45</v>
      </c>
      <c r="U384" s="101">
        <f t="shared" si="104"/>
        <v>41</v>
      </c>
      <c r="V384" s="4">
        <f t="shared" si="105"/>
        <v>41</v>
      </c>
      <c r="W384" s="4">
        <f t="shared" si="106"/>
        <v>9</v>
      </c>
      <c r="X384" s="4">
        <f t="shared" si="107"/>
        <v>41</v>
      </c>
      <c r="Y384" s="4">
        <f t="shared" si="108"/>
        <v>39</v>
      </c>
      <c r="Z384" s="4">
        <f t="shared" si="109"/>
        <v>39</v>
      </c>
      <c r="AA384" s="102">
        <f t="shared" si="110"/>
        <v>71</v>
      </c>
      <c r="AC384" s="100">
        <f t="shared" si="111"/>
        <v>0.99449652210455253</v>
      </c>
    </row>
    <row r="385" spans="4:29" x14ac:dyDescent="0.35">
      <c r="D385">
        <f t="shared" si="112"/>
        <v>381</v>
      </c>
      <c r="E385" s="101">
        <v>6</v>
      </c>
      <c r="F385" s="4">
        <v>6</v>
      </c>
      <c r="G385" s="4">
        <v>3</v>
      </c>
      <c r="H385" s="4">
        <v>3</v>
      </c>
      <c r="I385" s="4">
        <v>7</v>
      </c>
      <c r="J385" s="4">
        <v>4</v>
      </c>
      <c r="K385" s="102">
        <v>1</v>
      </c>
      <c r="M385" s="101">
        <f t="shared" si="97"/>
        <v>45</v>
      </c>
      <c r="N385" s="4">
        <f t="shared" si="98"/>
        <v>45</v>
      </c>
      <c r="O385" s="4">
        <f t="shared" si="99"/>
        <v>23</v>
      </c>
      <c r="P385" s="4">
        <f t="shared" si="100"/>
        <v>23</v>
      </c>
      <c r="Q385" s="4">
        <f t="shared" si="101"/>
        <v>29</v>
      </c>
      <c r="R385" s="4">
        <f t="shared" si="102"/>
        <v>12</v>
      </c>
      <c r="S385" s="102">
        <f t="shared" si="103"/>
        <v>34</v>
      </c>
      <c r="U385" s="101">
        <f t="shared" si="104"/>
        <v>71</v>
      </c>
      <c r="V385" s="4">
        <f t="shared" si="105"/>
        <v>71</v>
      </c>
      <c r="W385" s="4">
        <f t="shared" si="106"/>
        <v>39</v>
      </c>
      <c r="X385" s="4">
        <f t="shared" si="107"/>
        <v>39</v>
      </c>
      <c r="Y385" s="4">
        <f t="shared" si="108"/>
        <v>41</v>
      </c>
      <c r="Z385" s="4">
        <f t="shared" si="109"/>
        <v>9</v>
      </c>
      <c r="AA385" s="102">
        <f t="shared" si="110"/>
        <v>46</v>
      </c>
      <c r="AC385" s="100">
        <f t="shared" si="111"/>
        <v>0.97445260522504473</v>
      </c>
    </row>
    <row r="386" spans="4:29" x14ac:dyDescent="0.35">
      <c r="D386">
        <f t="shared" si="112"/>
        <v>382</v>
      </c>
      <c r="E386" s="101">
        <v>6</v>
      </c>
      <c r="F386" s="4">
        <v>5</v>
      </c>
      <c r="G386" s="4">
        <v>6</v>
      </c>
      <c r="H386" s="4">
        <v>6</v>
      </c>
      <c r="I386" s="4">
        <v>4</v>
      </c>
      <c r="J386" s="4">
        <v>4</v>
      </c>
      <c r="K386" s="102">
        <v>6</v>
      </c>
      <c r="M386" s="101">
        <f t="shared" si="97"/>
        <v>45</v>
      </c>
      <c r="N386" s="4">
        <f t="shared" si="98"/>
        <v>30</v>
      </c>
      <c r="O386" s="4">
        <f t="shared" si="99"/>
        <v>45</v>
      </c>
      <c r="P386" s="4">
        <f t="shared" si="100"/>
        <v>45</v>
      </c>
      <c r="Q386" s="4">
        <f t="shared" si="101"/>
        <v>12</v>
      </c>
      <c r="R386" s="4">
        <f t="shared" si="102"/>
        <v>12</v>
      </c>
      <c r="S386" s="102">
        <f t="shared" si="103"/>
        <v>45</v>
      </c>
      <c r="U386" s="101">
        <f t="shared" si="104"/>
        <v>71</v>
      </c>
      <c r="V386" s="4">
        <f t="shared" si="105"/>
        <v>39</v>
      </c>
      <c r="W386" s="4">
        <f t="shared" si="106"/>
        <v>71</v>
      </c>
      <c r="X386" s="4">
        <f t="shared" si="107"/>
        <v>71</v>
      </c>
      <c r="Y386" s="4">
        <f t="shared" si="108"/>
        <v>9</v>
      </c>
      <c r="Z386" s="4">
        <f t="shared" si="109"/>
        <v>9</v>
      </c>
      <c r="AA386" s="102">
        <f t="shared" si="110"/>
        <v>71</v>
      </c>
      <c r="AC386" s="100">
        <f t="shared" si="111"/>
        <v>0.99881707168418021</v>
      </c>
    </row>
    <row r="387" spans="4:29" x14ac:dyDescent="0.35">
      <c r="D387">
        <f t="shared" si="112"/>
        <v>383</v>
      </c>
      <c r="E387" s="101">
        <v>7</v>
      </c>
      <c r="F387" s="4">
        <v>3</v>
      </c>
      <c r="G387" s="4">
        <v>3</v>
      </c>
      <c r="H387" s="4">
        <v>3</v>
      </c>
      <c r="I387" s="4">
        <v>6</v>
      </c>
      <c r="J387" s="4">
        <v>6</v>
      </c>
      <c r="K387" s="102">
        <v>4</v>
      </c>
      <c r="M387" s="101">
        <f t="shared" si="97"/>
        <v>29</v>
      </c>
      <c r="N387" s="4">
        <f t="shared" si="98"/>
        <v>23</v>
      </c>
      <c r="O387" s="4">
        <f t="shared" si="99"/>
        <v>23</v>
      </c>
      <c r="P387" s="4">
        <f t="shared" si="100"/>
        <v>23</v>
      </c>
      <c r="Q387" s="4">
        <f t="shared" si="101"/>
        <v>45</v>
      </c>
      <c r="R387" s="4">
        <f t="shared" si="102"/>
        <v>45</v>
      </c>
      <c r="S387" s="102">
        <f t="shared" si="103"/>
        <v>12</v>
      </c>
      <c r="U387" s="101">
        <f t="shared" si="104"/>
        <v>41</v>
      </c>
      <c r="V387" s="4">
        <f t="shared" si="105"/>
        <v>39</v>
      </c>
      <c r="W387" s="4">
        <f t="shared" si="106"/>
        <v>39</v>
      </c>
      <c r="X387" s="4">
        <f t="shared" si="107"/>
        <v>39</v>
      </c>
      <c r="Y387" s="4">
        <f t="shared" si="108"/>
        <v>71</v>
      </c>
      <c r="Z387" s="4">
        <f t="shared" si="109"/>
        <v>71</v>
      </c>
      <c r="AA387" s="102">
        <f t="shared" si="110"/>
        <v>9</v>
      </c>
      <c r="AC387" s="100">
        <f t="shared" si="111"/>
        <v>0.9776954782924987</v>
      </c>
    </row>
    <row r="388" spans="4:29" x14ac:dyDescent="0.35">
      <c r="D388">
        <f t="shared" si="112"/>
        <v>384</v>
      </c>
      <c r="E388" s="101">
        <v>4</v>
      </c>
      <c r="F388" s="4">
        <v>6</v>
      </c>
      <c r="G388" s="4">
        <v>6</v>
      </c>
      <c r="H388" s="4">
        <v>2</v>
      </c>
      <c r="I388" s="4">
        <v>4</v>
      </c>
      <c r="J388" s="4">
        <v>1</v>
      </c>
      <c r="K388" s="102">
        <v>5</v>
      </c>
      <c r="M388" s="101">
        <f t="shared" si="97"/>
        <v>12</v>
      </c>
      <c r="N388" s="4">
        <f t="shared" si="98"/>
        <v>45</v>
      </c>
      <c r="O388" s="4">
        <f t="shared" si="99"/>
        <v>45</v>
      </c>
      <c r="P388" s="4">
        <f t="shared" si="100"/>
        <v>56</v>
      </c>
      <c r="Q388" s="4">
        <f t="shared" si="101"/>
        <v>12</v>
      </c>
      <c r="R388" s="4">
        <f t="shared" si="102"/>
        <v>34</v>
      </c>
      <c r="S388" s="102">
        <f t="shared" si="103"/>
        <v>30</v>
      </c>
      <c r="U388" s="101">
        <f t="shared" si="104"/>
        <v>9</v>
      </c>
      <c r="V388" s="4">
        <f t="shared" si="105"/>
        <v>71</v>
      </c>
      <c r="W388" s="4">
        <f t="shared" si="106"/>
        <v>71</v>
      </c>
      <c r="X388" s="4">
        <f t="shared" si="107"/>
        <v>78</v>
      </c>
      <c r="Y388" s="4">
        <f t="shared" si="108"/>
        <v>9</v>
      </c>
      <c r="Z388" s="4">
        <f t="shared" si="109"/>
        <v>46</v>
      </c>
      <c r="AA388" s="102">
        <f t="shared" si="110"/>
        <v>39</v>
      </c>
      <c r="AC388" s="100">
        <f t="shared" si="111"/>
        <v>0.99005339402589854</v>
      </c>
    </row>
    <row r="389" spans="4:29" x14ac:dyDescent="0.35">
      <c r="D389">
        <f t="shared" si="112"/>
        <v>385</v>
      </c>
      <c r="E389" s="101">
        <v>5</v>
      </c>
      <c r="F389" s="4">
        <v>7</v>
      </c>
      <c r="G389" s="4">
        <v>5</v>
      </c>
      <c r="H389" s="4">
        <v>7</v>
      </c>
      <c r="I389" s="4">
        <v>3</v>
      </c>
      <c r="J389" s="4">
        <v>2</v>
      </c>
      <c r="K389" s="102">
        <v>1</v>
      </c>
      <c r="M389" s="101">
        <f t="shared" si="97"/>
        <v>30</v>
      </c>
      <c r="N389" s="4">
        <f t="shared" si="98"/>
        <v>29</v>
      </c>
      <c r="O389" s="4">
        <f t="shared" si="99"/>
        <v>30</v>
      </c>
      <c r="P389" s="4">
        <f t="shared" si="100"/>
        <v>29</v>
      </c>
      <c r="Q389" s="4">
        <f t="shared" si="101"/>
        <v>23</v>
      </c>
      <c r="R389" s="4">
        <f t="shared" si="102"/>
        <v>56</v>
      </c>
      <c r="S389" s="102">
        <f t="shared" si="103"/>
        <v>34</v>
      </c>
      <c r="U389" s="101">
        <f t="shared" si="104"/>
        <v>39</v>
      </c>
      <c r="V389" s="4">
        <f t="shared" si="105"/>
        <v>41</v>
      </c>
      <c r="W389" s="4">
        <f t="shared" si="106"/>
        <v>39</v>
      </c>
      <c r="X389" s="4">
        <f t="shared" si="107"/>
        <v>41</v>
      </c>
      <c r="Y389" s="4">
        <f t="shared" si="108"/>
        <v>39</v>
      </c>
      <c r="Z389" s="4">
        <f t="shared" si="109"/>
        <v>78</v>
      </c>
      <c r="AA389" s="102">
        <f t="shared" si="110"/>
        <v>46</v>
      </c>
      <c r="AC389" s="100">
        <f t="shared" si="111"/>
        <v>0.97459927772956456</v>
      </c>
    </row>
    <row r="390" spans="4:29" x14ac:dyDescent="0.35">
      <c r="D390">
        <f t="shared" si="112"/>
        <v>386</v>
      </c>
      <c r="E390" s="101">
        <v>5</v>
      </c>
      <c r="F390" s="4">
        <v>7</v>
      </c>
      <c r="G390" s="4">
        <v>3</v>
      </c>
      <c r="H390" s="4">
        <v>7</v>
      </c>
      <c r="I390" s="4">
        <v>1</v>
      </c>
      <c r="J390" s="4">
        <v>4</v>
      </c>
      <c r="K390" s="102">
        <v>2</v>
      </c>
      <c r="M390" s="101">
        <f t="shared" ref="M390:M453" si="113">INDEX($A$5:$A$11,E390)</f>
        <v>30</v>
      </c>
      <c r="N390" s="4">
        <f t="shared" ref="N390:N453" si="114">INDEX($A$5:$A$11,F390)</f>
        <v>29</v>
      </c>
      <c r="O390" s="4">
        <f t="shared" ref="O390:O453" si="115">INDEX($A$5:$A$11,G390)</f>
        <v>23</v>
      </c>
      <c r="P390" s="4">
        <f t="shared" ref="P390:P453" si="116">INDEX($A$5:$A$11,H390)</f>
        <v>29</v>
      </c>
      <c r="Q390" s="4">
        <f t="shared" ref="Q390:Q453" si="117">INDEX($A$5:$A$11,I390)</f>
        <v>34</v>
      </c>
      <c r="R390" s="4">
        <f t="shared" ref="R390:R453" si="118">INDEX($A$5:$A$11,J390)</f>
        <v>12</v>
      </c>
      <c r="S390" s="102">
        <f t="shared" ref="S390:S453" si="119">INDEX($A$5:$A$11,K390)</f>
        <v>56</v>
      </c>
      <c r="U390" s="101">
        <f t="shared" ref="U390:U453" si="120">INDEX($B$5:$B$11,E390)</f>
        <v>39</v>
      </c>
      <c r="V390" s="4">
        <f t="shared" ref="V390:V453" si="121">INDEX($B$5:$B$11,F390)</f>
        <v>41</v>
      </c>
      <c r="W390" s="4">
        <f t="shared" ref="W390:W453" si="122">INDEX($B$5:$B$11,G390)</f>
        <v>39</v>
      </c>
      <c r="X390" s="4">
        <f t="shared" ref="X390:X453" si="123">INDEX($B$5:$B$11,H390)</f>
        <v>41</v>
      </c>
      <c r="Y390" s="4">
        <f t="shared" ref="Y390:Y453" si="124">INDEX($B$5:$B$11,I390)</f>
        <v>46</v>
      </c>
      <c r="Z390" s="4">
        <f t="shared" ref="Z390:Z453" si="125">INDEX($B$5:$B$11,J390)</f>
        <v>9</v>
      </c>
      <c r="AA390" s="102">
        <f t="shared" ref="AA390:AA453" si="126">INDEX($B$5:$B$11,K390)</f>
        <v>78</v>
      </c>
      <c r="AC390" s="100">
        <f t="shared" ref="AC390:AC453" si="127">CORREL(M390:S390,U390:AA390)</f>
        <v>0.97709452528133556</v>
      </c>
    </row>
    <row r="391" spans="4:29" x14ac:dyDescent="0.35">
      <c r="D391">
        <f t="shared" ref="D391:D454" si="128">D390+1</f>
        <v>387</v>
      </c>
      <c r="E391" s="101">
        <v>6</v>
      </c>
      <c r="F391" s="4">
        <v>5</v>
      </c>
      <c r="G391" s="4">
        <v>6</v>
      </c>
      <c r="H391" s="4">
        <v>6</v>
      </c>
      <c r="I391" s="4">
        <v>7</v>
      </c>
      <c r="J391" s="4">
        <v>5</v>
      </c>
      <c r="K391" s="102">
        <v>3</v>
      </c>
      <c r="M391" s="101">
        <f t="shared" si="113"/>
        <v>45</v>
      </c>
      <c r="N391" s="4">
        <f t="shared" si="114"/>
        <v>30</v>
      </c>
      <c r="O391" s="4">
        <f t="shared" si="115"/>
        <v>45</v>
      </c>
      <c r="P391" s="4">
        <f t="shared" si="116"/>
        <v>45</v>
      </c>
      <c r="Q391" s="4">
        <f t="shared" si="117"/>
        <v>29</v>
      </c>
      <c r="R391" s="4">
        <f t="shared" si="118"/>
        <v>30</v>
      </c>
      <c r="S391" s="102">
        <f t="shared" si="119"/>
        <v>23</v>
      </c>
      <c r="U391" s="101">
        <f t="shared" si="120"/>
        <v>71</v>
      </c>
      <c r="V391" s="4">
        <f t="shared" si="121"/>
        <v>39</v>
      </c>
      <c r="W391" s="4">
        <f t="shared" si="122"/>
        <v>71</v>
      </c>
      <c r="X391" s="4">
        <f t="shared" si="123"/>
        <v>71</v>
      </c>
      <c r="Y391" s="4">
        <f t="shared" si="124"/>
        <v>41</v>
      </c>
      <c r="Z391" s="4">
        <f t="shared" si="125"/>
        <v>39</v>
      </c>
      <c r="AA391" s="102">
        <f t="shared" si="126"/>
        <v>39</v>
      </c>
      <c r="AC391" s="100">
        <f t="shared" si="127"/>
        <v>0.96861088370256809</v>
      </c>
    </row>
    <row r="392" spans="4:29" x14ac:dyDescent="0.35">
      <c r="D392">
        <f t="shared" si="128"/>
        <v>388</v>
      </c>
      <c r="E392" s="101">
        <v>1</v>
      </c>
      <c r="F392" s="4">
        <v>6</v>
      </c>
      <c r="G392" s="4">
        <v>2</v>
      </c>
      <c r="H392" s="4">
        <v>2</v>
      </c>
      <c r="I392" s="4">
        <v>4</v>
      </c>
      <c r="J392" s="4">
        <v>2</v>
      </c>
      <c r="K392" s="102">
        <v>4</v>
      </c>
      <c r="M392" s="101">
        <f t="shared" si="113"/>
        <v>34</v>
      </c>
      <c r="N392" s="4">
        <f t="shared" si="114"/>
        <v>45</v>
      </c>
      <c r="O392" s="4">
        <f t="shared" si="115"/>
        <v>56</v>
      </c>
      <c r="P392" s="4">
        <f t="shared" si="116"/>
        <v>56</v>
      </c>
      <c r="Q392" s="4">
        <f t="shared" si="117"/>
        <v>12</v>
      </c>
      <c r="R392" s="4">
        <f t="shared" si="118"/>
        <v>56</v>
      </c>
      <c r="S392" s="102">
        <f t="shared" si="119"/>
        <v>12</v>
      </c>
      <c r="U392" s="101">
        <f t="shared" si="120"/>
        <v>46</v>
      </c>
      <c r="V392" s="4">
        <f t="shared" si="121"/>
        <v>71</v>
      </c>
      <c r="W392" s="4">
        <f t="shared" si="122"/>
        <v>78</v>
      </c>
      <c r="X392" s="4">
        <f t="shared" si="123"/>
        <v>78</v>
      </c>
      <c r="Y392" s="4">
        <f t="shared" si="124"/>
        <v>9</v>
      </c>
      <c r="Z392" s="4">
        <f t="shared" si="125"/>
        <v>78</v>
      </c>
      <c r="AA392" s="102">
        <f t="shared" si="126"/>
        <v>9</v>
      </c>
      <c r="AC392" s="100">
        <f t="shared" si="127"/>
        <v>0.99287200980986068</v>
      </c>
    </row>
    <row r="393" spans="4:29" x14ac:dyDescent="0.35">
      <c r="D393">
        <f t="shared" si="128"/>
        <v>389</v>
      </c>
      <c r="E393" s="101">
        <v>1</v>
      </c>
      <c r="F393" s="4">
        <v>5</v>
      </c>
      <c r="G393" s="4">
        <v>1</v>
      </c>
      <c r="H393" s="4">
        <v>4</v>
      </c>
      <c r="I393" s="4">
        <v>1</v>
      </c>
      <c r="J393" s="4">
        <v>4</v>
      </c>
      <c r="K393" s="102">
        <v>1</v>
      </c>
      <c r="M393" s="101">
        <f t="shared" si="113"/>
        <v>34</v>
      </c>
      <c r="N393" s="4">
        <f t="shared" si="114"/>
        <v>30</v>
      </c>
      <c r="O393" s="4">
        <f t="shared" si="115"/>
        <v>34</v>
      </c>
      <c r="P393" s="4">
        <f t="shared" si="116"/>
        <v>12</v>
      </c>
      <c r="Q393" s="4">
        <f t="shared" si="117"/>
        <v>34</v>
      </c>
      <c r="R393" s="4">
        <f t="shared" si="118"/>
        <v>12</v>
      </c>
      <c r="S393" s="102">
        <f t="shared" si="119"/>
        <v>34</v>
      </c>
      <c r="U393" s="101">
        <f t="shared" si="120"/>
        <v>46</v>
      </c>
      <c r="V393" s="4">
        <f t="shared" si="121"/>
        <v>39</v>
      </c>
      <c r="W393" s="4">
        <f t="shared" si="122"/>
        <v>46</v>
      </c>
      <c r="X393" s="4">
        <f t="shared" si="123"/>
        <v>9</v>
      </c>
      <c r="Y393" s="4">
        <f t="shared" si="124"/>
        <v>46</v>
      </c>
      <c r="Z393" s="4">
        <f t="shared" si="125"/>
        <v>9</v>
      </c>
      <c r="AA393" s="102">
        <f t="shared" si="126"/>
        <v>46</v>
      </c>
      <c r="AC393" s="100">
        <f t="shared" si="127"/>
        <v>0.99998301690182057</v>
      </c>
    </row>
    <row r="394" spans="4:29" x14ac:dyDescent="0.35">
      <c r="D394">
        <f t="shared" si="128"/>
        <v>390</v>
      </c>
      <c r="E394" s="101">
        <v>4</v>
      </c>
      <c r="F394" s="4">
        <v>5</v>
      </c>
      <c r="G394" s="4">
        <v>4</v>
      </c>
      <c r="H394" s="4">
        <v>7</v>
      </c>
      <c r="I394" s="4">
        <v>2</v>
      </c>
      <c r="J394" s="4">
        <v>3</v>
      </c>
      <c r="K394" s="102">
        <v>1</v>
      </c>
      <c r="M394" s="101">
        <f t="shared" si="113"/>
        <v>12</v>
      </c>
      <c r="N394" s="4">
        <f t="shared" si="114"/>
        <v>30</v>
      </c>
      <c r="O394" s="4">
        <f t="shared" si="115"/>
        <v>12</v>
      </c>
      <c r="P394" s="4">
        <f t="shared" si="116"/>
        <v>29</v>
      </c>
      <c r="Q394" s="4">
        <f t="shared" si="117"/>
        <v>56</v>
      </c>
      <c r="R394" s="4">
        <f t="shared" si="118"/>
        <v>23</v>
      </c>
      <c r="S394" s="102">
        <f t="shared" si="119"/>
        <v>34</v>
      </c>
      <c r="U394" s="101">
        <f t="shared" si="120"/>
        <v>9</v>
      </c>
      <c r="V394" s="4">
        <f t="shared" si="121"/>
        <v>39</v>
      </c>
      <c r="W394" s="4">
        <f t="shared" si="122"/>
        <v>9</v>
      </c>
      <c r="X394" s="4">
        <f t="shared" si="123"/>
        <v>41</v>
      </c>
      <c r="Y394" s="4">
        <f t="shared" si="124"/>
        <v>78</v>
      </c>
      <c r="Z394" s="4">
        <f t="shared" si="125"/>
        <v>39</v>
      </c>
      <c r="AA394" s="102">
        <f t="shared" si="126"/>
        <v>46</v>
      </c>
      <c r="AC394" s="100">
        <f t="shared" si="127"/>
        <v>0.9807497236014463</v>
      </c>
    </row>
    <row r="395" spans="4:29" x14ac:dyDescent="0.35">
      <c r="D395">
        <f t="shared" si="128"/>
        <v>391</v>
      </c>
      <c r="E395" s="101">
        <v>3</v>
      </c>
      <c r="F395" s="4">
        <v>3</v>
      </c>
      <c r="G395" s="4">
        <v>3</v>
      </c>
      <c r="H395" s="4">
        <v>2</v>
      </c>
      <c r="I395" s="4">
        <v>2</v>
      </c>
      <c r="J395" s="4">
        <v>3</v>
      </c>
      <c r="K395" s="102">
        <v>4</v>
      </c>
      <c r="M395" s="101">
        <f t="shared" si="113"/>
        <v>23</v>
      </c>
      <c r="N395" s="4">
        <f t="shared" si="114"/>
        <v>23</v>
      </c>
      <c r="O395" s="4">
        <f t="shared" si="115"/>
        <v>23</v>
      </c>
      <c r="P395" s="4">
        <f t="shared" si="116"/>
        <v>56</v>
      </c>
      <c r="Q395" s="4">
        <f t="shared" si="117"/>
        <v>56</v>
      </c>
      <c r="R395" s="4">
        <f t="shared" si="118"/>
        <v>23</v>
      </c>
      <c r="S395" s="102">
        <f t="shared" si="119"/>
        <v>12</v>
      </c>
      <c r="U395" s="101">
        <f t="shared" si="120"/>
        <v>39</v>
      </c>
      <c r="V395" s="4">
        <f t="shared" si="121"/>
        <v>39</v>
      </c>
      <c r="W395" s="4">
        <f t="shared" si="122"/>
        <v>39</v>
      </c>
      <c r="X395" s="4">
        <f t="shared" si="123"/>
        <v>78</v>
      </c>
      <c r="Y395" s="4">
        <f t="shared" si="124"/>
        <v>78</v>
      </c>
      <c r="Z395" s="4">
        <f t="shared" si="125"/>
        <v>39</v>
      </c>
      <c r="AA395" s="102">
        <f t="shared" si="126"/>
        <v>9</v>
      </c>
      <c r="AC395" s="100">
        <f t="shared" si="127"/>
        <v>0.97297067727797304</v>
      </c>
    </row>
    <row r="396" spans="4:29" x14ac:dyDescent="0.35">
      <c r="D396">
        <f t="shared" si="128"/>
        <v>392</v>
      </c>
      <c r="E396" s="101">
        <v>2</v>
      </c>
      <c r="F396" s="4">
        <v>3</v>
      </c>
      <c r="G396" s="4">
        <v>1</v>
      </c>
      <c r="H396" s="4">
        <v>7</v>
      </c>
      <c r="I396" s="4">
        <v>1</v>
      </c>
      <c r="J396" s="4">
        <v>3</v>
      </c>
      <c r="K396" s="102">
        <v>4</v>
      </c>
      <c r="M396" s="101">
        <f t="shared" si="113"/>
        <v>56</v>
      </c>
      <c r="N396" s="4">
        <f t="shared" si="114"/>
        <v>23</v>
      </c>
      <c r="O396" s="4">
        <f t="shared" si="115"/>
        <v>34</v>
      </c>
      <c r="P396" s="4">
        <f t="shared" si="116"/>
        <v>29</v>
      </c>
      <c r="Q396" s="4">
        <f t="shared" si="117"/>
        <v>34</v>
      </c>
      <c r="R396" s="4">
        <f t="shared" si="118"/>
        <v>23</v>
      </c>
      <c r="S396" s="102">
        <f t="shared" si="119"/>
        <v>12</v>
      </c>
      <c r="U396" s="101">
        <f t="shared" si="120"/>
        <v>78</v>
      </c>
      <c r="V396" s="4">
        <f t="shared" si="121"/>
        <v>39</v>
      </c>
      <c r="W396" s="4">
        <f t="shared" si="122"/>
        <v>46</v>
      </c>
      <c r="X396" s="4">
        <f t="shared" si="123"/>
        <v>41</v>
      </c>
      <c r="Y396" s="4">
        <f t="shared" si="124"/>
        <v>46</v>
      </c>
      <c r="Z396" s="4">
        <f t="shared" si="125"/>
        <v>39</v>
      </c>
      <c r="AA396" s="102">
        <f t="shared" si="126"/>
        <v>9</v>
      </c>
      <c r="AC396" s="100">
        <f t="shared" si="127"/>
        <v>0.96712301564797276</v>
      </c>
    </row>
    <row r="397" spans="4:29" x14ac:dyDescent="0.35">
      <c r="D397">
        <f t="shared" si="128"/>
        <v>393</v>
      </c>
      <c r="E397" s="101">
        <v>5</v>
      </c>
      <c r="F397" s="4">
        <v>2</v>
      </c>
      <c r="G397" s="4">
        <v>6</v>
      </c>
      <c r="H397" s="4">
        <v>4</v>
      </c>
      <c r="I397" s="4">
        <v>7</v>
      </c>
      <c r="J397" s="4">
        <v>6</v>
      </c>
      <c r="K397" s="102">
        <v>2</v>
      </c>
      <c r="M397" s="101">
        <f t="shared" si="113"/>
        <v>30</v>
      </c>
      <c r="N397" s="4">
        <f t="shared" si="114"/>
        <v>56</v>
      </c>
      <c r="O397" s="4">
        <f t="shared" si="115"/>
        <v>45</v>
      </c>
      <c r="P397" s="4">
        <f t="shared" si="116"/>
        <v>12</v>
      </c>
      <c r="Q397" s="4">
        <f t="shared" si="117"/>
        <v>29</v>
      </c>
      <c r="R397" s="4">
        <f t="shared" si="118"/>
        <v>45</v>
      </c>
      <c r="S397" s="102">
        <f t="shared" si="119"/>
        <v>56</v>
      </c>
      <c r="U397" s="101">
        <f t="shared" si="120"/>
        <v>39</v>
      </c>
      <c r="V397" s="4">
        <f t="shared" si="121"/>
        <v>78</v>
      </c>
      <c r="W397" s="4">
        <f t="shared" si="122"/>
        <v>71</v>
      </c>
      <c r="X397" s="4">
        <f t="shared" si="123"/>
        <v>9</v>
      </c>
      <c r="Y397" s="4">
        <f t="shared" si="124"/>
        <v>41</v>
      </c>
      <c r="Z397" s="4">
        <f t="shared" si="125"/>
        <v>71</v>
      </c>
      <c r="AA397" s="102">
        <f t="shared" si="126"/>
        <v>78</v>
      </c>
      <c r="AC397" s="100">
        <f t="shared" si="127"/>
        <v>0.98403932609762645</v>
      </c>
    </row>
    <row r="398" spans="4:29" x14ac:dyDescent="0.35">
      <c r="D398">
        <f t="shared" si="128"/>
        <v>394</v>
      </c>
      <c r="E398" s="101">
        <v>7</v>
      </c>
      <c r="F398" s="4">
        <v>3</v>
      </c>
      <c r="G398" s="4">
        <v>7</v>
      </c>
      <c r="H398" s="4">
        <v>1</v>
      </c>
      <c r="I398" s="4">
        <v>7</v>
      </c>
      <c r="J398" s="4">
        <v>5</v>
      </c>
      <c r="K398" s="102">
        <v>5</v>
      </c>
      <c r="M398" s="101">
        <f t="shared" si="113"/>
        <v>29</v>
      </c>
      <c r="N398" s="4">
        <f t="shared" si="114"/>
        <v>23</v>
      </c>
      <c r="O398" s="4">
        <f t="shared" si="115"/>
        <v>29</v>
      </c>
      <c r="P398" s="4">
        <f t="shared" si="116"/>
        <v>34</v>
      </c>
      <c r="Q398" s="4">
        <f t="shared" si="117"/>
        <v>29</v>
      </c>
      <c r="R398" s="4">
        <f t="shared" si="118"/>
        <v>30</v>
      </c>
      <c r="S398" s="102">
        <f t="shared" si="119"/>
        <v>30</v>
      </c>
      <c r="U398" s="101">
        <f t="shared" si="120"/>
        <v>41</v>
      </c>
      <c r="V398" s="4">
        <f t="shared" si="121"/>
        <v>39</v>
      </c>
      <c r="W398" s="4">
        <f t="shared" si="122"/>
        <v>41</v>
      </c>
      <c r="X398" s="4">
        <f t="shared" si="123"/>
        <v>46</v>
      </c>
      <c r="Y398" s="4">
        <f t="shared" si="124"/>
        <v>41</v>
      </c>
      <c r="Z398" s="4">
        <f t="shared" si="125"/>
        <v>39</v>
      </c>
      <c r="AA398" s="102">
        <f t="shared" si="126"/>
        <v>39</v>
      </c>
      <c r="AC398" s="100">
        <f t="shared" si="127"/>
        <v>0.68857586074243182</v>
      </c>
    </row>
    <row r="399" spans="4:29" x14ac:dyDescent="0.35">
      <c r="D399">
        <f t="shared" si="128"/>
        <v>395</v>
      </c>
      <c r="E399" s="101">
        <v>4</v>
      </c>
      <c r="F399" s="4">
        <v>6</v>
      </c>
      <c r="G399" s="4">
        <v>7</v>
      </c>
      <c r="H399" s="4">
        <v>3</v>
      </c>
      <c r="I399" s="4">
        <v>2</v>
      </c>
      <c r="J399" s="4">
        <v>6</v>
      </c>
      <c r="K399" s="102">
        <v>2</v>
      </c>
      <c r="M399" s="101">
        <f t="shared" si="113"/>
        <v>12</v>
      </c>
      <c r="N399" s="4">
        <f t="shared" si="114"/>
        <v>45</v>
      </c>
      <c r="O399" s="4">
        <f t="shared" si="115"/>
        <v>29</v>
      </c>
      <c r="P399" s="4">
        <f t="shared" si="116"/>
        <v>23</v>
      </c>
      <c r="Q399" s="4">
        <f t="shared" si="117"/>
        <v>56</v>
      </c>
      <c r="R399" s="4">
        <f t="shared" si="118"/>
        <v>45</v>
      </c>
      <c r="S399" s="102">
        <f t="shared" si="119"/>
        <v>56</v>
      </c>
      <c r="U399" s="101">
        <f t="shared" si="120"/>
        <v>9</v>
      </c>
      <c r="V399" s="4">
        <f t="shared" si="121"/>
        <v>71</v>
      </c>
      <c r="W399" s="4">
        <f t="shared" si="122"/>
        <v>41</v>
      </c>
      <c r="X399" s="4">
        <f t="shared" si="123"/>
        <v>39</v>
      </c>
      <c r="Y399" s="4">
        <f t="shared" si="124"/>
        <v>78</v>
      </c>
      <c r="Z399" s="4">
        <f t="shared" si="125"/>
        <v>71</v>
      </c>
      <c r="AA399" s="102">
        <f t="shared" si="126"/>
        <v>78</v>
      </c>
      <c r="AC399" s="100">
        <f t="shared" si="127"/>
        <v>0.97761635748703524</v>
      </c>
    </row>
    <row r="400" spans="4:29" x14ac:dyDescent="0.35">
      <c r="D400">
        <f t="shared" si="128"/>
        <v>396</v>
      </c>
      <c r="E400" s="101">
        <v>4</v>
      </c>
      <c r="F400" s="4">
        <v>2</v>
      </c>
      <c r="G400" s="4">
        <v>7</v>
      </c>
      <c r="H400" s="4">
        <v>7</v>
      </c>
      <c r="I400" s="4">
        <v>6</v>
      </c>
      <c r="J400" s="4">
        <v>1</v>
      </c>
      <c r="K400" s="102">
        <v>7</v>
      </c>
      <c r="M400" s="101">
        <f t="shared" si="113"/>
        <v>12</v>
      </c>
      <c r="N400" s="4">
        <f t="shared" si="114"/>
        <v>56</v>
      </c>
      <c r="O400" s="4">
        <f t="shared" si="115"/>
        <v>29</v>
      </c>
      <c r="P400" s="4">
        <f t="shared" si="116"/>
        <v>29</v>
      </c>
      <c r="Q400" s="4">
        <f t="shared" si="117"/>
        <v>45</v>
      </c>
      <c r="R400" s="4">
        <f t="shared" si="118"/>
        <v>34</v>
      </c>
      <c r="S400" s="102">
        <f t="shared" si="119"/>
        <v>29</v>
      </c>
      <c r="U400" s="101">
        <f t="shared" si="120"/>
        <v>9</v>
      </c>
      <c r="V400" s="4">
        <f t="shared" si="121"/>
        <v>78</v>
      </c>
      <c r="W400" s="4">
        <f t="shared" si="122"/>
        <v>41</v>
      </c>
      <c r="X400" s="4">
        <f t="shared" si="123"/>
        <v>41</v>
      </c>
      <c r="Y400" s="4">
        <f t="shared" si="124"/>
        <v>71</v>
      </c>
      <c r="Z400" s="4">
        <f t="shared" si="125"/>
        <v>46</v>
      </c>
      <c r="AA400" s="102">
        <f t="shared" si="126"/>
        <v>41</v>
      </c>
      <c r="AC400" s="100">
        <f t="shared" si="127"/>
        <v>0.98753360236352683</v>
      </c>
    </row>
    <row r="401" spans="4:29" x14ac:dyDescent="0.35">
      <c r="D401">
        <f t="shared" si="128"/>
        <v>397</v>
      </c>
      <c r="E401" s="101">
        <v>4</v>
      </c>
      <c r="F401" s="4">
        <v>1</v>
      </c>
      <c r="G401" s="4">
        <v>6</v>
      </c>
      <c r="H401" s="4">
        <v>5</v>
      </c>
      <c r="I401" s="4">
        <v>4</v>
      </c>
      <c r="J401" s="4">
        <v>3</v>
      </c>
      <c r="K401" s="102">
        <v>1</v>
      </c>
      <c r="M401" s="101">
        <f t="shared" si="113"/>
        <v>12</v>
      </c>
      <c r="N401" s="4">
        <f t="shared" si="114"/>
        <v>34</v>
      </c>
      <c r="O401" s="4">
        <f t="shared" si="115"/>
        <v>45</v>
      </c>
      <c r="P401" s="4">
        <f t="shared" si="116"/>
        <v>30</v>
      </c>
      <c r="Q401" s="4">
        <f t="shared" si="117"/>
        <v>12</v>
      </c>
      <c r="R401" s="4">
        <f t="shared" si="118"/>
        <v>23</v>
      </c>
      <c r="S401" s="102">
        <f t="shared" si="119"/>
        <v>34</v>
      </c>
      <c r="U401" s="101">
        <f t="shared" si="120"/>
        <v>9</v>
      </c>
      <c r="V401" s="4">
        <f t="shared" si="121"/>
        <v>46</v>
      </c>
      <c r="W401" s="4">
        <f t="shared" si="122"/>
        <v>71</v>
      </c>
      <c r="X401" s="4">
        <f t="shared" si="123"/>
        <v>39</v>
      </c>
      <c r="Y401" s="4">
        <f t="shared" si="124"/>
        <v>9</v>
      </c>
      <c r="Z401" s="4">
        <f t="shared" si="125"/>
        <v>39</v>
      </c>
      <c r="AA401" s="102">
        <f t="shared" si="126"/>
        <v>46</v>
      </c>
      <c r="AC401" s="100">
        <f t="shared" si="127"/>
        <v>0.97823976808718838</v>
      </c>
    </row>
    <row r="402" spans="4:29" x14ac:dyDescent="0.35">
      <c r="D402">
        <f t="shared" si="128"/>
        <v>398</v>
      </c>
      <c r="E402" s="101">
        <v>1</v>
      </c>
      <c r="F402" s="4">
        <v>3</v>
      </c>
      <c r="G402" s="4">
        <v>7</v>
      </c>
      <c r="H402" s="4">
        <v>6</v>
      </c>
      <c r="I402" s="4">
        <v>5</v>
      </c>
      <c r="J402" s="4">
        <v>1</v>
      </c>
      <c r="K402" s="102">
        <v>1</v>
      </c>
      <c r="M402" s="101">
        <f t="shared" si="113"/>
        <v>34</v>
      </c>
      <c r="N402" s="4">
        <f t="shared" si="114"/>
        <v>23</v>
      </c>
      <c r="O402" s="4">
        <f t="shared" si="115"/>
        <v>29</v>
      </c>
      <c r="P402" s="4">
        <f t="shared" si="116"/>
        <v>45</v>
      </c>
      <c r="Q402" s="4">
        <f t="shared" si="117"/>
        <v>30</v>
      </c>
      <c r="R402" s="4">
        <f t="shared" si="118"/>
        <v>34</v>
      </c>
      <c r="S402" s="102">
        <f t="shared" si="119"/>
        <v>34</v>
      </c>
      <c r="U402" s="101">
        <f t="shared" si="120"/>
        <v>46</v>
      </c>
      <c r="V402" s="4">
        <f t="shared" si="121"/>
        <v>39</v>
      </c>
      <c r="W402" s="4">
        <f t="shared" si="122"/>
        <v>41</v>
      </c>
      <c r="X402" s="4">
        <f t="shared" si="123"/>
        <v>71</v>
      </c>
      <c r="Y402" s="4">
        <f t="shared" si="124"/>
        <v>39</v>
      </c>
      <c r="Z402" s="4">
        <f t="shared" si="125"/>
        <v>46</v>
      </c>
      <c r="AA402" s="102">
        <f t="shared" si="126"/>
        <v>46</v>
      </c>
      <c r="AC402" s="100">
        <f t="shared" si="127"/>
        <v>0.9191133401185112</v>
      </c>
    </row>
    <row r="403" spans="4:29" x14ac:dyDescent="0.35">
      <c r="D403">
        <f t="shared" si="128"/>
        <v>399</v>
      </c>
      <c r="E403" s="101">
        <v>6</v>
      </c>
      <c r="F403" s="4">
        <v>4</v>
      </c>
      <c r="G403" s="4">
        <v>2</v>
      </c>
      <c r="H403" s="4">
        <v>3</v>
      </c>
      <c r="I403" s="4">
        <v>1</v>
      </c>
      <c r="J403" s="4">
        <v>2</v>
      </c>
      <c r="K403" s="102">
        <v>3</v>
      </c>
      <c r="M403" s="101">
        <f t="shared" si="113"/>
        <v>45</v>
      </c>
      <c r="N403" s="4">
        <f t="shared" si="114"/>
        <v>12</v>
      </c>
      <c r="O403" s="4">
        <f t="shared" si="115"/>
        <v>56</v>
      </c>
      <c r="P403" s="4">
        <f t="shared" si="116"/>
        <v>23</v>
      </c>
      <c r="Q403" s="4">
        <f t="shared" si="117"/>
        <v>34</v>
      </c>
      <c r="R403" s="4">
        <f t="shared" si="118"/>
        <v>56</v>
      </c>
      <c r="S403" s="102">
        <f t="shared" si="119"/>
        <v>23</v>
      </c>
      <c r="U403" s="101">
        <f t="shared" si="120"/>
        <v>71</v>
      </c>
      <c r="V403" s="4">
        <f t="shared" si="121"/>
        <v>9</v>
      </c>
      <c r="W403" s="4">
        <f t="shared" si="122"/>
        <v>78</v>
      </c>
      <c r="X403" s="4">
        <f t="shared" si="123"/>
        <v>39</v>
      </c>
      <c r="Y403" s="4">
        <f t="shared" si="124"/>
        <v>46</v>
      </c>
      <c r="Z403" s="4">
        <f t="shared" si="125"/>
        <v>78</v>
      </c>
      <c r="AA403" s="102">
        <f t="shared" si="126"/>
        <v>39</v>
      </c>
      <c r="AC403" s="100">
        <f t="shared" si="127"/>
        <v>0.97443653658251883</v>
      </c>
    </row>
    <row r="404" spans="4:29" x14ac:dyDescent="0.35">
      <c r="D404">
        <f t="shared" si="128"/>
        <v>400</v>
      </c>
      <c r="E404" s="101">
        <v>5</v>
      </c>
      <c r="F404" s="4">
        <v>6</v>
      </c>
      <c r="G404" s="4">
        <v>7</v>
      </c>
      <c r="H404" s="4">
        <v>4</v>
      </c>
      <c r="I404" s="4">
        <v>4</v>
      </c>
      <c r="J404" s="4">
        <v>1</v>
      </c>
      <c r="K404" s="102">
        <v>7</v>
      </c>
      <c r="M404" s="101">
        <f t="shared" si="113"/>
        <v>30</v>
      </c>
      <c r="N404" s="4">
        <f t="shared" si="114"/>
        <v>45</v>
      </c>
      <c r="O404" s="4">
        <f t="shared" si="115"/>
        <v>29</v>
      </c>
      <c r="P404" s="4">
        <f t="shared" si="116"/>
        <v>12</v>
      </c>
      <c r="Q404" s="4">
        <f t="shared" si="117"/>
        <v>12</v>
      </c>
      <c r="R404" s="4">
        <f t="shared" si="118"/>
        <v>34</v>
      </c>
      <c r="S404" s="102">
        <f t="shared" si="119"/>
        <v>29</v>
      </c>
      <c r="U404" s="101">
        <f t="shared" si="120"/>
        <v>39</v>
      </c>
      <c r="V404" s="4">
        <f t="shared" si="121"/>
        <v>71</v>
      </c>
      <c r="W404" s="4">
        <f t="shared" si="122"/>
        <v>41</v>
      </c>
      <c r="X404" s="4">
        <f t="shared" si="123"/>
        <v>9</v>
      </c>
      <c r="Y404" s="4">
        <f t="shared" si="124"/>
        <v>9</v>
      </c>
      <c r="Z404" s="4">
        <f t="shared" si="125"/>
        <v>46</v>
      </c>
      <c r="AA404" s="102">
        <f t="shared" si="126"/>
        <v>41</v>
      </c>
      <c r="AC404" s="100">
        <f t="shared" si="127"/>
        <v>0.99606297586886217</v>
      </c>
    </row>
    <row r="405" spans="4:29" x14ac:dyDescent="0.35">
      <c r="D405">
        <f t="shared" si="128"/>
        <v>401</v>
      </c>
      <c r="E405" s="101">
        <v>3</v>
      </c>
      <c r="F405" s="4">
        <v>7</v>
      </c>
      <c r="G405" s="4">
        <v>7</v>
      </c>
      <c r="H405" s="4">
        <v>7</v>
      </c>
      <c r="I405" s="4">
        <v>6</v>
      </c>
      <c r="J405" s="4">
        <v>2</v>
      </c>
      <c r="K405" s="102">
        <v>5</v>
      </c>
      <c r="M405" s="101">
        <f t="shared" si="113"/>
        <v>23</v>
      </c>
      <c r="N405" s="4">
        <f t="shared" si="114"/>
        <v>29</v>
      </c>
      <c r="O405" s="4">
        <f t="shared" si="115"/>
        <v>29</v>
      </c>
      <c r="P405" s="4">
        <f t="shared" si="116"/>
        <v>29</v>
      </c>
      <c r="Q405" s="4">
        <f t="shared" si="117"/>
        <v>45</v>
      </c>
      <c r="R405" s="4">
        <f t="shared" si="118"/>
        <v>56</v>
      </c>
      <c r="S405" s="102">
        <f t="shared" si="119"/>
        <v>30</v>
      </c>
      <c r="U405" s="101">
        <f t="shared" si="120"/>
        <v>39</v>
      </c>
      <c r="V405" s="4">
        <f t="shared" si="121"/>
        <v>41</v>
      </c>
      <c r="W405" s="4">
        <f t="shared" si="122"/>
        <v>41</v>
      </c>
      <c r="X405" s="4">
        <f t="shared" si="123"/>
        <v>41</v>
      </c>
      <c r="Y405" s="4">
        <f t="shared" si="124"/>
        <v>71</v>
      </c>
      <c r="Z405" s="4">
        <f t="shared" si="125"/>
        <v>78</v>
      </c>
      <c r="AA405" s="102">
        <f t="shared" si="126"/>
        <v>39</v>
      </c>
      <c r="AC405" s="100">
        <f t="shared" si="127"/>
        <v>0.97117239331421823</v>
      </c>
    </row>
    <row r="406" spans="4:29" x14ac:dyDescent="0.35">
      <c r="D406">
        <f t="shared" si="128"/>
        <v>402</v>
      </c>
      <c r="E406" s="101">
        <v>6</v>
      </c>
      <c r="F406" s="4">
        <v>2</v>
      </c>
      <c r="G406" s="4">
        <v>7</v>
      </c>
      <c r="H406" s="4">
        <v>1</v>
      </c>
      <c r="I406" s="4">
        <v>6</v>
      </c>
      <c r="J406" s="4">
        <v>5</v>
      </c>
      <c r="K406" s="102">
        <v>2</v>
      </c>
      <c r="M406" s="101">
        <f t="shared" si="113"/>
        <v>45</v>
      </c>
      <c r="N406" s="4">
        <f t="shared" si="114"/>
        <v>56</v>
      </c>
      <c r="O406" s="4">
        <f t="shared" si="115"/>
        <v>29</v>
      </c>
      <c r="P406" s="4">
        <f t="shared" si="116"/>
        <v>34</v>
      </c>
      <c r="Q406" s="4">
        <f t="shared" si="117"/>
        <v>45</v>
      </c>
      <c r="R406" s="4">
        <f t="shared" si="118"/>
        <v>30</v>
      </c>
      <c r="S406" s="102">
        <f t="shared" si="119"/>
        <v>56</v>
      </c>
      <c r="U406" s="101">
        <f t="shared" si="120"/>
        <v>71</v>
      </c>
      <c r="V406" s="4">
        <f t="shared" si="121"/>
        <v>78</v>
      </c>
      <c r="W406" s="4">
        <f t="shared" si="122"/>
        <v>41</v>
      </c>
      <c r="X406" s="4">
        <f t="shared" si="123"/>
        <v>46</v>
      </c>
      <c r="Y406" s="4">
        <f t="shared" si="124"/>
        <v>71</v>
      </c>
      <c r="Z406" s="4">
        <f t="shared" si="125"/>
        <v>39</v>
      </c>
      <c r="AA406" s="102">
        <f t="shared" si="126"/>
        <v>78</v>
      </c>
      <c r="AC406" s="100">
        <f t="shared" si="127"/>
        <v>0.96906703733281951</v>
      </c>
    </row>
    <row r="407" spans="4:29" x14ac:dyDescent="0.35">
      <c r="D407">
        <f t="shared" si="128"/>
        <v>403</v>
      </c>
      <c r="E407" s="101">
        <v>5</v>
      </c>
      <c r="F407" s="4">
        <v>2</v>
      </c>
      <c r="G407" s="4">
        <v>3</v>
      </c>
      <c r="H407" s="4">
        <v>1</v>
      </c>
      <c r="I407" s="4">
        <v>6</v>
      </c>
      <c r="J407" s="4">
        <v>2</v>
      </c>
      <c r="K407" s="102">
        <v>5</v>
      </c>
      <c r="M407" s="101">
        <f t="shared" si="113"/>
        <v>30</v>
      </c>
      <c r="N407" s="4">
        <f t="shared" si="114"/>
        <v>56</v>
      </c>
      <c r="O407" s="4">
        <f t="shared" si="115"/>
        <v>23</v>
      </c>
      <c r="P407" s="4">
        <f t="shared" si="116"/>
        <v>34</v>
      </c>
      <c r="Q407" s="4">
        <f t="shared" si="117"/>
        <v>45</v>
      </c>
      <c r="R407" s="4">
        <f t="shared" si="118"/>
        <v>56</v>
      </c>
      <c r="S407" s="102">
        <f t="shared" si="119"/>
        <v>30</v>
      </c>
      <c r="U407" s="101">
        <f t="shared" si="120"/>
        <v>39</v>
      </c>
      <c r="V407" s="4">
        <f t="shared" si="121"/>
        <v>78</v>
      </c>
      <c r="W407" s="4">
        <f t="shared" si="122"/>
        <v>39</v>
      </c>
      <c r="X407" s="4">
        <f t="shared" si="123"/>
        <v>46</v>
      </c>
      <c r="Y407" s="4">
        <f t="shared" si="124"/>
        <v>71</v>
      </c>
      <c r="Z407" s="4">
        <f t="shared" si="125"/>
        <v>78</v>
      </c>
      <c r="AA407" s="102">
        <f t="shared" si="126"/>
        <v>39</v>
      </c>
      <c r="AC407" s="100">
        <f t="shared" si="127"/>
        <v>0.97060167901871364</v>
      </c>
    </row>
    <row r="408" spans="4:29" x14ac:dyDescent="0.35">
      <c r="D408">
        <f t="shared" si="128"/>
        <v>404</v>
      </c>
      <c r="E408" s="101">
        <v>5</v>
      </c>
      <c r="F408" s="4">
        <v>7</v>
      </c>
      <c r="G408" s="4">
        <v>1</v>
      </c>
      <c r="H408" s="4">
        <v>1</v>
      </c>
      <c r="I408" s="4">
        <v>7</v>
      </c>
      <c r="J408" s="4">
        <v>6</v>
      </c>
      <c r="K408" s="102">
        <v>1</v>
      </c>
      <c r="M408" s="101">
        <f t="shared" si="113"/>
        <v>30</v>
      </c>
      <c r="N408" s="4">
        <f t="shared" si="114"/>
        <v>29</v>
      </c>
      <c r="O408" s="4">
        <f t="shared" si="115"/>
        <v>34</v>
      </c>
      <c r="P408" s="4">
        <f t="shared" si="116"/>
        <v>34</v>
      </c>
      <c r="Q408" s="4">
        <f t="shared" si="117"/>
        <v>29</v>
      </c>
      <c r="R408" s="4">
        <f t="shared" si="118"/>
        <v>45</v>
      </c>
      <c r="S408" s="102">
        <f t="shared" si="119"/>
        <v>34</v>
      </c>
      <c r="U408" s="101">
        <f t="shared" si="120"/>
        <v>39</v>
      </c>
      <c r="V408" s="4">
        <f t="shared" si="121"/>
        <v>41</v>
      </c>
      <c r="W408" s="4">
        <f t="shared" si="122"/>
        <v>46</v>
      </c>
      <c r="X408" s="4">
        <f t="shared" si="123"/>
        <v>46</v>
      </c>
      <c r="Y408" s="4">
        <f t="shared" si="124"/>
        <v>41</v>
      </c>
      <c r="Z408" s="4">
        <f t="shared" si="125"/>
        <v>71</v>
      </c>
      <c r="AA408" s="102">
        <f t="shared" si="126"/>
        <v>46</v>
      </c>
      <c r="AC408" s="100">
        <f t="shared" si="127"/>
        <v>0.97822830124601645</v>
      </c>
    </row>
    <row r="409" spans="4:29" x14ac:dyDescent="0.35">
      <c r="D409">
        <f t="shared" si="128"/>
        <v>405</v>
      </c>
      <c r="E409" s="101">
        <v>1</v>
      </c>
      <c r="F409" s="4">
        <v>1</v>
      </c>
      <c r="G409" s="4">
        <v>6</v>
      </c>
      <c r="H409" s="4">
        <v>4</v>
      </c>
      <c r="I409" s="4">
        <v>2</v>
      </c>
      <c r="J409" s="4">
        <v>2</v>
      </c>
      <c r="K409" s="102">
        <v>3</v>
      </c>
      <c r="M409" s="101">
        <f t="shared" si="113"/>
        <v>34</v>
      </c>
      <c r="N409" s="4">
        <f t="shared" si="114"/>
        <v>34</v>
      </c>
      <c r="O409" s="4">
        <f t="shared" si="115"/>
        <v>45</v>
      </c>
      <c r="P409" s="4">
        <f t="shared" si="116"/>
        <v>12</v>
      </c>
      <c r="Q409" s="4">
        <f t="shared" si="117"/>
        <v>56</v>
      </c>
      <c r="R409" s="4">
        <f t="shared" si="118"/>
        <v>56</v>
      </c>
      <c r="S409" s="102">
        <f t="shared" si="119"/>
        <v>23</v>
      </c>
      <c r="U409" s="101">
        <f t="shared" si="120"/>
        <v>46</v>
      </c>
      <c r="V409" s="4">
        <f t="shared" si="121"/>
        <v>46</v>
      </c>
      <c r="W409" s="4">
        <f t="shared" si="122"/>
        <v>71</v>
      </c>
      <c r="X409" s="4">
        <f t="shared" si="123"/>
        <v>9</v>
      </c>
      <c r="Y409" s="4">
        <f t="shared" si="124"/>
        <v>78</v>
      </c>
      <c r="Z409" s="4">
        <f t="shared" si="125"/>
        <v>78</v>
      </c>
      <c r="AA409" s="102">
        <f t="shared" si="126"/>
        <v>39</v>
      </c>
      <c r="AC409" s="100">
        <f t="shared" si="127"/>
        <v>0.97874210568969822</v>
      </c>
    </row>
    <row r="410" spans="4:29" x14ac:dyDescent="0.35">
      <c r="D410">
        <f t="shared" si="128"/>
        <v>406</v>
      </c>
      <c r="E410" s="101">
        <v>5</v>
      </c>
      <c r="F410" s="4">
        <v>5</v>
      </c>
      <c r="G410" s="4">
        <v>7</v>
      </c>
      <c r="H410" s="4">
        <v>1</v>
      </c>
      <c r="I410" s="4">
        <v>4</v>
      </c>
      <c r="J410" s="4">
        <v>6</v>
      </c>
      <c r="K410" s="102">
        <v>7</v>
      </c>
      <c r="M410" s="101">
        <f t="shared" si="113"/>
        <v>30</v>
      </c>
      <c r="N410" s="4">
        <f t="shared" si="114"/>
        <v>30</v>
      </c>
      <c r="O410" s="4">
        <f t="shared" si="115"/>
        <v>29</v>
      </c>
      <c r="P410" s="4">
        <f t="shared" si="116"/>
        <v>34</v>
      </c>
      <c r="Q410" s="4">
        <f t="shared" si="117"/>
        <v>12</v>
      </c>
      <c r="R410" s="4">
        <f t="shared" si="118"/>
        <v>45</v>
      </c>
      <c r="S410" s="102">
        <f t="shared" si="119"/>
        <v>29</v>
      </c>
      <c r="U410" s="101">
        <f t="shared" si="120"/>
        <v>39</v>
      </c>
      <c r="V410" s="4">
        <f t="shared" si="121"/>
        <v>39</v>
      </c>
      <c r="W410" s="4">
        <f t="shared" si="122"/>
        <v>41</v>
      </c>
      <c r="X410" s="4">
        <f t="shared" si="123"/>
        <v>46</v>
      </c>
      <c r="Y410" s="4">
        <f t="shared" si="124"/>
        <v>9</v>
      </c>
      <c r="Z410" s="4">
        <f t="shared" si="125"/>
        <v>71</v>
      </c>
      <c r="AA410" s="102">
        <f t="shared" si="126"/>
        <v>41</v>
      </c>
      <c r="AC410" s="100">
        <f t="shared" si="127"/>
        <v>0.99301542389456943</v>
      </c>
    </row>
    <row r="411" spans="4:29" x14ac:dyDescent="0.35">
      <c r="D411">
        <f t="shared" si="128"/>
        <v>407</v>
      </c>
      <c r="E411" s="101">
        <v>7</v>
      </c>
      <c r="F411" s="4">
        <v>7</v>
      </c>
      <c r="G411" s="4">
        <v>2</v>
      </c>
      <c r="H411" s="4">
        <v>5</v>
      </c>
      <c r="I411" s="4">
        <v>5</v>
      </c>
      <c r="J411" s="4">
        <v>1</v>
      </c>
      <c r="K411" s="102">
        <v>2</v>
      </c>
      <c r="M411" s="101">
        <f t="shared" si="113"/>
        <v>29</v>
      </c>
      <c r="N411" s="4">
        <f t="shared" si="114"/>
        <v>29</v>
      </c>
      <c r="O411" s="4">
        <f t="shared" si="115"/>
        <v>56</v>
      </c>
      <c r="P411" s="4">
        <f t="shared" si="116"/>
        <v>30</v>
      </c>
      <c r="Q411" s="4">
        <f t="shared" si="117"/>
        <v>30</v>
      </c>
      <c r="R411" s="4">
        <f t="shared" si="118"/>
        <v>34</v>
      </c>
      <c r="S411" s="102">
        <f t="shared" si="119"/>
        <v>56</v>
      </c>
      <c r="U411" s="101">
        <f t="shared" si="120"/>
        <v>41</v>
      </c>
      <c r="V411" s="4">
        <f t="shared" si="121"/>
        <v>41</v>
      </c>
      <c r="W411" s="4">
        <f t="shared" si="122"/>
        <v>78</v>
      </c>
      <c r="X411" s="4">
        <f t="shared" si="123"/>
        <v>39</v>
      </c>
      <c r="Y411" s="4">
        <f t="shared" si="124"/>
        <v>39</v>
      </c>
      <c r="Z411" s="4">
        <f t="shared" si="125"/>
        <v>46</v>
      </c>
      <c r="AA411" s="102">
        <f t="shared" si="126"/>
        <v>78</v>
      </c>
      <c r="AC411" s="100">
        <f t="shared" si="127"/>
        <v>0.99695468366462059</v>
      </c>
    </row>
    <row r="412" spans="4:29" x14ac:dyDescent="0.35">
      <c r="D412">
        <f t="shared" si="128"/>
        <v>408</v>
      </c>
      <c r="E412" s="101">
        <v>4</v>
      </c>
      <c r="F412" s="4">
        <v>5</v>
      </c>
      <c r="G412" s="4">
        <v>2</v>
      </c>
      <c r="H412" s="4">
        <v>3</v>
      </c>
      <c r="I412" s="4">
        <v>6</v>
      </c>
      <c r="J412" s="4">
        <v>1</v>
      </c>
      <c r="K412" s="102">
        <v>3</v>
      </c>
      <c r="M412" s="101">
        <f t="shared" si="113"/>
        <v>12</v>
      </c>
      <c r="N412" s="4">
        <f t="shared" si="114"/>
        <v>30</v>
      </c>
      <c r="O412" s="4">
        <f t="shared" si="115"/>
        <v>56</v>
      </c>
      <c r="P412" s="4">
        <f t="shared" si="116"/>
        <v>23</v>
      </c>
      <c r="Q412" s="4">
        <f t="shared" si="117"/>
        <v>45</v>
      </c>
      <c r="R412" s="4">
        <f t="shared" si="118"/>
        <v>34</v>
      </c>
      <c r="S412" s="102">
        <f t="shared" si="119"/>
        <v>23</v>
      </c>
      <c r="U412" s="101">
        <f t="shared" si="120"/>
        <v>9</v>
      </c>
      <c r="V412" s="4">
        <f t="shared" si="121"/>
        <v>39</v>
      </c>
      <c r="W412" s="4">
        <f t="shared" si="122"/>
        <v>78</v>
      </c>
      <c r="X412" s="4">
        <f t="shared" si="123"/>
        <v>39</v>
      </c>
      <c r="Y412" s="4">
        <f t="shared" si="124"/>
        <v>71</v>
      </c>
      <c r="Z412" s="4">
        <f t="shared" si="125"/>
        <v>46</v>
      </c>
      <c r="AA412" s="102">
        <f t="shared" si="126"/>
        <v>39</v>
      </c>
      <c r="AC412" s="100">
        <f t="shared" si="127"/>
        <v>0.96711762463595619</v>
      </c>
    </row>
    <row r="413" spans="4:29" x14ac:dyDescent="0.35">
      <c r="D413">
        <f t="shared" si="128"/>
        <v>409</v>
      </c>
      <c r="E413" s="101">
        <v>1</v>
      </c>
      <c r="F413" s="4">
        <v>5</v>
      </c>
      <c r="G413" s="4">
        <v>3</v>
      </c>
      <c r="H413" s="4">
        <v>4</v>
      </c>
      <c r="I413" s="4">
        <v>6</v>
      </c>
      <c r="J413" s="4">
        <v>1</v>
      </c>
      <c r="K413" s="102">
        <v>7</v>
      </c>
      <c r="M413" s="101">
        <f t="shared" si="113"/>
        <v>34</v>
      </c>
      <c r="N413" s="4">
        <f t="shared" si="114"/>
        <v>30</v>
      </c>
      <c r="O413" s="4">
        <f t="shared" si="115"/>
        <v>23</v>
      </c>
      <c r="P413" s="4">
        <f t="shared" si="116"/>
        <v>12</v>
      </c>
      <c r="Q413" s="4">
        <f t="shared" si="117"/>
        <v>45</v>
      </c>
      <c r="R413" s="4">
        <f t="shared" si="118"/>
        <v>34</v>
      </c>
      <c r="S413" s="102">
        <f t="shared" si="119"/>
        <v>29</v>
      </c>
      <c r="U413" s="101">
        <f t="shared" si="120"/>
        <v>46</v>
      </c>
      <c r="V413" s="4">
        <f t="shared" si="121"/>
        <v>39</v>
      </c>
      <c r="W413" s="4">
        <f t="shared" si="122"/>
        <v>39</v>
      </c>
      <c r="X413" s="4">
        <f t="shared" si="123"/>
        <v>9</v>
      </c>
      <c r="Y413" s="4">
        <f t="shared" si="124"/>
        <v>71</v>
      </c>
      <c r="Z413" s="4">
        <f t="shared" si="125"/>
        <v>46</v>
      </c>
      <c r="AA413" s="102">
        <f t="shared" si="126"/>
        <v>41</v>
      </c>
      <c r="AC413" s="100">
        <f t="shared" si="127"/>
        <v>0.9688120544294756</v>
      </c>
    </row>
    <row r="414" spans="4:29" x14ac:dyDescent="0.35">
      <c r="D414">
        <f t="shared" si="128"/>
        <v>410</v>
      </c>
      <c r="E414" s="101">
        <v>3</v>
      </c>
      <c r="F414" s="4">
        <v>2</v>
      </c>
      <c r="G414" s="4">
        <v>5</v>
      </c>
      <c r="H414" s="4">
        <v>3</v>
      </c>
      <c r="I414" s="4">
        <v>1</v>
      </c>
      <c r="J414" s="4">
        <v>2</v>
      </c>
      <c r="K414" s="102">
        <v>6</v>
      </c>
      <c r="M414" s="101">
        <f t="shared" si="113"/>
        <v>23</v>
      </c>
      <c r="N414" s="4">
        <f t="shared" si="114"/>
        <v>56</v>
      </c>
      <c r="O414" s="4">
        <f t="shared" si="115"/>
        <v>30</v>
      </c>
      <c r="P414" s="4">
        <f t="shared" si="116"/>
        <v>23</v>
      </c>
      <c r="Q414" s="4">
        <f t="shared" si="117"/>
        <v>34</v>
      </c>
      <c r="R414" s="4">
        <f t="shared" si="118"/>
        <v>56</v>
      </c>
      <c r="S414" s="102">
        <f t="shared" si="119"/>
        <v>45</v>
      </c>
      <c r="U414" s="101">
        <f t="shared" si="120"/>
        <v>39</v>
      </c>
      <c r="V414" s="4">
        <f t="shared" si="121"/>
        <v>78</v>
      </c>
      <c r="W414" s="4">
        <f t="shared" si="122"/>
        <v>39</v>
      </c>
      <c r="X414" s="4">
        <f t="shared" si="123"/>
        <v>39</v>
      </c>
      <c r="Y414" s="4">
        <f t="shared" si="124"/>
        <v>46</v>
      </c>
      <c r="Z414" s="4">
        <f t="shared" si="125"/>
        <v>78</v>
      </c>
      <c r="AA414" s="102">
        <f t="shared" si="126"/>
        <v>71</v>
      </c>
      <c r="AC414" s="100">
        <f t="shared" si="127"/>
        <v>0.9727312622519878</v>
      </c>
    </row>
    <row r="415" spans="4:29" x14ac:dyDescent="0.35">
      <c r="D415">
        <f t="shared" si="128"/>
        <v>411</v>
      </c>
      <c r="E415" s="101">
        <v>1</v>
      </c>
      <c r="F415" s="4">
        <v>2</v>
      </c>
      <c r="G415" s="4">
        <v>4</v>
      </c>
      <c r="H415" s="4">
        <v>1</v>
      </c>
      <c r="I415" s="4">
        <v>7</v>
      </c>
      <c r="J415" s="4">
        <v>5</v>
      </c>
      <c r="K415" s="102">
        <v>4</v>
      </c>
      <c r="M415" s="101">
        <f t="shared" si="113"/>
        <v>34</v>
      </c>
      <c r="N415" s="4">
        <f t="shared" si="114"/>
        <v>56</v>
      </c>
      <c r="O415" s="4">
        <f t="shared" si="115"/>
        <v>12</v>
      </c>
      <c r="P415" s="4">
        <f t="shared" si="116"/>
        <v>34</v>
      </c>
      <c r="Q415" s="4">
        <f t="shared" si="117"/>
        <v>29</v>
      </c>
      <c r="R415" s="4">
        <f t="shared" si="118"/>
        <v>30</v>
      </c>
      <c r="S415" s="102">
        <f t="shared" si="119"/>
        <v>12</v>
      </c>
      <c r="U415" s="101">
        <f t="shared" si="120"/>
        <v>46</v>
      </c>
      <c r="V415" s="4">
        <f t="shared" si="121"/>
        <v>78</v>
      </c>
      <c r="W415" s="4">
        <f t="shared" si="122"/>
        <v>9</v>
      </c>
      <c r="X415" s="4">
        <f t="shared" si="123"/>
        <v>46</v>
      </c>
      <c r="Y415" s="4">
        <f t="shared" si="124"/>
        <v>41</v>
      </c>
      <c r="Z415" s="4">
        <f t="shared" si="125"/>
        <v>39</v>
      </c>
      <c r="AA415" s="102">
        <f t="shared" si="126"/>
        <v>9</v>
      </c>
      <c r="AC415" s="100">
        <f t="shared" si="127"/>
        <v>0.99664375961747986</v>
      </c>
    </row>
    <row r="416" spans="4:29" x14ac:dyDescent="0.35">
      <c r="D416">
        <f t="shared" si="128"/>
        <v>412</v>
      </c>
      <c r="E416" s="101">
        <v>3</v>
      </c>
      <c r="F416" s="4">
        <v>2</v>
      </c>
      <c r="G416" s="4">
        <v>3</v>
      </c>
      <c r="H416" s="4">
        <v>6</v>
      </c>
      <c r="I416" s="4">
        <v>4</v>
      </c>
      <c r="J416" s="4">
        <v>2</v>
      </c>
      <c r="K416" s="102">
        <v>3</v>
      </c>
      <c r="M416" s="101">
        <f t="shared" si="113"/>
        <v>23</v>
      </c>
      <c r="N416" s="4">
        <f t="shared" si="114"/>
        <v>56</v>
      </c>
      <c r="O416" s="4">
        <f t="shared" si="115"/>
        <v>23</v>
      </c>
      <c r="P416" s="4">
        <f t="shared" si="116"/>
        <v>45</v>
      </c>
      <c r="Q416" s="4">
        <f t="shared" si="117"/>
        <v>12</v>
      </c>
      <c r="R416" s="4">
        <f t="shared" si="118"/>
        <v>56</v>
      </c>
      <c r="S416" s="102">
        <f t="shared" si="119"/>
        <v>23</v>
      </c>
      <c r="U416" s="101">
        <f t="shared" si="120"/>
        <v>39</v>
      </c>
      <c r="V416" s="4">
        <f t="shared" si="121"/>
        <v>78</v>
      </c>
      <c r="W416" s="4">
        <f t="shared" si="122"/>
        <v>39</v>
      </c>
      <c r="X416" s="4">
        <f t="shared" si="123"/>
        <v>71</v>
      </c>
      <c r="Y416" s="4">
        <f t="shared" si="124"/>
        <v>9</v>
      </c>
      <c r="Z416" s="4">
        <f t="shared" si="125"/>
        <v>78</v>
      </c>
      <c r="AA416" s="102">
        <f t="shared" si="126"/>
        <v>39</v>
      </c>
      <c r="AC416" s="100">
        <f t="shared" si="127"/>
        <v>0.97402988755280628</v>
      </c>
    </row>
    <row r="417" spans="4:29" x14ac:dyDescent="0.35">
      <c r="D417">
        <f t="shared" si="128"/>
        <v>413</v>
      </c>
      <c r="E417" s="101">
        <v>5</v>
      </c>
      <c r="F417" s="4">
        <v>3</v>
      </c>
      <c r="G417" s="4">
        <v>6</v>
      </c>
      <c r="H417" s="4">
        <v>5</v>
      </c>
      <c r="I417" s="4">
        <v>7</v>
      </c>
      <c r="J417" s="4">
        <v>3</v>
      </c>
      <c r="K417" s="102">
        <v>4</v>
      </c>
      <c r="M417" s="101">
        <f t="shared" si="113"/>
        <v>30</v>
      </c>
      <c r="N417" s="4">
        <f t="shared" si="114"/>
        <v>23</v>
      </c>
      <c r="O417" s="4">
        <f t="shared" si="115"/>
        <v>45</v>
      </c>
      <c r="P417" s="4">
        <f t="shared" si="116"/>
        <v>30</v>
      </c>
      <c r="Q417" s="4">
        <f t="shared" si="117"/>
        <v>29</v>
      </c>
      <c r="R417" s="4">
        <f t="shared" si="118"/>
        <v>23</v>
      </c>
      <c r="S417" s="102">
        <f t="shared" si="119"/>
        <v>12</v>
      </c>
      <c r="U417" s="101">
        <f t="shared" si="120"/>
        <v>39</v>
      </c>
      <c r="V417" s="4">
        <f t="shared" si="121"/>
        <v>39</v>
      </c>
      <c r="W417" s="4">
        <f t="shared" si="122"/>
        <v>71</v>
      </c>
      <c r="X417" s="4">
        <f t="shared" si="123"/>
        <v>39</v>
      </c>
      <c r="Y417" s="4">
        <f t="shared" si="124"/>
        <v>41</v>
      </c>
      <c r="Z417" s="4">
        <f t="shared" si="125"/>
        <v>39</v>
      </c>
      <c r="AA417" s="102">
        <f t="shared" si="126"/>
        <v>9</v>
      </c>
      <c r="AC417" s="100">
        <f t="shared" si="127"/>
        <v>0.95526246841897056</v>
      </c>
    </row>
    <row r="418" spans="4:29" x14ac:dyDescent="0.35">
      <c r="D418">
        <f t="shared" si="128"/>
        <v>414</v>
      </c>
      <c r="E418" s="101">
        <v>3</v>
      </c>
      <c r="F418" s="4">
        <v>3</v>
      </c>
      <c r="G418" s="4">
        <v>4</v>
      </c>
      <c r="H418" s="4">
        <v>2</v>
      </c>
      <c r="I418" s="4">
        <v>1</v>
      </c>
      <c r="J418" s="4">
        <v>1</v>
      </c>
      <c r="K418" s="102">
        <v>5</v>
      </c>
      <c r="M418" s="101">
        <f t="shared" si="113"/>
        <v>23</v>
      </c>
      <c r="N418" s="4">
        <f t="shared" si="114"/>
        <v>23</v>
      </c>
      <c r="O418" s="4">
        <f t="shared" si="115"/>
        <v>12</v>
      </c>
      <c r="P418" s="4">
        <f t="shared" si="116"/>
        <v>56</v>
      </c>
      <c r="Q418" s="4">
        <f t="shared" si="117"/>
        <v>34</v>
      </c>
      <c r="R418" s="4">
        <f t="shared" si="118"/>
        <v>34</v>
      </c>
      <c r="S418" s="102">
        <f t="shared" si="119"/>
        <v>30</v>
      </c>
      <c r="U418" s="101">
        <f t="shared" si="120"/>
        <v>39</v>
      </c>
      <c r="V418" s="4">
        <f t="shared" si="121"/>
        <v>39</v>
      </c>
      <c r="W418" s="4">
        <f t="shared" si="122"/>
        <v>9</v>
      </c>
      <c r="X418" s="4">
        <f t="shared" si="123"/>
        <v>78</v>
      </c>
      <c r="Y418" s="4">
        <f t="shared" si="124"/>
        <v>46</v>
      </c>
      <c r="Z418" s="4">
        <f t="shared" si="125"/>
        <v>46</v>
      </c>
      <c r="AA418" s="102">
        <f t="shared" si="126"/>
        <v>39</v>
      </c>
      <c r="AC418" s="100">
        <f t="shared" si="127"/>
        <v>0.96520688040719338</v>
      </c>
    </row>
    <row r="419" spans="4:29" x14ac:dyDescent="0.35">
      <c r="D419">
        <f t="shared" si="128"/>
        <v>415</v>
      </c>
      <c r="E419" s="101">
        <v>4</v>
      </c>
      <c r="F419" s="4">
        <v>7</v>
      </c>
      <c r="G419" s="4">
        <v>4</v>
      </c>
      <c r="H419" s="4">
        <v>6</v>
      </c>
      <c r="I419" s="4">
        <v>6</v>
      </c>
      <c r="J419" s="4">
        <v>3</v>
      </c>
      <c r="K419" s="102">
        <v>5</v>
      </c>
      <c r="M419" s="101">
        <f t="shared" si="113"/>
        <v>12</v>
      </c>
      <c r="N419" s="4">
        <f t="shared" si="114"/>
        <v>29</v>
      </c>
      <c r="O419" s="4">
        <f t="shared" si="115"/>
        <v>12</v>
      </c>
      <c r="P419" s="4">
        <f t="shared" si="116"/>
        <v>45</v>
      </c>
      <c r="Q419" s="4">
        <f t="shared" si="117"/>
        <v>45</v>
      </c>
      <c r="R419" s="4">
        <f t="shared" si="118"/>
        <v>23</v>
      </c>
      <c r="S419" s="102">
        <f t="shared" si="119"/>
        <v>30</v>
      </c>
      <c r="U419" s="101">
        <f t="shared" si="120"/>
        <v>9</v>
      </c>
      <c r="V419" s="4">
        <f t="shared" si="121"/>
        <v>41</v>
      </c>
      <c r="W419" s="4">
        <f t="shared" si="122"/>
        <v>9</v>
      </c>
      <c r="X419" s="4">
        <f t="shared" si="123"/>
        <v>71</v>
      </c>
      <c r="Y419" s="4">
        <f t="shared" si="124"/>
        <v>71</v>
      </c>
      <c r="Z419" s="4">
        <f t="shared" si="125"/>
        <v>39</v>
      </c>
      <c r="AA419" s="102">
        <f t="shared" si="126"/>
        <v>39</v>
      </c>
      <c r="AC419" s="100">
        <f t="shared" si="127"/>
        <v>0.98762442148844232</v>
      </c>
    </row>
    <row r="420" spans="4:29" x14ac:dyDescent="0.35">
      <c r="D420">
        <f t="shared" si="128"/>
        <v>416</v>
      </c>
      <c r="E420" s="101">
        <v>5</v>
      </c>
      <c r="F420" s="4">
        <v>5</v>
      </c>
      <c r="G420" s="4">
        <v>4</v>
      </c>
      <c r="H420" s="4">
        <v>5</v>
      </c>
      <c r="I420" s="4">
        <v>5</v>
      </c>
      <c r="J420" s="4">
        <v>2</v>
      </c>
      <c r="K420" s="102">
        <v>4</v>
      </c>
      <c r="M420" s="101">
        <f t="shared" si="113"/>
        <v>30</v>
      </c>
      <c r="N420" s="4">
        <f t="shared" si="114"/>
        <v>30</v>
      </c>
      <c r="O420" s="4">
        <f t="shared" si="115"/>
        <v>12</v>
      </c>
      <c r="P420" s="4">
        <f t="shared" si="116"/>
        <v>30</v>
      </c>
      <c r="Q420" s="4">
        <f t="shared" si="117"/>
        <v>30</v>
      </c>
      <c r="R420" s="4">
        <f t="shared" si="118"/>
        <v>56</v>
      </c>
      <c r="S420" s="102">
        <f t="shared" si="119"/>
        <v>12</v>
      </c>
      <c r="U420" s="101">
        <f t="shared" si="120"/>
        <v>39</v>
      </c>
      <c r="V420" s="4">
        <f t="shared" si="121"/>
        <v>39</v>
      </c>
      <c r="W420" s="4">
        <f t="shared" si="122"/>
        <v>9</v>
      </c>
      <c r="X420" s="4">
        <f t="shared" si="123"/>
        <v>39</v>
      </c>
      <c r="Y420" s="4">
        <f t="shared" si="124"/>
        <v>39</v>
      </c>
      <c r="Z420" s="4">
        <f t="shared" si="125"/>
        <v>78</v>
      </c>
      <c r="AA420" s="102">
        <f t="shared" si="126"/>
        <v>9</v>
      </c>
      <c r="AC420" s="100">
        <f t="shared" si="127"/>
        <v>0.99918491942963406</v>
      </c>
    </row>
    <row r="421" spans="4:29" x14ac:dyDescent="0.35">
      <c r="D421">
        <f t="shared" si="128"/>
        <v>417</v>
      </c>
      <c r="E421" s="101">
        <v>4</v>
      </c>
      <c r="F421" s="4">
        <v>5</v>
      </c>
      <c r="G421" s="4">
        <v>1</v>
      </c>
      <c r="H421" s="4">
        <v>5</v>
      </c>
      <c r="I421" s="4">
        <v>6</v>
      </c>
      <c r="J421" s="4">
        <v>7</v>
      </c>
      <c r="K421" s="102">
        <v>6</v>
      </c>
      <c r="M421" s="101">
        <f t="shared" si="113"/>
        <v>12</v>
      </c>
      <c r="N421" s="4">
        <f t="shared" si="114"/>
        <v>30</v>
      </c>
      <c r="O421" s="4">
        <f t="shared" si="115"/>
        <v>34</v>
      </c>
      <c r="P421" s="4">
        <f t="shared" si="116"/>
        <v>30</v>
      </c>
      <c r="Q421" s="4">
        <f t="shared" si="117"/>
        <v>45</v>
      </c>
      <c r="R421" s="4">
        <f t="shared" si="118"/>
        <v>29</v>
      </c>
      <c r="S421" s="102">
        <f t="shared" si="119"/>
        <v>45</v>
      </c>
      <c r="U421" s="101">
        <f t="shared" si="120"/>
        <v>9</v>
      </c>
      <c r="V421" s="4">
        <f t="shared" si="121"/>
        <v>39</v>
      </c>
      <c r="W421" s="4">
        <f t="shared" si="122"/>
        <v>46</v>
      </c>
      <c r="X421" s="4">
        <f t="shared" si="123"/>
        <v>39</v>
      </c>
      <c r="Y421" s="4">
        <f t="shared" si="124"/>
        <v>71</v>
      </c>
      <c r="Z421" s="4">
        <f t="shared" si="125"/>
        <v>41</v>
      </c>
      <c r="AA421" s="102">
        <f t="shared" si="126"/>
        <v>71</v>
      </c>
      <c r="AC421" s="100">
        <f t="shared" si="127"/>
        <v>0.9949466784711396</v>
      </c>
    </row>
    <row r="422" spans="4:29" x14ac:dyDescent="0.35">
      <c r="D422">
        <f t="shared" si="128"/>
        <v>418</v>
      </c>
      <c r="E422" s="101">
        <v>2</v>
      </c>
      <c r="F422" s="4">
        <v>6</v>
      </c>
      <c r="G422" s="4">
        <v>4</v>
      </c>
      <c r="H422" s="4">
        <v>1</v>
      </c>
      <c r="I422" s="4">
        <v>6</v>
      </c>
      <c r="J422" s="4">
        <v>1</v>
      </c>
      <c r="K422" s="102">
        <v>6</v>
      </c>
      <c r="M422" s="101">
        <f t="shared" si="113"/>
        <v>56</v>
      </c>
      <c r="N422" s="4">
        <f t="shared" si="114"/>
        <v>45</v>
      </c>
      <c r="O422" s="4">
        <f t="shared" si="115"/>
        <v>12</v>
      </c>
      <c r="P422" s="4">
        <f t="shared" si="116"/>
        <v>34</v>
      </c>
      <c r="Q422" s="4">
        <f t="shared" si="117"/>
        <v>45</v>
      </c>
      <c r="R422" s="4">
        <f t="shared" si="118"/>
        <v>34</v>
      </c>
      <c r="S422" s="102">
        <f t="shared" si="119"/>
        <v>45</v>
      </c>
      <c r="U422" s="101">
        <f t="shared" si="120"/>
        <v>78</v>
      </c>
      <c r="V422" s="4">
        <f t="shared" si="121"/>
        <v>71</v>
      </c>
      <c r="W422" s="4">
        <f t="shared" si="122"/>
        <v>9</v>
      </c>
      <c r="X422" s="4">
        <f t="shared" si="123"/>
        <v>46</v>
      </c>
      <c r="Y422" s="4">
        <f t="shared" si="124"/>
        <v>71</v>
      </c>
      <c r="Z422" s="4">
        <f t="shared" si="125"/>
        <v>46</v>
      </c>
      <c r="AA422" s="102">
        <f t="shared" si="126"/>
        <v>71</v>
      </c>
      <c r="AC422" s="100">
        <f t="shared" si="127"/>
        <v>0.98295408196352041</v>
      </c>
    </row>
    <row r="423" spans="4:29" x14ac:dyDescent="0.35">
      <c r="D423">
        <f t="shared" si="128"/>
        <v>419</v>
      </c>
      <c r="E423" s="101">
        <v>3</v>
      </c>
      <c r="F423" s="4">
        <v>2</v>
      </c>
      <c r="G423" s="4">
        <v>5</v>
      </c>
      <c r="H423" s="4">
        <v>6</v>
      </c>
      <c r="I423" s="4">
        <v>2</v>
      </c>
      <c r="J423" s="4">
        <v>5</v>
      </c>
      <c r="K423" s="102">
        <v>3</v>
      </c>
      <c r="M423" s="101">
        <f t="shared" si="113"/>
        <v>23</v>
      </c>
      <c r="N423" s="4">
        <f t="shared" si="114"/>
        <v>56</v>
      </c>
      <c r="O423" s="4">
        <f t="shared" si="115"/>
        <v>30</v>
      </c>
      <c r="P423" s="4">
        <f t="shared" si="116"/>
        <v>45</v>
      </c>
      <c r="Q423" s="4">
        <f t="shared" si="117"/>
        <v>56</v>
      </c>
      <c r="R423" s="4">
        <f t="shared" si="118"/>
        <v>30</v>
      </c>
      <c r="S423" s="102">
        <f t="shared" si="119"/>
        <v>23</v>
      </c>
      <c r="U423" s="101">
        <f t="shared" si="120"/>
        <v>39</v>
      </c>
      <c r="V423" s="4">
        <f t="shared" si="121"/>
        <v>78</v>
      </c>
      <c r="W423" s="4">
        <f t="shared" si="122"/>
        <v>39</v>
      </c>
      <c r="X423" s="4">
        <f t="shared" si="123"/>
        <v>71</v>
      </c>
      <c r="Y423" s="4">
        <f t="shared" si="124"/>
        <v>78</v>
      </c>
      <c r="Z423" s="4">
        <f t="shared" si="125"/>
        <v>39</v>
      </c>
      <c r="AA423" s="102">
        <f t="shared" si="126"/>
        <v>39</v>
      </c>
      <c r="AC423" s="100">
        <f t="shared" si="127"/>
        <v>0.97083777394559168</v>
      </c>
    </row>
    <row r="424" spans="4:29" x14ac:dyDescent="0.35">
      <c r="D424">
        <f t="shared" si="128"/>
        <v>420</v>
      </c>
      <c r="E424" s="101">
        <v>1</v>
      </c>
      <c r="F424" s="4">
        <v>5</v>
      </c>
      <c r="G424" s="4">
        <v>6</v>
      </c>
      <c r="H424" s="4">
        <v>7</v>
      </c>
      <c r="I424" s="4">
        <v>6</v>
      </c>
      <c r="J424" s="4">
        <v>3</v>
      </c>
      <c r="K424" s="102">
        <v>6</v>
      </c>
      <c r="M424" s="101">
        <f t="shared" si="113"/>
        <v>34</v>
      </c>
      <c r="N424" s="4">
        <f t="shared" si="114"/>
        <v>30</v>
      </c>
      <c r="O424" s="4">
        <f t="shared" si="115"/>
        <v>45</v>
      </c>
      <c r="P424" s="4">
        <f t="shared" si="116"/>
        <v>29</v>
      </c>
      <c r="Q424" s="4">
        <f t="shared" si="117"/>
        <v>45</v>
      </c>
      <c r="R424" s="4">
        <f t="shared" si="118"/>
        <v>23</v>
      </c>
      <c r="S424" s="102">
        <f t="shared" si="119"/>
        <v>45</v>
      </c>
      <c r="U424" s="101">
        <f t="shared" si="120"/>
        <v>46</v>
      </c>
      <c r="V424" s="4">
        <f t="shared" si="121"/>
        <v>39</v>
      </c>
      <c r="W424" s="4">
        <f t="shared" si="122"/>
        <v>71</v>
      </c>
      <c r="X424" s="4">
        <f t="shared" si="123"/>
        <v>41</v>
      </c>
      <c r="Y424" s="4">
        <f t="shared" si="124"/>
        <v>71</v>
      </c>
      <c r="Z424" s="4">
        <f t="shared" si="125"/>
        <v>39</v>
      </c>
      <c r="AA424" s="102">
        <f t="shared" si="126"/>
        <v>71</v>
      </c>
      <c r="AC424" s="100">
        <f t="shared" si="127"/>
        <v>0.96584353050109317</v>
      </c>
    </row>
    <row r="425" spans="4:29" x14ac:dyDescent="0.35">
      <c r="D425">
        <f t="shared" si="128"/>
        <v>421</v>
      </c>
      <c r="E425" s="101">
        <v>2</v>
      </c>
      <c r="F425" s="4">
        <v>4</v>
      </c>
      <c r="G425" s="4">
        <v>7</v>
      </c>
      <c r="H425" s="4">
        <v>6</v>
      </c>
      <c r="I425" s="4">
        <v>1</v>
      </c>
      <c r="J425" s="4">
        <v>5</v>
      </c>
      <c r="K425" s="102">
        <v>5</v>
      </c>
      <c r="M425" s="101">
        <f t="shared" si="113"/>
        <v>56</v>
      </c>
      <c r="N425" s="4">
        <f t="shared" si="114"/>
        <v>12</v>
      </c>
      <c r="O425" s="4">
        <f t="shared" si="115"/>
        <v>29</v>
      </c>
      <c r="P425" s="4">
        <f t="shared" si="116"/>
        <v>45</v>
      </c>
      <c r="Q425" s="4">
        <f t="shared" si="117"/>
        <v>34</v>
      </c>
      <c r="R425" s="4">
        <f t="shared" si="118"/>
        <v>30</v>
      </c>
      <c r="S425" s="102">
        <f t="shared" si="119"/>
        <v>30</v>
      </c>
      <c r="U425" s="101">
        <f t="shared" si="120"/>
        <v>78</v>
      </c>
      <c r="V425" s="4">
        <f t="shared" si="121"/>
        <v>9</v>
      </c>
      <c r="W425" s="4">
        <f t="shared" si="122"/>
        <v>41</v>
      </c>
      <c r="X425" s="4">
        <f t="shared" si="123"/>
        <v>71</v>
      </c>
      <c r="Y425" s="4">
        <f t="shared" si="124"/>
        <v>46</v>
      </c>
      <c r="Z425" s="4">
        <f t="shared" si="125"/>
        <v>39</v>
      </c>
      <c r="AA425" s="102">
        <f t="shared" si="126"/>
        <v>39</v>
      </c>
      <c r="AC425" s="100">
        <f t="shared" si="127"/>
        <v>0.9881609722049397</v>
      </c>
    </row>
    <row r="426" spans="4:29" x14ac:dyDescent="0.35">
      <c r="D426">
        <f t="shared" si="128"/>
        <v>422</v>
      </c>
      <c r="E426" s="101">
        <v>3</v>
      </c>
      <c r="F426" s="4">
        <v>4</v>
      </c>
      <c r="G426" s="4">
        <v>2</v>
      </c>
      <c r="H426" s="4">
        <v>3</v>
      </c>
      <c r="I426" s="4">
        <v>1</v>
      </c>
      <c r="J426" s="4">
        <v>6</v>
      </c>
      <c r="K426" s="102">
        <v>4</v>
      </c>
      <c r="M426" s="101">
        <f t="shared" si="113"/>
        <v>23</v>
      </c>
      <c r="N426" s="4">
        <f t="shared" si="114"/>
        <v>12</v>
      </c>
      <c r="O426" s="4">
        <f t="shared" si="115"/>
        <v>56</v>
      </c>
      <c r="P426" s="4">
        <f t="shared" si="116"/>
        <v>23</v>
      </c>
      <c r="Q426" s="4">
        <f t="shared" si="117"/>
        <v>34</v>
      </c>
      <c r="R426" s="4">
        <f t="shared" si="118"/>
        <v>45</v>
      </c>
      <c r="S426" s="102">
        <f t="shared" si="119"/>
        <v>12</v>
      </c>
      <c r="U426" s="101">
        <f t="shared" si="120"/>
        <v>39</v>
      </c>
      <c r="V426" s="4">
        <f t="shared" si="121"/>
        <v>9</v>
      </c>
      <c r="W426" s="4">
        <f t="shared" si="122"/>
        <v>78</v>
      </c>
      <c r="X426" s="4">
        <f t="shared" si="123"/>
        <v>39</v>
      </c>
      <c r="Y426" s="4">
        <f t="shared" si="124"/>
        <v>46</v>
      </c>
      <c r="Z426" s="4">
        <f t="shared" si="125"/>
        <v>71</v>
      </c>
      <c r="AA426" s="102">
        <f t="shared" si="126"/>
        <v>9</v>
      </c>
      <c r="AC426" s="100">
        <f t="shared" si="127"/>
        <v>0.97350500193089595</v>
      </c>
    </row>
    <row r="427" spans="4:29" x14ac:dyDescent="0.35">
      <c r="D427">
        <f t="shared" si="128"/>
        <v>423</v>
      </c>
      <c r="E427" s="101">
        <v>1</v>
      </c>
      <c r="F427" s="4">
        <v>3</v>
      </c>
      <c r="G427" s="4">
        <v>5</v>
      </c>
      <c r="H427" s="4">
        <v>1</v>
      </c>
      <c r="I427" s="4">
        <v>4</v>
      </c>
      <c r="J427" s="4">
        <v>6</v>
      </c>
      <c r="K427" s="102">
        <v>7</v>
      </c>
      <c r="M427" s="101">
        <f t="shared" si="113"/>
        <v>34</v>
      </c>
      <c r="N427" s="4">
        <f t="shared" si="114"/>
        <v>23</v>
      </c>
      <c r="O427" s="4">
        <f t="shared" si="115"/>
        <v>30</v>
      </c>
      <c r="P427" s="4">
        <f t="shared" si="116"/>
        <v>34</v>
      </c>
      <c r="Q427" s="4">
        <f t="shared" si="117"/>
        <v>12</v>
      </c>
      <c r="R427" s="4">
        <f t="shared" si="118"/>
        <v>45</v>
      </c>
      <c r="S427" s="102">
        <f t="shared" si="119"/>
        <v>29</v>
      </c>
      <c r="U427" s="101">
        <f t="shared" si="120"/>
        <v>46</v>
      </c>
      <c r="V427" s="4">
        <f t="shared" si="121"/>
        <v>39</v>
      </c>
      <c r="W427" s="4">
        <f t="shared" si="122"/>
        <v>39</v>
      </c>
      <c r="X427" s="4">
        <f t="shared" si="123"/>
        <v>46</v>
      </c>
      <c r="Y427" s="4">
        <f t="shared" si="124"/>
        <v>9</v>
      </c>
      <c r="Z427" s="4">
        <f t="shared" si="125"/>
        <v>71</v>
      </c>
      <c r="AA427" s="102">
        <f t="shared" si="126"/>
        <v>41</v>
      </c>
      <c r="AC427" s="100">
        <f t="shared" si="127"/>
        <v>0.96881205442947571</v>
      </c>
    </row>
    <row r="428" spans="4:29" x14ac:dyDescent="0.35">
      <c r="D428">
        <f t="shared" si="128"/>
        <v>424</v>
      </c>
      <c r="E428" s="101">
        <v>1</v>
      </c>
      <c r="F428" s="4">
        <v>4</v>
      </c>
      <c r="G428" s="4">
        <v>4</v>
      </c>
      <c r="H428" s="4">
        <v>5</v>
      </c>
      <c r="I428" s="4">
        <v>5</v>
      </c>
      <c r="J428" s="4">
        <v>6</v>
      </c>
      <c r="K428" s="102">
        <v>1</v>
      </c>
      <c r="M428" s="101">
        <f t="shared" si="113"/>
        <v>34</v>
      </c>
      <c r="N428" s="4">
        <f t="shared" si="114"/>
        <v>12</v>
      </c>
      <c r="O428" s="4">
        <f t="shared" si="115"/>
        <v>12</v>
      </c>
      <c r="P428" s="4">
        <f t="shared" si="116"/>
        <v>30</v>
      </c>
      <c r="Q428" s="4">
        <f t="shared" si="117"/>
        <v>30</v>
      </c>
      <c r="R428" s="4">
        <f t="shared" si="118"/>
        <v>45</v>
      </c>
      <c r="S428" s="102">
        <f t="shared" si="119"/>
        <v>34</v>
      </c>
      <c r="U428" s="101">
        <f t="shared" si="120"/>
        <v>46</v>
      </c>
      <c r="V428" s="4">
        <f t="shared" si="121"/>
        <v>9</v>
      </c>
      <c r="W428" s="4">
        <f t="shared" si="122"/>
        <v>9</v>
      </c>
      <c r="X428" s="4">
        <f t="shared" si="123"/>
        <v>39</v>
      </c>
      <c r="Y428" s="4">
        <f t="shared" si="124"/>
        <v>39</v>
      </c>
      <c r="Z428" s="4">
        <f t="shared" si="125"/>
        <v>71</v>
      </c>
      <c r="AA428" s="102">
        <f t="shared" si="126"/>
        <v>46</v>
      </c>
      <c r="AC428" s="100">
        <f t="shared" si="127"/>
        <v>0.99585273567543908</v>
      </c>
    </row>
    <row r="429" spans="4:29" x14ac:dyDescent="0.35">
      <c r="D429">
        <f t="shared" si="128"/>
        <v>425</v>
      </c>
      <c r="E429" s="101">
        <v>7</v>
      </c>
      <c r="F429" s="4">
        <v>4</v>
      </c>
      <c r="G429" s="4">
        <v>6</v>
      </c>
      <c r="H429" s="4">
        <v>4</v>
      </c>
      <c r="I429" s="4">
        <v>6</v>
      </c>
      <c r="J429" s="4">
        <v>3</v>
      </c>
      <c r="K429" s="102">
        <v>4</v>
      </c>
      <c r="M429" s="101">
        <f t="shared" si="113"/>
        <v>29</v>
      </c>
      <c r="N429" s="4">
        <f t="shared" si="114"/>
        <v>12</v>
      </c>
      <c r="O429" s="4">
        <f t="shared" si="115"/>
        <v>45</v>
      </c>
      <c r="P429" s="4">
        <f t="shared" si="116"/>
        <v>12</v>
      </c>
      <c r="Q429" s="4">
        <f t="shared" si="117"/>
        <v>45</v>
      </c>
      <c r="R429" s="4">
        <f t="shared" si="118"/>
        <v>23</v>
      </c>
      <c r="S429" s="102">
        <f t="shared" si="119"/>
        <v>12</v>
      </c>
      <c r="U429" s="101">
        <f t="shared" si="120"/>
        <v>41</v>
      </c>
      <c r="V429" s="4">
        <f t="shared" si="121"/>
        <v>9</v>
      </c>
      <c r="W429" s="4">
        <f t="shared" si="122"/>
        <v>71</v>
      </c>
      <c r="X429" s="4">
        <f t="shared" si="123"/>
        <v>9</v>
      </c>
      <c r="Y429" s="4">
        <f t="shared" si="124"/>
        <v>71</v>
      </c>
      <c r="Z429" s="4">
        <f t="shared" si="125"/>
        <v>39</v>
      </c>
      <c r="AA429" s="102">
        <f t="shared" si="126"/>
        <v>9</v>
      </c>
      <c r="AC429" s="100">
        <f t="shared" si="127"/>
        <v>0.99203114452458252</v>
      </c>
    </row>
    <row r="430" spans="4:29" x14ac:dyDescent="0.35">
      <c r="D430">
        <f t="shared" si="128"/>
        <v>426</v>
      </c>
      <c r="E430" s="101">
        <v>2</v>
      </c>
      <c r="F430" s="4">
        <v>3</v>
      </c>
      <c r="G430" s="4">
        <v>7</v>
      </c>
      <c r="H430" s="4">
        <v>6</v>
      </c>
      <c r="I430" s="4">
        <v>6</v>
      </c>
      <c r="J430" s="4">
        <v>5</v>
      </c>
      <c r="K430" s="102">
        <v>6</v>
      </c>
      <c r="M430" s="101">
        <f t="shared" si="113"/>
        <v>56</v>
      </c>
      <c r="N430" s="4">
        <f t="shared" si="114"/>
        <v>23</v>
      </c>
      <c r="O430" s="4">
        <f t="shared" si="115"/>
        <v>29</v>
      </c>
      <c r="P430" s="4">
        <f t="shared" si="116"/>
        <v>45</v>
      </c>
      <c r="Q430" s="4">
        <f t="shared" si="117"/>
        <v>45</v>
      </c>
      <c r="R430" s="4">
        <f t="shared" si="118"/>
        <v>30</v>
      </c>
      <c r="S430" s="102">
        <f t="shared" si="119"/>
        <v>45</v>
      </c>
      <c r="U430" s="101">
        <f t="shared" si="120"/>
        <v>78</v>
      </c>
      <c r="V430" s="4">
        <f t="shared" si="121"/>
        <v>39</v>
      </c>
      <c r="W430" s="4">
        <f t="shared" si="122"/>
        <v>41</v>
      </c>
      <c r="X430" s="4">
        <f t="shared" si="123"/>
        <v>71</v>
      </c>
      <c r="Y430" s="4">
        <f t="shared" si="124"/>
        <v>71</v>
      </c>
      <c r="Z430" s="4">
        <f t="shared" si="125"/>
        <v>39</v>
      </c>
      <c r="AA430" s="102">
        <f t="shared" si="126"/>
        <v>71</v>
      </c>
      <c r="AC430" s="100">
        <f t="shared" si="127"/>
        <v>0.96439580232969047</v>
      </c>
    </row>
    <row r="431" spans="4:29" x14ac:dyDescent="0.35">
      <c r="D431">
        <f t="shared" si="128"/>
        <v>427</v>
      </c>
      <c r="E431" s="101">
        <v>3</v>
      </c>
      <c r="F431" s="4">
        <v>7</v>
      </c>
      <c r="G431" s="4">
        <v>4</v>
      </c>
      <c r="H431" s="4">
        <v>7</v>
      </c>
      <c r="I431" s="4">
        <v>1</v>
      </c>
      <c r="J431" s="4">
        <v>3</v>
      </c>
      <c r="K431" s="102">
        <v>3</v>
      </c>
      <c r="M431" s="101">
        <f t="shared" si="113"/>
        <v>23</v>
      </c>
      <c r="N431" s="4">
        <f t="shared" si="114"/>
        <v>29</v>
      </c>
      <c r="O431" s="4">
        <f t="shared" si="115"/>
        <v>12</v>
      </c>
      <c r="P431" s="4">
        <f t="shared" si="116"/>
        <v>29</v>
      </c>
      <c r="Q431" s="4">
        <f t="shared" si="117"/>
        <v>34</v>
      </c>
      <c r="R431" s="4">
        <f t="shared" si="118"/>
        <v>23</v>
      </c>
      <c r="S431" s="102">
        <f t="shared" si="119"/>
        <v>23</v>
      </c>
      <c r="U431" s="101">
        <f t="shared" si="120"/>
        <v>39</v>
      </c>
      <c r="V431" s="4">
        <f t="shared" si="121"/>
        <v>41</v>
      </c>
      <c r="W431" s="4">
        <f t="shared" si="122"/>
        <v>9</v>
      </c>
      <c r="X431" s="4">
        <f t="shared" si="123"/>
        <v>41</v>
      </c>
      <c r="Y431" s="4">
        <f t="shared" si="124"/>
        <v>46</v>
      </c>
      <c r="Z431" s="4">
        <f t="shared" si="125"/>
        <v>39</v>
      </c>
      <c r="AA431" s="102">
        <f t="shared" si="126"/>
        <v>39</v>
      </c>
      <c r="AC431" s="100">
        <f t="shared" si="127"/>
        <v>0.89936993213419447</v>
      </c>
    </row>
    <row r="432" spans="4:29" x14ac:dyDescent="0.35">
      <c r="D432">
        <f t="shared" si="128"/>
        <v>428</v>
      </c>
      <c r="E432" s="101">
        <v>6</v>
      </c>
      <c r="F432" s="4">
        <v>3</v>
      </c>
      <c r="G432" s="4">
        <v>2</v>
      </c>
      <c r="H432" s="4">
        <v>3</v>
      </c>
      <c r="I432" s="4">
        <v>2</v>
      </c>
      <c r="J432" s="4">
        <v>2</v>
      </c>
      <c r="K432" s="102">
        <v>6</v>
      </c>
      <c r="M432" s="101">
        <f t="shared" si="113"/>
        <v>45</v>
      </c>
      <c r="N432" s="4">
        <f t="shared" si="114"/>
        <v>23</v>
      </c>
      <c r="O432" s="4">
        <f t="shared" si="115"/>
        <v>56</v>
      </c>
      <c r="P432" s="4">
        <f t="shared" si="116"/>
        <v>23</v>
      </c>
      <c r="Q432" s="4">
        <f t="shared" si="117"/>
        <v>56</v>
      </c>
      <c r="R432" s="4">
        <f t="shared" si="118"/>
        <v>56</v>
      </c>
      <c r="S432" s="102">
        <f t="shared" si="119"/>
        <v>45</v>
      </c>
      <c r="U432" s="101">
        <f t="shared" si="120"/>
        <v>71</v>
      </c>
      <c r="V432" s="4">
        <f t="shared" si="121"/>
        <v>39</v>
      </c>
      <c r="W432" s="4">
        <f t="shared" si="122"/>
        <v>78</v>
      </c>
      <c r="X432" s="4">
        <f t="shared" si="123"/>
        <v>39</v>
      </c>
      <c r="Y432" s="4">
        <f t="shared" si="124"/>
        <v>78</v>
      </c>
      <c r="Z432" s="4">
        <f t="shared" si="125"/>
        <v>78</v>
      </c>
      <c r="AA432" s="102">
        <f t="shared" si="126"/>
        <v>71</v>
      </c>
      <c r="AC432" s="100">
        <f t="shared" si="127"/>
        <v>0.98666361318869333</v>
      </c>
    </row>
    <row r="433" spans="4:29" x14ac:dyDescent="0.35">
      <c r="D433">
        <f t="shared" si="128"/>
        <v>429</v>
      </c>
      <c r="E433" s="101">
        <v>7</v>
      </c>
      <c r="F433" s="4">
        <v>3</v>
      </c>
      <c r="G433" s="4">
        <v>5</v>
      </c>
      <c r="H433" s="4">
        <v>5</v>
      </c>
      <c r="I433" s="4">
        <v>5</v>
      </c>
      <c r="J433" s="4">
        <v>1</v>
      </c>
      <c r="K433" s="102">
        <v>5</v>
      </c>
      <c r="M433" s="101">
        <f t="shared" si="113"/>
        <v>29</v>
      </c>
      <c r="N433" s="4">
        <f t="shared" si="114"/>
        <v>23</v>
      </c>
      <c r="O433" s="4">
        <f t="shared" si="115"/>
        <v>30</v>
      </c>
      <c r="P433" s="4">
        <f t="shared" si="116"/>
        <v>30</v>
      </c>
      <c r="Q433" s="4">
        <f t="shared" si="117"/>
        <v>30</v>
      </c>
      <c r="R433" s="4">
        <f t="shared" si="118"/>
        <v>34</v>
      </c>
      <c r="S433" s="102">
        <f t="shared" si="119"/>
        <v>30</v>
      </c>
      <c r="U433" s="101">
        <f t="shared" si="120"/>
        <v>41</v>
      </c>
      <c r="V433" s="4">
        <f t="shared" si="121"/>
        <v>39</v>
      </c>
      <c r="W433" s="4">
        <f t="shared" si="122"/>
        <v>39</v>
      </c>
      <c r="X433" s="4">
        <f t="shared" si="123"/>
        <v>39</v>
      </c>
      <c r="Y433" s="4">
        <f t="shared" si="124"/>
        <v>39</v>
      </c>
      <c r="Z433" s="4">
        <f t="shared" si="125"/>
        <v>46</v>
      </c>
      <c r="AA433" s="102">
        <f t="shared" si="126"/>
        <v>39</v>
      </c>
      <c r="AC433" s="100">
        <f t="shared" si="127"/>
        <v>0.60616389558935801</v>
      </c>
    </row>
    <row r="434" spans="4:29" x14ac:dyDescent="0.35">
      <c r="D434">
        <f t="shared" si="128"/>
        <v>430</v>
      </c>
      <c r="E434" s="101">
        <v>4</v>
      </c>
      <c r="F434" s="4">
        <v>2</v>
      </c>
      <c r="G434" s="4">
        <v>3</v>
      </c>
      <c r="H434" s="4">
        <v>5</v>
      </c>
      <c r="I434" s="4">
        <v>6</v>
      </c>
      <c r="J434" s="4">
        <v>3</v>
      </c>
      <c r="K434" s="102">
        <v>4</v>
      </c>
      <c r="M434" s="101">
        <f t="shared" si="113"/>
        <v>12</v>
      </c>
      <c r="N434" s="4">
        <f t="shared" si="114"/>
        <v>56</v>
      </c>
      <c r="O434" s="4">
        <f t="shared" si="115"/>
        <v>23</v>
      </c>
      <c r="P434" s="4">
        <f t="shared" si="116"/>
        <v>30</v>
      </c>
      <c r="Q434" s="4">
        <f t="shared" si="117"/>
        <v>45</v>
      </c>
      <c r="R434" s="4">
        <f t="shared" si="118"/>
        <v>23</v>
      </c>
      <c r="S434" s="102">
        <f t="shared" si="119"/>
        <v>12</v>
      </c>
      <c r="U434" s="101">
        <f t="shared" si="120"/>
        <v>9</v>
      </c>
      <c r="V434" s="4">
        <f t="shared" si="121"/>
        <v>78</v>
      </c>
      <c r="W434" s="4">
        <f t="shared" si="122"/>
        <v>39</v>
      </c>
      <c r="X434" s="4">
        <f t="shared" si="123"/>
        <v>39</v>
      </c>
      <c r="Y434" s="4">
        <f t="shared" si="124"/>
        <v>71</v>
      </c>
      <c r="Z434" s="4">
        <f t="shared" si="125"/>
        <v>39</v>
      </c>
      <c r="AA434" s="102">
        <f t="shared" si="126"/>
        <v>9</v>
      </c>
      <c r="AC434" s="100">
        <f t="shared" si="127"/>
        <v>0.97284390742836813</v>
      </c>
    </row>
    <row r="435" spans="4:29" x14ac:dyDescent="0.35">
      <c r="D435">
        <f t="shared" si="128"/>
        <v>431</v>
      </c>
      <c r="E435" s="101">
        <v>4</v>
      </c>
      <c r="F435" s="4">
        <v>6</v>
      </c>
      <c r="G435" s="4">
        <v>5</v>
      </c>
      <c r="H435" s="4">
        <v>4</v>
      </c>
      <c r="I435" s="4">
        <v>5</v>
      </c>
      <c r="J435" s="4">
        <v>4</v>
      </c>
      <c r="K435" s="102">
        <v>6</v>
      </c>
      <c r="M435" s="101">
        <f t="shared" si="113"/>
        <v>12</v>
      </c>
      <c r="N435" s="4">
        <f t="shared" si="114"/>
        <v>45</v>
      </c>
      <c r="O435" s="4">
        <f t="shared" si="115"/>
        <v>30</v>
      </c>
      <c r="P435" s="4">
        <f t="shared" si="116"/>
        <v>12</v>
      </c>
      <c r="Q435" s="4">
        <f t="shared" si="117"/>
        <v>30</v>
      </c>
      <c r="R435" s="4">
        <f t="shared" si="118"/>
        <v>12</v>
      </c>
      <c r="S435" s="102">
        <f t="shared" si="119"/>
        <v>45</v>
      </c>
      <c r="U435" s="101">
        <f t="shared" si="120"/>
        <v>9</v>
      </c>
      <c r="V435" s="4">
        <f t="shared" si="121"/>
        <v>71</v>
      </c>
      <c r="W435" s="4">
        <f t="shared" si="122"/>
        <v>39</v>
      </c>
      <c r="X435" s="4">
        <f t="shared" si="123"/>
        <v>9</v>
      </c>
      <c r="Y435" s="4">
        <f t="shared" si="124"/>
        <v>39</v>
      </c>
      <c r="Z435" s="4">
        <f t="shared" si="125"/>
        <v>9</v>
      </c>
      <c r="AA435" s="102">
        <f t="shared" si="126"/>
        <v>71</v>
      </c>
      <c r="AC435" s="100">
        <f t="shared" si="127"/>
        <v>0.99781389648778041</v>
      </c>
    </row>
    <row r="436" spans="4:29" x14ac:dyDescent="0.35">
      <c r="D436">
        <f t="shared" si="128"/>
        <v>432</v>
      </c>
      <c r="E436" s="101">
        <v>6</v>
      </c>
      <c r="F436" s="4">
        <v>5</v>
      </c>
      <c r="G436" s="4">
        <v>6</v>
      </c>
      <c r="H436" s="4">
        <v>7</v>
      </c>
      <c r="I436" s="4">
        <v>6</v>
      </c>
      <c r="J436" s="4">
        <v>5</v>
      </c>
      <c r="K436" s="102">
        <v>2</v>
      </c>
      <c r="M436" s="101">
        <f t="shared" si="113"/>
        <v>45</v>
      </c>
      <c r="N436" s="4">
        <f t="shared" si="114"/>
        <v>30</v>
      </c>
      <c r="O436" s="4">
        <f t="shared" si="115"/>
        <v>45</v>
      </c>
      <c r="P436" s="4">
        <f t="shared" si="116"/>
        <v>29</v>
      </c>
      <c r="Q436" s="4">
        <f t="shared" si="117"/>
        <v>45</v>
      </c>
      <c r="R436" s="4">
        <f t="shared" si="118"/>
        <v>30</v>
      </c>
      <c r="S436" s="102">
        <f t="shared" si="119"/>
        <v>56</v>
      </c>
      <c r="U436" s="101">
        <f t="shared" si="120"/>
        <v>71</v>
      </c>
      <c r="V436" s="4">
        <f t="shared" si="121"/>
        <v>39</v>
      </c>
      <c r="W436" s="4">
        <f t="shared" si="122"/>
        <v>71</v>
      </c>
      <c r="X436" s="4">
        <f t="shared" si="123"/>
        <v>41</v>
      </c>
      <c r="Y436" s="4">
        <f t="shared" si="124"/>
        <v>71</v>
      </c>
      <c r="Z436" s="4">
        <f t="shared" si="125"/>
        <v>39</v>
      </c>
      <c r="AA436" s="102">
        <f t="shared" si="126"/>
        <v>78</v>
      </c>
      <c r="AC436" s="100">
        <f t="shared" si="127"/>
        <v>0.96813984402967346</v>
      </c>
    </row>
    <row r="437" spans="4:29" x14ac:dyDescent="0.35">
      <c r="D437">
        <f t="shared" si="128"/>
        <v>433</v>
      </c>
      <c r="E437" s="101">
        <v>3</v>
      </c>
      <c r="F437" s="4">
        <v>5</v>
      </c>
      <c r="G437" s="4">
        <v>5</v>
      </c>
      <c r="H437" s="4">
        <v>1</v>
      </c>
      <c r="I437" s="4">
        <v>4</v>
      </c>
      <c r="J437" s="4">
        <v>5</v>
      </c>
      <c r="K437" s="102">
        <v>1</v>
      </c>
      <c r="M437" s="101">
        <f t="shared" si="113"/>
        <v>23</v>
      </c>
      <c r="N437" s="4">
        <f t="shared" si="114"/>
        <v>30</v>
      </c>
      <c r="O437" s="4">
        <f t="shared" si="115"/>
        <v>30</v>
      </c>
      <c r="P437" s="4">
        <f t="shared" si="116"/>
        <v>34</v>
      </c>
      <c r="Q437" s="4">
        <f t="shared" si="117"/>
        <v>12</v>
      </c>
      <c r="R437" s="4">
        <f t="shared" si="118"/>
        <v>30</v>
      </c>
      <c r="S437" s="102">
        <f t="shared" si="119"/>
        <v>34</v>
      </c>
      <c r="U437" s="101">
        <f t="shared" si="120"/>
        <v>39</v>
      </c>
      <c r="V437" s="4">
        <f t="shared" si="121"/>
        <v>39</v>
      </c>
      <c r="W437" s="4">
        <f t="shared" si="122"/>
        <v>39</v>
      </c>
      <c r="X437" s="4">
        <f t="shared" si="123"/>
        <v>46</v>
      </c>
      <c r="Y437" s="4">
        <f t="shared" si="124"/>
        <v>9</v>
      </c>
      <c r="Z437" s="4">
        <f t="shared" si="125"/>
        <v>39</v>
      </c>
      <c r="AA437" s="102">
        <f t="shared" si="126"/>
        <v>46</v>
      </c>
      <c r="AC437" s="100">
        <f t="shared" si="127"/>
        <v>0.94216697077416256</v>
      </c>
    </row>
    <row r="438" spans="4:29" x14ac:dyDescent="0.35">
      <c r="D438">
        <f t="shared" si="128"/>
        <v>434</v>
      </c>
      <c r="E438" s="101">
        <v>2</v>
      </c>
      <c r="F438" s="4">
        <v>3</v>
      </c>
      <c r="G438" s="4">
        <v>4</v>
      </c>
      <c r="H438" s="4">
        <v>2</v>
      </c>
      <c r="I438" s="4">
        <v>7</v>
      </c>
      <c r="J438" s="4">
        <v>1</v>
      </c>
      <c r="K438" s="102">
        <v>7</v>
      </c>
      <c r="M438" s="101">
        <f t="shared" si="113"/>
        <v>56</v>
      </c>
      <c r="N438" s="4">
        <f t="shared" si="114"/>
        <v>23</v>
      </c>
      <c r="O438" s="4">
        <f t="shared" si="115"/>
        <v>12</v>
      </c>
      <c r="P438" s="4">
        <f t="shared" si="116"/>
        <v>56</v>
      </c>
      <c r="Q438" s="4">
        <f t="shared" si="117"/>
        <v>29</v>
      </c>
      <c r="R438" s="4">
        <f t="shared" si="118"/>
        <v>34</v>
      </c>
      <c r="S438" s="102">
        <f t="shared" si="119"/>
        <v>29</v>
      </c>
      <c r="U438" s="101">
        <f t="shared" si="120"/>
        <v>78</v>
      </c>
      <c r="V438" s="4">
        <f t="shared" si="121"/>
        <v>39</v>
      </c>
      <c r="W438" s="4">
        <f t="shared" si="122"/>
        <v>9</v>
      </c>
      <c r="X438" s="4">
        <f t="shared" si="123"/>
        <v>78</v>
      </c>
      <c r="Y438" s="4">
        <f t="shared" si="124"/>
        <v>41</v>
      </c>
      <c r="Z438" s="4">
        <f t="shared" si="125"/>
        <v>46</v>
      </c>
      <c r="AA438" s="102">
        <f t="shared" si="126"/>
        <v>41</v>
      </c>
      <c r="AC438" s="100">
        <f t="shared" si="127"/>
        <v>0.98477794947726327</v>
      </c>
    </row>
    <row r="439" spans="4:29" x14ac:dyDescent="0.35">
      <c r="D439">
        <f t="shared" si="128"/>
        <v>435</v>
      </c>
      <c r="E439" s="101">
        <v>6</v>
      </c>
      <c r="F439" s="4">
        <v>7</v>
      </c>
      <c r="G439" s="4">
        <v>2</v>
      </c>
      <c r="H439" s="4">
        <v>2</v>
      </c>
      <c r="I439" s="4">
        <v>7</v>
      </c>
      <c r="J439" s="4">
        <v>2</v>
      </c>
      <c r="K439" s="102">
        <v>4</v>
      </c>
      <c r="M439" s="101">
        <f t="shared" si="113"/>
        <v>45</v>
      </c>
      <c r="N439" s="4">
        <f t="shared" si="114"/>
        <v>29</v>
      </c>
      <c r="O439" s="4">
        <f t="shared" si="115"/>
        <v>56</v>
      </c>
      <c r="P439" s="4">
        <f t="shared" si="116"/>
        <v>56</v>
      </c>
      <c r="Q439" s="4">
        <f t="shared" si="117"/>
        <v>29</v>
      </c>
      <c r="R439" s="4">
        <f t="shared" si="118"/>
        <v>56</v>
      </c>
      <c r="S439" s="102">
        <f t="shared" si="119"/>
        <v>12</v>
      </c>
      <c r="U439" s="101">
        <f t="shared" si="120"/>
        <v>71</v>
      </c>
      <c r="V439" s="4">
        <f t="shared" si="121"/>
        <v>41</v>
      </c>
      <c r="W439" s="4">
        <f t="shared" si="122"/>
        <v>78</v>
      </c>
      <c r="X439" s="4">
        <f t="shared" si="123"/>
        <v>78</v>
      </c>
      <c r="Y439" s="4">
        <f t="shared" si="124"/>
        <v>41</v>
      </c>
      <c r="Z439" s="4">
        <f t="shared" si="125"/>
        <v>78</v>
      </c>
      <c r="AA439" s="102">
        <f t="shared" si="126"/>
        <v>9</v>
      </c>
      <c r="AC439" s="100">
        <f t="shared" si="127"/>
        <v>0.98881433113386996</v>
      </c>
    </row>
    <row r="440" spans="4:29" x14ac:dyDescent="0.35">
      <c r="D440">
        <f t="shared" si="128"/>
        <v>436</v>
      </c>
      <c r="E440" s="101">
        <v>3</v>
      </c>
      <c r="F440" s="4">
        <v>3</v>
      </c>
      <c r="G440" s="4">
        <v>6</v>
      </c>
      <c r="H440" s="4">
        <v>5</v>
      </c>
      <c r="I440" s="4">
        <v>5</v>
      </c>
      <c r="J440" s="4">
        <v>7</v>
      </c>
      <c r="K440" s="102">
        <v>5</v>
      </c>
      <c r="M440" s="101">
        <f t="shared" si="113"/>
        <v>23</v>
      </c>
      <c r="N440" s="4">
        <f t="shared" si="114"/>
        <v>23</v>
      </c>
      <c r="O440" s="4">
        <f t="shared" si="115"/>
        <v>45</v>
      </c>
      <c r="P440" s="4">
        <f t="shared" si="116"/>
        <v>30</v>
      </c>
      <c r="Q440" s="4">
        <f t="shared" si="117"/>
        <v>30</v>
      </c>
      <c r="R440" s="4">
        <f t="shared" si="118"/>
        <v>29</v>
      </c>
      <c r="S440" s="102">
        <f t="shared" si="119"/>
        <v>30</v>
      </c>
      <c r="U440" s="101">
        <f t="shared" si="120"/>
        <v>39</v>
      </c>
      <c r="V440" s="4">
        <f t="shared" si="121"/>
        <v>39</v>
      </c>
      <c r="W440" s="4">
        <f t="shared" si="122"/>
        <v>71</v>
      </c>
      <c r="X440" s="4">
        <f t="shared" si="123"/>
        <v>39</v>
      </c>
      <c r="Y440" s="4">
        <f t="shared" si="124"/>
        <v>39</v>
      </c>
      <c r="Z440" s="4">
        <f t="shared" si="125"/>
        <v>41</v>
      </c>
      <c r="AA440" s="102">
        <f t="shared" si="126"/>
        <v>39</v>
      </c>
      <c r="AC440" s="100">
        <f t="shared" si="127"/>
        <v>0.90403645204753347</v>
      </c>
    </row>
    <row r="441" spans="4:29" x14ac:dyDescent="0.35">
      <c r="D441">
        <f t="shared" si="128"/>
        <v>437</v>
      </c>
      <c r="E441" s="101">
        <v>7</v>
      </c>
      <c r="F441" s="4">
        <v>6</v>
      </c>
      <c r="G441" s="4">
        <v>1</v>
      </c>
      <c r="H441" s="4">
        <v>5</v>
      </c>
      <c r="I441" s="4">
        <v>6</v>
      </c>
      <c r="J441" s="4">
        <v>6</v>
      </c>
      <c r="K441" s="102">
        <v>7</v>
      </c>
      <c r="M441" s="101">
        <f t="shared" si="113"/>
        <v>29</v>
      </c>
      <c r="N441" s="4">
        <f t="shared" si="114"/>
        <v>45</v>
      </c>
      <c r="O441" s="4">
        <f t="shared" si="115"/>
        <v>34</v>
      </c>
      <c r="P441" s="4">
        <f t="shared" si="116"/>
        <v>30</v>
      </c>
      <c r="Q441" s="4">
        <f t="shared" si="117"/>
        <v>45</v>
      </c>
      <c r="R441" s="4">
        <f t="shared" si="118"/>
        <v>45</v>
      </c>
      <c r="S441" s="102">
        <f t="shared" si="119"/>
        <v>29</v>
      </c>
      <c r="U441" s="101">
        <f t="shared" si="120"/>
        <v>41</v>
      </c>
      <c r="V441" s="4">
        <f t="shared" si="121"/>
        <v>71</v>
      </c>
      <c r="W441" s="4">
        <f t="shared" si="122"/>
        <v>46</v>
      </c>
      <c r="X441" s="4">
        <f t="shared" si="123"/>
        <v>39</v>
      </c>
      <c r="Y441" s="4">
        <f t="shared" si="124"/>
        <v>71</v>
      </c>
      <c r="Z441" s="4">
        <f t="shared" si="125"/>
        <v>71</v>
      </c>
      <c r="AA441" s="102">
        <f t="shared" si="126"/>
        <v>41</v>
      </c>
      <c r="AC441" s="100">
        <f t="shared" si="127"/>
        <v>0.99306949694381197</v>
      </c>
    </row>
    <row r="442" spans="4:29" x14ac:dyDescent="0.35">
      <c r="D442">
        <f t="shared" si="128"/>
        <v>438</v>
      </c>
      <c r="E442" s="101">
        <v>3</v>
      </c>
      <c r="F442" s="4">
        <v>7</v>
      </c>
      <c r="G442" s="4">
        <v>7</v>
      </c>
      <c r="H442" s="4">
        <v>1</v>
      </c>
      <c r="I442" s="4">
        <v>4</v>
      </c>
      <c r="J442" s="4">
        <v>4</v>
      </c>
      <c r="K442" s="102">
        <v>7</v>
      </c>
      <c r="M442" s="101">
        <f t="shared" si="113"/>
        <v>23</v>
      </c>
      <c r="N442" s="4">
        <f t="shared" si="114"/>
        <v>29</v>
      </c>
      <c r="O442" s="4">
        <f t="shared" si="115"/>
        <v>29</v>
      </c>
      <c r="P442" s="4">
        <f t="shared" si="116"/>
        <v>34</v>
      </c>
      <c r="Q442" s="4">
        <f t="shared" si="117"/>
        <v>12</v>
      </c>
      <c r="R442" s="4">
        <f t="shared" si="118"/>
        <v>12</v>
      </c>
      <c r="S442" s="102">
        <f t="shared" si="119"/>
        <v>29</v>
      </c>
      <c r="U442" s="101">
        <f t="shared" si="120"/>
        <v>39</v>
      </c>
      <c r="V442" s="4">
        <f t="shared" si="121"/>
        <v>41</v>
      </c>
      <c r="W442" s="4">
        <f t="shared" si="122"/>
        <v>41</v>
      </c>
      <c r="X442" s="4">
        <f t="shared" si="123"/>
        <v>46</v>
      </c>
      <c r="Y442" s="4">
        <f t="shared" si="124"/>
        <v>9</v>
      </c>
      <c r="Z442" s="4">
        <f t="shared" si="125"/>
        <v>9</v>
      </c>
      <c r="AA442" s="102">
        <f t="shared" si="126"/>
        <v>41</v>
      </c>
      <c r="AC442" s="100">
        <f t="shared" si="127"/>
        <v>0.96834562235667865</v>
      </c>
    </row>
    <row r="443" spans="4:29" x14ac:dyDescent="0.35">
      <c r="D443">
        <f t="shared" si="128"/>
        <v>439</v>
      </c>
      <c r="E443" s="101">
        <v>7</v>
      </c>
      <c r="F443" s="4">
        <v>7</v>
      </c>
      <c r="G443" s="4">
        <v>3</v>
      </c>
      <c r="H443" s="4">
        <v>7</v>
      </c>
      <c r="I443" s="4">
        <v>2</v>
      </c>
      <c r="J443" s="4">
        <v>4</v>
      </c>
      <c r="K443" s="102">
        <v>5</v>
      </c>
      <c r="M443" s="101">
        <f t="shared" si="113"/>
        <v>29</v>
      </c>
      <c r="N443" s="4">
        <f t="shared" si="114"/>
        <v>29</v>
      </c>
      <c r="O443" s="4">
        <f t="shared" si="115"/>
        <v>23</v>
      </c>
      <c r="P443" s="4">
        <f t="shared" si="116"/>
        <v>29</v>
      </c>
      <c r="Q443" s="4">
        <f t="shared" si="117"/>
        <v>56</v>
      </c>
      <c r="R443" s="4">
        <f t="shared" si="118"/>
        <v>12</v>
      </c>
      <c r="S443" s="102">
        <f t="shared" si="119"/>
        <v>30</v>
      </c>
      <c r="U443" s="101">
        <f t="shared" si="120"/>
        <v>41</v>
      </c>
      <c r="V443" s="4">
        <f t="shared" si="121"/>
        <v>41</v>
      </c>
      <c r="W443" s="4">
        <f t="shared" si="122"/>
        <v>39</v>
      </c>
      <c r="X443" s="4">
        <f t="shared" si="123"/>
        <v>41</v>
      </c>
      <c r="Y443" s="4">
        <f t="shared" si="124"/>
        <v>78</v>
      </c>
      <c r="Z443" s="4">
        <f t="shared" si="125"/>
        <v>9</v>
      </c>
      <c r="AA443" s="102">
        <f t="shared" si="126"/>
        <v>39</v>
      </c>
      <c r="AC443" s="100">
        <f t="shared" si="127"/>
        <v>0.97700911149102543</v>
      </c>
    </row>
    <row r="444" spans="4:29" x14ac:dyDescent="0.35">
      <c r="D444">
        <f t="shared" si="128"/>
        <v>440</v>
      </c>
      <c r="E444" s="101">
        <v>6</v>
      </c>
      <c r="F444" s="4">
        <v>5</v>
      </c>
      <c r="G444" s="4">
        <v>5</v>
      </c>
      <c r="H444" s="4">
        <v>4</v>
      </c>
      <c r="I444" s="4">
        <v>7</v>
      </c>
      <c r="J444" s="4">
        <v>4</v>
      </c>
      <c r="K444" s="102">
        <v>4</v>
      </c>
      <c r="M444" s="101">
        <f t="shared" si="113"/>
        <v>45</v>
      </c>
      <c r="N444" s="4">
        <f t="shared" si="114"/>
        <v>30</v>
      </c>
      <c r="O444" s="4">
        <f t="shared" si="115"/>
        <v>30</v>
      </c>
      <c r="P444" s="4">
        <f t="shared" si="116"/>
        <v>12</v>
      </c>
      <c r="Q444" s="4">
        <f t="shared" si="117"/>
        <v>29</v>
      </c>
      <c r="R444" s="4">
        <f t="shared" si="118"/>
        <v>12</v>
      </c>
      <c r="S444" s="102">
        <f t="shared" si="119"/>
        <v>12</v>
      </c>
      <c r="U444" s="101">
        <f t="shared" si="120"/>
        <v>71</v>
      </c>
      <c r="V444" s="4">
        <f t="shared" si="121"/>
        <v>39</v>
      </c>
      <c r="W444" s="4">
        <f t="shared" si="122"/>
        <v>39</v>
      </c>
      <c r="X444" s="4">
        <f t="shared" si="123"/>
        <v>9</v>
      </c>
      <c r="Y444" s="4">
        <f t="shared" si="124"/>
        <v>41</v>
      </c>
      <c r="Z444" s="4">
        <f t="shared" si="125"/>
        <v>9</v>
      </c>
      <c r="AA444" s="102">
        <f t="shared" si="126"/>
        <v>9</v>
      </c>
      <c r="AC444" s="100">
        <f t="shared" si="127"/>
        <v>0.99709589234305052</v>
      </c>
    </row>
    <row r="445" spans="4:29" x14ac:dyDescent="0.35">
      <c r="D445">
        <f t="shared" si="128"/>
        <v>441</v>
      </c>
      <c r="E445" s="101">
        <v>7</v>
      </c>
      <c r="F445" s="4">
        <v>4</v>
      </c>
      <c r="G445" s="4">
        <v>6</v>
      </c>
      <c r="H445" s="4">
        <v>2</v>
      </c>
      <c r="I445" s="4">
        <v>4</v>
      </c>
      <c r="J445" s="4">
        <v>5</v>
      </c>
      <c r="K445" s="102">
        <v>2</v>
      </c>
      <c r="M445" s="101">
        <f t="shared" si="113"/>
        <v>29</v>
      </c>
      <c r="N445" s="4">
        <f t="shared" si="114"/>
        <v>12</v>
      </c>
      <c r="O445" s="4">
        <f t="shared" si="115"/>
        <v>45</v>
      </c>
      <c r="P445" s="4">
        <f t="shared" si="116"/>
        <v>56</v>
      </c>
      <c r="Q445" s="4">
        <f t="shared" si="117"/>
        <v>12</v>
      </c>
      <c r="R445" s="4">
        <f t="shared" si="118"/>
        <v>30</v>
      </c>
      <c r="S445" s="102">
        <f t="shared" si="119"/>
        <v>56</v>
      </c>
      <c r="U445" s="101">
        <f t="shared" si="120"/>
        <v>41</v>
      </c>
      <c r="V445" s="4">
        <f t="shared" si="121"/>
        <v>9</v>
      </c>
      <c r="W445" s="4">
        <f t="shared" si="122"/>
        <v>71</v>
      </c>
      <c r="X445" s="4">
        <f t="shared" si="123"/>
        <v>78</v>
      </c>
      <c r="Y445" s="4">
        <f t="shared" si="124"/>
        <v>9</v>
      </c>
      <c r="Z445" s="4">
        <f t="shared" si="125"/>
        <v>39</v>
      </c>
      <c r="AA445" s="102">
        <f t="shared" si="126"/>
        <v>78</v>
      </c>
      <c r="AC445" s="100">
        <f t="shared" si="127"/>
        <v>0.99166347144710942</v>
      </c>
    </row>
    <row r="446" spans="4:29" x14ac:dyDescent="0.35">
      <c r="D446">
        <f t="shared" si="128"/>
        <v>442</v>
      </c>
      <c r="E446" s="101">
        <v>1</v>
      </c>
      <c r="F446" s="4">
        <v>7</v>
      </c>
      <c r="G446" s="4">
        <v>2</v>
      </c>
      <c r="H446" s="4">
        <v>7</v>
      </c>
      <c r="I446" s="4">
        <v>1</v>
      </c>
      <c r="J446" s="4">
        <v>7</v>
      </c>
      <c r="K446" s="102">
        <v>4</v>
      </c>
      <c r="M446" s="101">
        <f t="shared" si="113"/>
        <v>34</v>
      </c>
      <c r="N446" s="4">
        <f t="shared" si="114"/>
        <v>29</v>
      </c>
      <c r="O446" s="4">
        <f t="shared" si="115"/>
        <v>56</v>
      </c>
      <c r="P446" s="4">
        <f t="shared" si="116"/>
        <v>29</v>
      </c>
      <c r="Q446" s="4">
        <f t="shared" si="117"/>
        <v>34</v>
      </c>
      <c r="R446" s="4">
        <f t="shared" si="118"/>
        <v>29</v>
      </c>
      <c r="S446" s="102">
        <f t="shared" si="119"/>
        <v>12</v>
      </c>
      <c r="U446" s="101">
        <f t="shared" si="120"/>
        <v>46</v>
      </c>
      <c r="V446" s="4">
        <f t="shared" si="121"/>
        <v>41</v>
      </c>
      <c r="W446" s="4">
        <f t="shared" si="122"/>
        <v>78</v>
      </c>
      <c r="X446" s="4">
        <f t="shared" si="123"/>
        <v>41</v>
      </c>
      <c r="Y446" s="4">
        <f t="shared" si="124"/>
        <v>46</v>
      </c>
      <c r="Z446" s="4">
        <f t="shared" si="125"/>
        <v>41</v>
      </c>
      <c r="AA446" s="102">
        <f t="shared" si="126"/>
        <v>9</v>
      </c>
      <c r="AC446" s="100">
        <f t="shared" si="127"/>
        <v>0.99298135292123724</v>
      </c>
    </row>
    <row r="447" spans="4:29" x14ac:dyDescent="0.35">
      <c r="D447">
        <f t="shared" si="128"/>
        <v>443</v>
      </c>
      <c r="E447" s="101">
        <v>6</v>
      </c>
      <c r="F447" s="4">
        <v>2</v>
      </c>
      <c r="G447" s="4">
        <v>2</v>
      </c>
      <c r="H447" s="4">
        <v>7</v>
      </c>
      <c r="I447" s="4">
        <v>2</v>
      </c>
      <c r="J447" s="4">
        <v>5</v>
      </c>
      <c r="K447" s="102">
        <v>1</v>
      </c>
      <c r="M447" s="101">
        <f t="shared" si="113"/>
        <v>45</v>
      </c>
      <c r="N447" s="4">
        <f t="shared" si="114"/>
        <v>56</v>
      </c>
      <c r="O447" s="4">
        <f t="shared" si="115"/>
        <v>56</v>
      </c>
      <c r="P447" s="4">
        <f t="shared" si="116"/>
        <v>29</v>
      </c>
      <c r="Q447" s="4">
        <f t="shared" si="117"/>
        <v>56</v>
      </c>
      <c r="R447" s="4">
        <f t="shared" si="118"/>
        <v>30</v>
      </c>
      <c r="S447" s="102">
        <f t="shared" si="119"/>
        <v>34</v>
      </c>
      <c r="U447" s="101">
        <f t="shared" si="120"/>
        <v>71</v>
      </c>
      <c r="V447" s="4">
        <f t="shared" si="121"/>
        <v>78</v>
      </c>
      <c r="W447" s="4">
        <f t="shared" si="122"/>
        <v>78</v>
      </c>
      <c r="X447" s="4">
        <f t="shared" si="123"/>
        <v>41</v>
      </c>
      <c r="Y447" s="4">
        <f t="shared" si="124"/>
        <v>78</v>
      </c>
      <c r="Z447" s="4">
        <f t="shared" si="125"/>
        <v>39</v>
      </c>
      <c r="AA447" s="102">
        <f t="shared" si="126"/>
        <v>46</v>
      </c>
      <c r="AC447" s="100">
        <f t="shared" si="127"/>
        <v>0.982245529343305</v>
      </c>
    </row>
    <row r="448" spans="4:29" x14ac:dyDescent="0.35">
      <c r="D448">
        <f t="shared" si="128"/>
        <v>444</v>
      </c>
      <c r="E448" s="101">
        <v>2</v>
      </c>
      <c r="F448" s="4">
        <v>3</v>
      </c>
      <c r="G448" s="4">
        <v>3</v>
      </c>
      <c r="H448" s="4">
        <v>5</v>
      </c>
      <c r="I448" s="4">
        <v>5</v>
      </c>
      <c r="J448" s="4">
        <v>3</v>
      </c>
      <c r="K448" s="102">
        <v>7</v>
      </c>
      <c r="M448" s="101">
        <f t="shared" si="113"/>
        <v>56</v>
      </c>
      <c r="N448" s="4">
        <f t="shared" si="114"/>
        <v>23</v>
      </c>
      <c r="O448" s="4">
        <f t="shared" si="115"/>
        <v>23</v>
      </c>
      <c r="P448" s="4">
        <f t="shared" si="116"/>
        <v>30</v>
      </c>
      <c r="Q448" s="4">
        <f t="shared" si="117"/>
        <v>30</v>
      </c>
      <c r="R448" s="4">
        <f t="shared" si="118"/>
        <v>23</v>
      </c>
      <c r="S448" s="102">
        <f t="shared" si="119"/>
        <v>29</v>
      </c>
      <c r="U448" s="101">
        <f t="shared" si="120"/>
        <v>78</v>
      </c>
      <c r="V448" s="4">
        <f t="shared" si="121"/>
        <v>39</v>
      </c>
      <c r="W448" s="4">
        <f t="shared" si="122"/>
        <v>39</v>
      </c>
      <c r="X448" s="4">
        <f t="shared" si="123"/>
        <v>39</v>
      </c>
      <c r="Y448" s="4">
        <f t="shared" si="124"/>
        <v>39</v>
      </c>
      <c r="Z448" s="4">
        <f t="shared" si="125"/>
        <v>39</v>
      </c>
      <c r="AA448" s="102">
        <f t="shared" si="126"/>
        <v>41</v>
      </c>
      <c r="AC448" s="100">
        <f t="shared" si="127"/>
        <v>0.96209999890403919</v>
      </c>
    </row>
    <row r="449" spans="4:29" x14ac:dyDescent="0.35">
      <c r="D449">
        <f t="shared" si="128"/>
        <v>445</v>
      </c>
      <c r="E449" s="101">
        <v>4</v>
      </c>
      <c r="F449" s="4">
        <v>3</v>
      </c>
      <c r="G449" s="4">
        <v>7</v>
      </c>
      <c r="H449" s="4">
        <v>5</v>
      </c>
      <c r="I449" s="4">
        <v>5</v>
      </c>
      <c r="J449" s="4">
        <v>1</v>
      </c>
      <c r="K449" s="102">
        <v>6</v>
      </c>
      <c r="M449" s="101">
        <f t="shared" si="113"/>
        <v>12</v>
      </c>
      <c r="N449" s="4">
        <f t="shared" si="114"/>
        <v>23</v>
      </c>
      <c r="O449" s="4">
        <f t="shared" si="115"/>
        <v>29</v>
      </c>
      <c r="P449" s="4">
        <f t="shared" si="116"/>
        <v>30</v>
      </c>
      <c r="Q449" s="4">
        <f t="shared" si="117"/>
        <v>30</v>
      </c>
      <c r="R449" s="4">
        <f t="shared" si="118"/>
        <v>34</v>
      </c>
      <c r="S449" s="102">
        <f t="shared" si="119"/>
        <v>45</v>
      </c>
      <c r="U449" s="101">
        <f t="shared" si="120"/>
        <v>9</v>
      </c>
      <c r="V449" s="4">
        <f t="shared" si="121"/>
        <v>39</v>
      </c>
      <c r="W449" s="4">
        <f t="shared" si="122"/>
        <v>41</v>
      </c>
      <c r="X449" s="4">
        <f t="shared" si="123"/>
        <v>39</v>
      </c>
      <c r="Y449" s="4">
        <f t="shared" si="124"/>
        <v>39</v>
      </c>
      <c r="Z449" s="4">
        <f t="shared" si="125"/>
        <v>46</v>
      </c>
      <c r="AA449" s="102">
        <f t="shared" si="126"/>
        <v>71</v>
      </c>
      <c r="AC449" s="100">
        <f t="shared" si="127"/>
        <v>0.96833765089863988</v>
      </c>
    </row>
    <row r="450" spans="4:29" x14ac:dyDescent="0.35">
      <c r="D450">
        <f t="shared" si="128"/>
        <v>446</v>
      </c>
      <c r="E450" s="101">
        <v>4</v>
      </c>
      <c r="F450" s="4">
        <v>7</v>
      </c>
      <c r="G450" s="4">
        <v>4</v>
      </c>
      <c r="H450" s="4">
        <v>4</v>
      </c>
      <c r="I450" s="4">
        <v>7</v>
      </c>
      <c r="J450" s="4">
        <v>4</v>
      </c>
      <c r="K450" s="102">
        <v>1</v>
      </c>
      <c r="M450" s="101">
        <f t="shared" si="113"/>
        <v>12</v>
      </c>
      <c r="N450" s="4">
        <f t="shared" si="114"/>
        <v>29</v>
      </c>
      <c r="O450" s="4">
        <f t="shared" si="115"/>
        <v>12</v>
      </c>
      <c r="P450" s="4">
        <f t="shared" si="116"/>
        <v>12</v>
      </c>
      <c r="Q450" s="4">
        <f t="shared" si="117"/>
        <v>29</v>
      </c>
      <c r="R450" s="4">
        <f t="shared" si="118"/>
        <v>12</v>
      </c>
      <c r="S450" s="102">
        <f t="shared" si="119"/>
        <v>34</v>
      </c>
      <c r="U450" s="101">
        <f t="shared" si="120"/>
        <v>9</v>
      </c>
      <c r="V450" s="4">
        <f t="shared" si="121"/>
        <v>41</v>
      </c>
      <c r="W450" s="4">
        <f t="shared" si="122"/>
        <v>9</v>
      </c>
      <c r="X450" s="4">
        <f t="shared" si="123"/>
        <v>9</v>
      </c>
      <c r="Y450" s="4">
        <f t="shared" si="124"/>
        <v>41</v>
      </c>
      <c r="Z450" s="4">
        <f t="shared" si="125"/>
        <v>9</v>
      </c>
      <c r="AA450" s="102">
        <f t="shared" si="126"/>
        <v>46</v>
      </c>
      <c r="AC450" s="100">
        <f t="shared" si="127"/>
        <v>0.99732511829485859</v>
      </c>
    </row>
    <row r="451" spans="4:29" x14ac:dyDescent="0.35">
      <c r="D451">
        <f t="shared" si="128"/>
        <v>447</v>
      </c>
      <c r="E451" s="101">
        <v>5</v>
      </c>
      <c r="F451" s="4">
        <v>4</v>
      </c>
      <c r="G451" s="4">
        <v>4</v>
      </c>
      <c r="H451" s="4">
        <v>4</v>
      </c>
      <c r="I451" s="4">
        <v>1</v>
      </c>
      <c r="J451" s="4">
        <v>4</v>
      </c>
      <c r="K451" s="102">
        <v>1</v>
      </c>
      <c r="M451" s="101">
        <f t="shared" si="113"/>
        <v>30</v>
      </c>
      <c r="N451" s="4">
        <f t="shared" si="114"/>
        <v>12</v>
      </c>
      <c r="O451" s="4">
        <f t="shared" si="115"/>
        <v>12</v>
      </c>
      <c r="P451" s="4">
        <f t="shared" si="116"/>
        <v>12</v>
      </c>
      <c r="Q451" s="4">
        <f t="shared" si="117"/>
        <v>34</v>
      </c>
      <c r="R451" s="4">
        <f t="shared" si="118"/>
        <v>12</v>
      </c>
      <c r="S451" s="102">
        <f t="shared" si="119"/>
        <v>34</v>
      </c>
      <c r="U451" s="101">
        <f t="shared" si="120"/>
        <v>39</v>
      </c>
      <c r="V451" s="4">
        <f t="shared" si="121"/>
        <v>9</v>
      </c>
      <c r="W451" s="4">
        <f t="shared" si="122"/>
        <v>9</v>
      </c>
      <c r="X451" s="4">
        <f t="shared" si="123"/>
        <v>9</v>
      </c>
      <c r="Y451" s="4">
        <f t="shared" si="124"/>
        <v>46</v>
      </c>
      <c r="Z451" s="4">
        <f t="shared" si="125"/>
        <v>9</v>
      </c>
      <c r="AA451" s="102">
        <f t="shared" si="126"/>
        <v>46</v>
      </c>
      <c r="AC451" s="100">
        <f t="shared" si="127"/>
        <v>0.99998676809308318</v>
      </c>
    </row>
    <row r="452" spans="4:29" x14ac:dyDescent="0.35">
      <c r="D452">
        <f t="shared" si="128"/>
        <v>448</v>
      </c>
      <c r="E452" s="101">
        <v>7</v>
      </c>
      <c r="F452" s="4">
        <v>4</v>
      </c>
      <c r="G452" s="4">
        <v>5</v>
      </c>
      <c r="H452" s="4">
        <v>1</v>
      </c>
      <c r="I452" s="4">
        <v>4</v>
      </c>
      <c r="J452" s="4">
        <v>3</v>
      </c>
      <c r="K452" s="102">
        <v>2</v>
      </c>
      <c r="M452" s="101">
        <f t="shared" si="113"/>
        <v>29</v>
      </c>
      <c r="N452" s="4">
        <f t="shared" si="114"/>
        <v>12</v>
      </c>
      <c r="O452" s="4">
        <f t="shared" si="115"/>
        <v>30</v>
      </c>
      <c r="P452" s="4">
        <f t="shared" si="116"/>
        <v>34</v>
      </c>
      <c r="Q452" s="4">
        <f t="shared" si="117"/>
        <v>12</v>
      </c>
      <c r="R452" s="4">
        <f t="shared" si="118"/>
        <v>23</v>
      </c>
      <c r="S452" s="102">
        <f t="shared" si="119"/>
        <v>56</v>
      </c>
      <c r="U452" s="101">
        <f t="shared" si="120"/>
        <v>41</v>
      </c>
      <c r="V452" s="4">
        <f t="shared" si="121"/>
        <v>9</v>
      </c>
      <c r="W452" s="4">
        <f t="shared" si="122"/>
        <v>39</v>
      </c>
      <c r="X452" s="4">
        <f t="shared" si="123"/>
        <v>46</v>
      </c>
      <c r="Y452" s="4">
        <f t="shared" si="124"/>
        <v>9</v>
      </c>
      <c r="Z452" s="4">
        <f t="shared" si="125"/>
        <v>39</v>
      </c>
      <c r="AA452" s="102">
        <f t="shared" si="126"/>
        <v>78</v>
      </c>
      <c r="AC452" s="100">
        <f t="shared" si="127"/>
        <v>0.9807497236014463</v>
      </c>
    </row>
    <row r="453" spans="4:29" x14ac:dyDescent="0.35">
      <c r="D453">
        <f t="shared" si="128"/>
        <v>449</v>
      </c>
      <c r="E453" s="101">
        <v>7</v>
      </c>
      <c r="F453" s="4">
        <v>2</v>
      </c>
      <c r="G453" s="4">
        <v>3</v>
      </c>
      <c r="H453" s="4">
        <v>1</v>
      </c>
      <c r="I453" s="4">
        <v>3</v>
      </c>
      <c r="J453" s="4">
        <v>5</v>
      </c>
      <c r="K453" s="102">
        <v>3</v>
      </c>
      <c r="M453" s="101">
        <f t="shared" si="113"/>
        <v>29</v>
      </c>
      <c r="N453" s="4">
        <f t="shared" si="114"/>
        <v>56</v>
      </c>
      <c r="O453" s="4">
        <f t="shared" si="115"/>
        <v>23</v>
      </c>
      <c r="P453" s="4">
        <f t="shared" si="116"/>
        <v>34</v>
      </c>
      <c r="Q453" s="4">
        <f t="shared" si="117"/>
        <v>23</v>
      </c>
      <c r="R453" s="4">
        <f t="shared" si="118"/>
        <v>30</v>
      </c>
      <c r="S453" s="102">
        <f t="shared" si="119"/>
        <v>23</v>
      </c>
      <c r="U453" s="101">
        <f t="shared" si="120"/>
        <v>41</v>
      </c>
      <c r="V453" s="4">
        <f t="shared" si="121"/>
        <v>78</v>
      </c>
      <c r="W453" s="4">
        <f t="shared" si="122"/>
        <v>39</v>
      </c>
      <c r="X453" s="4">
        <f t="shared" si="123"/>
        <v>46</v>
      </c>
      <c r="Y453" s="4">
        <f t="shared" si="124"/>
        <v>39</v>
      </c>
      <c r="Z453" s="4">
        <f t="shared" si="125"/>
        <v>39</v>
      </c>
      <c r="AA453" s="102">
        <f t="shared" si="126"/>
        <v>39</v>
      </c>
      <c r="AC453" s="100">
        <f t="shared" si="127"/>
        <v>0.96867095100954792</v>
      </c>
    </row>
    <row r="454" spans="4:29" x14ac:dyDescent="0.35">
      <c r="D454">
        <f t="shared" si="128"/>
        <v>450</v>
      </c>
      <c r="E454" s="101">
        <v>5</v>
      </c>
      <c r="F454" s="4">
        <v>3</v>
      </c>
      <c r="G454" s="4">
        <v>4</v>
      </c>
      <c r="H454" s="4">
        <v>2</v>
      </c>
      <c r="I454" s="4">
        <v>2</v>
      </c>
      <c r="J454" s="4">
        <v>4</v>
      </c>
      <c r="K454" s="102">
        <v>4</v>
      </c>
      <c r="M454" s="101">
        <f t="shared" ref="M454:M517" si="129">INDEX($A$5:$A$11,E454)</f>
        <v>30</v>
      </c>
      <c r="N454" s="4">
        <f t="shared" ref="N454:N517" si="130">INDEX($A$5:$A$11,F454)</f>
        <v>23</v>
      </c>
      <c r="O454" s="4">
        <f t="shared" ref="O454:O517" si="131">INDEX($A$5:$A$11,G454)</f>
        <v>12</v>
      </c>
      <c r="P454" s="4">
        <f t="shared" ref="P454:P517" si="132">INDEX($A$5:$A$11,H454)</f>
        <v>56</v>
      </c>
      <c r="Q454" s="4">
        <f t="shared" ref="Q454:Q517" si="133">INDEX($A$5:$A$11,I454)</f>
        <v>56</v>
      </c>
      <c r="R454" s="4">
        <f t="shared" ref="R454:R517" si="134">INDEX($A$5:$A$11,J454)</f>
        <v>12</v>
      </c>
      <c r="S454" s="102">
        <f t="shared" ref="S454:S517" si="135">INDEX($A$5:$A$11,K454)</f>
        <v>12</v>
      </c>
      <c r="U454" s="101">
        <f t="shared" ref="U454:U517" si="136">INDEX($B$5:$B$11,E454)</f>
        <v>39</v>
      </c>
      <c r="V454" s="4">
        <f t="shared" ref="V454:V517" si="137">INDEX($B$5:$B$11,F454)</f>
        <v>39</v>
      </c>
      <c r="W454" s="4">
        <f t="shared" ref="W454:W517" si="138">INDEX($B$5:$B$11,G454)</f>
        <v>9</v>
      </c>
      <c r="X454" s="4">
        <f t="shared" ref="X454:X517" si="139">INDEX($B$5:$B$11,H454)</f>
        <v>78</v>
      </c>
      <c r="Y454" s="4">
        <f t="shared" ref="Y454:Y517" si="140">INDEX($B$5:$B$11,I454)</f>
        <v>78</v>
      </c>
      <c r="Z454" s="4">
        <f t="shared" ref="Z454:Z517" si="141">INDEX($B$5:$B$11,J454)</f>
        <v>9</v>
      </c>
      <c r="AA454" s="102">
        <f t="shared" ref="AA454:AA517" si="142">INDEX($B$5:$B$11,K454)</f>
        <v>9</v>
      </c>
      <c r="AC454" s="100">
        <f t="shared" ref="AC454:AC517" si="143">CORREL(M454:S454,U454:AA454)</f>
        <v>0.98826750523072149</v>
      </c>
    </row>
    <row r="455" spans="4:29" x14ac:dyDescent="0.35">
      <c r="D455">
        <f t="shared" ref="D455:D518" si="144">D454+1</f>
        <v>451</v>
      </c>
      <c r="E455" s="101">
        <v>4</v>
      </c>
      <c r="F455" s="4">
        <v>2</v>
      </c>
      <c r="G455" s="4">
        <v>5</v>
      </c>
      <c r="H455" s="4">
        <v>6</v>
      </c>
      <c r="I455" s="4">
        <v>3</v>
      </c>
      <c r="J455" s="4">
        <v>3</v>
      </c>
      <c r="K455" s="102">
        <v>4</v>
      </c>
      <c r="M455" s="101">
        <f t="shared" si="129"/>
        <v>12</v>
      </c>
      <c r="N455" s="4">
        <f t="shared" si="130"/>
        <v>56</v>
      </c>
      <c r="O455" s="4">
        <f t="shared" si="131"/>
        <v>30</v>
      </c>
      <c r="P455" s="4">
        <f t="shared" si="132"/>
        <v>45</v>
      </c>
      <c r="Q455" s="4">
        <f t="shared" si="133"/>
        <v>23</v>
      </c>
      <c r="R455" s="4">
        <f t="shared" si="134"/>
        <v>23</v>
      </c>
      <c r="S455" s="102">
        <f t="shared" si="135"/>
        <v>12</v>
      </c>
      <c r="U455" s="101">
        <f t="shared" si="136"/>
        <v>9</v>
      </c>
      <c r="V455" s="4">
        <f t="shared" si="137"/>
        <v>78</v>
      </c>
      <c r="W455" s="4">
        <f t="shared" si="138"/>
        <v>39</v>
      </c>
      <c r="X455" s="4">
        <f t="shared" si="139"/>
        <v>71</v>
      </c>
      <c r="Y455" s="4">
        <f t="shared" si="140"/>
        <v>39</v>
      </c>
      <c r="Z455" s="4">
        <f t="shared" si="141"/>
        <v>39</v>
      </c>
      <c r="AA455" s="102">
        <f t="shared" si="142"/>
        <v>9</v>
      </c>
      <c r="AC455" s="100">
        <f t="shared" si="143"/>
        <v>0.97284390742836802</v>
      </c>
    </row>
    <row r="456" spans="4:29" x14ac:dyDescent="0.35">
      <c r="D456">
        <f t="shared" si="144"/>
        <v>452</v>
      </c>
      <c r="E456" s="101">
        <v>5</v>
      </c>
      <c r="F456" s="4">
        <v>7</v>
      </c>
      <c r="G456" s="4">
        <v>7</v>
      </c>
      <c r="H456" s="4">
        <v>7</v>
      </c>
      <c r="I456" s="4">
        <v>3</v>
      </c>
      <c r="J456" s="4">
        <v>6</v>
      </c>
      <c r="K456" s="102">
        <v>7</v>
      </c>
      <c r="M456" s="101">
        <f t="shared" si="129"/>
        <v>30</v>
      </c>
      <c r="N456" s="4">
        <f t="shared" si="130"/>
        <v>29</v>
      </c>
      <c r="O456" s="4">
        <f t="shared" si="131"/>
        <v>29</v>
      </c>
      <c r="P456" s="4">
        <f t="shared" si="132"/>
        <v>29</v>
      </c>
      <c r="Q456" s="4">
        <f t="shared" si="133"/>
        <v>23</v>
      </c>
      <c r="R456" s="4">
        <f t="shared" si="134"/>
        <v>45</v>
      </c>
      <c r="S456" s="102">
        <f t="shared" si="135"/>
        <v>29</v>
      </c>
      <c r="U456" s="101">
        <f t="shared" si="136"/>
        <v>39</v>
      </c>
      <c r="V456" s="4">
        <f t="shared" si="137"/>
        <v>41</v>
      </c>
      <c r="W456" s="4">
        <f t="shared" si="138"/>
        <v>41</v>
      </c>
      <c r="X456" s="4">
        <f t="shared" si="139"/>
        <v>41</v>
      </c>
      <c r="Y456" s="4">
        <f t="shared" si="140"/>
        <v>39</v>
      </c>
      <c r="Z456" s="4">
        <f t="shared" si="141"/>
        <v>71</v>
      </c>
      <c r="AA456" s="102">
        <f t="shared" si="142"/>
        <v>41</v>
      </c>
      <c r="AC456" s="100">
        <f t="shared" si="143"/>
        <v>0.94957596823439872</v>
      </c>
    </row>
    <row r="457" spans="4:29" x14ac:dyDescent="0.35">
      <c r="D457">
        <f t="shared" si="144"/>
        <v>453</v>
      </c>
      <c r="E457" s="101">
        <v>5</v>
      </c>
      <c r="F457" s="4">
        <v>6</v>
      </c>
      <c r="G457" s="4">
        <v>4</v>
      </c>
      <c r="H457" s="4">
        <v>2</v>
      </c>
      <c r="I457" s="4">
        <v>4</v>
      </c>
      <c r="J457" s="4">
        <v>6</v>
      </c>
      <c r="K457" s="102">
        <v>1</v>
      </c>
      <c r="M457" s="101">
        <f t="shared" si="129"/>
        <v>30</v>
      </c>
      <c r="N457" s="4">
        <f t="shared" si="130"/>
        <v>45</v>
      </c>
      <c r="O457" s="4">
        <f t="shared" si="131"/>
        <v>12</v>
      </c>
      <c r="P457" s="4">
        <f t="shared" si="132"/>
        <v>56</v>
      </c>
      <c r="Q457" s="4">
        <f t="shared" si="133"/>
        <v>12</v>
      </c>
      <c r="R457" s="4">
        <f t="shared" si="134"/>
        <v>45</v>
      </c>
      <c r="S457" s="102">
        <f t="shared" si="135"/>
        <v>34</v>
      </c>
      <c r="U457" s="101">
        <f t="shared" si="136"/>
        <v>39</v>
      </c>
      <c r="V457" s="4">
        <f t="shared" si="137"/>
        <v>71</v>
      </c>
      <c r="W457" s="4">
        <f t="shared" si="138"/>
        <v>9</v>
      </c>
      <c r="X457" s="4">
        <f t="shared" si="139"/>
        <v>78</v>
      </c>
      <c r="Y457" s="4">
        <f t="shared" si="140"/>
        <v>9</v>
      </c>
      <c r="Z457" s="4">
        <f t="shared" si="141"/>
        <v>71</v>
      </c>
      <c r="AA457" s="102">
        <f t="shared" si="142"/>
        <v>46</v>
      </c>
      <c r="AC457" s="100">
        <f t="shared" si="143"/>
        <v>0.99005339402589887</v>
      </c>
    </row>
    <row r="458" spans="4:29" x14ac:dyDescent="0.35">
      <c r="D458">
        <f t="shared" si="144"/>
        <v>454</v>
      </c>
      <c r="E458" s="101">
        <v>4</v>
      </c>
      <c r="F458" s="4">
        <v>2</v>
      </c>
      <c r="G458" s="4">
        <v>6</v>
      </c>
      <c r="H458" s="4">
        <v>2</v>
      </c>
      <c r="I458" s="4">
        <v>2</v>
      </c>
      <c r="J458" s="4">
        <v>1</v>
      </c>
      <c r="K458" s="102">
        <v>6</v>
      </c>
      <c r="M458" s="101">
        <f t="shared" si="129"/>
        <v>12</v>
      </c>
      <c r="N458" s="4">
        <f t="shared" si="130"/>
        <v>56</v>
      </c>
      <c r="O458" s="4">
        <f t="shared" si="131"/>
        <v>45</v>
      </c>
      <c r="P458" s="4">
        <f t="shared" si="132"/>
        <v>56</v>
      </c>
      <c r="Q458" s="4">
        <f t="shared" si="133"/>
        <v>56</v>
      </c>
      <c r="R458" s="4">
        <f t="shared" si="134"/>
        <v>34</v>
      </c>
      <c r="S458" s="102">
        <f t="shared" si="135"/>
        <v>45</v>
      </c>
      <c r="U458" s="101">
        <f t="shared" si="136"/>
        <v>9</v>
      </c>
      <c r="V458" s="4">
        <f t="shared" si="137"/>
        <v>78</v>
      </c>
      <c r="W458" s="4">
        <f t="shared" si="138"/>
        <v>71</v>
      </c>
      <c r="X458" s="4">
        <f t="shared" si="139"/>
        <v>78</v>
      </c>
      <c r="Y458" s="4">
        <f t="shared" si="140"/>
        <v>78</v>
      </c>
      <c r="Z458" s="4">
        <f t="shared" si="141"/>
        <v>46</v>
      </c>
      <c r="AA458" s="102">
        <f t="shared" si="142"/>
        <v>71</v>
      </c>
      <c r="AC458" s="100">
        <f t="shared" si="143"/>
        <v>0.98221979579620489</v>
      </c>
    </row>
    <row r="459" spans="4:29" x14ac:dyDescent="0.35">
      <c r="D459">
        <f t="shared" si="144"/>
        <v>455</v>
      </c>
      <c r="E459" s="101">
        <v>7</v>
      </c>
      <c r="F459" s="4">
        <v>4</v>
      </c>
      <c r="G459" s="4">
        <v>2</v>
      </c>
      <c r="H459" s="4">
        <v>2</v>
      </c>
      <c r="I459" s="4">
        <v>6</v>
      </c>
      <c r="J459" s="4">
        <v>6</v>
      </c>
      <c r="K459" s="102">
        <v>7</v>
      </c>
      <c r="M459" s="101">
        <f t="shared" si="129"/>
        <v>29</v>
      </c>
      <c r="N459" s="4">
        <f t="shared" si="130"/>
        <v>12</v>
      </c>
      <c r="O459" s="4">
        <f t="shared" si="131"/>
        <v>56</v>
      </c>
      <c r="P459" s="4">
        <f t="shared" si="132"/>
        <v>56</v>
      </c>
      <c r="Q459" s="4">
        <f t="shared" si="133"/>
        <v>45</v>
      </c>
      <c r="R459" s="4">
        <f t="shared" si="134"/>
        <v>45</v>
      </c>
      <c r="S459" s="102">
        <f t="shared" si="135"/>
        <v>29</v>
      </c>
      <c r="U459" s="101">
        <f t="shared" si="136"/>
        <v>41</v>
      </c>
      <c r="V459" s="4">
        <f t="shared" si="137"/>
        <v>9</v>
      </c>
      <c r="W459" s="4">
        <f t="shared" si="138"/>
        <v>78</v>
      </c>
      <c r="X459" s="4">
        <f t="shared" si="139"/>
        <v>78</v>
      </c>
      <c r="Y459" s="4">
        <f t="shared" si="140"/>
        <v>71</v>
      </c>
      <c r="Z459" s="4">
        <f t="shared" si="141"/>
        <v>71</v>
      </c>
      <c r="AA459" s="102">
        <f t="shared" si="142"/>
        <v>41</v>
      </c>
      <c r="AC459" s="100">
        <f t="shared" si="143"/>
        <v>0.98417133608073326</v>
      </c>
    </row>
    <row r="460" spans="4:29" x14ac:dyDescent="0.35">
      <c r="D460">
        <f t="shared" si="144"/>
        <v>456</v>
      </c>
      <c r="E460" s="101">
        <v>1</v>
      </c>
      <c r="F460" s="4">
        <v>7</v>
      </c>
      <c r="G460" s="4">
        <v>3</v>
      </c>
      <c r="H460" s="4">
        <v>3</v>
      </c>
      <c r="I460" s="4">
        <v>4</v>
      </c>
      <c r="J460" s="4">
        <v>1</v>
      </c>
      <c r="K460" s="102">
        <v>6</v>
      </c>
      <c r="M460" s="101">
        <f t="shared" si="129"/>
        <v>34</v>
      </c>
      <c r="N460" s="4">
        <f t="shared" si="130"/>
        <v>29</v>
      </c>
      <c r="O460" s="4">
        <f t="shared" si="131"/>
        <v>23</v>
      </c>
      <c r="P460" s="4">
        <f t="shared" si="132"/>
        <v>23</v>
      </c>
      <c r="Q460" s="4">
        <f t="shared" si="133"/>
        <v>12</v>
      </c>
      <c r="R460" s="4">
        <f t="shared" si="134"/>
        <v>34</v>
      </c>
      <c r="S460" s="102">
        <f t="shared" si="135"/>
        <v>45</v>
      </c>
      <c r="U460" s="101">
        <f t="shared" si="136"/>
        <v>46</v>
      </c>
      <c r="V460" s="4">
        <f t="shared" si="137"/>
        <v>41</v>
      </c>
      <c r="W460" s="4">
        <f t="shared" si="138"/>
        <v>39</v>
      </c>
      <c r="X460" s="4">
        <f t="shared" si="139"/>
        <v>39</v>
      </c>
      <c r="Y460" s="4">
        <f t="shared" si="140"/>
        <v>9</v>
      </c>
      <c r="Z460" s="4">
        <f t="shared" si="141"/>
        <v>46</v>
      </c>
      <c r="AA460" s="102">
        <f t="shared" si="142"/>
        <v>71</v>
      </c>
      <c r="AC460" s="100">
        <f t="shared" si="143"/>
        <v>0.95793197502824601</v>
      </c>
    </row>
    <row r="461" spans="4:29" x14ac:dyDescent="0.35">
      <c r="D461">
        <f t="shared" si="144"/>
        <v>457</v>
      </c>
      <c r="E461" s="101">
        <v>6</v>
      </c>
      <c r="F461" s="4">
        <v>2</v>
      </c>
      <c r="G461" s="4">
        <v>6</v>
      </c>
      <c r="H461" s="4">
        <v>4</v>
      </c>
      <c r="I461" s="4">
        <v>7</v>
      </c>
      <c r="J461" s="4">
        <v>4</v>
      </c>
      <c r="K461" s="102">
        <v>7</v>
      </c>
      <c r="M461" s="101">
        <f t="shared" si="129"/>
        <v>45</v>
      </c>
      <c r="N461" s="4">
        <f t="shared" si="130"/>
        <v>56</v>
      </c>
      <c r="O461" s="4">
        <f t="shared" si="131"/>
        <v>45</v>
      </c>
      <c r="P461" s="4">
        <f t="shared" si="132"/>
        <v>12</v>
      </c>
      <c r="Q461" s="4">
        <f t="shared" si="133"/>
        <v>29</v>
      </c>
      <c r="R461" s="4">
        <f t="shared" si="134"/>
        <v>12</v>
      </c>
      <c r="S461" s="102">
        <f t="shared" si="135"/>
        <v>29</v>
      </c>
      <c r="U461" s="101">
        <f t="shared" si="136"/>
        <v>71</v>
      </c>
      <c r="V461" s="4">
        <f t="shared" si="137"/>
        <v>78</v>
      </c>
      <c r="W461" s="4">
        <f t="shared" si="138"/>
        <v>71</v>
      </c>
      <c r="X461" s="4">
        <f t="shared" si="139"/>
        <v>9</v>
      </c>
      <c r="Y461" s="4">
        <f t="shared" si="140"/>
        <v>41</v>
      </c>
      <c r="Z461" s="4">
        <f t="shared" si="141"/>
        <v>9</v>
      </c>
      <c r="AA461" s="102">
        <f t="shared" si="142"/>
        <v>41</v>
      </c>
      <c r="AC461" s="100">
        <f t="shared" si="143"/>
        <v>0.98995809408482383</v>
      </c>
    </row>
    <row r="462" spans="4:29" x14ac:dyDescent="0.35">
      <c r="D462">
        <f t="shared" si="144"/>
        <v>458</v>
      </c>
      <c r="E462" s="101">
        <v>6</v>
      </c>
      <c r="F462" s="4">
        <v>5</v>
      </c>
      <c r="G462" s="4">
        <v>2</v>
      </c>
      <c r="H462" s="4">
        <v>3</v>
      </c>
      <c r="I462" s="4">
        <v>6</v>
      </c>
      <c r="J462" s="4">
        <v>2</v>
      </c>
      <c r="K462" s="102">
        <v>3</v>
      </c>
      <c r="M462" s="101">
        <f t="shared" si="129"/>
        <v>45</v>
      </c>
      <c r="N462" s="4">
        <f t="shared" si="130"/>
        <v>30</v>
      </c>
      <c r="O462" s="4">
        <f t="shared" si="131"/>
        <v>56</v>
      </c>
      <c r="P462" s="4">
        <f t="shared" si="132"/>
        <v>23</v>
      </c>
      <c r="Q462" s="4">
        <f t="shared" si="133"/>
        <v>45</v>
      </c>
      <c r="R462" s="4">
        <f t="shared" si="134"/>
        <v>56</v>
      </c>
      <c r="S462" s="102">
        <f t="shared" si="135"/>
        <v>23</v>
      </c>
      <c r="U462" s="101">
        <f t="shared" si="136"/>
        <v>71</v>
      </c>
      <c r="V462" s="4">
        <f t="shared" si="137"/>
        <v>39</v>
      </c>
      <c r="W462" s="4">
        <f t="shared" si="138"/>
        <v>78</v>
      </c>
      <c r="X462" s="4">
        <f t="shared" si="139"/>
        <v>39</v>
      </c>
      <c r="Y462" s="4">
        <f t="shared" si="140"/>
        <v>71</v>
      </c>
      <c r="Z462" s="4">
        <f t="shared" si="141"/>
        <v>78</v>
      </c>
      <c r="AA462" s="102">
        <f t="shared" si="142"/>
        <v>39</v>
      </c>
      <c r="AC462" s="100">
        <f t="shared" si="143"/>
        <v>0.97205226356812846</v>
      </c>
    </row>
    <row r="463" spans="4:29" x14ac:dyDescent="0.35">
      <c r="D463">
        <f t="shared" si="144"/>
        <v>459</v>
      </c>
      <c r="E463" s="101">
        <v>4</v>
      </c>
      <c r="F463" s="4">
        <v>6</v>
      </c>
      <c r="G463" s="4">
        <v>1</v>
      </c>
      <c r="H463" s="4">
        <v>3</v>
      </c>
      <c r="I463" s="4">
        <v>5</v>
      </c>
      <c r="J463" s="4">
        <v>1</v>
      </c>
      <c r="K463" s="102">
        <v>4</v>
      </c>
      <c r="M463" s="101">
        <f t="shared" si="129"/>
        <v>12</v>
      </c>
      <c r="N463" s="4">
        <f t="shared" si="130"/>
        <v>45</v>
      </c>
      <c r="O463" s="4">
        <f t="shared" si="131"/>
        <v>34</v>
      </c>
      <c r="P463" s="4">
        <f t="shared" si="132"/>
        <v>23</v>
      </c>
      <c r="Q463" s="4">
        <f t="shared" si="133"/>
        <v>30</v>
      </c>
      <c r="R463" s="4">
        <f t="shared" si="134"/>
        <v>34</v>
      </c>
      <c r="S463" s="102">
        <f t="shared" si="135"/>
        <v>12</v>
      </c>
      <c r="U463" s="101">
        <f t="shared" si="136"/>
        <v>9</v>
      </c>
      <c r="V463" s="4">
        <f t="shared" si="137"/>
        <v>71</v>
      </c>
      <c r="W463" s="4">
        <f t="shared" si="138"/>
        <v>46</v>
      </c>
      <c r="X463" s="4">
        <f t="shared" si="139"/>
        <v>39</v>
      </c>
      <c r="Y463" s="4">
        <f t="shared" si="140"/>
        <v>39</v>
      </c>
      <c r="Z463" s="4">
        <f t="shared" si="141"/>
        <v>46</v>
      </c>
      <c r="AA463" s="102">
        <f t="shared" si="142"/>
        <v>9</v>
      </c>
      <c r="AC463" s="100">
        <f t="shared" si="143"/>
        <v>0.97823976808718838</v>
      </c>
    </row>
    <row r="464" spans="4:29" x14ac:dyDescent="0.35">
      <c r="D464">
        <f t="shared" si="144"/>
        <v>460</v>
      </c>
      <c r="E464" s="101">
        <v>3</v>
      </c>
      <c r="F464" s="4">
        <v>5</v>
      </c>
      <c r="G464" s="4">
        <v>1</v>
      </c>
      <c r="H464" s="4">
        <v>7</v>
      </c>
      <c r="I464" s="4">
        <v>5</v>
      </c>
      <c r="J464" s="4">
        <v>7</v>
      </c>
      <c r="K464" s="102">
        <v>5</v>
      </c>
      <c r="M464" s="101">
        <f t="shared" si="129"/>
        <v>23</v>
      </c>
      <c r="N464" s="4">
        <f t="shared" si="130"/>
        <v>30</v>
      </c>
      <c r="O464" s="4">
        <f t="shared" si="131"/>
        <v>34</v>
      </c>
      <c r="P464" s="4">
        <f t="shared" si="132"/>
        <v>29</v>
      </c>
      <c r="Q464" s="4">
        <f t="shared" si="133"/>
        <v>30</v>
      </c>
      <c r="R464" s="4">
        <f t="shared" si="134"/>
        <v>29</v>
      </c>
      <c r="S464" s="102">
        <f t="shared" si="135"/>
        <v>30</v>
      </c>
      <c r="U464" s="101">
        <f t="shared" si="136"/>
        <v>39</v>
      </c>
      <c r="V464" s="4">
        <f t="shared" si="137"/>
        <v>39</v>
      </c>
      <c r="W464" s="4">
        <f t="shared" si="138"/>
        <v>46</v>
      </c>
      <c r="X464" s="4">
        <f t="shared" si="139"/>
        <v>41</v>
      </c>
      <c r="Y464" s="4">
        <f t="shared" si="140"/>
        <v>39</v>
      </c>
      <c r="Z464" s="4">
        <f t="shared" si="141"/>
        <v>41</v>
      </c>
      <c r="AA464" s="102">
        <f t="shared" si="142"/>
        <v>39</v>
      </c>
      <c r="AC464" s="100">
        <f t="shared" si="143"/>
        <v>0.63473285677403946</v>
      </c>
    </row>
    <row r="465" spans="4:29" x14ac:dyDescent="0.35">
      <c r="D465">
        <f t="shared" si="144"/>
        <v>461</v>
      </c>
      <c r="E465" s="101">
        <v>2</v>
      </c>
      <c r="F465" s="4">
        <v>1</v>
      </c>
      <c r="G465" s="4">
        <v>2</v>
      </c>
      <c r="H465" s="4">
        <v>7</v>
      </c>
      <c r="I465" s="4">
        <v>3</v>
      </c>
      <c r="J465" s="4">
        <v>4</v>
      </c>
      <c r="K465" s="102">
        <v>6</v>
      </c>
      <c r="M465" s="101">
        <f t="shared" si="129"/>
        <v>56</v>
      </c>
      <c r="N465" s="4">
        <f t="shared" si="130"/>
        <v>34</v>
      </c>
      <c r="O465" s="4">
        <f t="shared" si="131"/>
        <v>56</v>
      </c>
      <c r="P465" s="4">
        <f t="shared" si="132"/>
        <v>29</v>
      </c>
      <c r="Q465" s="4">
        <f t="shared" si="133"/>
        <v>23</v>
      </c>
      <c r="R465" s="4">
        <f t="shared" si="134"/>
        <v>12</v>
      </c>
      <c r="S465" s="102">
        <f t="shared" si="135"/>
        <v>45</v>
      </c>
      <c r="U465" s="101">
        <f t="shared" si="136"/>
        <v>78</v>
      </c>
      <c r="V465" s="4">
        <f t="shared" si="137"/>
        <v>46</v>
      </c>
      <c r="W465" s="4">
        <f t="shared" si="138"/>
        <v>78</v>
      </c>
      <c r="X465" s="4">
        <f t="shared" si="139"/>
        <v>41</v>
      </c>
      <c r="Y465" s="4">
        <f t="shared" si="140"/>
        <v>39</v>
      </c>
      <c r="Z465" s="4">
        <f t="shared" si="141"/>
        <v>9</v>
      </c>
      <c r="AA465" s="102">
        <f t="shared" si="142"/>
        <v>71</v>
      </c>
      <c r="AC465" s="100">
        <f t="shared" si="143"/>
        <v>0.97965305071165631</v>
      </c>
    </row>
    <row r="466" spans="4:29" x14ac:dyDescent="0.35">
      <c r="D466">
        <f t="shared" si="144"/>
        <v>462</v>
      </c>
      <c r="E466" s="101">
        <v>7</v>
      </c>
      <c r="F466" s="4">
        <v>5</v>
      </c>
      <c r="G466" s="4">
        <v>1</v>
      </c>
      <c r="H466" s="4">
        <v>2</v>
      </c>
      <c r="I466" s="4">
        <v>7</v>
      </c>
      <c r="J466" s="4">
        <v>6</v>
      </c>
      <c r="K466" s="102">
        <v>1</v>
      </c>
      <c r="M466" s="101">
        <f t="shared" si="129"/>
        <v>29</v>
      </c>
      <c r="N466" s="4">
        <f t="shared" si="130"/>
        <v>30</v>
      </c>
      <c r="O466" s="4">
        <f t="shared" si="131"/>
        <v>34</v>
      </c>
      <c r="P466" s="4">
        <f t="shared" si="132"/>
        <v>56</v>
      </c>
      <c r="Q466" s="4">
        <f t="shared" si="133"/>
        <v>29</v>
      </c>
      <c r="R466" s="4">
        <f t="shared" si="134"/>
        <v>45</v>
      </c>
      <c r="S466" s="102">
        <f t="shared" si="135"/>
        <v>34</v>
      </c>
      <c r="U466" s="101">
        <f t="shared" si="136"/>
        <v>41</v>
      </c>
      <c r="V466" s="4">
        <f t="shared" si="137"/>
        <v>39</v>
      </c>
      <c r="W466" s="4">
        <f t="shared" si="138"/>
        <v>46</v>
      </c>
      <c r="X466" s="4">
        <f t="shared" si="139"/>
        <v>78</v>
      </c>
      <c r="Y466" s="4">
        <f t="shared" si="140"/>
        <v>41</v>
      </c>
      <c r="Z466" s="4">
        <f t="shared" si="141"/>
        <v>71</v>
      </c>
      <c r="AA466" s="102">
        <f t="shared" si="142"/>
        <v>46</v>
      </c>
      <c r="AC466" s="100">
        <f t="shared" si="143"/>
        <v>0.97761727585285596</v>
      </c>
    </row>
    <row r="467" spans="4:29" x14ac:dyDescent="0.35">
      <c r="D467">
        <f t="shared" si="144"/>
        <v>463</v>
      </c>
      <c r="E467" s="101">
        <v>1</v>
      </c>
      <c r="F467" s="4">
        <v>5</v>
      </c>
      <c r="G467" s="4">
        <v>3</v>
      </c>
      <c r="H467" s="4">
        <v>5</v>
      </c>
      <c r="I467" s="4">
        <v>2</v>
      </c>
      <c r="J467" s="4">
        <v>4</v>
      </c>
      <c r="K467" s="102">
        <v>1</v>
      </c>
      <c r="M467" s="101">
        <f t="shared" si="129"/>
        <v>34</v>
      </c>
      <c r="N467" s="4">
        <f t="shared" si="130"/>
        <v>30</v>
      </c>
      <c r="O467" s="4">
        <f t="shared" si="131"/>
        <v>23</v>
      </c>
      <c r="P467" s="4">
        <f t="shared" si="132"/>
        <v>30</v>
      </c>
      <c r="Q467" s="4">
        <f t="shared" si="133"/>
        <v>56</v>
      </c>
      <c r="R467" s="4">
        <f t="shared" si="134"/>
        <v>12</v>
      </c>
      <c r="S467" s="102">
        <f t="shared" si="135"/>
        <v>34</v>
      </c>
      <c r="U467" s="101">
        <f t="shared" si="136"/>
        <v>46</v>
      </c>
      <c r="V467" s="4">
        <f t="shared" si="137"/>
        <v>39</v>
      </c>
      <c r="W467" s="4">
        <f t="shared" si="138"/>
        <v>39</v>
      </c>
      <c r="X467" s="4">
        <f t="shared" si="139"/>
        <v>39</v>
      </c>
      <c r="Y467" s="4">
        <f t="shared" si="140"/>
        <v>78</v>
      </c>
      <c r="Z467" s="4">
        <f t="shared" si="141"/>
        <v>9</v>
      </c>
      <c r="AA467" s="102">
        <f t="shared" si="142"/>
        <v>46</v>
      </c>
      <c r="AC467" s="100">
        <f t="shared" si="143"/>
        <v>0.97768546135792933</v>
      </c>
    </row>
    <row r="468" spans="4:29" x14ac:dyDescent="0.35">
      <c r="D468">
        <f t="shared" si="144"/>
        <v>464</v>
      </c>
      <c r="E468" s="101">
        <v>2</v>
      </c>
      <c r="F468" s="4">
        <v>5</v>
      </c>
      <c r="G468" s="4">
        <v>5</v>
      </c>
      <c r="H468" s="4">
        <v>2</v>
      </c>
      <c r="I468" s="4">
        <v>5</v>
      </c>
      <c r="J468" s="4">
        <v>5</v>
      </c>
      <c r="K468" s="102">
        <v>3</v>
      </c>
      <c r="M468" s="101">
        <f t="shared" si="129"/>
        <v>56</v>
      </c>
      <c r="N468" s="4">
        <f t="shared" si="130"/>
        <v>30</v>
      </c>
      <c r="O468" s="4">
        <f t="shared" si="131"/>
        <v>30</v>
      </c>
      <c r="P468" s="4">
        <f t="shared" si="132"/>
        <v>56</v>
      </c>
      <c r="Q468" s="4">
        <f t="shared" si="133"/>
        <v>30</v>
      </c>
      <c r="R468" s="4">
        <f t="shared" si="134"/>
        <v>30</v>
      </c>
      <c r="S468" s="102">
        <f t="shared" si="135"/>
        <v>23</v>
      </c>
      <c r="U468" s="101">
        <f t="shared" si="136"/>
        <v>78</v>
      </c>
      <c r="V468" s="4">
        <f t="shared" si="137"/>
        <v>39</v>
      </c>
      <c r="W468" s="4">
        <f t="shared" si="138"/>
        <v>39</v>
      </c>
      <c r="X468" s="4">
        <f t="shared" si="139"/>
        <v>78</v>
      </c>
      <c r="Y468" s="4">
        <f t="shared" si="140"/>
        <v>39</v>
      </c>
      <c r="Z468" s="4">
        <f t="shared" si="141"/>
        <v>39</v>
      </c>
      <c r="AA468" s="102">
        <f t="shared" si="142"/>
        <v>39</v>
      </c>
      <c r="AC468" s="100">
        <f t="shared" si="143"/>
        <v>0.98221135282017624</v>
      </c>
    </row>
    <row r="469" spans="4:29" x14ac:dyDescent="0.35">
      <c r="D469">
        <f t="shared" si="144"/>
        <v>465</v>
      </c>
      <c r="E469" s="101">
        <v>7</v>
      </c>
      <c r="F469" s="4">
        <v>6</v>
      </c>
      <c r="G469" s="4">
        <v>3</v>
      </c>
      <c r="H469" s="4">
        <v>4</v>
      </c>
      <c r="I469" s="4">
        <v>7</v>
      </c>
      <c r="J469" s="4">
        <v>4</v>
      </c>
      <c r="K469" s="102">
        <v>4</v>
      </c>
      <c r="M469" s="101">
        <f t="shared" si="129"/>
        <v>29</v>
      </c>
      <c r="N469" s="4">
        <f t="shared" si="130"/>
        <v>45</v>
      </c>
      <c r="O469" s="4">
        <f t="shared" si="131"/>
        <v>23</v>
      </c>
      <c r="P469" s="4">
        <f t="shared" si="132"/>
        <v>12</v>
      </c>
      <c r="Q469" s="4">
        <f t="shared" si="133"/>
        <v>29</v>
      </c>
      <c r="R469" s="4">
        <f t="shared" si="134"/>
        <v>12</v>
      </c>
      <c r="S469" s="102">
        <f t="shared" si="135"/>
        <v>12</v>
      </c>
      <c r="U469" s="101">
        <f t="shared" si="136"/>
        <v>41</v>
      </c>
      <c r="V469" s="4">
        <f t="shared" si="137"/>
        <v>71</v>
      </c>
      <c r="W469" s="4">
        <f t="shared" si="138"/>
        <v>39</v>
      </c>
      <c r="X469" s="4">
        <f t="shared" si="139"/>
        <v>9</v>
      </c>
      <c r="Y469" s="4">
        <f t="shared" si="140"/>
        <v>41</v>
      </c>
      <c r="Z469" s="4">
        <f t="shared" si="141"/>
        <v>9</v>
      </c>
      <c r="AA469" s="102">
        <f t="shared" si="142"/>
        <v>9</v>
      </c>
      <c r="AC469" s="100">
        <f t="shared" si="143"/>
        <v>0.98872395969255622</v>
      </c>
    </row>
    <row r="470" spans="4:29" x14ac:dyDescent="0.35">
      <c r="D470">
        <f t="shared" si="144"/>
        <v>466</v>
      </c>
      <c r="E470" s="101">
        <v>4</v>
      </c>
      <c r="F470" s="4">
        <v>5</v>
      </c>
      <c r="G470" s="4">
        <v>7</v>
      </c>
      <c r="H470" s="4">
        <v>4</v>
      </c>
      <c r="I470" s="4">
        <v>6</v>
      </c>
      <c r="J470" s="4">
        <v>6</v>
      </c>
      <c r="K470" s="102">
        <v>5</v>
      </c>
      <c r="M470" s="101">
        <f t="shared" si="129"/>
        <v>12</v>
      </c>
      <c r="N470" s="4">
        <f t="shared" si="130"/>
        <v>30</v>
      </c>
      <c r="O470" s="4">
        <f t="shared" si="131"/>
        <v>29</v>
      </c>
      <c r="P470" s="4">
        <f t="shared" si="132"/>
        <v>12</v>
      </c>
      <c r="Q470" s="4">
        <f t="shared" si="133"/>
        <v>45</v>
      </c>
      <c r="R470" s="4">
        <f t="shared" si="134"/>
        <v>45</v>
      </c>
      <c r="S470" s="102">
        <f t="shared" si="135"/>
        <v>30</v>
      </c>
      <c r="U470" s="101">
        <f t="shared" si="136"/>
        <v>9</v>
      </c>
      <c r="V470" s="4">
        <f t="shared" si="137"/>
        <v>39</v>
      </c>
      <c r="W470" s="4">
        <f t="shared" si="138"/>
        <v>41</v>
      </c>
      <c r="X470" s="4">
        <f t="shared" si="139"/>
        <v>9</v>
      </c>
      <c r="Y470" s="4">
        <f t="shared" si="140"/>
        <v>71</v>
      </c>
      <c r="Z470" s="4">
        <f t="shared" si="141"/>
        <v>71</v>
      </c>
      <c r="AA470" s="102">
        <f t="shared" si="142"/>
        <v>39</v>
      </c>
      <c r="AC470" s="100">
        <f t="shared" si="143"/>
        <v>0.99727869895447596</v>
      </c>
    </row>
    <row r="471" spans="4:29" x14ac:dyDescent="0.35">
      <c r="D471">
        <f t="shared" si="144"/>
        <v>467</v>
      </c>
      <c r="E471" s="101">
        <v>3</v>
      </c>
      <c r="F471" s="4">
        <v>5</v>
      </c>
      <c r="G471" s="4">
        <v>7</v>
      </c>
      <c r="H471" s="4">
        <v>7</v>
      </c>
      <c r="I471" s="4">
        <v>5</v>
      </c>
      <c r="J471" s="4">
        <v>3</v>
      </c>
      <c r="K471" s="102">
        <v>4</v>
      </c>
      <c r="M471" s="101">
        <f t="shared" si="129"/>
        <v>23</v>
      </c>
      <c r="N471" s="4">
        <f t="shared" si="130"/>
        <v>30</v>
      </c>
      <c r="O471" s="4">
        <f t="shared" si="131"/>
        <v>29</v>
      </c>
      <c r="P471" s="4">
        <f t="shared" si="132"/>
        <v>29</v>
      </c>
      <c r="Q471" s="4">
        <f t="shared" si="133"/>
        <v>30</v>
      </c>
      <c r="R471" s="4">
        <f t="shared" si="134"/>
        <v>23</v>
      </c>
      <c r="S471" s="102">
        <f t="shared" si="135"/>
        <v>12</v>
      </c>
      <c r="U471" s="101">
        <f t="shared" si="136"/>
        <v>39</v>
      </c>
      <c r="V471" s="4">
        <f t="shared" si="137"/>
        <v>39</v>
      </c>
      <c r="W471" s="4">
        <f t="shared" si="138"/>
        <v>41</v>
      </c>
      <c r="X471" s="4">
        <f t="shared" si="139"/>
        <v>41</v>
      </c>
      <c r="Y471" s="4">
        <f t="shared" si="140"/>
        <v>39</v>
      </c>
      <c r="Z471" s="4">
        <f t="shared" si="141"/>
        <v>39</v>
      </c>
      <c r="AA471" s="102">
        <f t="shared" si="142"/>
        <v>9</v>
      </c>
      <c r="AC471" s="100">
        <f t="shared" si="143"/>
        <v>0.8939760468148491</v>
      </c>
    </row>
    <row r="472" spans="4:29" x14ac:dyDescent="0.35">
      <c r="D472">
        <f t="shared" si="144"/>
        <v>468</v>
      </c>
      <c r="E472" s="101">
        <v>3</v>
      </c>
      <c r="F472" s="4">
        <v>5</v>
      </c>
      <c r="G472" s="4">
        <v>2</v>
      </c>
      <c r="H472" s="4">
        <v>1</v>
      </c>
      <c r="I472" s="4">
        <v>4</v>
      </c>
      <c r="J472" s="4">
        <v>7</v>
      </c>
      <c r="K472" s="102">
        <v>3</v>
      </c>
      <c r="M472" s="101">
        <f t="shared" si="129"/>
        <v>23</v>
      </c>
      <c r="N472" s="4">
        <f t="shared" si="130"/>
        <v>30</v>
      </c>
      <c r="O472" s="4">
        <f t="shared" si="131"/>
        <v>56</v>
      </c>
      <c r="P472" s="4">
        <f t="shared" si="132"/>
        <v>34</v>
      </c>
      <c r="Q472" s="4">
        <f t="shared" si="133"/>
        <v>12</v>
      </c>
      <c r="R472" s="4">
        <f t="shared" si="134"/>
        <v>29</v>
      </c>
      <c r="S472" s="102">
        <f t="shared" si="135"/>
        <v>23</v>
      </c>
      <c r="U472" s="101">
        <f t="shared" si="136"/>
        <v>39</v>
      </c>
      <c r="V472" s="4">
        <f t="shared" si="137"/>
        <v>39</v>
      </c>
      <c r="W472" s="4">
        <f t="shared" si="138"/>
        <v>78</v>
      </c>
      <c r="X472" s="4">
        <f t="shared" si="139"/>
        <v>46</v>
      </c>
      <c r="Y472" s="4">
        <f t="shared" si="140"/>
        <v>9</v>
      </c>
      <c r="Z472" s="4">
        <f t="shared" si="141"/>
        <v>41</v>
      </c>
      <c r="AA472" s="102">
        <f t="shared" si="142"/>
        <v>39</v>
      </c>
      <c r="AC472" s="100">
        <f t="shared" si="143"/>
        <v>0.96557646180086354</v>
      </c>
    </row>
    <row r="473" spans="4:29" x14ac:dyDescent="0.35">
      <c r="D473">
        <f t="shared" si="144"/>
        <v>469</v>
      </c>
      <c r="E473" s="101">
        <v>1</v>
      </c>
      <c r="F473" s="4">
        <v>7</v>
      </c>
      <c r="G473" s="4">
        <v>6</v>
      </c>
      <c r="H473" s="4">
        <v>1</v>
      </c>
      <c r="I473" s="4">
        <v>3</v>
      </c>
      <c r="J473" s="4">
        <v>4</v>
      </c>
      <c r="K473" s="102">
        <v>3</v>
      </c>
      <c r="M473" s="101">
        <f t="shared" si="129"/>
        <v>34</v>
      </c>
      <c r="N473" s="4">
        <f t="shared" si="130"/>
        <v>29</v>
      </c>
      <c r="O473" s="4">
        <f t="shared" si="131"/>
        <v>45</v>
      </c>
      <c r="P473" s="4">
        <f t="shared" si="132"/>
        <v>34</v>
      </c>
      <c r="Q473" s="4">
        <f t="shared" si="133"/>
        <v>23</v>
      </c>
      <c r="R473" s="4">
        <f t="shared" si="134"/>
        <v>12</v>
      </c>
      <c r="S473" s="102">
        <f t="shared" si="135"/>
        <v>23</v>
      </c>
      <c r="U473" s="101">
        <f t="shared" si="136"/>
        <v>46</v>
      </c>
      <c r="V473" s="4">
        <f t="shared" si="137"/>
        <v>41</v>
      </c>
      <c r="W473" s="4">
        <f t="shared" si="138"/>
        <v>71</v>
      </c>
      <c r="X473" s="4">
        <f t="shared" si="139"/>
        <v>46</v>
      </c>
      <c r="Y473" s="4">
        <f t="shared" si="140"/>
        <v>39</v>
      </c>
      <c r="Z473" s="4">
        <f t="shared" si="141"/>
        <v>9</v>
      </c>
      <c r="AA473" s="102">
        <f t="shared" si="142"/>
        <v>39</v>
      </c>
      <c r="AC473" s="100">
        <f t="shared" si="143"/>
        <v>0.95793197502824601</v>
      </c>
    </row>
    <row r="474" spans="4:29" x14ac:dyDescent="0.35">
      <c r="D474">
        <f t="shared" si="144"/>
        <v>470</v>
      </c>
      <c r="E474" s="101">
        <v>4</v>
      </c>
      <c r="F474" s="4">
        <v>6</v>
      </c>
      <c r="G474" s="4">
        <v>7</v>
      </c>
      <c r="H474" s="4">
        <v>5</v>
      </c>
      <c r="I474" s="4">
        <v>2</v>
      </c>
      <c r="J474" s="4">
        <v>2</v>
      </c>
      <c r="K474" s="102">
        <v>2</v>
      </c>
      <c r="M474" s="101">
        <f t="shared" si="129"/>
        <v>12</v>
      </c>
      <c r="N474" s="4">
        <f t="shared" si="130"/>
        <v>45</v>
      </c>
      <c r="O474" s="4">
        <f t="shared" si="131"/>
        <v>29</v>
      </c>
      <c r="P474" s="4">
        <f t="shared" si="132"/>
        <v>30</v>
      </c>
      <c r="Q474" s="4">
        <f t="shared" si="133"/>
        <v>56</v>
      </c>
      <c r="R474" s="4">
        <f t="shared" si="134"/>
        <v>56</v>
      </c>
      <c r="S474" s="102">
        <f t="shared" si="135"/>
        <v>56</v>
      </c>
      <c r="U474" s="101">
        <f t="shared" si="136"/>
        <v>9</v>
      </c>
      <c r="V474" s="4">
        <f t="shared" si="137"/>
        <v>71</v>
      </c>
      <c r="W474" s="4">
        <f t="shared" si="138"/>
        <v>41</v>
      </c>
      <c r="X474" s="4">
        <f t="shared" si="139"/>
        <v>39</v>
      </c>
      <c r="Y474" s="4">
        <f t="shared" si="140"/>
        <v>78</v>
      </c>
      <c r="Z474" s="4">
        <f t="shared" si="141"/>
        <v>78</v>
      </c>
      <c r="AA474" s="102">
        <f t="shared" si="142"/>
        <v>78</v>
      </c>
      <c r="AC474" s="100">
        <f t="shared" si="143"/>
        <v>0.98937726106300583</v>
      </c>
    </row>
    <row r="475" spans="4:29" x14ac:dyDescent="0.35">
      <c r="D475">
        <f t="shared" si="144"/>
        <v>471</v>
      </c>
      <c r="E475" s="101">
        <v>7</v>
      </c>
      <c r="F475" s="4">
        <v>6</v>
      </c>
      <c r="G475" s="4">
        <v>4</v>
      </c>
      <c r="H475" s="4">
        <v>1</v>
      </c>
      <c r="I475" s="4">
        <v>5</v>
      </c>
      <c r="J475" s="4">
        <v>5</v>
      </c>
      <c r="K475" s="102">
        <v>6</v>
      </c>
      <c r="M475" s="101">
        <f t="shared" si="129"/>
        <v>29</v>
      </c>
      <c r="N475" s="4">
        <f t="shared" si="130"/>
        <v>45</v>
      </c>
      <c r="O475" s="4">
        <f t="shared" si="131"/>
        <v>12</v>
      </c>
      <c r="P475" s="4">
        <f t="shared" si="132"/>
        <v>34</v>
      </c>
      <c r="Q475" s="4">
        <f t="shared" si="133"/>
        <v>30</v>
      </c>
      <c r="R475" s="4">
        <f t="shared" si="134"/>
        <v>30</v>
      </c>
      <c r="S475" s="102">
        <f t="shared" si="135"/>
        <v>45</v>
      </c>
      <c r="U475" s="101">
        <f t="shared" si="136"/>
        <v>41</v>
      </c>
      <c r="V475" s="4">
        <f t="shared" si="137"/>
        <v>71</v>
      </c>
      <c r="W475" s="4">
        <f t="shared" si="138"/>
        <v>9</v>
      </c>
      <c r="X475" s="4">
        <f t="shared" si="139"/>
        <v>46</v>
      </c>
      <c r="Y475" s="4">
        <f t="shared" si="140"/>
        <v>39</v>
      </c>
      <c r="Z475" s="4">
        <f t="shared" si="141"/>
        <v>39</v>
      </c>
      <c r="AA475" s="102">
        <f t="shared" si="142"/>
        <v>71</v>
      </c>
      <c r="AC475" s="100">
        <f t="shared" si="143"/>
        <v>0.9949466784711396</v>
      </c>
    </row>
    <row r="476" spans="4:29" x14ac:dyDescent="0.35">
      <c r="D476">
        <f t="shared" si="144"/>
        <v>472</v>
      </c>
      <c r="E476" s="101">
        <v>3</v>
      </c>
      <c r="F476" s="4">
        <v>1</v>
      </c>
      <c r="G476" s="4">
        <v>6</v>
      </c>
      <c r="H476" s="4">
        <v>5</v>
      </c>
      <c r="I476" s="4">
        <v>1</v>
      </c>
      <c r="J476" s="4">
        <v>4</v>
      </c>
      <c r="K476" s="102">
        <v>2</v>
      </c>
      <c r="M476" s="101">
        <f t="shared" si="129"/>
        <v>23</v>
      </c>
      <c r="N476" s="4">
        <f t="shared" si="130"/>
        <v>34</v>
      </c>
      <c r="O476" s="4">
        <f t="shared" si="131"/>
        <v>45</v>
      </c>
      <c r="P476" s="4">
        <f t="shared" si="132"/>
        <v>30</v>
      </c>
      <c r="Q476" s="4">
        <f t="shared" si="133"/>
        <v>34</v>
      </c>
      <c r="R476" s="4">
        <f t="shared" si="134"/>
        <v>12</v>
      </c>
      <c r="S476" s="102">
        <f t="shared" si="135"/>
        <v>56</v>
      </c>
      <c r="U476" s="101">
        <f t="shared" si="136"/>
        <v>39</v>
      </c>
      <c r="V476" s="4">
        <f t="shared" si="137"/>
        <v>46</v>
      </c>
      <c r="W476" s="4">
        <f t="shared" si="138"/>
        <v>71</v>
      </c>
      <c r="X476" s="4">
        <f t="shared" si="139"/>
        <v>39</v>
      </c>
      <c r="Y476" s="4">
        <f t="shared" si="140"/>
        <v>46</v>
      </c>
      <c r="Z476" s="4">
        <f t="shared" si="141"/>
        <v>9</v>
      </c>
      <c r="AA476" s="102">
        <f t="shared" si="142"/>
        <v>78</v>
      </c>
      <c r="AC476" s="100">
        <f t="shared" si="143"/>
        <v>0.97454066662669303</v>
      </c>
    </row>
    <row r="477" spans="4:29" x14ac:dyDescent="0.35">
      <c r="D477">
        <f t="shared" si="144"/>
        <v>473</v>
      </c>
      <c r="E477" s="101">
        <v>7</v>
      </c>
      <c r="F477" s="4">
        <v>3</v>
      </c>
      <c r="G477" s="4">
        <v>6</v>
      </c>
      <c r="H477" s="4">
        <v>3</v>
      </c>
      <c r="I477" s="4">
        <v>5</v>
      </c>
      <c r="J477" s="4">
        <v>3</v>
      </c>
      <c r="K477" s="102">
        <v>4</v>
      </c>
      <c r="M477" s="101">
        <f t="shared" si="129"/>
        <v>29</v>
      </c>
      <c r="N477" s="4">
        <f t="shared" si="130"/>
        <v>23</v>
      </c>
      <c r="O477" s="4">
        <f t="shared" si="131"/>
        <v>45</v>
      </c>
      <c r="P477" s="4">
        <f t="shared" si="132"/>
        <v>23</v>
      </c>
      <c r="Q477" s="4">
        <f t="shared" si="133"/>
        <v>30</v>
      </c>
      <c r="R477" s="4">
        <f t="shared" si="134"/>
        <v>23</v>
      </c>
      <c r="S477" s="102">
        <f t="shared" si="135"/>
        <v>12</v>
      </c>
      <c r="U477" s="101">
        <f t="shared" si="136"/>
        <v>41</v>
      </c>
      <c r="V477" s="4">
        <f t="shared" si="137"/>
        <v>39</v>
      </c>
      <c r="W477" s="4">
        <f t="shared" si="138"/>
        <v>71</v>
      </c>
      <c r="X477" s="4">
        <f t="shared" si="139"/>
        <v>39</v>
      </c>
      <c r="Y477" s="4">
        <f t="shared" si="140"/>
        <v>39</v>
      </c>
      <c r="Z477" s="4">
        <f t="shared" si="141"/>
        <v>39</v>
      </c>
      <c r="AA477" s="102">
        <f t="shared" si="142"/>
        <v>9</v>
      </c>
      <c r="AC477" s="100">
        <f t="shared" si="143"/>
        <v>0.95423264134951469</v>
      </c>
    </row>
    <row r="478" spans="4:29" x14ac:dyDescent="0.35">
      <c r="D478">
        <f t="shared" si="144"/>
        <v>474</v>
      </c>
      <c r="E478" s="101">
        <v>1</v>
      </c>
      <c r="F478" s="4">
        <v>7</v>
      </c>
      <c r="G478" s="4">
        <v>1</v>
      </c>
      <c r="H478" s="4">
        <v>2</v>
      </c>
      <c r="I478" s="4">
        <v>3</v>
      </c>
      <c r="J478" s="4">
        <v>2</v>
      </c>
      <c r="K478" s="102">
        <v>3</v>
      </c>
      <c r="M478" s="101">
        <f t="shared" si="129"/>
        <v>34</v>
      </c>
      <c r="N478" s="4">
        <f t="shared" si="130"/>
        <v>29</v>
      </c>
      <c r="O478" s="4">
        <f t="shared" si="131"/>
        <v>34</v>
      </c>
      <c r="P478" s="4">
        <f t="shared" si="132"/>
        <v>56</v>
      </c>
      <c r="Q478" s="4">
        <f t="shared" si="133"/>
        <v>23</v>
      </c>
      <c r="R478" s="4">
        <f t="shared" si="134"/>
        <v>56</v>
      </c>
      <c r="S478" s="102">
        <f t="shared" si="135"/>
        <v>23</v>
      </c>
      <c r="U478" s="101">
        <f t="shared" si="136"/>
        <v>46</v>
      </c>
      <c r="V478" s="4">
        <f t="shared" si="137"/>
        <v>41</v>
      </c>
      <c r="W478" s="4">
        <f t="shared" si="138"/>
        <v>46</v>
      </c>
      <c r="X478" s="4">
        <f t="shared" si="139"/>
        <v>78</v>
      </c>
      <c r="Y478" s="4">
        <f t="shared" si="140"/>
        <v>39</v>
      </c>
      <c r="Z478" s="4">
        <f t="shared" si="141"/>
        <v>78</v>
      </c>
      <c r="AA478" s="102">
        <f t="shared" si="142"/>
        <v>39</v>
      </c>
      <c r="AC478" s="100">
        <f t="shared" si="143"/>
        <v>0.98596939675534956</v>
      </c>
    </row>
    <row r="479" spans="4:29" x14ac:dyDescent="0.35">
      <c r="D479">
        <f t="shared" si="144"/>
        <v>475</v>
      </c>
      <c r="E479" s="101">
        <v>3</v>
      </c>
      <c r="F479" s="4">
        <v>7</v>
      </c>
      <c r="G479" s="4">
        <v>4</v>
      </c>
      <c r="H479" s="4">
        <v>1</v>
      </c>
      <c r="I479" s="4">
        <v>1</v>
      </c>
      <c r="J479" s="4">
        <v>2</v>
      </c>
      <c r="K479" s="102">
        <v>2</v>
      </c>
      <c r="M479" s="101">
        <f t="shared" si="129"/>
        <v>23</v>
      </c>
      <c r="N479" s="4">
        <f t="shared" si="130"/>
        <v>29</v>
      </c>
      <c r="O479" s="4">
        <f t="shared" si="131"/>
        <v>12</v>
      </c>
      <c r="P479" s="4">
        <f t="shared" si="132"/>
        <v>34</v>
      </c>
      <c r="Q479" s="4">
        <f t="shared" si="133"/>
        <v>34</v>
      </c>
      <c r="R479" s="4">
        <f t="shared" si="134"/>
        <v>56</v>
      </c>
      <c r="S479" s="102">
        <f t="shared" si="135"/>
        <v>56</v>
      </c>
      <c r="U479" s="101">
        <f t="shared" si="136"/>
        <v>39</v>
      </c>
      <c r="V479" s="4">
        <f t="shared" si="137"/>
        <v>41</v>
      </c>
      <c r="W479" s="4">
        <f t="shared" si="138"/>
        <v>9</v>
      </c>
      <c r="X479" s="4">
        <f t="shared" si="139"/>
        <v>46</v>
      </c>
      <c r="Y479" s="4">
        <f t="shared" si="140"/>
        <v>46</v>
      </c>
      <c r="Z479" s="4">
        <f t="shared" si="141"/>
        <v>78</v>
      </c>
      <c r="AA479" s="102">
        <f t="shared" si="142"/>
        <v>78</v>
      </c>
      <c r="AC479" s="100">
        <f t="shared" si="143"/>
        <v>0.98462773488502919</v>
      </c>
    </row>
    <row r="480" spans="4:29" x14ac:dyDescent="0.35">
      <c r="D480">
        <f t="shared" si="144"/>
        <v>476</v>
      </c>
      <c r="E480" s="101">
        <v>7</v>
      </c>
      <c r="F480" s="4">
        <v>6</v>
      </c>
      <c r="G480" s="4">
        <v>4</v>
      </c>
      <c r="H480" s="4">
        <v>6</v>
      </c>
      <c r="I480" s="4">
        <v>1</v>
      </c>
      <c r="J480" s="4">
        <v>1</v>
      </c>
      <c r="K480" s="102">
        <v>2</v>
      </c>
      <c r="M480" s="101">
        <f t="shared" si="129"/>
        <v>29</v>
      </c>
      <c r="N480" s="4">
        <f t="shared" si="130"/>
        <v>45</v>
      </c>
      <c r="O480" s="4">
        <f t="shared" si="131"/>
        <v>12</v>
      </c>
      <c r="P480" s="4">
        <f t="shared" si="132"/>
        <v>45</v>
      </c>
      <c r="Q480" s="4">
        <f t="shared" si="133"/>
        <v>34</v>
      </c>
      <c r="R480" s="4">
        <f t="shared" si="134"/>
        <v>34</v>
      </c>
      <c r="S480" s="102">
        <f t="shared" si="135"/>
        <v>56</v>
      </c>
      <c r="U480" s="101">
        <f t="shared" si="136"/>
        <v>41</v>
      </c>
      <c r="V480" s="4">
        <f t="shared" si="137"/>
        <v>71</v>
      </c>
      <c r="W480" s="4">
        <f t="shared" si="138"/>
        <v>9</v>
      </c>
      <c r="X480" s="4">
        <f t="shared" si="139"/>
        <v>71</v>
      </c>
      <c r="Y480" s="4">
        <f t="shared" si="140"/>
        <v>46</v>
      </c>
      <c r="Z480" s="4">
        <f t="shared" si="141"/>
        <v>46</v>
      </c>
      <c r="AA480" s="102">
        <f t="shared" si="142"/>
        <v>78</v>
      </c>
      <c r="AC480" s="100">
        <f t="shared" si="143"/>
        <v>0.98499972596168728</v>
      </c>
    </row>
    <row r="481" spans="4:29" x14ac:dyDescent="0.35">
      <c r="D481">
        <f t="shared" si="144"/>
        <v>477</v>
      </c>
      <c r="E481" s="101">
        <v>6</v>
      </c>
      <c r="F481" s="4">
        <v>2</v>
      </c>
      <c r="G481" s="4">
        <v>6</v>
      </c>
      <c r="H481" s="4">
        <v>6</v>
      </c>
      <c r="I481" s="4">
        <v>4</v>
      </c>
      <c r="J481" s="4">
        <v>5</v>
      </c>
      <c r="K481" s="102">
        <v>1</v>
      </c>
      <c r="M481" s="101">
        <f t="shared" si="129"/>
        <v>45</v>
      </c>
      <c r="N481" s="4">
        <f t="shared" si="130"/>
        <v>56</v>
      </c>
      <c r="O481" s="4">
        <f t="shared" si="131"/>
        <v>45</v>
      </c>
      <c r="P481" s="4">
        <f t="shared" si="132"/>
        <v>45</v>
      </c>
      <c r="Q481" s="4">
        <f t="shared" si="133"/>
        <v>12</v>
      </c>
      <c r="R481" s="4">
        <f t="shared" si="134"/>
        <v>30</v>
      </c>
      <c r="S481" s="102">
        <f t="shared" si="135"/>
        <v>34</v>
      </c>
      <c r="U481" s="101">
        <f t="shared" si="136"/>
        <v>71</v>
      </c>
      <c r="V481" s="4">
        <f t="shared" si="137"/>
        <v>78</v>
      </c>
      <c r="W481" s="4">
        <f t="shared" si="138"/>
        <v>71</v>
      </c>
      <c r="X481" s="4">
        <f t="shared" si="139"/>
        <v>71</v>
      </c>
      <c r="Y481" s="4">
        <f t="shared" si="140"/>
        <v>9</v>
      </c>
      <c r="Z481" s="4">
        <f t="shared" si="141"/>
        <v>39</v>
      </c>
      <c r="AA481" s="102">
        <f t="shared" si="142"/>
        <v>46</v>
      </c>
      <c r="AC481" s="100">
        <f t="shared" si="143"/>
        <v>0.9837162001768075</v>
      </c>
    </row>
    <row r="482" spans="4:29" x14ac:dyDescent="0.35">
      <c r="D482">
        <f t="shared" si="144"/>
        <v>478</v>
      </c>
      <c r="E482" s="101">
        <v>5</v>
      </c>
      <c r="F482" s="4">
        <v>4</v>
      </c>
      <c r="G482" s="4">
        <v>1</v>
      </c>
      <c r="H482" s="4">
        <v>3</v>
      </c>
      <c r="I482" s="4">
        <v>1</v>
      </c>
      <c r="J482" s="4">
        <v>6</v>
      </c>
      <c r="K482" s="102">
        <v>2</v>
      </c>
      <c r="M482" s="101">
        <f t="shared" si="129"/>
        <v>30</v>
      </c>
      <c r="N482" s="4">
        <f t="shared" si="130"/>
        <v>12</v>
      </c>
      <c r="O482" s="4">
        <f t="shared" si="131"/>
        <v>34</v>
      </c>
      <c r="P482" s="4">
        <f t="shared" si="132"/>
        <v>23</v>
      </c>
      <c r="Q482" s="4">
        <f t="shared" si="133"/>
        <v>34</v>
      </c>
      <c r="R482" s="4">
        <f t="shared" si="134"/>
        <v>45</v>
      </c>
      <c r="S482" s="102">
        <f t="shared" si="135"/>
        <v>56</v>
      </c>
      <c r="U482" s="101">
        <f t="shared" si="136"/>
        <v>39</v>
      </c>
      <c r="V482" s="4">
        <f t="shared" si="137"/>
        <v>9</v>
      </c>
      <c r="W482" s="4">
        <f t="shared" si="138"/>
        <v>46</v>
      </c>
      <c r="X482" s="4">
        <f t="shared" si="139"/>
        <v>39</v>
      </c>
      <c r="Y482" s="4">
        <f t="shared" si="140"/>
        <v>46</v>
      </c>
      <c r="Z482" s="4">
        <f t="shared" si="141"/>
        <v>71</v>
      </c>
      <c r="AA482" s="102">
        <f t="shared" si="142"/>
        <v>78</v>
      </c>
      <c r="AC482" s="100">
        <f t="shared" si="143"/>
        <v>0.97454066662669303</v>
      </c>
    </row>
    <row r="483" spans="4:29" x14ac:dyDescent="0.35">
      <c r="D483">
        <f t="shared" si="144"/>
        <v>479</v>
      </c>
      <c r="E483" s="101">
        <v>3</v>
      </c>
      <c r="F483" s="4">
        <v>7</v>
      </c>
      <c r="G483" s="4">
        <v>3</v>
      </c>
      <c r="H483" s="4">
        <v>3</v>
      </c>
      <c r="I483" s="4">
        <v>3</v>
      </c>
      <c r="J483" s="4">
        <v>2</v>
      </c>
      <c r="K483" s="102">
        <v>7</v>
      </c>
      <c r="M483" s="101">
        <f t="shared" si="129"/>
        <v>23</v>
      </c>
      <c r="N483" s="4">
        <f t="shared" si="130"/>
        <v>29</v>
      </c>
      <c r="O483" s="4">
        <f t="shared" si="131"/>
        <v>23</v>
      </c>
      <c r="P483" s="4">
        <f t="shared" si="132"/>
        <v>23</v>
      </c>
      <c r="Q483" s="4">
        <f t="shared" si="133"/>
        <v>23</v>
      </c>
      <c r="R483" s="4">
        <f t="shared" si="134"/>
        <v>56</v>
      </c>
      <c r="S483" s="102">
        <f t="shared" si="135"/>
        <v>29</v>
      </c>
      <c r="U483" s="101">
        <f t="shared" si="136"/>
        <v>39</v>
      </c>
      <c r="V483" s="4">
        <f t="shared" si="137"/>
        <v>41</v>
      </c>
      <c r="W483" s="4">
        <f t="shared" si="138"/>
        <v>39</v>
      </c>
      <c r="X483" s="4">
        <f t="shared" si="139"/>
        <v>39</v>
      </c>
      <c r="Y483" s="4">
        <f t="shared" si="140"/>
        <v>39</v>
      </c>
      <c r="Z483" s="4">
        <f t="shared" si="141"/>
        <v>78</v>
      </c>
      <c r="AA483" s="102">
        <f t="shared" si="142"/>
        <v>41</v>
      </c>
      <c r="AC483" s="100">
        <f t="shared" si="143"/>
        <v>0.98526410291845701</v>
      </c>
    </row>
    <row r="484" spans="4:29" x14ac:dyDescent="0.35">
      <c r="D484">
        <f t="shared" si="144"/>
        <v>480</v>
      </c>
      <c r="E484" s="101">
        <v>5</v>
      </c>
      <c r="F484" s="4">
        <v>1</v>
      </c>
      <c r="G484" s="4">
        <v>2</v>
      </c>
      <c r="H484" s="4">
        <v>7</v>
      </c>
      <c r="I484" s="4">
        <v>2</v>
      </c>
      <c r="J484" s="4">
        <v>4</v>
      </c>
      <c r="K484" s="102">
        <v>5</v>
      </c>
      <c r="M484" s="101">
        <f t="shared" si="129"/>
        <v>30</v>
      </c>
      <c r="N484" s="4">
        <f t="shared" si="130"/>
        <v>34</v>
      </c>
      <c r="O484" s="4">
        <f t="shared" si="131"/>
        <v>56</v>
      </c>
      <c r="P484" s="4">
        <f t="shared" si="132"/>
        <v>29</v>
      </c>
      <c r="Q484" s="4">
        <f t="shared" si="133"/>
        <v>56</v>
      </c>
      <c r="R484" s="4">
        <f t="shared" si="134"/>
        <v>12</v>
      </c>
      <c r="S484" s="102">
        <f t="shared" si="135"/>
        <v>30</v>
      </c>
      <c r="U484" s="101">
        <f t="shared" si="136"/>
        <v>39</v>
      </c>
      <c r="V484" s="4">
        <f t="shared" si="137"/>
        <v>46</v>
      </c>
      <c r="W484" s="4">
        <f t="shared" si="138"/>
        <v>78</v>
      </c>
      <c r="X484" s="4">
        <f t="shared" si="139"/>
        <v>41</v>
      </c>
      <c r="Y484" s="4">
        <f t="shared" si="140"/>
        <v>78</v>
      </c>
      <c r="Z484" s="4">
        <f t="shared" si="141"/>
        <v>9</v>
      </c>
      <c r="AA484" s="102">
        <f t="shared" si="142"/>
        <v>39</v>
      </c>
      <c r="AC484" s="100">
        <f t="shared" si="143"/>
        <v>0.99709561446177808</v>
      </c>
    </row>
    <row r="485" spans="4:29" x14ac:dyDescent="0.35">
      <c r="D485">
        <f t="shared" si="144"/>
        <v>481</v>
      </c>
      <c r="E485" s="101">
        <v>2</v>
      </c>
      <c r="F485" s="4">
        <v>5</v>
      </c>
      <c r="G485" s="4">
        <v>5</v>
      </c>
      <c r="H485" s="4">
        <v>6</v>
      </c>
      <c r="I485" s="4">
        <v>1</v>
      </c>
      <c r="J485" s="4">
        <v>4</v>
      </c>
      <c r="K485" s="102">
        <v>3</v>
      </c>
      <c r="M485" s="101">
        <f t="shared" si="129"/>
        <v>56</v>
      </c>
      <c r="N485" s="4">
        <f t="shared" si="130"/>
        <v>30</v>
      </c>
      <c r="O485" s="4">
        <f t="shared" si="131"/>
        <v>30</v>
      </c>
      <c r="P485" s="4">
        <f t="shared" si="132"/>
        <v>45</v>
      </c>
      <c r="Q485" s="4">
        <f t="shared" si="133"/>
        <v>34</v>
      </c>
      <c r="R485" s="4">
        <f t="shared" si="134"/>
        <v>12</v>
      </c>
      <c r="S485" s="102">
        <f t="shared" si="135"/>
        <v>23</v>
      </c>
      <c r="U485" s="101">
        <f t="shared" si="136"/>
        <v>78</v>
      </c>
      <c r="V485" s="4">
        <f t="shared" si="137"/>
        <v>39</v>
      </c>
      <c r="W485" s="4">
        <f t="shared" si="138"/>
        <v>39</v>
      </c>
      <c r="X485" s="4">
        <f t="shared" si="139"/>
        <v>71</v>
      </c>
      <c r="Y485" s="4">
        <f t="shared" si="140"/>
        <v>46</v>
      </c>
      <c r="Z485" s="4">
        <f t="shared" si="141"/>
        <v>9</v>
      </c>
      <c r="AA485" s="102">
        <f t="shared" si="142"/>
        <v>39</v>
      </c>
      <c r="AC485" s="100">
        <f t="shared" si="143"/>
        <v>0.97446236210462145</v>
      </c>
    </row>
    <row r="486" spans="4:29" x14ac:dyDescent="0.35">
      <c r="D486">
        <f t="shared" si="144"/>
        <v>482</v>
      </c>
      <c r="E486" s="101">
        <v>6</v>
      </c>
      <c r="F486" s="4">
        <v>1</v>
      </c>
      <c r="G486" s="4">
        <v>6</v>
      </c>
      <c r="H486" s="4">
        <v>5</v>
      </c>
      <c r="I486" s="4">
        <v>7</v>
      </c>
      <c r="J486" s="4">
        <v>1</v>
      </c>
      <c r="K486" s="102">
        <v>4</v>
      </c>
      <c r="M486" s="101">
        <f t="shared" si="129"/>
        <v>45</v>
      </c>
      <c r="N486" s="4">
        <f t="shared" si="130"/>
        <v>34</v>
      </c>
      <c r="O486" s="4">
        <f t="shared" si="131"/>
        <v>45</v>
      </c>
      <c r="P486" s="4">
        <f t="shared" si="132"/>
        <v>30</v>
      </c>
      <c r="Q486" s="4">
        <f t="shared" si="133"/>
        <v>29</v>
      </c>
      <c r="R486" s="4">
        <f t="shared" si="134"/>
        <v>34</v>
      </c>
      <c r="S486" s="102">
        <f t="shared" si="135"/>
        <v>12</v>
      </c>
      <c r="U486" s="101">
        <f t="shared" si="136"/>
        <v>71</v>
      </c>
      <c r="V486" s="4">
        <f t="shared" si="137"/>
        <v>46</v>
      </c>
      <c r="W486" s="4">
        <f t="shared" si="138"/>
        <v>71</v>
      </c>
      <c r="X486" s="4">
        <f t="shared" si="139"/>
        <v>39</v>
      </c>
      <c r="Y486" s="4">
        <f t="shared" si="140"/>
        <v>41</v>
      </c>
      <c r="Z486" s="4">
        <f t="shared" si="141"/>
        <v>46</v>
      </c>
      <c r="AA486" s="102">
        <f t="shared" si="142"/>
        <v>9</v>
      </c>
      <c r="AC486" s="100">
        <f t="shared" si="143"/>
        <v>0.99439828810830189</v>
      </c>
    </row>
    <row r="487" spans="4:29" x14ac:dyDescent="0.35">
      <c r="D487">
        <f t="shared" si="144"/>
        <v>483</v>
      </c>
      <c r="E487" s="101">
        <v>5</v>
      </c>
      <c r="F487" s="4">
        <v>5</v>
      </c>
      <c r="G487" s="4">
        <v>6</v>
      </c>
      <c r="H487" s="4">
        <v>5</v>
      </c>
      <c r="I487" s="4">
        <v>7</v>
      </c>
      <c r="J487" s="4">
        <v>1</v>
      </c>
      <c r="K487" s="102">
        <v>7</v>
      </c>
      <c r="M487" s="101">
        <f t="shared" si="129"/>
        <v>30</v>
      </c>
      <c r="N487" s="4">
        <f t="shared" si="130"/>
        <v>30</v>
      </c>
      <c r="O487" s="4">
        <f t="shared" si="131"/>
        <v>45</v>
      </c>
      <c r="P487" s="4">
        <f t="shared" si="132"/>
        <v>30</v>
      </c>
      <c r="Q487" s="4">
        <f t="shared" si="133"/>
        <v>29</v>
      </c>
      <c r="R487" s="4">
        <f t="shared" si="134"/>
        <v>34</v>
      </c>
      <c r="S487" s="102">
        <f t="shared" si="135"/>
        <v>29</v>
      </c>
      <c r="U487" s="101">
        <f t="shared" si="136"/>
        <v>39</v>
      </c>
      <c r="V487" s="4">
        <f t="shared" si="137"/>
        <v>39</v>
      </c>
      <c r="W487" s="4">
        <f t="shared" si="138"/>
        <v>71</v>
      </c>
      <c r="X487" s="4">
        <f t="shared" si="139"/>
        <v>39</v>
      </c>
      <c r="Y487" s="4">
        <f t="shared" si="140"/>
        <v>41</v>
      </c>
      <c r="Z487" s="4">
        <f t="shared" si="141"/>
        <v>46</v>
      </c>
      <c r="AA487" s="102">
        <f t="shared" si="142"/>
        <v>41</v>
      </c>
      <c r="AC487" s="100">
        <f t="shared" si="143"/>
        <v>0.98435792587073023</v>
      </c>
    </row>
    <row r="488" spans="4:29" x14ac:dyDescent="0.35">
      <c r="D488">
        <f t="shared" si="144"/>
        <v>484</v>
      </c>
      <c r="E488" s="101">
        <v>4</v>
      </c>
      <c r="F488" s="4">
        <v>6</v>
      </c>
      <c r="G488" s="4">
        <v>7</v>
      </c>
      <c r="H488" s="4">
        <v>2</v>
      </c>
      <c r="I488" s="4">
        <v>6</v>
      </c>
      <c r="J488" s="4">
        <v>5</v>
      </c>
      <c r="K488" s="102">
        <v>5</v>
      </c>
      <c r="M488" s="101">
        <f t="shared" si="129"/>
        <v>12</v>
      </c>
      <c r="N488" s="4">
        <f t="shared" si="130"/>
        <v>45</v>
      </c>
      <c r="O488" s="4">
        <f t="shared" si="131"/>
        <v>29</v>
      </c>
      <c r="P488" s="4">
        <f t="shared" si="132"/>
        <v>56</v>
      </c>
      <c r="Q488" s="4">
        <f t="shared" si="133"/>
        <v>45</v>
      </c>
      <c r="R488" s="4">
        <f t="shared" si="134"/>
        <v>30</v>
      </c>
      <c r="S488" s="102">
        <f t="shared" si="135"/>
        <v>30</v>
      </c>
      <c r="U488" s="101">
        <f t="shared" si="136"/>
        <v>9</v>
      </c>
      <c r="V488" s="4">
        <f t="shared" si="137"/>
        <v>71</v>
      </c>
      <c r="W488" s="4">
        <f t="shared" si="138"/>
        <v>41</v>
      </c>
      <c r="X488" s="4">
        <f t="shared" si="139"/>
        <v>78</v>
      </c>
      <c r="Y488" s="4">
        <f t="shared" si="140"/>
        <v>71</v>
      </c>
      <c r="Z488" s="4">
        <f t="shared" si="141"/>
        <v>39</v>
      </c>
      <c r="AA488" s="102">
        <f t="shared" si="142"/>
        <v>39</v>
      </c>
      <c r="AC488" s="100">
        <f t="shared" si="143"/>
        <v>0.98567211386655706</v>
      </c>
    </row>
    <row r="489" spans="4:29" x14ac:dyDescent="0.35">
      <c r="D489">
        <f t="shared" si="144"/>
        <v>485</v>
      </c>
      <c r="E489" s="101">
        <v>2</v>
      </c>
      <c r="F489" s="4">
        <v>5</v>
      </c>
      <c r="G489" s="4">
        <v>4</v>
      </c>
      <c r="H489" s="4">
        <v>5</v>
      </c>
      <c r="I489" s="4">
        <v>2</v>
      </c>
      <c r="J489" s="4">
        <v>4</v>
      </c>
      <c r="K489" s="102">
        <v>1</v>
      </c>
      <c r="M489" s="101">
        <f t="shared" si="129"/>
        <v>56</v>
      </c>
      <c r="N489" s="4">
        <f t="shared" si="130"/>
        <v>30</v>
      </c>
      <c r="O489" s="4">
        <f t="shared" si="131"/>
        <v>12</v>
      </c>
      <c r="P489" s="4">
        <f t="shared" si="132"/>
        <v>30</v>
      </c>
      <c r="Q489" s="4">
        <f t="shared" si="133"/>
        <v>56</v>
      </c>
      <c r="R489" s="4">
        <f t="shared" si="134"/>
        <v>12</v>
      </c>
      <c r="S489" s="102">
        <f t="shared" si="135"/>
        <v>34</v>
      </c>
      <c r="U489" s="101">
        <f t="shared" si="136"/>
        <v>78</v>
      </c>
      <c r="V489" s="4">
        <f t="shared" si="137"/>
        <v>39</v>
      </c>
      <c r="W489" s="4">
        <f t="shared" si="138"/>
        <v>9</v>
      </c>
      <c r="X489" s="4">
        <f t="shared" si="139"/>
        <v>39</v>
      </c>
      <c r="Y489" s="4">
        <f t="shared" si="140"/>
        <v>78</v>
      </c>
      <c r="Z489" s="4">
        <f t="shared" si="141"/>
        <v>9</v>
      </c>
      <c r="AA489" s="102">
        <f t="shared" si="142"/>
        <v>46</v>
      </c>
      <c r="AC489" s="100">
        <f t="shared" si="143"/>
        <v>0.99924091541056825</v>
      </c>
    </row>
    <row r="490" spans="4:29" x14ac:dyDescent="0.35">
      <c r="D490">
        <f t="shared" si="144"/>
        <v>486</v>
      </c>
      <c r="E490" s="101">
        <v>6</v>
      </c>
      <c r="F490" s="4">
        <v>2</v>
      </c>
      <c r="G490" s="4">
        <v>2</v>
      </c>
      <c r="H490" s="4">
        <v>4</v>
      </c>
      <c r="I490" s="4">
        <v>7</v>
      </c>
      <c r="J490" s="4">
        <v>2</v>
      </c>
      <c r="K490" s="102">
        <v>2</v>
      </c>
      <c r="M490" s="101">
        <f t="shared" si="129"/>
        <v>45</v>
      </c>
      <c r="N490" s="4">
        <f t="shared" si="130"/>
        <v>56</v>
      </c>
      <c r="O490" s="4">
        <f t="shared" si="131"/>
        <v>56</v>
      </c>
      <c r="P490" s="4">
        <f t="shared" si="132"/>
        <v>12</v>
      </c>
      <c r="Q490" s="4">
        <f t="shared" si="133"/>
        <v>29</v>
      </c>
      <c r="R490" s="4">
        <f t="shared" si="134"/>
        <v>56</v>
      </c>
      <c r="S490" s="102">
        <f t="shared" si="135"/>
        <v>56</v>
      </c>
      <c r="U490" s="101">
        <f t="shared" si="136"/>
        <v>71</v>
      </c>
      <c r="V490" s="4">
        <f t="shared" si="137"/>
        <v>78</v>
      </c>
      <c r="W490" s="4">
        <f t="shared" si="138"/>
        <v>78</v>
      </c>
      <c r="X490" s="4">
        <f t="shared" si="139"/>
        <v>9</v>
      </c>
      <c r="Y490" s="4">
        <f t="shared" si="140"/>
        <v>41</v>
      </c>
      <c r="Z490" s="4">
        <f t="shared" si="141"/>
        <v>78</v>
      </c>
      <c r="AA490" s="102">
        <f t="shared" si="142"/>
        <v>78</v>
      </c>
      <c r="AC490" s="100">
        <f t="shared" si="143"/>
        <v>0.98893533643476361</v>
      </c>
    </row>
    <row r="491" spans="4:29" x14ac:dyDescent="0.35">
      <c r="D491">
        <f t="shared" si="144"/>
        <v>487</v>
      </c>
      <c r="E491" s="101">
        <v>3</v>
      </c>
      <c r="F491" s="4">
        <v>6</v>
      </c>
      <c r="G491" s="4">
        <v>3</v>
      </c>
      <c r="H491" s="4">
        <v>7</v>
      </c>
      <c r="I491" s="4">
        <v>7</v>
      </c>
      <c r="J491" s="4">
        <v>7</v>
      </c>
      <c r="K491" s="102">
        <v>7</v>
      </c>
      <c r="M491" s="101">
        <f t="shared" si="129"/>
        <v>23</v>
      </c>
      <c r="N491" s="4">
        <f t="shared" si="130"/>
        <v>45</v>
      </c>
      <c r="O491" s="4">
        <f t="shared" si="131"/>
        <v>23</v>
      </c>
      <c r="P491" s="4">
        <f t="shared" si="132"/>
        <v>29</v>
      </c>
      <c r="Q491" s="4">
        <f t="shared" si="133"/>
        <v>29</v>
      </c>
      <c r="R491" s="4">
        <f t="shared" si="134"/>
        <v>29</v>
      </c>
      <c r="S491" s="102">
        <f t="shared" si="135"/>
        <v>29</v>
      </c>
      <c r="U491" s="101">
        <f t="shared" si="136"/>
        <v>39</v>
      </c>
      <c r="V491" s="4">
        <f t="shared" si="137"/>
        <v>71</v>
      </c>
      <c r="W491" s="4">
        <f t="shared" si="138"/>
        <v>39</v>
      </c>
      <c r="X491" s="4">
        <f t="shared" si="139"/>
        <v>41</v>
      </c>
      <c r="Y491" s="4">
        <f t="shared" si="140"/>
        <v>41</v>
      </c>
      <c r="Z491" s="4">
        <f t="shared" si="141"/>
        <v>41</v>
      </c>
      <c r="AA491" s="102">
        <f t="shared" si="142"/>
        <v>41</v>
      </c>
      <c r="AC491" s="100">
        <f t="shared" si="143"/>
        <v>0.95146357030835371</v>
      </c>
    </row>
    <row r="492" spans="4:29" x14ac:dyDescent="0.35">
      <c r="D492">
        <f t="shared" si="144"/>
        <v>488</v>
      </c>
      <c r="E492" s="101">
        <v>4</v>
      </c>
      <c r="F492" s="4">
        <v>4</v>
      </c>
      <c r="G492" s="4">
        <v>1</v>
      </c>
      <c r="H492" s="4">
        <v>4</v>
      </c>
      <c r="I492" s="4">
        <v>3</v>
      </c>
      <c r="J492" s="4">
        <v>1</v>
      </c>
      <c r="K492" s="102">
        <v>5</v>
      </c>
      <c r="M492" s="101">
        <f t="shared" si="129"/>
        <v>12</v>
      </c>
      <c r="N492" s="4">
        <f t="shared" si="130"/>
        <v>12</v>
      </c>
      <c r="O492" s="4">
        <f t="shared" si="131"/>
        <v>34</v>
      </c>
      <c r="P492" s="4">
        <f t="shared" si="132"/>
        <v>12</v>
      </c>
      <c r="Q492" s="4">
        <f t="shared" si="133"/>
        <v>23</v>
      </c>
      <c r="R492" s="4">
        <f t="shared" si="134"/>
        <v>34</v>
      </c>
      <c r="S492" s="102">
        <f t="shared" si="135"/>
        <v>30</v>
      </c>
      <c r="U492" s="101">
        <f t="shared" si="136"/>
        <v>9</v>
      </c>
      <c r="V492" s="4">
        <f t="shared" si="137"/>
        <v>9</v>
      </c>
      <c r="W492" s="4">
        <f t="shared" si="138"/>
        <v>46</v>
      </c>
      <c r="X492" s="4">
        <f t="shared" si="139"/>
        <v>9</v>
      </c>
      <c r="Y492" s="4">
        <f t="shared" si="140"/>
        <v>39</v>
      </c>
      <c r="Z492" s="4">
        <f t="shared" si="141"/>
        <v>46</v>
      </c>
      <c r="AA492" s="102">
        <f t="shared" si="142"/>
        <v>39</v>
      </c>
      <c r="AC492" s="100">
        <f t="shared" si="143"/>
        <v>0.97060336882755838</v>
      </c>
    </row>
    <row r="493" spans="4:29" x14ac:dyDescent="0.35">
      <c r="D493">
        <f t="shared" si="144"/>
        <v>489</v>
      </c>
      <c r="E493" s="101">
        <v>2</v>
      </c>
      <c r="F493" s="4">
        <v>5</v>
      </c>
      <c r="G493" s="4">
        <v>3</v>
      </c>
      <c r="H493" s="4">
        <v>6</v>
      </c>
      <c r="I493" s="4">
        <v>5</v>
      </c>
      <c r="J493" s="4">
        <v>1</v>
      </c>
      <c r="K493" s="102">
        <v>6</v>
      </c>
      <c r="M493" s="101">
        <f t="shared" si="129"/>
        <v>56</v>
      </c>
      <c r="N493" s="4">
        <f t="shared" si="130"/>
        <v>30</v>
      </c>
      <c r="O493" s="4">
        <f t="shared" si="131"/>
        <v>23</v>
      </c>
      <c r="P493" s="4">
        <f t="shared" si="132"/>
        <v>45</v>
      </c>
      <c r="Q493" s="4">
        <f t="shared" si="133"/>
        <v>30</v>
      </c>
      <c r="R493" s="4">
        <f t="shared" si="134"/>
        <v>34</v>
      </c>
      <c r="S493" s="102">
        <f t="shared" si="135"/>
        <v>45</v>
      </c>
      <c r="U493" s="101">
        <f t="shared" si="136"/>
        <v>78</v>
      </c>
      <c r="V493" s="4">
        <f t="shared" si="137"/>
        <v>39</v>
      </c>
      <c r="W493" s="4">
        <f t="shared" si="138"/>
        <v>39</v>
      </c>
      <c r="X493" s="4">
        <f t="shared" si="139"/>
        <v>71</v>
      </c>
      <c r="Y493" s="4">
        <f t="shared" si="140"/>
        <v>39</v>
      </c>
      <c r="Z493" s="4">
        <f t="shared" si="141"/>
        <v>46</v>
      </c>
      <c r="AA493" s="102">
        <f t="shared" si="142"/>
        <v>71</v>
      </c>
      <c r="AC493" s="100">
        <f t="shared" si="143"/>
        <v>0.95712210024035227</v>
      </c>
    </row>
    <row r="494" spans="4:29" x14ac:dyDescent="0.35">
      <c r="D494">
        <f t="shared" si="144"/>
        <v>490</v>
      </c>
      <c r="E494" s="101">
        <v>4</v>
      </c>
      <c r="F494" s="4">
        <v>1</v>
      </c>
      <c r="G494" s="4">
        <v>5</v>
      </c>
      <c r="H494" s="4">
        <v>6</v>
      </c>
      <c r="I494" s="4">
        <v>2</v>
      </c>
      <c r="J494" s="4">
        <v>3</v>
      </c>
      <c r="K494" s="102">
        <v>1</v>
      </c>
      <c r="M494" s="101">
        <f t="shared" si="129"/>
        <v>12</v>
      </c>
      <c r="N494" s="4">
        <f t="shared" si="130"/>
        <v>34</v>
      </c>
      <c r="O494" s="4">
        <f t="shared" si="131"/>
        <v>30</v>
      </c>
      <c r="P494" s="4">
        <f t="shared" si="132"/>
        <v>45</v>
      </c>
      <c r="Q494" s="4">
        <f t="shared" si="133"/>
        <v>56</v>
      </c>
      <c r="R494" s="4">
        <f t="shared" si="134"/>
        <v>23</v>
      </c>
      <c r="S494" s="102">
        <f t="shared" si="135"/>
        <v>34</v>
      </c>
      <c r="U494" s="101">
        <f t="shared" si="136"/>
        <v>9</v>
      </c>
      <c r="V494" s="4">
        <f t="shared" si="137"/>
        <v>46</v>
      </c>
      <c r="W494" s="4">
        <f t="shared" si="138"/>
        <v>39</v>
      </c>
      <c r="X494" s="4">
        <f t="shared" si="139"/>
        <v>71</v>
      </c>
      <c r="Y494" s="4">
        <f t="shared" si="140"/>
        <v>78</v>
      </c>
      <c r="Z494" s="4">
        <f t="shared" si="141"/>
        <v>39</v>
      </c>
      <c r="AA494" s="102">
        <f t="shared" si="142"/>
        <v>46</v>
      </c>
      <c r="AC494" s="100">
        <f t="shared" si="143"/>
        <v>0.97454066662669314</v>
      </c>
    </row>
    <row r="495" spans="4:29" x14ac:dyDescent="0.35">
      <c r="D495">
        <f t="shared" si="144"/>
        <v>491</v>
      </c>
      <c r="E495" s="101">
        <v>5</v>
      </c>
      <c r="F495" s="4">
        <v>2</v>
      </c>
      <c r="G495" s="4">
        <v>5</v>
      </c>
      <c r="H495" s="4">
        <v>6</v>
      </c>
      <c r="I495" s="4">
        <v>3</v>
      </c>
      <c r="J495" s="4">
        <v>2</v>
      </c>
      <c r="K495" s="102">
        <v>3</v>
      </c>
      <c r="M495" s="101">
        <f t="shared" si="129"/>
        <v>30</v>
      </c>
      <c r="N495" s="4">
        <f t="shared" si="130"/>
        <v>56</v>
      </c>
      <c r="O495" s="4">
        <f t="shared" si="131"/>
        <v>30</v>
      </c>
      <c r="P495" s="4">
        <f t="shared" si="132"/>
        <v>45</v>
      </c>
      <c r="Q495" s="4">
        <f t="shared" si="133"/>
        <v>23</v>
      </c>
      <c r="R495" s="4">
        <f t="shared" si="134"/>
        <v>56</v>
      </c>
      <c r="S495" s="102">
        <f t="shared" si="135"/>
        <v>23</v>
      </c>
      <c r="U495" s="101">
        <f t="shared" si="136"/>
        <v>39</v>
      </c>
      <c r="V495" s="4">
        <f t="shared" si="137"/>
        <v>78</v>
      </c>
      <c r="W495" s="4">
        <f t="shared" si="138"/>
        <v>39</v>
      </c>
      <c r="X495" s="4">
        <f t="shared" si="139"/>
        <v>71</v>
      </c>
      <c r="Y495" s="4">
        <f t="shared" si="140"/>
        <v>39</v>
      </c>
      <c r="Z495" s="4">
        <f t="shared" si="141"/>
        <v>78</v>
      </c>
      <c r="AA495" s="102">
        <f t="shared" si="142"/>
        <v>39</v>
      </c>
      <c r="AC495" s="100">
        <f t="shared" si="143"/>
        <v>0.97083777394559168</v>
      </c>
    </row>
    <row r="496" spans="4:29" x14ac:dyDescent="0.35">
      <c r="D496">
        <f t="shared" si="144"/>
        <v>492</v>
      </c>
      <c r="E496" s="101">
        <v>1</v>
      </c>
      <c r="F496" s="4">
        <v>3</v>
      </c>
      <c r="G496" s="4">
        <v>5</v>
      </c>
      <c r="H496" s="4">
        <v>2</v>
      </c>
      <c r="I496" s="4">
        <v>7</v>
      </c>
      <c r="J496" s="4">
        <v>6</v>
      </c>
      <c r="K496" s="102">
        <v>1</v>
      </c>
      <c r="M496" s="101">
        <f t="shared" si="129"/>
        <v>34</v>
      </c>
      <c r="N496" s="4">
        <f t="shared" si="130"/>
        <v>23</v>
      </c>
      <c r="O496" s="4">
        <f t="shared" si="131"/>
        <v>30</v>
      </c>
      <c r="P496" s="4">
        <f t="shared" si="132"/>
        <v>56</v>
      </c>
      <c r="Q496" s="4">
        <f t="shared" si="133"/>
        <v>29</v>
      </c>
      <c r="R496" s="4">
        <f t="shared" si="134"/>
        <v>45</v>
      </c>
      <c r="S496" s="102">
        <f t="shared" si="135"/>
        <v>34</v>
      </c>
      <c r="U496" s="101">
        <f t="shared" si="136"/>
        <v>46</v>
      </c>
      <c r="V496" s="4">
        <f t="shared" si="137"/>
        <v>39</v>
      </c>
      <c r="W496" s="4">
        <f t="shared" si="138"/>
        <v>39</v>
      </c>
      <c r="X496" s="4">
        <f t="shared" si="139"/>
        <v>78</v>
      </c>
      <c r="Y496" s="4">
        <f t="shared" si="140"/>
        <v>41</v>
      </c>
      <c r="Z496" s="4">
        <f t="shared" si="141"/>
        <v>71</v>
      </c>
      <c r="AA496" s="102">
        <f t="shared" si="142"/>
        <v>46</v>
      </c>
      <c r="AC496" s="100">
        <f t="shared" si="143"/>
        <v>0.96287014255618342</v>
      </c>
    </row>
    <row r="497" spans="4:29" x14ac:dyDescent="0.35">
      <c r="D497">
        <f t="shared" si="144"/>
        <v>493</v>
      </c>
      <c r="E497" s="101">
        <v>3</v>
      </c>
      <c r="F497" s="4">
        <v>5</v>
      </c>
      <c r="G497" s="4">
        <v>2</v>
      </c>
      <c r="H497" s="4">
        <v>5</v>
      </c>
      <c r="I497" s="4">
        <v>7</v>
      </c>
      <c r="J497" s="4">
        <v>7</v>
      </c>
      <c r="K497" s="102">
        <v>2</v>
      </c>
      <c r="M497" s="101">
        <f t="shared" si="129"/>
        <v>23</v>
      </c>
      <c r="N497" s="4">
        <f t="shared" si="130"/>
        <v>30</v>
      </c>
      <c r="O497" s="4">
        <f t="shared" si="131"/>
        <v>56</v>
      </c>
      <c r="P497" s="4">
        <f t="shared" si="132"/>
        <v>30</v>
      </c>
      <c r="Q497" s="4">
        <f t="shared" si="133"/>
        <v>29</v>
      </c>
      <c r="R497" s="4">
        <f t="shared" si="134"/>
        <v>29</v>
      </c>
      <c r="S497" s="102">
        <f t="shared" si="135"/>
        <v>56</v>
      </c>
      <c r="U497" s="101">
        <f t="shared" si="136"/>
        <v>39</v>
      </c>
      <c r="V497" s="4">
        <f t="shared" si="137"/>
        <v>39</v>
      </c>
      <c r="W497" s="4">
        <f t="shared" si="138"/>
        <v>78</v>
      </c>
      <c r="X497" s="4">
        <f t="shared" si="139"/>
        <v>39</v>
      </c>
      <c r="Y497" s="4">
        <f t="shared" si="140"/>
        <v>41</v>
      </c>
      <c r="Z497" s="4">
        <f t="shared" si="141"/>
        <v>41</v>
      </c>
      <c r="AA497" s="102">
        <f t="shared" si="142"/>
        <v>78</v>
      </c>
      <c r="AC497" s="100">
        <f t="shared" si="143"/>
        <v>0.98554583072205637</v>
      </c>
    </row>
    <row r="498" spans="4:29" x14ac:dyDescent="0.35">
      <c r="D498">
        <f t="shared" si="144"/>
        <v>494</v>
      </c>
      <c r="E498" s="101">
        <v>6</v>
      </c>
      <c r="F498" s="4">
        <v>2</v>
      </c>
      <c r="G498" s="4">
        <v>3</v>
      </c>
      <c r="H498" s="4">
        <v>2</v>
      </c>
      <c r="I498" s="4">
        <v>2</v>
      </c>
      <c r="J498" s="4">
        <v>6</v>
      </c>
      <c r="K498" s="102">
        <v>4</v>
      </c>
      <c r="M498" s="101">
        <f t="shared" si="129"/>
        <v>45</v>
      </c>
      <c r="N498" s="4">
        <f t="shared" si="130"/>
        <v>56</v>
      </c>
      <c r="O498" s="4">
        <f t="shared" si="131"/>
        <v>23</v>
      </c>
      <c r="P498" s="4">
        <f t="shared" si="132"/>
        <v>56</v>
      </c>
      <c r="Q498" s="4">
        <f t="shared" si="133"/>
        <v>56</v>
      </c>
      <c r="R498" s="4">
        <f t="shared" si="134"/>
        <v>45</v>
      </c>
      <c r="S498" s="102">
        <f t="shared" si="135"/>
        <v>12</v>
      </c>
      <c r="U498" s="101">
        <f t="shared" si="136"/>
        <v>71</v>
      </c>
      <c r="V498" s="4">
        <f t="shared" si="137"/>
        <v>78</v>
      </c>
      <c r="W498" s="4">
        <f t="shared" si="138"/>
        <v>39</v>
      </c>
      <c r="X498" s="4">
        <f t="shared" si="139"/>
        <v>78</v>
      </c>
      <c r="Y498" s="4">
        <f t="shared" si="140"/>
        <v>78</v>
      </c>
      <c r="Z498" s="4">
        <f t="shared" si="141"/>
        <v>71</v>
      </c>
      <c r="AA498" s="102">
        <f t="shared" si="142"/>
        <v>9</v>
      </c>
      <c r="AC498" s="100">
        <f t="shared" si="143"/>
        <v>0.97642994639927283</v>
      </c>
    </row>
    <row r="499" spans="4:29" x14ac:dyDescent="0.35">
      <c r="D499">
        <f t="shared" si="144"/>
        <v>495</v>
      </c>
      <c r="E499" s="101">
        <v>4</v>
      </c>
      <c r="F499" s="4">
        <v>1</v>
      </c>
      <c r="G499" s="4">
        <v>3</v>
      </c>
      <c r="H499" s="4">
        <v>2</v>
      </c>
      <c r="I499" s="4">
        <v>7</v>
      </c>
      <c r="J499" s="4">
        <v>3</v>
      </c>
      <c r="K499" s="102">
        <v>5</v>
      </c>
      <c r="M499" s="101">
        <f t="shared" si="129"/>
        <v>12</v>
      </c>
      <c r="N499" s="4">
        <f t="shared" si="130"/>
        <v>34</v>
      </c>
      <c r="O499" s="4">
        <f t="shared" si="131"/>
        <v>23</v>
      </c>
      <c r="P499" s="4">
        <f t="shared" si="132"/>
        <v>56</v>
      </c>
      <c r="Q499" s="4">
        <f t="shared" si="133"/>
        <v>29</v>
      </c>
      <c r="R499" s="4">
        <f t="shared" si="134"/>
        <v>23</v>
      </c>
      <c r="S499" s="102">
        <f t="shared" si="135"/>
        <v>30</v>
      </c>
      <c r="U499" s="101">
        <f t="shared" si="136"/>
        <v>9</v>
      </c>
      <c r="V499" s="4">
        <f t="shared" si="137"/>
        <v>46</v>
      </c>
      <c r="W499" s="4">
        <f t="shared" si="138"/>
        <v>39</v>
      </c>
      <c r="X499" s="4">
        <f t="shared" si="139"/>
        <v>78</v>
      </c>
      <c r="Y499" s="4">
        <f t="shared" si="140"/>
        <v>41</v>
      </c>
      <c r="Z499" s="4">
        <f t="shared" si="141"/>
        <v>39</v>
      </c>
      <c r="AA499" s="102">
        <f t="shared" si="142"/>
        <v>39</v>
      </c>
      <c r="AC499" s="100">
        <f t="shared" si="143"/>
        <v>0.96557646180086365</v>
      </c>
    </row>
    <row r="500" spans="4:29" x14ac:dyDescent="0.35">
      <c r="D500">
        <f t="shared" si="144"/>
        <v>496</v>
      </c>
      <c r="E500" s="101">
        <v>6</v>
      </c>
      <c r="F500" s="4">
        <v>5</v>
      </c>
      <c r="G500" s="4">
        <v>2</v>
      </c>
      <c r="H500" s="4">
        <v>4</v>
      </c>
      <c r="I500" s="4">
        <v>6</v>
      </c>
      <c r="J500" s="4">
        <v>6</v>
      </c>
      <c r="K500" s="102">
        <v>1</v>
      </c>
      <c r="M500" s="101">
        <f t="shared" si="129"/>
        <v>45</v>
      </c>
      <c r="N500" s="4">
        <f t="shared" si="130"/>
        <v>30</v>
      </c>
      <c r="O500" s="4">
        <f t="shared" si="131"/>
        <v>56</v>
      </c>
      <c r="P500" s="4">
        <f t="shared" si="132"/>
        <v>12</v>
      </c>
      <c r="Q500" s="4">
        <f t="shared" si="133"/>
        <v>45</v>
      </c>
      <c r="R500" s="4">
        <f t="shared" si="134"/>
        <v>45</v>
      </c>
      <c r="S500" s="102">
        <f t="shared" si="135"/>
        <v>34</v>
      </c>
      <c r="U500" s="101">
        <f t="shared" si="136"/>
        <v>71</v>
      </c>
      <c r="V500" s="4">
        <f t="shared" si="137"/>
        <v>39</v>
      </c>
      <c r="W500" s="4">
        <f t="shared" si="138"/>
        <v>78</v>
      </c>
      <c r="X500" s="4">
        <f t="shared" si="139"/>
        <v>9</v>
      </c>
      <c r="Y500" s="4">
        <f t="shared" si="140"/>
        <v>71</v>
      </c>
      <c r="Z500" s="4">
        <f t="shared" si="141"/>
        <v>71</v>
      </c>
      <c r="AA500" s="102">
        <f t="shared" si="142"/>
        <v>46</v>
      </c>
      <c r="AC500" s="100">
        <f t="shared" si="143"/>
        <v>0.9837162001768075</v>
      </c>
    </row>
    <row r="501" spans="4:29" x14ac:dyDescent="0.35">
      <c r="D501">
        <f t="shared" si="144"/>
        <v>497</v>
      </c>
      <c r="E501" s="101">
        <v>1</v>
      </c>
      <c r="F501" s="4">
        <v>3</v>
      </c>
      <c r="G501" s="4">
        <v>6</v>
      </c>
      <c r="H501" s="4">
        <v>6</v>
      </c>
      <c r="I501" s="4">
        <v>6</v>
      </c>
      <c r="J501" s="4">
        <v>2</v>
      </c>
      <c r="K501" s="102">
        <v>4</v>
      </c>
      <c r="M501" s="101">
        <f t="shared" si="129"/>
        <v>34</v>
      </c>
      <c r="N501" s="4">
        <f t="shared" si="130"/>
        <v>23</v>
      </c>
      <c r="O501" s="4">
        <f t="shared" si="131"/>
        <v>45</v>
      </c>
      <c r="P501" s="4">
        <f t="shared" si="132"/>
        <v>45</v>
      </c>
      <c r="Q501" s="4">
        <f t="shared" si="133"/>
        <v>45</v>
      </c>
      <c r="R501" s="4">
        <f t="shared" si="134"/>
        <v>56</v>
      </c>
      <c r="S501" s="102">
        <f t="shared" si="135"/>
        <v>12</v>
      </c>
      <c r="U501" s="101">
        <f t="shared" si="136"/>
        <v>46</v>
      </c>
      <c r="V501" s="4">
        <f t="shared" si="137"/>
        <v>39</v>
      </c>
      <c r="W501" s="4">
        <f t="shared" si="138"/>
        <v>71</v>
      </c>
      <c r="X501" s="4">
        <f t="shared" si="139"/>
        <v>71</v>
      </c>
      <c r="Y501" s="4">
        <f t="shared" si="140"/>
        <v>71</v>
      </c>
      <c r="Z501" s="4">
        <f t="shared" si="141"/>
        <v>78</v>
      </c>
      <c r="AA501" s="102">
        <f t="shared" si="142"/>
        <v>9</v>
      </c>
      <c r="AC501" s="100">
        <f t="shared" si="143"/>
        <v>0.97575270091008892</v>
      </c>
    </row>
    <row r="502" spans="4:29" x14ac:dyDescent="0.35">
      <c r="D502">
        <f t="shared" si="144"/>
        <v>498</v>
      </c>
      <c r="E502" s="101">
        <v>1</v>
      </c>
      <c r="F502" s="4">
        <v>5</v>
      </c>
      <c r="G502" s="4">
        <v>7</v>
      </c>
      <c r="H502" s="4">
        <v>7</v>
      </c>
      <c r="I502" s="4">
        <v>6</v>
      </c>
      <c r="J502" s="4">
        <v>2</v>
      </c>
      <c r="K502" s="102">
        <v>6</v>
      </c>
      <c r="M502" s="101">
        <f t="shared" si="129"/>
        <v>34</v>
      </c>
      <c r="N502" s="4">
        <f t="shared" si="130"/>
        <v>30</v>
      </c>
      <c r="O502" s="4">
        <f t="shared" si="131"/>
        <v>29</v>
      </c>
      <c r="P502" s="4">
        <f t="shared" si="132"/>
        <v>29</v>
      </c>
      <c r="Q502" s="4">
        <f t="shared" si="133"/>
        <v>45</v>
      </c>
      <c r="R502" s="4">
        <f t="shared" si="134"/>
        <v>56</v>
      </c>
      <c r="S502" s="102">
        <f t="shared" si="135"/>
        <v>45</v>
      </c>
      <c r="U502" s="101">
        <f t="shared" si="136"/>
        <v>46</v>
      </c>
      <c r="V502" s="4">
        <f t="shared" si="137"/>
        <v>39</v>
      </c>
      <c r="W502" s="4">
        <f t="shared" si="138"/>
        <v>41</v>
      </c>
      <c r="X502" s="4">
        <f t="shared" si="139"/>
        <v>41</v>
      </c>
      <c r="Y502" s="4">
        <f t="shared" si="140"/>
        <v>71</v>
      </c>
      <c r="Z502" s="4">
        <f t="shared" si="141"/>
        <v>78</v>
      </c>
      <c r="AA502" s="102">
        <f t="shared" si="142"/>
        <v>71</v>
      </c>
      <c r="AC502" s="100">
        <f t="shared" si="143"/>
        <v>0.97228030801569942</v>
      </c>
    </row>
    <row r="503" spans="4:29" x14ac:dyDescent="0.35">
      <c r="D503">
        <f t="shared" si="144"/>
        <v>499</v>
      </c>
      <c r="E503" s="101">
        <v>6</v>
      </c>
      <c r="F503" s="4">
        <v>4</v>
      </c>
      <c r="G503" s="4">
        <v>3</v>
      </c>
      <c r="H503" s="4">
        <v>7</v>
      </c>
      <c r="I503" s="4">
        <v>4</v>
      </c>
      <c r="J503" s="4">
        <v>3</v>
      </c>
      <c r="K503" s="102">
        <v>6</v>
      </c>
      <c r="M503" s="101">
        <f t="shared" si="129"/>
        <v>45</v>
      </c>
      <c r="N503" s="4">
        <f t="shared" si="130"/>
        <v>12</v>
      </c>
      <c r="O503" s="4">
        <f t="shared" si="131"/>
        <v>23</v>
      </c>
      <c r="P503" s="4">
        <f t="shared" si="132"/>
        <v>29</v>
      </c>
      <c r="Q503" s="4">
        <f t="shared" si="133"/>
        <v>12</v>
      </c>
      <c r="R503" s="4">
        <f t="shared" si="134"/>
        <v>23</v>
      </c>
      <c r="S503" s="102">
        <f t="shared" si="135"/>
        <v>45</v>
      </c>
      <c r="U503" s="101">
        <f t="shared" si="136"/>
        <v>71</v>
      </c>
      <c r="V503" s="4">
        <f t="shared" si="137"/>
        <v>9</v>
      </c>
      <c r="W503" s="4">
        <f t="shared" si="138"/>
        <v>39</v>
      </c>
      <c r="X503" s="4">
        <f t="shared" si="139"/>
        <v>41</v>
      </c>
      <c r="Y503" s="4">
        <f t="shared" si="140"/>
        <v>9</v>
      </c>
      <c r="Z503" s="4">
        <f t="shared" si="141"/>
        <v>39</v>
      </c>
      <c r="AA503" s="102">
        <f t="shared" si="142"/>
        <v>71</v>
      </c>
      <c r="AC503" s="100">
        <f t="shared" si="143"/>
        <v>0.98438175058311062</v>
      </c>
    </row>
    <row r="504" spans="4:29" x14ac:dyDescent="0.35">
      <c r="D504">
        <f t="shared" si="144"/>
        <v>500</v>
      </c>
      <c r="E504" s="101">
        <v>4</v>
      </c>
      <c r="F504" s="4">
        <v>4</v>
      </c>
      <c r="G504" s="4">
        <v>3</v>
      </c>
      <c r="H504" s="4">
        <v>5</v>
      </c>
      <c r="I504" s="4">
        <v>4</v>
      </c>
      <c r="J504" s="4">
        <v>5</v>
      </c>
      <c r="K504" s="102">
        <v>3</v>
      </c>
      <c r="M504" s="101">
        <f t="shared" si="129"/>
        <v>12</v>
      </c>
      <c r="N504" s="4">
        <f t="shared" si="130"/>
        <v>12</v>
      </c>
      <c r="O504" s="4">
        <f t="shared" si="131"/>
        <v>23</v>
      </c>
      <c r="P504" s="4">
        <f t="shared" si="132"/>
        <v>30</v>
      </c>
      <c r="Q504" s="4">
        <f t="shared" si="133"/>
        <v>12</v>
      </c>
      <c r="R504" s="4">
        <f t="shared" si="134"/>
        <v>30</v>
      </c>
      <c r="S504" s="102">
        <f t="shared" si="135"/>
        <v>23</v>
      </c>
      <c r="U504" s="101">
        <f t="shared" si="136"/>
        <v>9</v>
      </c>
      <c r="V504" s="4">
        <f t="shared" si="137"/>
        <v>9</v>
      </c>
      <c r="W504" s="4">
        <f t="shared" si="138"/>
        <v>39</v>
      </c>
      <c r="X504" s="4">
        <f t="shared" si="139"/>
        <v>39</v>
      </c>
      <c r="Y504" s="4">
        <f t="shared" si="140"/>
        <v>9</v>
      </c>
      <c r="Z504" s="4">
        <f t="shared" si="141"/>
        <v>39</v>
      </c>
      <c r="AA504" s="102">
        <f t="shared" si="142"/>
        <v>39</v>
      </c>
      <c r="AC504" s="100">
        <f t="shared" si="143"/>
        <v>0.93825423254300166</v>
      </c>
    </row>
    <row r="505" spans="4:29" x14ac:dyDescent="0.35">
      <c r="D505">
        <f t="shared" si="144"/>
        <v>501</v>
      </c>
      <c r="E505" s="101">
        <v>3</v>
      </c>
      <c r="F505" s="4">
        <v>5</v>
      </c>
      <c r="G505" s="4">
        <v>1</v>
      </c>
      <c r="H505" s="4">
        <v>3</v>
      </c>
      <c r="I505" s="4">
        <v>6</v>
      </c>
      <c r="J505" s="4">
        <v>6</v>
      </c>
      <c r="K505" s="102">
        <v>7</v>
      </c>
      <c r="M505" s="101">
        <f t="shared" si="129"/>
        <v>23</v>
      </c>
      <c r="N505" s="4">
        <f t="shared" si="130"/>
        <v>30</v>
      </c>
      <c r="O505" s="4">
        <f t="shared" si="131"/>
        <v>34</v>
      </c>
      <c r="P505" s="4">
        <f t="shared" si="132"/>
        <v>23</v>
      </c>
      <c r="Q505" s="4">
        <f t="shared" si="133"/>
        <v>45</v>
      </c>
      <c r="R505" s="4">
        <f t="shared" si="134"/>
        <v>45</v>
      </c>
      <c r="S505" s="102">
        <f t="shared" si="135"/>
        <v>29</v>
      </c>
      <c r="U505" s="101">
        <f t="shared" si="136"/>
        <v>39</v>
      </c>
      <c r="V505" s="4">
        <f t="shared" si="137"/>
        <v>39</v>
      </c>
      <c r="W505" s="4">
        <f t="shared" si="138"/>
        <v>46</v>
      </c>
      <c r="X505" s="4">
        <f t="shared" si="139"/>
        <v>39</v>
      </c>
      <c r="Y505" s="4">
        <f t="shared" si="140"/>
        <v>71</v>
      </c>
      <c r="Z505" s="4">
        <f t="shared" si="141"/>
        <v>71</v>
      </c>
      <c r="AA505" s="102">
        <f t="shared" si="142"/>
        <v>41</v>
      </c>
      <c r="AC505" s="100">
        <f t="shared" si="143"/>
        <v>0.94995135419522725</v>
      </c>
    </row>
    <row r="506" spans="4:29" x14ac:dyDescent="0.35">
      <c r="D506">
        <f t="shared" si="144"/>
        <v>502</v>
      </c>
      <c r="E506" s="101">
        <v>5</v>
      </c>
      <c r="F506" s="4">
        <v>4</v>
      </c>
      <c r="G506" s="4">
        <v>6</v>
      </c>
      <c r="H506" s="4">
        <v>6</v>
      </c>
      <c r="I506" s="4">
        <v>5</v>
      </c>
      <c r="J506" s="4">
        <v>3</v>
      </c>
      <c r="K506" s="102">
        <v>4</v>
      </c>
      <c r="M506" s="101">
        <f t="shared" si="129"/>
        <v>30</v>
      </c>
      <c r="N506" s="4">
        <f t="shared" si="130"/>
        <v>12</v>
      </c>
      <c r="O506" s="4">
        <f t="shared" si="131"/>
        <v>45</v>
      </c>
      <c r="P506" s="4">
        <f t="shared" si="132"/>
        <v>45</v>
      </c>
      <c r="Q506" s="4">
        <f t="shared" si="133"/>
        <v>30</v>
      </c>
      <c r="R506" s="4">
        <f t="shared" si="134"/>
        <v>23</v>
      </c>
      <c r="S506" s="102">
        <f t="shared" si="135"/>
        <v>12</v>
      </c>
      <c r="U506" s="101">
        <f t="shared" si="136"/>
        <v>39</v>
      </c>
      <c r="V506" s="4">
        <f t="shared" si="137"/>
        <v>9</v>
      </c>
      <c r="W506" s="4">
        <f t="shared" si="138"/>
        <v>71</v>
      </c>
      <c r="X506" s="4">
        <f t="shared" si="139"/>
        <v>71</v>
      </c>
      <c r="Y506" s="4">
        <f t="shared" si="140"/>
        <v>39</v>
      </c>
      <c r="Z506" s="4">
        <f t="shared" si="141"/>
        <v>39</v>
      </c>
      <c r="AA506" s="102">
        <f t="shared" si="142"/>
        <v>9</v>
      </c>
      <c r="AC506" s="100">
        <f t="shared" si="143"/>
        <v>0.98527621464022341</v>
      </c>
    </row>
    <row r="507" spans="4:29" x14ac:dyDescent="0.35">
      <c r="D507">
        <f t="shared" si="144"/>
        <v>503</v>
      </c>
      <c r="E507" s="101">
        <v>3</v>
      </c>
      <c r="F507" s="4">
        <v>7</v>
      </c>
      <c r="G507" s="4">
        <v>7</v>
      </c>
      <c r="H507" s="4">
        <v>2</v>
      </c>
      <c r="I507" s="4">
        <v>6</v>
      </c>
      <c r="J507" s="4">
        <v>4</v>
      </c>
      <c r="K507" s="102">
        <v>7</v>
      </c>
      <c r="M507" s="101">
        <f t="shared" si="129"/>
        <v>23</v>
      </c>
      <c r="N507" s="4">
        <f t="shared" si="130"/>
        <v>29</v>
      </c>
      <c r="O507" s="4">
        <f t="shared" si="131"/>
        <v>29</v>
      </c>
      <c r="P507" s="4">
        <f t="shared" si="132"/>
        <v>56</v>
      </c>
      <c r="Q507" s="4">
        <f t="shared" si="133"/>
        <v>45</v>
      </c>
      <c r="R507" s="4">
        <f t="shared" si="134"/>
        <v>12</v>
      </c>
      <c r="S507" s="102">
        <f t="shared" si="135"/>
        <v>29</v>
      </c>
      <c r="U507" s="101">
        <f t="shared" si="136"/>
        <v>39</v>
      </c>
      <c r="V507" s="4">
        <f t="shared" si="137"/>
        <v>41</v>
      </c>
      <c r="W507" s="4">
        <f t="shared" si="138"/>
        <v>41</v>
      </c>
      <c r="X507" s="4">
        <f t="shared" si="139"/>
        <v>78</v>
      </c>
      <c r="Y507" s="4">
        <f t="shared" si="140"/>
        <v>71</v>
      </c>
      <c r="Z507" s="4">
        <f t="shared" si="141"/>
        <v>9</v>
      </c>
      <c r="AA507" s="102">
        <f t="shared" si="142"/>
        <v>41</v>
      </c>
      <c r="AC507" s="100">
        <f t="shared" si="143"/>
        <v>0.97824408678476094</v>
      </c>
    </row>
    <row r="508" spans="4:29" x14ac:dyDescent="0.35">
      <c r="D508">
        <f t="shared" si="144"/>
        <v>504</v>
      </c>
      <c r="E508" s="101">
        <v>4</v>
      </c>
      <c r="F508" s="4">
        <v>7</v>
      </c>
      <c r="G508" s="4">
        <v>5</v>
      </c>
      <c r="H508" s="4">
        <v>5</v>
      </c>
      <c r="I508" s="4">
        <v>6</v>
      </c>
      <c r="J508" s="4">
        <v>7</v>
      </c>
      <c r="K508" s="102">
        <v>6</v>
      </c>
      <c r="M508" s="101">
        <f t="shared" si="129"/>
        <v>12</v>
      </c>
      <c r="N508" s="4">
        <f t="shared" si="130"/>
        <v>29</v>
      </c>
      <c r="O508" s="4">
        <f t="shared" si="131"/>
        <v>30</v>
      </c>
      <c r="P508" s="4">
        <f t="shared" si="132"/>
        <v>30</v>
      </c>
      <c r="Q508" s="4">
        <f t="shared" si="133"/>
        <v>45</v>
      </c>
      <c r="R508" s="4">
        <f t="shared" si="134"/>
        <v>29</v>
      </c>
      <c r="S508" s="102">
        <f t="shared" si="135"/>
        <v>45</v>
      </c>
      <c r="U508" s="101">
        <f t="shared" si="136"/>
        <v>9</v>
      </c>
      <c r="V508" s="4">
        <f t="shared" si="137"/>
        <v>41</v>
      </c>
      <c r="W508" s="4">
        <f t="shared" si="138"/>
        <v>39</v>
      </c>
      <c r="X508" s="4">
        <f t="shared" si="139"/>
        <v>39</v>
      </c>
      <c r="Y508" s="4">
        <f t="shared" si="140"/>
        <v>71</v>
      </c>
      <c r="Z508" s="4">
        <f t="shared" si="141"/>
        <v>41</v>
      </c>
      <c r="AA508" s="102">
        <f t="shared" si="142"/>
        <v>71</v>
      </c>
      <c r="AC508" s="100">
        <f t="shared" si="143"/>
        <v>0.99618355122745117</v>
      </c>
    </row>
    <row r="509" spans="4:29" x14ac:dyDescent="0.35">
      <c r="D509">
        <f t="shared" si="144"/>
        <v>505</v>
      </c>
      <c r="E509" s="101">
        <v>1</v>
      </c>
      <c r="F509" s="4">
        <v>5</v>
      </c>
      <c r="G509" s="4">
        <v>2</v>
      </c>
      <c r="H509" s="4">
        <v>6</v>
      </c>
      <c r="I509" s="4">
        <v>6</v>
      </c>
      <c r="J509" s="4">
        <v>6</v>
      </c>
      <c r="K509" s="102">
        <v>3</v>
      </c>
      <c r="M509" s="101">
        <f t="shared" si="129"/>
        <v>34</v>
      </c>
      <c r="N509" s="4">
        <f t="shared" si="130"/>
        <v>30</v>
      </c>
      <c r="O509" s="4">
        <f t="shared" si="131"/>
        <v>56</v>
      </c>
      <c r="P509" s="4">
        <f t="shared" si="132"/>
        <v>45</v>
      </c>
      <c r="Q509" s="4">
        <f t="shared" si="133"/>
        <v>45</v>
      </c>
      <c r="R509" s="4">
        <f t="shared" si="134"/>
        <v>45</v>
      </c>
      <c r="S509" s="102">
        <f t="shared" si="135"/>
        <v>23</v>
      </c>
      <c r="U509" s="101">
        <f t="shared" si="136"/>
        <v>46</v>
      </c>
      <c r="V509" s="4">
        <f t="shared" si="137"/>
        <v>39</v>
      </c>
      <c r="W509" s="4">
        <f t="shared" si="138"/>
        <v>78</v>
      </c>
      <c r="X509" s="4">
        <f t="shared" si="139"/>
        <v>71</v>
      </c>
      <c r="Y509" s="4">
        <f t="shared" si="140"/>
        <v>71</v>
      </c>
      <c r="Z509" s="4">
        <f t="shared" si="141"/>
        <v>71</v>
      </c>
      <c r="AA509" s="102">
        <f t="shared" si="142"/>
        <v>39</v>
      </c>
      <c r="AC509" s="100">
        <f t="shared" si="143"/>
        <v>0.95582307911211317</v>
      </c>
    </row>
    <row r="510" spans="4:29" x14ac:dyDescent="0.35">
      <c r="D510">
        <f t="shared" si="144"/>
        <v>506</v>
      </c>
      <c r="E510" s="101">
        <v>7</v>
      </c>
      <c r="F510" s="4">
        <v>6</v>
      </c>
      <c r="G510" s="4">
        <v>6</v>
      </c>
      <c r="H510" s="4">
        <v>3</v>
      </c>
      <c r="I510" s="4">
        <v>7</v>
      </c>
      <c r="J510" s="4">
        <v>2</v>
      </c>
      <c r="K510" s="102">
        <v>5</v>
      </c>
      <c r="M510" s="101">
        <f t="shared" si="129"/>
        <v>29</v>
      </c>
      <c r="N510" s="4">
        <f t="shared" si="130"/>
        <v>45</v>
      </c>
      <c r="O510" s="4">
        <f t="shared" si="131"/>
        <v>45</v>
      </c>
      <c r="P510" s="4">
        <f t="shared" si="132"/>
        <v>23</v>
      </c>
      <c r="Q510" s="4">
        <f t="shared" si="133"/>
        <v>29</v>
      </c>
      <c r="R510" s="4">
        <f t="shared" si="134"/>
        <v>56</v>
      </c>
      <c r="S510" s="102">
        <f t="shared" si="135"/>
        <v>30</v>
      </c>
      <c r="U510" s="101">
        <f t="shared" si="136"/>
        <v>41</v>
      </c>
      <c r="V510" s="4">
        <f t="shared" si="137"/>
        <v>71</v>
      </c>
      <c r="W510" s="4">
        <f t="shared" si="138"/>
        <v>71</v>
      </c>
      <c r="X510" s="4">
        <f t="shared" si="139"/>
        <v>39</v>
      </c>
      <c r="Y510" s="4">
        <f t="shared" si="140"/>
        <v>41</v>
      </c>
      <c r="Z510" s="4">
        <f t="shared" si="141"/>
        <v>78</v>
      </c>
      <c r="AA510" s="102">
        <f t="shared" si="142"/>
        <v>39</v>
      </c>
      <c r="AC510" s="100">
        <f t="shared" si="143"/>
        <v>0.96779928272117299</v>
      </c>
    </row>
    <row r="511" spans="4:29" x14ac:dyDescent="0.35">
      <c r="D511">
        <f t="shared" si="144"/>
        <v>507</v>
      </c>
      <c r="E511" s="101">
        <v>6</v>
      </c>
      <c r="F511" s="4">
        <v>5</v>
      </c>
      <c r="G511" s="4">
        <v>1</v>
      </c>
      <c r="H511" s="4">
        <v>3</v>
      </c>
      <c r="I511" s="4">
        <v>5</v>
      </c>
      <c r="J511" s="4">
        <v>5</v>
      </c>
      <c r="K511" s="102">
        <v>3</v>
      </c>
      <c r="M511" s="101">
        <f t="shared" si="129"/>
        <v>45</v>
      </c>
      <c r="N511" s="4">
        <f t="shared" si="130"/>
        <v>30</v>
      </c>
      <c r="O511" s="4">
        <f t="shared" si="131"/>
        <v>34</v>
      </c>
      <c r="P511" s="4">
        <f t="shared" si="132"/>
        <v>23</v>
      </c>
      <c r="Q511" s="4">
        <f t="shared" si="133"/>
        <v>30</v>
      </c>
      <c r="R511" s="4">
        <f t="shared" si="134"/>
        <v>30</v>
      </c>
      <c r="S511" s="102">
        <f t="shared" si="135"/>
        <v>23</v>
      </c>
      <c r="U511" s="101">
        <f t="shared" si="136"/>
        <v>71</v>
      </c>
      <c r="V511" s="4">
        <f t="shared" si="137"/>
        <v>39</v>
      </c>
      <c r="W511" s="4">
        <f t="shared" si="138"/>
        <v>46</v>
      </c>
      <c r="X511" s="4">
        <f t="shared" si="139"/>
        <v>39</v>
      </c>
      <c r="Y511" s="4">
        <f t="shared" si="140"/>
        <v>39</v>
      </c>
      <c r="Z511" s="4">
        <f t="shared" si="141"/>
        <v>39</v>
      </c>
      <c r="AA511" s="102">
        <f t="shared" si="142"/>
        <v>39</v>
      </c>
      <c r="AC511" s="100">
        <f t="shared" si="143"/>
        <v>0.89620230173712845</v>
      </c>
    </row>
    <row r="512" spans="4:29" x14ac:dyDescent="0.35">
      <c r="D512">
        <f t="shared" si="144"/>
        <v>508</v>
      </c>
      <c r="E512" s="101">
        <v>4</v>
      </c>
      <c r="F512" s="4">
        <v>5</v>
      </c>
      <c r="G512" s="4">
        <v>7</v>
      </c>
      <c r="H512" s="4">
        <v>3</v>
      </c>
      <c r="I512" s="4">
        <v>3</v>
      </c>
      <c r="J512" s="4">
        <v>7</v>
      </c>
      <c r="K512" s="102">
        <v>1</v>
      </c>
      <c r="M512" s="101">
        <f t="shared" si="129"/>
        <v>12</v>
      </c>
      <c r="N512" s="4">
        <f t="shared" si="130"/>
        <v>30</v>
      </c>
      <c r="O512" s="4">
        <f t="shared" si="131"/>
        <v>29</v>
      </c>
      <c r="P512" s="4">
        <f t="shared" si="132"/>
        <v>23</v>
      </c>
      <c r="Q512" s="4">
        <f t="shared" si="133"/>
        <v>23</v>
      </c>
      <c r="R512" s="4">
        <f t="shared" si="134"/>
        <v>29</v>
      </c>
      <c r="S512" s="102">
        <f t="shared" si="135"/>
        <v>34</v>
      </c>
      <c r="U512" s="101">
        <f t="shared" si="136"/>
        <v>9</v>
      </c>
      <c r="V512" s="4">
        <f t="shared" si="137"/>
        <v>39</v>
      </c>
      <c r="W512" s="4">
        <f t="shared" si="138"/>
        <v>41</v>
      </c>
      <c r="X512" s="4">
        <f t="shared" si="139"/>
        <v>39</v>
      </c>
      <c r="Y512" s="4">
        <f t="shared" si="140"/>
        <v>39</v>
      </c>
      <c r="Z512" s="4">
        <f t="shared" si="141"/>
        <v>41</v>
      </c>
      <c r="AA512" s="102">
        <f t="shared" si="142"/>
        <v>46</v>
      </c>
      <c r="AC512" s="100">
        <f t="shared" si="143"/>
        <v>0.90877271856610753</v>
      </c>
    </row>
    <row r="513" spans="4:29" x14ac:dyDescent="0.35">
      <c r="D513">
        <f t="shared" si="144"/>
        <v>509</v>
      </c>
      <c r="E513" s="101">
        <v>6</v>
      </c>
      <c r="F513" s="4">
        <v>3</v>
      </c>
      <c r="G513" s="4">
        <v>1</v>
      </c>
      <c r="H513" s="4">
        <v>4</v>
      </c>
      <c r="I513" s="4">
        <v>3</v>
      </c>
      <c r="J513" s="4">
        <v>7</v>
      </c>
      <c r="K513" s="102">
        <v>1</v>
      </c>
      <c r="M513" s="101">
        <f t="shared" si="129"/>
        <v>45</v>
      </c>
      <c r="N513" s="4">
        <f t="shared" si="130"/>
        <v>23</v>
      </c>
      <c r="O513" s="4">
        <f t="shared" si="131"/>
        <v>34</v>
      </c>
      <c r="P513" s="4">
        <f t="shared" si="132"/>
        <v>12</v>
      </c>
      <c r="Q513" s="4">
        <f t="shared" si="133"/>
        <v>23</v>
      </c>
      <c r="R513" s="4">
        <f t="shared" si="134"/>
        <v>29</v>
      </c>
      <c r="S513" s="102">
        <f t="shared" si="135"/>
        <v>34</v>
      </c>
      <c r="U513" s="101">
        <f t="shared" si="136"/>
        <v>71</v>
      </c>
      <c r="V513" s="4">
        <f t="shared" si="137"/>
        <v>39</v>
      </c>
      <c r="W513" s="4">
        <f t="shared" si="138"/>
        <v>46</v>
      </c>
      <c r="X513" s="4">
        <f t="shared" si="139"/>
        <v>9</v>
      </c>
      <c r="Y513" s="4">
        <f t="shared" si="140"/>
        <v>39</v>
      </c>
      <c r="Z513" s="4">
        <f t="shared" si="141"/>
        <v>41</v>
      </c>
      <c r="AA513" s="102">
        <f t="shared" si="142"/>
        <v>46</v>
      </c>
      <c r="AC513" s="100">
        <f t="shared" si="143"/>
        <v>0.95793197502824601</v>
      </c>
    </row>
    <row r="514" spans="4:29" x14ac:dyDescent="0.35">
      <c r="D514">
        <f t="shared" si="144"/>
        <v>510</v>
      </c>
      <c r="E514" s="101">
        <v>4</v>
      </c>
      <c r="F514" s="4">
        <v>7</v>
      </c>
      <c r="G514" s="4">
        <v>5</v>
      </c>
      <c r="H514" s="4">
        <v>2</v>
      </c>
      <c r="I514" s="4">
        <v>5</v>
      </c>
      <c r="J514" s="4">
        <v>2</v>
      </c>
      <c r="K514" s="102">
        <v>6</v>
      </c>
      <c r="M514" s="101">
        <f t="shared" si="129"/>
        <v>12</v>
      </c>
      <c r="N514" s="4">
        <f t="shared" si="130"/>
        <v>29</v>
      </c>
      <c r="O514" s="4">
        <f t="shared" si="131"/>
        <v>30</v>
      </c>
      <c r="P514" s="4">
        <f t="shared" si="132"/>
        <v>56</v>
      </c>
      <c r="Q514" s="4">
        <f t="shared" si="133"/>
        <v>30</v>
      </c>
      <c r="R514" s="4">
        <f t="shared" si="134"/>
        <v>56</v>
      </c>
      <c r="S514" s="102">
        <f t="shared" si="135"/>
        <v>45</v>
      </c>
      <c r="U514" s="101">
        <f t="shared" si="136"/>
        <v>9</v>
      </c>
      <c r="V514" s="4">
        <f t="shared" si="137"/>
        <v>41</v>
      </c>
      <c r="W514" s="4">
        <f t="shared" si="138"/>
        <v>39</v>
      </c>
      <c r="X514" s="4">
        <f t="shared" si="139"/>
        <v>78</v>
      </c>
      <c r="Y514" s="4">
        <f t="shared" si="140"/>
        <v>39</v>
      </c>
      <c r="Z514" s="4">
        <f t="shared" si="141"/>
        <v>78</v>
      </c>
      <c r="AA514" s="102">
        <f t="shared" si="142"/>
        <v>71</v>
      </c>
      <c r="AC514" s="100">
        <f t="shared" si="143"/>
        <v>0.98904432499094996</v>
      </c>
    </row>
    <row r="515" spans="4:29" x14ac:dyDescent="0.35">
      <c r="D515">
        <f t="shared" si="144"/>
        <v>511</v>
      </c>
      <c r="E515" s="101">
        <v>5</v>
      </c>
      <c r="F515" s="4">
        <v>4</v>
      </c>
      <c r="G515" s="4">
        <v>7</v>
      </c>
      <c r="H515" s="4">
        <v>7</v>
      </c>
      <c r="I515" s="4">
        <v>4</v>
      </c>
      <c r="J515" s="4">
        <v>5</v>
      </c>
      <c r="K515" s="102">
        <v>4</v>
      </c>
      <c r="M515" s="101">
        <f t="shared" si="129"/>
        <v>30</v>
      </c>
      <c r="N515" s="4">
        <f t="shared" si="130"/>
        <v>12</v>
      </c>
      <c r="O515" s="4">
        <f t="shared" si="131"/>
        <v>29</v>
      </c>
      <c r="P515" s="4">
        <f t="shared" si="132"/>
        <v>29</v>
      </c>
      <c r="Q515" s="4">
        <f t="shared" si="133"/>
        <v>12</v>
      </c>
      <c r="R515" s="4">
        <f t="shared" si="134"/>
        <v>30</v>
      </c>
      <c r="S515" s="102">
        <f t="shared" si="135"/>
        <v>12</v>
      </c>
      <c r="U515" s="101">
        <f t="shared" si="136"/>
        <v>39</v>
      </c>
      <c r="V515" s="4">
        <f t="shared" si="137"/>
        <v>9</v>
      </c>
      <c r="W515" s="4">
        <f t="shared" si="138"/>
        <v>41</v>
      </c>
      <c r="X515" s="4">
        <f t="shared" si="139"/>
        <v>41</v>
      </c>
      <c r="Y515" s="4">
        <f t="shared" si="140"/>
        <v>9</v>
      </c>
      <c r="Z515" s="4">
        <f t="shared" si="141"/>
        <v>39</v>
      </c>
      <c r="AA515" s="102">
        <f t="shared" si="142"/>
        <v>9</v>
      </c>
      <c r="AC515" s="100">
        <f t="shared" si="143"/>
        <v>0.99569243412255592</v>
      </c>
    </row>
    <row r="516" spans="4:29" x14ac:dyDescent="0.35">
      <c r="D516">
        <f t="shared" si="144"/>
        <v>512</v>
      </c>
      <c r="E516" s="101">
        <v>7</v>
      </c>
      <c r="F516" s="4">
        <v>1</v>
      </c>
      <c r="G516" s="4">
        <v>7</v>
      </c>
      <c r="H516" s="4">
        <v>4</v>
      </c>
      <c r="I516" s="4">
        <v>4</v>
      </c>
      <c r="J516" s="4">
        <v>3</v>
      </c>
      <c r="K516" s="102">
        <v>4</v>
      </c>
      <c r="M516" s="101">
        <f t="shared" si="129"/>
        <v>29</v>
      </c>
      <c r="N516" s="4">
        <f t="shared" si="130"/>
        <v>34</v>
      </c>
      <c r="O516" s="4">
        <f t="shared" si="131"/>
        <v>29</v>
      </c>
      <c r="P516" s="4">
        <f t="shared" si="132"/>
        <v>12</v>
      </c>
      <c r="Q516" s="4">
        <f t="shared" si="133"/>
        <v>12</v>
      </c>
      <c r="R516" s="4">
        <f t="shared" si="134"/>
        <v>23</v>
      </c>
      <c r="S516" s="102">
        <f t="shared" si="135"/>
        <v>12</v>
      </c>
      <c r="U516" s="101">
        <f t="shared" si="136"/>
        <v>41</v>
      </c>
      <c r="V516" s="4">
        <f t="shared" si="137"/>
        <v>46</v>
      </c>
      <c r="W516" s="4">
        <f t="shared" si="138"/>
        <v>41</v>
      </c>
      <c r="X516" s="4">
        <f t="shared" si="139"/>
        <v>9</v>
      </c>
      <c r="Y516" s="4">
        <f t="shared" si="140"/>
        <v>9</v>
      </c>
      <c r="Z516" s="4">
        <f t="shared" si="141"/>
        <v>39</v>
      </c>
      <c r="AA516" s="102">
        <f t="shared" si="142"/>
        <v>9</v>
      </c>
      <c r="AC516" s="100">
        <f t="shared" si="143"/>
        <v>0.97303358694050468</v>
      </c>
    </row>
    <row r="517" spans="4:29" x14ac:dyDescent="0.35">
      <c r="D517">
        <f t="shared" si="144"/>
        <v>513</v>
      </c>
      <c r="E517" s="101">
        <v>2</v>
      </c>
      <c r="F517" s="4">
        <v>6</v>
      </c>
      <c r="G517" s="4">
        <v>2</v>
      </c>
      <c r="H517" s="4">
        <v>3</v>
      </c>
      <c r="I517" s="4">
        <v>5</v>
      </c>
      <c r="J517" s="4">
        <v>7</v>
      </c>
      <c r="K517" s="102">
        <v>6</v>
      </c>
      <c r="M517" s="101">
        <f t="shared" si="129"/>
        <v>56</v>
      </c>
      <c r="N517" s="4">
        <f t="shared" si="130"/>
        <v>45</v>
      </c>
      <c r="O517" s="4">
        <f t="shared" si="131"/>
        <v>56</v>
      </c>
      <c r="P517" s="4">
        <f t="shared" si="132"/>
        <v>23</v>
      </c>
      <c r="Q517" s="4">
        <f t="shared" si="133"/>
        <v>30</v>
      </c>
      <c r="R517" s="4">
        <f t="shared" si="134"/>
        <v>29</v>
      </c>
      <c r="S517" s="102">
        <f t="shared" si="135"/>
        <v>45</v>
      </c>
      <c r="U517" s="101">
        <f t="shared" si="136"/>
        <v>78</v>
      </c>
      <c r="V517" s="4">
        <f t="shared" si="137"/>
        <v>71</v>
      </c>
      <c r="W517" s="4">
        <f t="shared" si="138"/>
        <v>78</v>
      </c>
      <c r="X517" s="4">
        <f t="shared" si="139"/>
        <v>39</v>
      </c>
      <c r="Y517" s="4">
        <f t="shared" si="140"/>
        <v>39</v>
      </c>
      <c r="Z517" s="4">
        <f t="shared" si="141"/>
        <v>41</v>
      </c>
      <c r="AA517" s="102">
        <f t="shared" si="142"/>
        <v>71</v>
      </c>
      <c r="AC517" s="100">
        <f t="shared" si="143"/>
        <v>0.96929933737538498</v>
      </c>
    </row>
    <row r="518" spans="4:29" x14ac:dyDescent="0.35">
      <c r="D518">
        <f t="shared" si="144"/>
        <v>514</v>
      </c>
      <c r="E518" s="101">
        <v>4</v>
      </c>
      <c r="F518" s="4">
        <v>5</v>
      </c>
      <c r="G518" s="4">
        <v>4</v>
      </c>
      <c r="H518" s="4">
        <v>2</v>
      </c>
      <c r="I518" s="4">
        <v>1</v>
      </c>
      <c r="J518" s="4">
        <v>5</v>
      </c>
      <c r="K518" s="102">
        <v>2</v>
      </c>
      <c r="M518" s="101">
        <f t="shared" ref="M518:M581" si="145">INDEX($A$5:$A$11,E518)</f>
        <v>12</v>
      </c>
      <c r="N518" s="4">
        <f t="shared" ref="N518:N581" si="146">INDEX($A$5:$A$11,F518)</f>
        <v>30</v>
      </c>
      <c r="O518" s="4">
        <f t="shared" ref="O518:O581" si="147">INDEX($A$5:$A$11,G518)</f>
        <v>12</v>
      </c>
      <c r="P518" s="4">
        <f t="shared" ref="P518:P581" si="148">INDEX($A$5:$A$11,H518)</f>
        <v>56</v>
      </c>
      <c r="Q518" s="4">
        <f t="shared" ref="Q518:Q581" si="149">INDEX($A$5:$A$11,I518)</f>
        <v>34</v>
      </c>
      <c r="R518" s="4">
        <f t="shared" ref="R518:R581" si="150">INDEX($A$5:$A$11,J518)</f>
        <v>30</v>
      </c>
      <c r="S518" s="102">
        <f t="shared" ref="S518:S581" si="151">INDEX($A$5:$A$11,K518)</f>
        <v>56</v>
      </c>
      <c r="U518" s="101">
        <f t="shared" ref="U518:U581" si="152">INDEX($B$5:$B$11,E518)</f>
        <v>9</v>
      </c>
      <c r="V518" s="4">
        <f t="shared" ref="V518:V581" si="153">INDEX($B$5:$B$11,F518)</f>
        <v>39</v>
      </c>
      <c r="W518" s="4">
        <f t="shared" ref="W518:W581" si="154">INDEX($B$5:$B$11,G518)</f>
        <v>9</v>
      </c>
      <c r="X518" s="4">
        <f t="shared" ref="X518:X581" si="155">INDEX($B$5:$B$11,H518)</f>
        <v>78</v>
      </c>
      <c r="Y518" s="4">
        <f t="shared" ref="Y518:Y581" si="156">INDEX($B$5:$B$11,I518)</f>
        <v>46</v>
      </c>
      <c r="Z518" s="4">
        <f t="shared" ref="Z518:Z581" si="157">INDEX($B$5:$B$11,J518)</f>
        <v>39</v>
      </c>
      <c r="AA518" s="102">
        <f t="shared" ref="AA518:AA581" si="158">INDEX($B$5:$B$11,K518)</f>
        <v>78</v>
      </c>
      <c r="AC518" s="100">
        <f t="shared" ref="AC518:AC581" si="159">CORREL(M518:S518,U518:AA518)</f>
        <v>0.99924091541056814</v>
      </c>
    </row>
    <row r="519" spans="4:29" x14ac:dyDescent="0.35">
      <c r="D519">
        <f t="shared" ref="D519:D582" si="160">D518+1</f>
        <v>515</v>
      </c>
      <c r="E519" s="101">
        <v>6</v>
      </c>
      <c r="F519" s="4">
        <v>3</v>
      </c>
      <c r="G519" s="4">
        <v>7</v>
      </c>
      <c r="H519" s="4">
        <v>5</v>
      </c>
      <c r="I519" s="4">
        <v>5</v>
      </c>
      <c r="J519" s="4">
        <v>4</v>
      </c>
      <c r="K519" s="102">
        <v>6</v>
      </c>
      <c r="M519" s="101">
        <f t="shared" si="145"/>
        <v>45</v>
      </c>
      <c r="N519" s="4">
        <f t="shared" si="146"/>
        <v>23</v>
      </c>
      <c r="O519" s="4">
        <f t="shared" si="147"/>
        <v>29</v>
      </c>
      <c r="P519" s="4">
        <f t="shared" si="148"/>
        <v>30</v>
      </c>
      <c r="Q519" s="4">
        <f t="shared" si="149"/>
        <v>30</v>
      </c>
      <c r="R519" s="4">
        <f t="shared" si="150"/>
        <v>12</v>
      </c>
      <c r="S519" s="102">
        <f t="shared" si="151"/>
        <v>45</v>
      </c>
      <c r="U519" s="101">
        <f t="shared" si="152"/>
        <v>71</v>
      </c>
      <c r="V519" s="4">
        <f t="shared" si="153"/>
        <v>39</v>
      </c>
      <c r="W519" s="4">
        <f t="shared" si="154"/>
        <v>41</v>
      </c>
      <c r="X519" s="4">
        <f t="shared" si="155"/>
        <v>39</v>
      </c>
      <c r="Y519" s="4">
        <f t="shared" si="156"/>
        <v>39</v>
      </c>
      <c r="Z519" s="4">
        <f t="shared" si="157"/>
        <v>9</v>
      </c>
      <c r="AA519" s="102">
        <f t="shared" si="158"/>
        <v>71</v>
      </c>
      <c r="AC519" s="100">
        <f t="shared" si="159"/>
        <v>0.97983445402296943</v>
      </c>
    </row>
    <row r="520" spans="4:29" x14ac:dyDescent="0.35">
      <c r="D520">
        <f t="shared" si="160"/>
        <v>516</v>
      </c>
      <c r="E520" s="101">
        <v>4</v>
      </c>
      <c r="F520" s="4">
        <v>7</v>
      </c>
      <c r="G520" s="4">
        <v>6</v>
      </c>
      <c r="H520" s="4">
        <v>2</v>
      </c>
      <c r="I520" s="4">
        <v>3</v>
      </c>
      <c r="J520" s="4">
        <v>2</v>
      </c>
      <c r="K520" s="102">
        <v>1</v>
      </c>
      <c r="M520" s="101">
        <f t="shared" si="145"/>
        <v>12</v>
      </c>
      <c r="N520" s="4">
        <f t="shared" si="146"/>
        <v>29</v>
      </c>
      <c r="O520" s="4">
        <f t="shared" si="147"/>
        <v>45</v>
      </c>
      <c r="P520" s="4">
        <f t="shared" si="148"/>
        <v>56</v>
      </c>
      <c r="Q520" s="4">
        <f t="shared" si="149"/>
        <v>23</v>
      </c>
      <c r="R520" s="4">
        <f t="shared" si="150"/>
        <v>56</v>
      </c>
      <c r="S520" s="102">
        <f t="shared" si="151"/>
        <v>34</v>
      </c>
      <c r="U520" s="101">
        <f t="shared" si="152"/>
        <v>9</v>
      </c>
      <c r="V520" s="4">
        <f t="shared" si="153"/>
        <v>41</v>
      </c>
      <c r="W520" s="4">
        <f t="shared" si="154"/>
        <v>71</v>
      </c>
      <c r="X520" s="4">
        <f t="shared" si="155"/>
        <v>78</v>
      </c>
      <c r="Y520" s="4">
        <f t="shared" si="156"/>
        <v>39</v>
      </c>
      <c r="Z520" s="4">
        <f t="shared" si="157"/>
        <v>78</v>
      </c>
      <c r="AA520" s="102">
        <f t="shared" si="158"/>
        <v>46</v>
      </c>
      <c r="AC520" s="100">
        <f t="shared" si="159"/>
        <v>0.97965305071165609</v>
      </c>
    </row>
    <row r="521" spans="4:29" x14ac:dyDescent="0.35">
      <c r="D521">
        <f t="shared" si="160"/>
        <v>517</v>
      </c>
      <c r="E521" s="101">
        <v>5</v>
      </c>
      <c r="F521" s="4">
        <v>3</v>
      </c>
      <c r="G521" s="4">
        <v>3</v>
      </c>
      <c r="H521" s="4">
        <v>5</v>
      </c>
      <c r="I521" s="4">
        <v>3</v>
      </c>
      <c r="J521" s="4">
        <v>5</v>
      </c>
      <c r="K521" s="102">
        <v>7</v>
      </c>
      <c r="M521" s="101">
        <f t="shared" si="145"/>
        <v>30</v>
      </c>
      <c r="N521" s="4">
        <f t="shared" si="146"/>
        <v>23</v>
      </c>
      <c r="O521" s="4">
        <f t="shared" si="147"/>
        <v>23</v>
      </c>
      <c r="P521" s="4">
        <f t="shared" si="148"/>
        <v>30</v>
      </c>
      <c r="Q521" s="4">
        <f t="shared" si="149"/>
        <v>23</v>
      </c>
      <c r="R521" s="4">
        <f t="shared" si="150"/>
        <v>30</v>
      </c>
      <c r="S521" s="102">
        <f t="shared" si="151"/>
        <v>29</v>
      </c>
      <c r="U521" s="101">
        <f t="shared" si="152"/>
        <v>39</v>
      </c>
      <c r="V521" s="4">
        <f t="shared" si="153"/>
        <v>39</v>
      </c>
      <c r="W521" s="4">
        <f t="shared" si="154"/>
        <v>39</v>
      </c>
      <c r="X521" s="4">
        <f t="shared" si="155"/>
        <v>39</v>
      </c>
      <c r="Y521" s="4">
        <f t="shared" si="156"/>
        <v>39</v>
      </c>
      <c r="Z521" s="4">
        <f t="shared" si="157"/>
        <v>39</v>
      </c>
      <c r="AA521" s="102">
        <f t="shared" si="158"/>
        <v>41</v>
      </c>
      <c r="AC521" s="100">
        <f t="shared" si="159"/>
        <v>0.2606430175713435</v>
      </c>
    </row>
    <row r="522" spans="4:29" x14ac:dyDescent="0.35">
      <c r="D522">
        <f t="shared" si="160"/>
        <v>518</v>
      </c>
      <c r="E522" s="101">
        <v>1</v>
      </c>
      <c r="F522" s="4">
        <v>4</v>
      </c>
      <c r="G522" s="4">
        <v>1</v>
      </c>
      <c r="H522" s="4">
        <v>7</v>
      </c>
      <c r="I522" s="4">
        <v>4</v>
      </c>
      <c r="J522" s="4">
        <v>4</v>
      </c>
      <c r="K522" s="102">
        <v>4</v>
      </c>
      <c r="M522" s="101">
        <f t="shared" si="145"/>
        <v>34</v>
      </c>
      <c r="N522" s="4">
        <f t="shared" si="146"/>
        <v>12</v>
      </c>
      <c r="O522" s="4">
        <f t="shared" si="147"/>
        <v>34</v>
      </c>
      <c r="P522" s="4">
        <f t="shared" si="148"/>
        <v>29</v>
      </c>
      <c r="Q522" s="4">
        <f t="shared" si="149"/>
        <v>12</v>
      </c>
      <c r="R522" s="4">
        <f t="shared" si="150"/>
        <v>12</v>
      </c>
      <c r="S522" s="102">
        <f t="shared" si="151"/>
        <v>12</v>
      </c>
      <c r="U522" s="101">
        <f t="shared" si="152"/>
        <v>46</v>
      </c>
      <c r="V522" s="4">
        <f t="shared" si="153"/>
        <v>9</v>
      </c>
      <c r="W522" s="4">
        <f t="shared" si="154"/>
        <v>46</v>
      </c>
      <c r="X522" s="4">
        <f t="shared" si="155"/>
        <v>41</v>
      </c>
      <c r="Y522" s="4">
        <f t="shared" si="156"/>
        <v>9</v>
      </c>
      <c r="Z522" s="4">
        <f t="shared" si="157"/>
        <v>9</v>
      </c>
      <c r="AA522" s="102">
        <f t="shared" si="158"/>
        <v>9</v>
      </c>
      <c r="AC522" s="100">
        <f t="shared" si="159"/>
        <v>0.99794356389732597</v>
      </c>
    </row>
    <row r="523" spans="4:29" x14ac:dyDescent="0.35">
      <c r="D523">
        <f t="shared" si="160"/>
        <v>519</v>
      </c>
      <c r="E523" s="101">
        <v>7</v>
      </c>
      <c r="F523" s="4">
        <v>3</v>
      </c>
      <c r="G523" s="4">
        <v>4</v>
      </c>
      <c r="H523" s="4">
        <v>7</v>
      </c>
      <c r="I523" s="4">
        <v>5</v>
      </c>
      <c r="J523" s="4">
        <v>6</v>
      </c>
      <c r="K523" s="102">
        <v>6</v>
      </c>
      <c r="M523" s="101">
        <f t="shared" si="145"/>
        <v>29</v>
      </c>
      <c r="N523" s="4">
        <f t="shared" si="146"/>
        <v>23</v>
      </c>
      <c r="O523" s="4">
        <f t="shared" si="147"/>
        <v>12</v>
      </c>
      <c r="P523" s="4">
        <f t="shared" si="148"/>
        <v>29</v>
      </c>
      <c r="Q523" s="4">
        <f t="shared" si="149"/>
        <v>30</v>
      </c>
      <c r="R523" s="4">
        <f t="shared" si="150"/>
        <v>45</v>
      </c>
      <c r="S523" s="102">
        <f t="shared" si="151"/>
        <v>45</v>
      </c>
      <c r="U523" s="101">
        <f t="shared" si="152"/>
        <v>41</v>
      </c>
      <c r="V523" s="4">
        <f t="shared" si="153"/>
        <v>39</v>
      </c>
      <c r="W523" s="4">
        <f t="shared" si="154"/>
        <v>9</v>
      </c>
      <c r="X523" s="4">
        <f t="shared" si="155"/>
        <v>41</v>
      </c>
      <c r="Y523" s="4">
        <f t="shared" si="156"/>
        <v>39</v>
      </c>
      <c r="Z523" s="4">
        <f t="shared" si="157"/>
        <v>71</v>
      </c>
      <c r="AA523" s="102">
        <f t="shared" si="158"/>
        <v>71</v>
      </c>
      <c r="AC523" s="100">
        <f t="shared" si="159"/>
        <v>0.9832088581879187</v>
      </c>
    </row>
    <row r="524" spans="4:29" x14ac:dyDescent="0.35">
      <c r="D524">
        <f t="shared" si="160"/>
        <v>520</v>
      </c>
      <c r="E524" s="101">
        <v>6</v>
      </c>
      <c r="F524" s="4">
        <v>1</v>
      </c>
      <c r="G524" s="4">
        <v>5</v>
      </c>
      <c r="H524" s="4">
        <v>6</v>
      </c>
      <c r="I524" s="4">
        <v>4</v>
      </c>
      <c r="J524" s="4">
        <v>3</v>
      </c>
      <c r="K524" s="102">
        <v>4</v>
      </c>
      <c r="M524" s="101">
        <f t="shared" si="145"/>
        <v>45</v>
      </c>
      <c r="N524" s="4">
        <f t="shared" si="146"/>
        <v>34</v>
      </c>
      <c r="O524" s="4">
        <f t="shared" si="147"/>
        <v>30</v>
      </c>
      <c r="P524" s="4">
        <f t="shared" si="148"/>
        <v>45</v>
      </c>
      <c r="Q524" s="4">
        <f t="shared" si="149"/>
        <v>12</v>
      </c>
      <c r="R524" s="4">
        <f t="shared" si="150"/>
        <v>23</v>
      </c>
      <c r="S524" s="102">
        <f t="shared" si="151"/>
        <v>12</v>
      </c>
      <c r="U524" s="101">
        <f t="shared" si="152"/>
        <v>71</v>
      </c>
      <c r="V524" s="4">
        <f t="shared" si="153"/>
        <v>46</v>
      </c>
      <c r="W524" s="4">
        <f t="shared" si="154"/>
        <v>39</v>
      </c>
      <c r="X524" s="4">
        <f t="shared" si="155"/>
        <v>71</v>
      </c>
      <c r="Y524" s="4">
        <f t="shared" si="156"/>
        <v>9</v>
      </c>
      <c r="Z524" s="4">
        <f t="shared" si="157"/>
        <v>39</v>
      </c>
      <c r="AA524" s="102">
        <f t="shared" si="158"/>
        <v>9</v>
      </c>
      <c r="AC524" s="100">
        <f t="shared" si="159"/>
        <v>0.98512683740495666</v>
      </c>
    </row>
    <row r="525" spans="4:29" x14ac:dyDescent="0.35">
      <c r="D525">
        <f t="shared" si="160"/>
        <v>521</v>
      </c>
      <c r="E525" s="101">
        <v>4</v>
      </c>
      <c r="F525" s="4">
        <v>2</v>
      </c>
      <c r="G525" s="4">
        <v>5</v>
      </c>
      <c r="H525" s="4">
        <v>4</v>
      </c>
      <c r="I525" s="4">
        <v>1</v>
      </c>
      <c r="J525" s="4">
        <v>6</v>
      </c>
      <c r="K525" s="102">
        <v>7</v>
      </c>
      <c r="M525" s="101">
        <f t="shared" si="145"/>
        <v>12</v>
      </c>
      <c r="N525" s="4">
        <f t="shared" si="146"/>
        <v>56</v>
      </c>
      <c r="O525" s="4">
        <f t="shared" si="147"/>
        <v>30</v>
      </c>
      <c r="P525" s="4">
        <f t="shared" si="148"/>
        <v>12</v>
      </c>
      <c r="Q525" s="4">
        <f t="shared" si="149"/>
        <v>34</v>
      </c>
      <c r="R525" s="4">
        <f t="shared" si="150"/>
        <v>45</v>
      </c>
      <c r="S525" s="102">
        <f t="shared" si="151"/>
        <v>29</v>
      </c>
      <c r="U525" s="101">
        <f t="shared" si="152"/>
        <v>9</v>
      </c>
      <c r="V525" s="4">
        <f t="shared" si="153"/>
        <v>78</v>
      </c>
      <c r="W525" s="4">
        <f t="shared" si="154"/>
        <v>39</v>
      </c>
      <c r="X525" s="4">
        <f t="shared" si="155"/>
        <v>9</v>
      </c>
      <c r="Y525" s="4">
        <f t="shared" si="156"/>
        <v>46</v>
      </c>
      <c r="Z525" s="4">
        <f t="shared" si="157"/>
        <v>71</v>
      </c>
      <c r="AA525" s="102">
        <f t="shared" si="158"/>
        <v>41</v>
      </c>
      <c r="AC525" s="100">
        <f t="shared" si="159"/>
        <v>0.99134852481361224</v>
      </c>
    </row>
    <row r="526" spans="4:29" x14ac:dyDescent="0.35">
      <c r="D526">
        <f t="shared" si="160"/>
        <v>522</v>
      </c>
      <c r="E526" s="101">
        <v>7</v>
      </c>
      <c r="F526" s="4">
        <v>3</v>
      </c>
      <c r="G526" s="4">
        <v>6</v>
      </c>
      <c r="H526" s="4">
        <v>4</v>
      </c>
      <c r="I526" s="4">
        <v>7</v>
      </c>
      <c r="J526" s="4">
        <v>5</v>
      </c>
      <c r="K526" s="102">
        <v>1</v>
      </c>
      <c r="M526" s="101">
        <f t="shared" si="145"/>
        <v>29</v>
      </c>
      <c r="N526" s="4">
        <f t="shared" si="146"/>
        <v>23</v>
      </c>
      <c r="O526" s="4">
        <f t="shared" si="147"/>
        <v>45</v>
      </c>
      <c r="P526" s="4">
        <f t="shared" si="148"/>
        <v>12</v>
      </c>
      <c r="Q526" s="4">
        <f t="shared" si="149"/>
        <v>29</v>
      </c>
      <c r="R526" s="4">
        <f t="shared" si="150"/>
        <v>30</v>
      </c>
      <c r="S526" s="102">
        <f t="shared" si="151"/>
        <v>34</v>
      </c>
      <c r="U526" s="101">
        <f t="shared" si="152"/>
        <v>41</v>
      </c>
      <c r="V526" s="4">
        <f t="shared" si="153"/>
        <v>39</v>
      </c>
      <c r="W526" s="4">
        <f t="shared" si="154"/>
        <v>71</v>
      </c>
      <c r="X526" s="4">
        <f t="shared" si="155"/>
        <v>9</v>
      </c>
      <c r="Y526" s="4">
        <f t="shared" si="156"/>
        <v>41</v>
      </c>
      <c r="Z526" s="4">
        <f t="shared" si="157"/>
        <v>39</v>
      </c>
      <c r="AA526" s="102">
        <f t="shared" si="158"/>
        <v>46</v>
      </c>
      <c r="AC526" s="100">
        <f t="shared" si="159"/>
        <v>0.97166056163722359</v>
      </c>
    </row>
    <row r="527" spans="4:29" x14ac:dyDescent="0.35">
      <c r="D527">
        <f t="shared" si="160"/>
        <v>523</v>
      </c>
      <c r="E527" s="101">
        <v>2</v>
      </c>
      <c r="F527" s="4">
        <v>3</v>
      </c>
      <c r="G527" s="4">
        <v>5</v>
      </c>
      <c r="H527" s="4">
        <v>7</v>
      </c>
      <c r="I527" s="4">
        <v>7</v>
      </c>
      <c r="J527" s="4">
        <v>6</v>
      </c>
      <c r="K527" s="102">
        <v>5</v>
      </c>
      <c r="M527" s="101">
        <f t="shared" si="145"/>
        <v>56</v>
      </c>
      <c r="N527" s="4">
        <f t="shared" si="146"/>
        <v>23</v>
      </c>
      <c r="O527" s="4">
        <f t="shared" si="147"/>
        <v>30</v>
      </c>
      <c r="P527" s="4">
        <f t="shared" si="148"/>
        <v>29</v>
      </c>
      <c r="Q527" s="4">
        <f t="shared" si="149"/>
        <v>29</v>
      </c>
      <c r="R527" s="4">
        <f t="shared" si="150"/>
        <v>45</v>
      </c>
      <c r="S527" s="102">
        <f t="shared" si="151"/>
        <v>30</v>
      </c>
      <c r="U527" s="101">
        <f t="shared" si="152"/>
        <v>78</v>
      </c>
      <c r="V527" s="4">
        <f t="shared" si="153"/>
        <v>39</v>
      </c>
      <c r="W527" s="4">
        <f t="shared" si="154"/>
        <v>39</v>
      </c>
      <c r="X527" s="4">
        <f t="shared" si="155"/>
        <v>41</v>
      </c>
      <c r="Y527" s="4">
        <f t="shared" si="156"/>
        <v>41</v>
      </c>
      <c r="Z527" s="4">
        <f t="shared" si="157"/>
        <v>71</v>
      </c>
      <c r="AA527" s="102">
        <f t="shared" si="158"/>
        <v>39</v>
      </c>
      <c r="AC527" s="100">
        <f t="shared" si="159"/>
        <v>0.96622632499708161</v>
      </c>
    </row>
    <row r="528" spans="4:29" x14ac:dyDescent="0.35">
      <c r="D528">
        <f t="shared" si="160"/>
        <v>524</v>
      </c>
      <c r="E528" s="101">
        <v>6</v>
      </c>
      <c r="F528" s="4">
        <v>6</v>
      </c>
      <c r="G528" s="4">
        <v>5</v>
      </c>
      <c r="H528" s="4">
        <v>4</v>
      </c>
      <c r="I528" s="4">
        <v>4</v>
      </c>
      <c r="J528" s="4">
        <v>3</v>
      </c>
      <c r="K528" s="102">
        <v>4</v>
      </c>
      <c r="M528" s="101">
        <f t="shared" si="145"/>
        <v>45</v>
      </c>
      <c r="N528" s="4">
        <f t="shared" si="146"/>
        <v>45</v>
      </c>
      <c r="O528" s="4">
        <f t="shared" si="147"/>
        <v>30</v>
      </c>
      <c r="P528" s="4">
        <f t="shared" si="148"/>
        <v>12</v>
      </c>
      <c r="Q528" s="4">
        <f t="shared" si="149"/>
        <v>12</v>
      </c>
      <c r="R528" s="4">
        <f t="shared" si="150"/>
        <v>23</v>
      </c>
      <c r="S528" s="102">
        <f t="shared" si="151"/>
        <v>12</v>
      </c>
      <c r="U528" s="101">
        <f t="shared" si="152"/>
        <v>71</v>
      </c>
      <c r="V528" s="4">
        <f t="shared" si="153"/>
        <v>71</v>
      </c>
      <c r="W528" s="4">
        <f t="shared" si="154"/>
        <v>39</v>
      </c>
      <c r="X528" s="4">
        <f t="shared" si="155"/>
        <v>9</v>
      </c>
      <c r="Y528" s="4">
        <f t="shared" si="156"/>
        <v>9</v>
      </c>
      <c r="Z528" s="4">
        <f t="shared" si="157"/>
        <v>39</v>
      </c>
      <c r="AA528" s="102">
        <f t="shared" si="158"/>
        <v>9</v>
      </c>
      <c r="AC528" s="100">
        <f t="shared" si="159"/>
        <v>0.98961706134483196</v>
      </c>
    </row>
    <row r="529" spans="4:29" x14ac:dyDescent="0.35">
      <c r="D529">
        <f t="shared" si="160"/>
        <v>525</v>
      </c>
      <c r="E529" s="101">
        <v>1</v>
      </c>
      <c r="F529" s="4">
        <v>4</v>
      </c>
      <c r="G529" s="4">
        <v>5</v>
      </c>
      <c r="H529" s="4">
        <v>7</v>
      </c>
      <c r="I529" s="4">
        <v>5</v>
      </c>
      <c r="J529" s="4">
        <v>5</v>
      </c>
      <c r="K529" s="102">
        <v>7</v>
      </c>
      <c r="M529" s="101">
        <f t="shared" si="145"/>
        <v>34</v>
      </c>
      <c r="N529" s="4">
        <f t="shared" si="146"/>
        <v>12</v>
      </c>
      <c r="O529" s="4">
        <f t="shared" si="147"/>
        <v>30</v>
      </c>
      <c r="P529" s="4">
        <f t="shared" si="148"/>
        <v>29</v>
      </c>
      <c r="Q529" s="4">
        <f t="shared" si="149"/>
        <v>30</v>
      </c>
      <c r="R529" s="4">
        <f t="shared" si="150"/>
        <v>30</v>
      </c>
      <c r="S529" s="102">
        <f t="shared" si="151"/>
        <v>29</v>
      </c>
      <c r="U529" s="101">
        <f t="shared" si="152"/>
        <v>46</v>
      </c>
      <c r="V529" s="4">
        <f t="shared" si="153"/>
        <v>9</v>
      </c>
      <c r="W529" s="4">
        <f t="shared" si="154"/>
        <v>39</v>
      </c>
      <c r="X529" s="4">
        <f t="shared" si="155"/>
        <v>41</v>
      </c>
      <c r="Y529" s="4">
        <f t="shared" si="156"/>
        <v>39</v>
      </c>
      <c r="Z529" s="4">
        <f t="shared" si="157"/>
        <v>39</v>
      </c>
      <c r="AA529" s="102">
        <f t="shared" si="158"/>
        <v>41</v>
      </c>
      <c r="AC529" s="100">
        <f t="shared" si="159"/>
        <v>0.98991612908516025</v>
      </c>
    </row>
    <row r="530" spans="4:29" x14ac:dyDescent="0.35">
      <c r="D530">
        <f t="shared" si="160"/>
        <v>526</v>
      </c>
      <c r="E530" s="101">
        <v>7</v>
      </c>
      <c r="F530" s="4">
        <v>7</v>
      </c>
      <c r="G530" s="4">
        <v>3</v>
      </c>
      <c r="H530" s="4">
        <v>2</v>
      </c>
      <c r="I530" s="4">
        <v>7</v>
      </c>
      <c r="J530" s="4">
        <v>7</v>
      </c>
      <c r="K530" s="102">
        <v>4</v>
      </c>
      <c r="M530" s="101">
        <f t="shared" si="145"/>
        <v>29</v>
      </c>
      <c r="N530" s="4">
        <f t="shared" si="146"/>
        <v>29</v>
      </c>
      <c r="O530" s="4">
        <f t="shared" si="147"/>
        <v>23</v>
      </c>
      <c r="P530" s="4">
        <f t="shared" si="148"/>
        <v>56</v>
      </c>
      <c r="Q530" s="4">
        <f t="shared" si="149"/>
        <v>29</v>
      </c>
      <c r="R530" s="4">
        <f t="shared" si="150"/>
        <v>29</v>
      </c>
      <c r="S530" s="102">
        <f t="shared" si="151"/>
        <v>12</v>
      </c>
      <c r="U530" s="101">
        <f t="shared" si="152"/>
        <v>41</v>
      </c>
      <c r="V530" s="4">
        <f t="shared" si="153"/>
        <v>41</v>
      </c>
      <c r="W530" s="4">
        <f t="shared" si="154"/>
        <v>39</v>
      </c>
      <c r="X530" s="4">
        <f t="shared" si="155"/>
        <v>78</v>
      </c>
      <c r="Y530" s="4">
        <f t="shared" si="156"/>
        <v>41</v>
      </c>
      <c r="Z530" s="4">
        <f t="shared" si="157"/>
        <v>41</v>
      </c>
      <c r="AA530" s="102">
        <f t="shared" si="158"/>
        <v>9</v>
      </c>
      <c r="AC530" s="100">
        <f t="shared" si="159"/>
        <v>0.97855434619132997</v>
      </c>
    </row>
    <row r="531" spans="4:29" x14ac:dyDescent="0.35">
      <c r="D531">
        <f t="shared" si="160"/>
        <v>527</v>
      </c>
      <c r="E531" s="101">
        <v>4</v>
      </c>
      <c r="F531" s="4">
        <v>1</v>
      </c>
      <c r="G531" s="4">
        <v>4</v>
      </c>
      <c r="H531" s="4">
        <v>6</v>
      </c>
      <c r="I531" s="4">
        <v>1</v>
      </c>
      <c r="J531" s="4">
        <v>5</v>
      </c>
      <c r="K531" s="102">
        <v>7</v>
      </c>
      <c r="M531" s="101">
        <f t="shared" si="145"/>
        <v>12</v>
      </c>
      <c r="N531" s="4">
        <f t="shared" si="146"/>
        <v>34</v>
      </c>
      <c r="O531" s="4">
        <f t="shared" si="147"/>
        <v>12</v>
      </c>
      <c r="P531" s="4">
        <f t="shared" si="148"/>
        <v>45</v>
      </c>
      <c r="Q531" s="4">
        <f t="shared" si="149"/>
        <v>34</v>
      </c>
      <c r="R531" s="4">
        <f t="shared" si="150"/>
        <v>30</v>
      </c>
      <c r="S531" s="102">
        <f t="shared" si="151"/>
        <v>29</v>
      </c>
      <c r="U531" s="101">
        <f t="shared" si="152"/>
        <v>9</v>
      </c>
      <c r="V531" s="4">
        <f t="shared" si="153"/>
        <v>46</v>
      </c>
      <c r="W531" s="4">
        <f t="shared" si="154"/>
        <v>9</v>
      </c>
      <c r="X531" s="4">
        <f t="shared" si="155"/>
        <v>71</v>
      </c>
      <c r="Y531" s="4">
        <f t="shared" si="156"/>
        <v>46</v>
      </c>
      <c r="Z531" s="4">
        <f t="shared" si="157"/>
        <v>39</v>
      </c>
      <c r="AA531" s="102">
        <f t="shared" si="158"/>
        <v>41</v>
      </c>
      <c r="AC531" s="100">
        <f t="shared" si="159"/>
        <v>0.99550802398803739</v>
      </c>
    </row>
    <row r="532" spans="4:29" x14ac:dyDescent="0.35">
      <c r="D532">
        <f t="shared" si="160"/>
        <v>528</v>
      </c>
      <c r="E532" s="101">
        <v>1</v>
      </c>
      <c r="F532" s="4">
        <v>3</v>
      </c>
      <c r="G532" s="4">
        <v>2</v>
      </c>
      <c r="H532" s="4">
        <v>3</v>
      </c>
      <c r="I532" s="4">
        <v>4</v>
      </c>
      <c r="J532" s="4">
        <v>4</v>
      </c>
      <c r="K532" s="102">
        <v>2</v>
      </c>
      <c r="M532" s="101">
        <f t="shared" si="145"/>
        <v>34</v>
      </c>
      <c r="N532" s="4">
        <f t="shared" si="146"/>
        <v>23</v>
      </c>
      <c r="O532" s="4">
        <f t="shared" si="147"/>
        <v>56</v>
      </c>
      <c r="P532" s="4">
        <f t="shared" si="148"/>
        <v>23</v>
      </c>
      <c r="Q532" s="4">
        <f t="shared" si="149"/>
        <v>12</v>
      </c>
      <c r="R532" s="4">
        <f t="shared" si="150"/>
        <v>12</v>
      </c>
      <c r="S532" s="102">
        <f t="shared" si="151"/>
        <v>56</v>
      </c>
      <c r="U532" s="101">
        <f t="shared" si="152"/>
        <v>46</v>
      </c>
      <c r="V532" s="4">
        <f t="shared" si="153"/>
        <v>39</v>
      </c>
      <c r="W532" s="4">
        <f t="shared" si="154"/>
        <v>78</v>
      </c>
      <c r="X532" s="4">
        <f t="shared" si="155"/>
        <v>39</v>
      </c>
      <c r="Y532" s="4">
        <f t="shared" si="156"/>
        <v>9</v>
      </c>
      <c r="Z532" s="4">
        <f t="shared" si="157"/>
        <v>9</v>
      </c>
      <c r="AA532" s="102">
        <f t="shared" si="158"/>
        <v>78</v>
      </c>
      <c r="AC532" s="100">
        <f t="shared" si="159"/>
        <v>0.97876077773759196</v>
      </c>
    </row>
    <row r="533" spans="4:29" x14ac:dyDescent="0.35">
      <c r="D533">
        <f t="shared" si="160"/>
        <v>529</v>
      </c>
      <c r="E533" s="101">
        <v>4</v>
      </c>
      <c r="F533" s="4">
        <v>1</v>
      </c>
      <c r="G533" s="4">
        <v>5</v>
      </c>
      <c r="H533" s="4">
        <v>6</v>
      </c>
      <c r="I533" s="4">
        <v>3</v>
      </c>
      <c r="J533" s="4">
        <v>1</v>
      </c>
      <c r="K533" s="102">
        <v>4</v>
      </c>
      <c r="M533" s="101">
        <f t="shared" si="145"/>
        <v>12</v>
      </c>
      <c r="N533" s="4">
        <f t="shared" si="146"/>
        <v>34</v>
      </c>
      <c r="O533" s="4">
        <f t="shared" si="147"/>
        <v>30</v>
      </c>
      <c r="P533" s="4">
        <f t="shared" si="148"/>
        <v>45</v>
      </c>
      <c r="Q533" s="4">
        <f t="shared" si="149"/>
        <v>23</v>
      </c>
      <c r="R533" s="4">
        <f t="shared" si="150"/>
        <v>34</v>
      </c>
      <c r="S533" s="102">
        <f t="shared" si="151"/>
        <v>12</v>
      </c>
      <c r="U533" s="101">
        <f t="shared" si="152"/>
        <v>9</v>
      </c>
      <c r="V533" s="4">
        <f t="shared" si="153"/>
        <v>46</v>
      </c>
      <c r="W533" s="4">
        <f t="shared" si="154"/>
        <v>39</v>
      </c>
      <c r="X533" s="4">
        <f t="shared" si="155"/>
        <v>71</v>
      </c>
      <c r="Y533" s="4">
        <f t="shared" si="156"/>
        <v>39</v>
      </c>
      <c r="Z533" s="4">
        <f t="shared" si="157"/>
        <v>46</v>
      </c>
      <c r="AA533" s="102">
        <f t="shared" si="158"/>
        <v>9</v>
      </c>
      <c r="AC533" s="100">
        <f t="shared" si="159"/>
        <v>0.97823976808718816</v>
      </c>
    </row>
    <row r="534" spans="4:29" x14ac:dyDescent="0.35">
      <c r="D534">
        <f t="shared" si="160"/>
        <v>530</v>
      </c>
      <c r="E534" s="101">
        <v>5</v>
      </c>
      <c r="F534" s="4">
        <v>7</v>
      </c>
      <c r="G534" s="4">
        <v>2</v>
      </c>
      <c r="H534" s="4">
        <v>5</v>
      </c>
      <c r="I534" s="4">
        <v>7</v>
      </c>
      <c r="J534" s="4">
        <v>6</v>
      </c>
      <c r="K534" s="102">
        <v>4</v>
      </c>
      <c r="M534" s="101">
        <f t="shared" si="145"/>
        <v>30</v>
      </c>
      <c r="N534" s="4">
        <f t="shared" si="146"/>
        <v>29</v>
      </c>
      <c r="O534" s="4">
        <f t="shared" si="147"/>
        <v>56</v>
      </c>
      <c r="P534" s="4">
        <f t="shared" si="148"/>
        <v>30</v>
      </c>
      <c r="Q534" s="4">
        <f t="shared" si="149"/>
        <v>29</v>
      </c>
      <c r="R534" s="4">
        <f t="shared" si="150"/>
        <v>45</v>
      </c>
      <c r="S534" s="102">
        <f t="shared" si="151"/>
        <v>12</v>
      </c>
      <c r="U534" s="101">
        <f t="shared" si="152"/>
        <v>39</v>
      </c>
      <c r="V534" s="4">
        <f t="shared" si="153"/>
        <v>41</v>
      </c>
      <c r="W534" s="4">
        <f t="shared" si="154"/>
        <v>78</v>
      </c>
      <c r="X534" s="4">
        <f t="shared" si="155"/>
        <v>39</v>
      </c>
      <c r="Y534" s="4">
        <f t="shared" si="156"/>
        <v>41</v>
      </c>
      <c r="Z534" s="4">
        <f t="shared" si="157"/>
        <v>71</v>
      </c>
      <c r="AA534" s="102">
        <f t="shared" si="158"/>
        <v>9</v>
      </c>
      <c r="AC534" s="100">
        <f t="shared" si="159"/>
        <v>0.98749316057530612</v>
      </c>
    </row>
    <row r="535" spans="4:29" x14ac:dyDescent="0.35">
      <c r="D535">
        <f t="shared" si="160"/>
        <v>531</v>
      </c>
      <c r="E535" s="101">
        <v>5</v>
      </c>
      <c r="F535" s="4">
        <v>5</v>
      </c>
      <c r="G535" s="4">
        <v>1</v>
      </c>
      <c r="H535" s="4">
        <v>4</v>
      </c>
      <c r="I535" s="4">
        <v>4</v>
      </c>
      <c r="J535" s="4">
        <v>1</v>
      </c>
      <c r="K535" s="102">
        <v>6</v>
      </c>
      <c r="M535" s="101">
        <f t="shared" si="145"/>
        <v>30</v>
      </c>
      <c r="N535" s="4">
        <f t="shared" si="146"/>
        <v>30</v>
      </c>
      <c r="O535" s="4">
        <f t="shared" si="147"/>
        <v>34</v>
      </c>
      <c r="P535" s="4">
        <f t="shared" si="148"/>
        <v>12</v>
      </c>
      <c r="Q535" s="4">
        <f t="shared" si="149"/>
        <v>12</v>
      </c>
      <c r="R535" s="4">
        <f t="shared" si="150"/>
        <v>34</v>
      </c>
      <c r="S535" s="102">
        <f t="shared" si="151"/>
        <v>45</v>
      </c>
      <c r="U535" s="101">
        <f t="shared" si="152"/>
        <v>39</v>
      </c>
      <c r="V535" s="4">
        <f t="shared" si="153"/>
        <v>39</v>
      </c>
      <c r="W535" s="4">
        <f t="shared" si="154"/>
        <v>46</v>
      </c>
      <c r="X535" s="4">
        <f t="shared" si="155"/>
        <v>9</v>
      </c>
      <c r="Y535" s="4">
        <f t="shared" si="156"/>
        <v>9</v>
      </c>
      <c r="Z535" s="4">
        <f t="shared" si="157"/>
        <v>46</v>
      </c>
      <c r="AA535" s="102">
        <f t="shared" si="158"/>
        <v>71</v>
      </c>
      <c r="AC535" s="100">
        <f t="shared" si="159"/>
        <v>0.99585273567543908</v>
      </c>
    </row>
    <row r="536" spans="4:29" x14ac:dyDescent="0.35">
      <c r="D536">
        <f t="shared" si="160"/>
        <v>532</v>
      </c>
      <c r="E536" s="101">
        <v>2</v>
      </c>
      <c r="F536" s="4">
        <v>2</v>
      </c>
      <c r="G536" s="4">
        <v>2</v>
      </c>
      <c r="H536" s="4">
        <v>6</v>
      </c>
      <c r="I536" s="4">
        <v>1</v>
      </c>
      <c r="J536" s="4">
        <v>1</v>
      </c>
      <c r="K536" s="102">
        <v>2</v>
      </c>
      <c r="M536" s="101">
        <f t="shared" si="145"/>
        <v>56</v>
      </c>
      <c r="N536" s="4">
        <f t="shared" si="146"/>
        <v>56</v>
      </c>
      <c r="O536" s="4">
        <f t="shared" si="147"/>
        <v>56</v>
      </c>
      <c r="P536" s="4">
        <f t="shared" si="148"/>
        <v>45</v>
      </c>
      <c r="Q536" s="4">
        <f t="shared" si="149"/>
        <v>34</v>
      </c>
      <c r="R536" s="4">
        <f t="shared" si="150"/>
        <v>34</v>
      </c>
      <c r="S536" s="102">
        <f t="shared" si="151"/>
        <v>56</v>
      </c>
      <c r="U536" s="101">
        <f t="shared" si="152"/>
        <v>78</v>
      </c>
      <c r="V536" s="4">
        <f t="shared" si="153"/>
        <v>78</v>
      </c>
      <c r="W536" s="4">
        <f t="shared" si="154"/>
        <v>78</v>
      </c>
      <c r="X536" s="4">
        <f t="shared" si="155"/>
        <v>71</v>
      </c>
      <c r="Y536" s="4">
        <f t="shared" si="156"/>
        <v>46</v>
      </c>
      <c r="Z536" s="4">
        <f t="shared" si="157"/>
        <v>46</v>
      </c>
      <c r="AA536" s="102">
        <f t="shared" si="158"/>
        <v>78</v>
      </c>
      <c r="AC536" s="100">
        <f t="shared" si="159"/>
        <v>0.97491499971557327</v>
      </c>
    </row>
    <row r="537" spans="4:29" x14ac:dyDescent="0.35">
      <c r="D537">
        <f t="shared" si="160"/>
        <v>533</v>
      </c>
      <c r="E537" s="101">
        <v>4</v>
      </c>
      <c r="F537" s="4">
        <v>3</v>
      </c>
      <c r="G537" s="4">
        <v>5</v>
      </c>
      <c r="H537" s="4">
        <v>5</v>
      </c>
      <c r="I537" s="4">
        <v>2</v>
      </c>
      <c r="J537" s="4">
        <v>7</v>
      </c>
      <c r="K537" s="102">
        <v>2</v>
      </c>
      <c r="M537" s="101">
        <f t="shared" si="145"/>
        <v>12</v>
      </c>
      <c r="N537" s="4">
        <f t="shared" si="146"/>
        <v>23</v>
      </c>
      <c r="O537" s="4">
        <f t="shared" si="147"/>
        <v>30</v>
      </c>
      <c r="P537" s="4">
        <f t="shared" si="148"/>
        <v>30</v>
      </c>
      <c r="Q537" s="4">
        <f t="shared" si="149"/>
        <v>56</v>
      </c>
      <c r="R537" s="4">
        <f t="shared" si="150"/>
        <v>29</v>
      </c>
      <c r="S537" s="102">
        <f t="shared" si="151"/>
        <v>56</v>
      </c>
      <c r="U537" s="101">
        <f t="shared" si="152"/>
        <v>9</v>
      </c>
      <c r="V537" s="4">
        <f t="shared" si="153"/>
        <v>39</v>
      </c>
      <c r="W537" s="4">
        <f t="shared" si="154"/>
        <v>39</v>
      </c>
      <c r="X537" s="4">
        <f t="shared" si="155"/>
        <v>39</v>
      </c>
      <c r="Y537" s="4">
        <f t="shared" si="156"/>
        <v>78</v>
      </c>
      <c r="Z537" s="4">
        <f t="shared" si="157"/>
        <v>41</v>
      </c>
      <c r="AA537" s="102">
        <f t="shared" si="158"/>
        <v>78</v>
      </c>
      <c r="AC537" s="100">
        <f t="shared" si="159"/>
        <v>0.98431327180007921</v>
      </c>
    </row>
    <row r="538" spans="4:29" x14ac:dyDescent="0.35">
      <c r="D538">
        <f t="shared" si="160"/>
        <v>534</v>
      </c>
      <c r="E538" s="101">
        <v>4</v>
      </c>
      <c r="F538" s="4">
        <v>3</v>
      </c>
      <c r="G538" s="4">
        <v>6</v>
      </c>
      <c r="H538" s="4">
        <v>4</v>
      </c>
      <c r="I538" s="4">
        <v>1</v>
      </c>
      <c r="J538" s="4">
        <v>4</v>
      </c>
      <c r="K538" s="102">
        <v>2</v>
      </c>
      <c r="M538" s="101">
        <f t="shared" si="145"/>
        <v>12</v>
      </c>
      <c r="N538" s="4">
        <f t="shared" si="146"/>
        <v>23</v>
      </c>
      <c r="O538" s="4">
        <f t="shared" si="147"/>
        <v>45</v>
      </c>
      <c r="P538" s="4">
        <f t="shared" si="148"/>
        <v>12</v>
      </c>
      <c r="Q538" s="4">
        <f t="shared" si="149"/>
        <v>34</v>
      </c>
      <c r="R538" s="4">
        <f t="shared" si="150"/>
        <v>12</v>
      </c>
      <c r="S538" s="102">
        <f t="shared" si="151"/>
        <v>56</v>
      </c>
      <c r="U538" s="101">
        <f t="shared" si="152"/>
        <v>9</v>
      </c>
      <c r="V538" s="4">
        <f t="shared" si="153"/>
        <v>39</v>
      </c>
      <c r="W538" s="4">
        <f t="shared" si="154"/>
        <v>71</v>
      </c>
      <c r="X538" s="4">
        <f t="shared" si="155"/>
        <v>9</v>
      </c>
      <c r="Y538" s="4">
        <f t="shared" si="156"/>
        <v>46</v>
      </c>
      <c r="Z538" s="4">
        <f t="shared" si="157"/>
        <v>9</v>
      </c>
      <c r="AA538" s="102">
        <f t="shared" si="158"/>
        <v>78</v>
      </c>
      <c r="AC538" s="100">
        <f t="shared" si="159"/>
        <v>0.98358467533650495</v>
      </c>
    </row>
    <row r="539" spans="4:29" x14ac:dyDescent="0.35">
      <c r="D539">
        <f t="shared" si="160"/>
        <v>535</v>
      </c>
      <c r="E539" s="101">
        <v>7</v>
      </c>
      <c r="F539" s="4">
        <v>3</v>
      </c>
      <c r="G539" s="4">
        <v>1</v>
      </c>
      <c r="H539" s="4">
        <v>7</v>
      </c>
      <c r="I539" s="4">
        <v>3</v>
      </c>
      <c r="J539" s="4">
        <v>1</v>
      </c>
      <c r="K539" s="102">
        <v>1</v>
      </c>
      <c r="M539" s="101">
        <f t="shared" si="145"/>
        <v>29</v>
      </c>
      <c r="N539" s="4">
        <f t="shared" si="146"/>
        <v>23</v>
      </c>
      <c r="O539" s="4">
        <f t="shared" si="147"/>
        <v>34</v>
      </c>
      <c r="P539" s="4">
        <f t="shared" si="148"/>
        <v>29</v>
      </c>
      <c r="Q539" s="4">
        <f t="shared" si="149"/>
        <v>23</v>
      </c>
      <c r="R539" s="4">
        <f t="shared" si="150"/>
        <v>34</v>
      </c>
      <c r="S539" s="102">
        <f t="shared" si="151"/>
        <v>34</v>
      </c>
      <c r="U539" s="101">
        <f t="shared" si="152"/>
        <v>41</v>
      </c>
      <c r="V539" s="4">
        <f t="shared" si="153"/>
        <v>39</v>
      </c>
      <c r="W539" s="4">
        <f t="shared" si="154"/>
        <v>46</v>
      </c>
      <c r="X539" s="4">
        <f t="shared" si="155"/>
        <v>41</v>
      </c>
      <c r="Y539" s="4">
        <f t="shared" si="156"/>
        <v>39</v>
      </c>
      <c r="Z539" s="4">
        <f t="shared" si="157"/>
        <v>46</v>
      </c>
      <c r="AA539" s="102">
        <f t="shared" si="158"/>
        <v>46</v>
      </c>
      <c r="AC539" s="100">
        <f t="shared" si="159"/>
        <v>0.96352931808174314</v>
      </c>
    </row>
    <row r="540" spans="4:29" x14ac:dyDescent="0.35">
      <c r="D540">
        <f t="shared" si="160"/>
        <v>536</v>
      </c>
      <c r="E540" s="101">
        <v>7</v>
      </c>
      <c r="F540" s="4">
        <v>7</v>
      </c>
      <c r="G540" s="4">
        <v>5</v>
      </c>
      <c r="H540" s="4">
        <v>4</v>
      </c>
      <c r="I540" s="4">
        <v>5</v>
      </c>
      <c r="J540" s="4">
        <v>4</v>
      </c>
      <c r="K540" s="102">
        <v>4</v>
      </c>
      <c r="M540" s="101">
        <f t="shared" si="145"/>
        <v>29</v>
      </c>
      <c r="N540" s="4">
        <f t="shared" si="146"/>
        <v>29</v>
      </c>
      <c r="O540" s="4">
        <f t="shared" si="147"/>
        <v>30</v>
      </c>
      <c r="P540" s="4">
        <f t="shared" si="148"/>
        <v>12</v>
      </c>
      <c r="Q540" s="4">
        <f t="shared" si="149"/>
        <v>30</v>
      </c>
      <c r="R540" s="4">
        <f t="shared" si="150"/>
        <v>12</v>
      </c>
      <c r="S540" s="102">
        <f t="shared" si="151"/>
        <v>12</v>
      </c>
      <c r="U540" s="101">
        <f t="shared" si="152"/>
        <v>41</v>
      </c>
      <c r="V540" s="4">
        <f t="shared" si="153"/>
        <v>41</v>
      </c>
      <c r="W540" s="4">
        <f t="shared" si="154"/>
        <v>39</v>
      </c>
      <c r="X540" s="4">
        <f t="shared" si="155"/>
        <v>9</v>
      </c>
      <c r="Y540" s="4">
        <f t="shared" si="156"/>
        <v>39</v>
      </c>
      <c r="Z540" s="4">
        <f t="shared" si="157"/>
        <v>9</v>
      </c>
      <c r="AA540" s="102">
        <f t="shared" si="158"/>
        <v>9</v>
      </c>
      <c r="AC540" s="100">
        <f t="shared" si="159"/>
        <v>0.99569243412255592</v>
      </c>
    </row>
    <row r="541" spans="4:29" x14ac:dyDescent="0.35">
      <c r="D541">
        <f t="shared" si="160"/>
        <v>537</v>
      </c>
      <c r="E541" s="101">
        <v>6</v>
      </c>
      <c r="F541" s="4">
        <v>2</v>
      </c>
      <c r="G541" s="4">
        <v>5</v>
      </c>
      <c r="H541" s="4">
        <v>6</v>
      </c>
      <c r="I541" s="4">
        <v>4</v>
      </c>
      <c r="J541" s="4">
        <v>1</v>
      </c>
      <c r="K541" s="102">
        <v>2</v>
      </c>
      <c r="M541" s="101">
        <f t="shared" si="145"/>
        <v>45</v>
      </c>
      <c r="N541" s="4">
        <f t="shared" si="146"/>
        <v>56</v>
      </c>
      <c r="O541" s="4">
        <f t="shared" si="147"/>
        <v>30</v>
      </c>
      <c r="P541" s="4">
        <f t="shared" si="148"/>
        <v>45</v>
      </c>
      <c r="Q541" s="4">
        <f t="shared" si="149"/>
        <v>12</v>
      </c>
      <c r="R541" s="4">
        <f t="shared" si="150"/>
        <v>34</v>
      </c>
      <c r="S541" s="102">
        <f t="shared" si="151"/>
        <v>56</v>
      </c>
      <c r="U541" s="101">
        <f t="shared" si="152"/>
        <v>71</v>
      </c>
      <c r="V541" s="4">
        <f t="shared" si="153"/>
        <v>78</v>
      </c>
      <c r="W541" s="4">
        <f t="shared" si="154"/>
        <v>39</v>
      </c>
      <c r="X541" s="4">
        <f t="shared" si="155"/>
        <v>71</v>
      </c>
      <c r="Y541" s="4">
        <f t="shared" si="156"/>
        <v>9</v>
      </c>
      <c r="Z541" s="4">
        <f t="shared" si="157"/>
        <v>46</v>
      </c>
      <c r="AA541" s="102">
        <f t="shared" si="158"/>
        <v>78</v>
      </c>
      <c r="AC541" s="100">
        <f t="shared" si="159"/>
        <v>0.98395226878976616</v>
      </c>
    </row>
    <row r="542" spans="4:29" x14ac:dyDescent="0.35">
      <c r="D542">
        <f t="shared" si="160"/>
        <v>538</v>
      </c>
      <c r="E542" s="101">
        <v>2</v>
      </c>
      <c r="F542" s="4">
        <v>5</v>
      </c>
      <c r="G542" s="4">
        <v>1</v>
      </c>
      <c r="H542" s="4">
        <v>5</v>
      </c>
      <c r="I542" s="4">
        <v>6</v>
      </c>
      <c r="J542" s="4">
        <v>3</v>
      </c>
      <c r="K542" s="102">
        <v>7</v>
      </c>
      <c r="M542" s="101">
        <f t="shared" si="145"/>
        <v>56</v>
      </c>
      <c r="N542" s="4">
        <f t="shared" si="146"/>
        <v>30</v>
      </c>
      <c r="O542" s="4">
        <f t="shared" si="147"/>
        <v>34</v>
      </c>
      <c r="P542" s="4">
        <f t="shared" si="148"/>
        <v>30</v>
      </c>
      <c r="Q542" s="4">
        <f t="shared" si="149"/>
        <v>45</v>
      </c>
      <c r="R542" s="4">
        <f t="shared" si="150"/>
        <v>23</v>
      </c>
      <c r="S542" s="102">
        <f t="shared" si="151"/>
        <v>29</v>
      </c>
      <c r="U542" s="101">
        <f t="shared" si="152"/>
        <v>78</v>
      </c>
      <c r="V542" s="4">
        <f t="shared" si="153"/>
        <v>39</v>
      </c>
      <c r="W542" s="4">
        <f t="shared" si="154"/>
        <v>46</v>
      </c>
      <c r="X542" s="4">
        <f t="shared" si="155"/>
        <v>39</v>
      </c>
      <c r="Y542" s="4">
        <f t="shared" si="156"/>
        <v>71</v>
      </c>
      <c r="Z542" s="4">
        <f t="shared" si="157"/>
        <v>39</v>
      </c>
      <c r="AA542" s="102">
        <f t="shared" si="158"/>
        <v>41</v>
      </c>
      <c r="AC542" s="100">
        <f t="shared" si="159"/>
        <v>0.96267816560012376</v>
      </c>
    </row>
    <row r="543" spans="4:29" x14ac:dyDescent="0.35">
      <c r="D543">
        <f t="shared" si="160"/>
        <v>539</v>
      </c>
      <c r="E543" s="101">
        <v>3</v>
      </c>
      <c r="F543" s="4">
        <v>5</v>
      </c>
      <c r="G543" s="4">
        <v>2</v>
      </c>
      <c r="H543" s="4">
        <v>6</v>
      </c>
      <c r="I543" s="4">
        <v>4</v>
      </c>
      <c r="J543" s="4">
        <v>3</v>
      </c>
      <c r="K543" s="102">
        <v>2</v>
      </c>
      <c r="M543" s="101">
        <f t="shared" si="145"/>
        <v>23</v>
      </c>
      <c r="N543" s="4">
        <f t="shared" si="146"/>
        <v>30</v>
      </c>
      <c r="O543" s="4">
        <f t="shared" si="147"/>
        <v>56</v>
      </c>
      <c r="P543" s="4">
        <f t="shared" si="148"/>
        <v>45</v>
      </c>
      <c r="Q543" s="4">
        <f t="shared" si="149"/>
        <v>12</v>
      </c>
      <c r="R543" s="4">
        <f t="shared" si="150"/>
        <v>23</v>
      </c>
      <c r="S543" s="102">
        <f t="shared" si="151"/>
        <v>56</v>
      </c>
      <c r="U543" s="101">
        <f t="shared" si="152"/>
        <v>39</v>
      </c>
      <c r="V543" s="4">
        <f t="shared" si="153"/>
        <v>39</v>
      </c>
      <c r="W543" s="4">
        <f t="shared" si="154"/>
        <v>78</v>
      </c>
      <c r="X543" s="4">
        <f t="shared" si="155"/>
        <v>71</v>
      </c>
      <c r="Y543" s="4">
        <f t="shared" si="156"/>
        <v>9</v>
      </c>
      <c r="Z543" s="4">
        <f t="shared" si="157"/>
        <v>39</v>
      </c>
      <c r="AA543" s="102">
        <f t="shared" si="158"/>
        <v>78</v>
      </c>
      <c r="AC543" s="100">
        <f t="shared" si="159"/>
        <v>0.9740610050852706</v>
      </c>
    </row>
    <row r="544" spans="4:29" x14ac:dyDescent="0.35">
      <c r="D544">
        <f t="shared" si="160"/>
        <v>540</v>
      </c>
      <c r="E544" s="101">
        <v>1</v>
      </c>
      <c r="F544" s="4">
        <v>1</v>
      </c>
      <c r="G544" s="4">
        <v>6</v>
      </c>
      <c r="H544" s="4">
        <v>5</v>
      </c>
      <c r="I544" s="4">
        <v>7</v>
      </c>
      <c r="J544" s="4">
        <v>1</v>
      </c>
      <c r="K544" s="102">
        <v>2</v>
      </c>
      <c r="M544" s="101">
        <f t="shared" si="145"/>
        <v>34</v>
      </c>
      <c r="N544" s="4">
        <f t="shared" si="146"/>
        <v>34</v>
      </c>
      <c r="O544" s="4">
        <f t="shared" si="147"/>
        <v>45</v>
      </c>
      <c r="P544" s="4">
        <f t="shared" si="148"/>
        <v>30</v>
      </c>
      <c r="Q544" s="4">
        <f t="shared" si="149"/>
        <v>29</v>
      </c>
      <c r="R544" s="4">
        <f t="shared" si="150"/>
        <v>34</v>
      </c>
      <c r="S544" s="102">
        <f t="shared" si="151"/>
        <v>56</v>
      </c>
      <c r="U544" s="101">
        <f t="shared" si="152"/>
        <v>46</v>
      </c>
      <c r="V544" s="4">
        <f t="shared" si="153"/>
        <v>46</v>
      </c>
      <c r="W544" s="4">
        <f t="shared" si="154"/>
        <v>71</v>
      </c>
      <c r="X544" s="4">
        <f t="shared" si="155"/>
        <v>39</v>
      </c>
      <c r="Y544" s="4">
        <f t="shared" si="156"/>
        <v>41</v>
      </c>
      <c r="Z544" s="4">
        <f t="shared" si="157"/>
        <v>46</v>
      </c>
      <c r="AA544" s="102">
        <f t="shared" si="158"/>
        <v>78</v>
      </c>
      <c r="AC544" s="100">
        <f t="shared" si="159"/>
        <v>0.97632034683471847</v>
      </c>
    </row>
    <row r="545" spans="4:29" x14ac:dyDescent="0.35">
      <c r="D545">
        <f t="shared" si="160"/>
        <v>541</v>
      </c>
      <c r="E545" s="101">
        <v>2</v>
      </c>
      <c r="F545" s="4">
        <v>6</v>
      </c>
      <c r="G545" s="4">
        <v>6</v>
      </c>
      <c r="H545" s="4">
        <v>5</v>
      </c>
      <c r="I545" s="4">
        <v>5</v>
      </c>
      <c r="J545" s="4">
        <v>4</v>
      </c>
      <c r="K545" s="102">
        <v>5</v>
      </c>
      <c r="M545" s="101">
        <f t="shared" si="145"/>
        <v>56</v>
      </c>
      <c r="N545" s="4">
        <f t="shared" si="146"/>
        <v>45</v>
      </c>
      <c r="O545" s="4">
        <f t="shared" si="147"/>
        <v>45</v>
      </c>
      <c r="P545" s="4">
        <f t="shared" si="148"/>
        <v>30</v>
      </c>
      <c r="Q545" s="4">
        <f t="shared" si="149"/>
        <v>30</v>
      </c>
      <c r="R545" s="4">
        <f t="shared" si="150"/>
        <v>12</v>
      </c>
      <c r="S545" s="102">
        <f t="shared" si="151"/>
        <v>30</v>
      </c>
      <c r="U545" s="101">
        <f t="shared" si="152"/>
        <v>78</v>
      </c>
      <c r="V545" s="4">
        <f t="shared" si="153"/>
        <v>71</v>
      </c>
      <c r="W545" s="4">
        <f t="shared" si="154"/>
        <v>71</v>
      </c>
      <c r="X545" s="4">
        <f t="shared" si="155"/>
        <v>39</v>
      </c>
      <c r="Y545" s="4">
        <f t="shared" si="156"/>
        <v>39</v>
      </c>
      <c r="Z545" s="4">
        <f t="shared" si="157"/>
        <v>9</v>
      </c>
      <c r="AA545" s="102">
        <f t="shared" si="158"/>
        <v>39</v>
      </c>
      <c r="AC545" s="100">
        <f t="shared" si="159"/>
        <v>0.98617485463932564</v>
      </c>
    </row>
    <row r="546" spans="4:29" x14ac:dyDescent="0.35">
      <c r="D546">
        <f t="shared" si="160"/>
        <v>542</v>
      </c>
      <c r="E546" s="101">
        <v>1</v>
      </c>
      <c r="F546" s="4">
        <v>7</v>
      </c>
      <c r="G546" s="4">
        <v>7</v>
      </c>
      <c r="H546" s="4">
        <v>2</v>
      </c>
      <c r="I546" s="4">
        <v>2</v>
      </c>
      <c r="J546" s="4">
        <v>7</v>
      </c>
      <c r="K546" s="102">
        <v>1</v>
      </c>
      <c r="M546" s="101">
        <f t="shared" si="145"/>
        <v>34</v>
      </c>
      <c r="N546" s="4">
        <f t="shared" si="146"/>
        <v>29</v>
      </c>
      <c r="O546" s="4">
        <f t="shared" si="147"/>
        <v>29</v>
      </c>
      <c r="P546" s="4">
        <f t="shared" si="148"/>
        <v>56</v>
      </c>
      <c r="Q546" s="4">
        <f t="shared" si="149"/>
        <v>56</v>
      </c>
      <c r="R546" s="4">
        <f t="shared" si="150"/>
        <v>29</v>
      </c>
      <c r="S546" s="102">
        <f t="shared" si="151"/>
        <v>34</v>
      </c>
      <c r="U546" s="101">
        <f t="shared" si="152"/>
        <v>46</v>
      </c>
      <c r="V546" s="4">
        <f t="shared" si="153"/>
        <v>41</v>
      </c>
      <c r="W546" s="4">
        <f t="shared" si="154"/>
        <v>41</v>
      </c>
      <c r="X546" s="4">
        <f t="shared" si="155"/>
        <v>78</v>
      </c>
      <c r="Y546" s="4">
        <f t="shared" si="156"/>
        <v>78</v>
      </c>
      <c r="Z546" s="4">
        <f t="shared" si="157"/>
        <v>41</v>
      </c>
      <c r="AA546" s="102">
        <f t="shared" si="158"/>
        <v>46</v>
      </c>
      <c r="AC546" s="100">
        <f t="shared" si="159"/>
        <v>0.99869466410294705</v>
      </c>
    </row>
    <row r="547" spans="4:29" x14ac:dyDescent="0.35">
      <c r="D547">
        <f t="shared" si="160"/>
        <v>543</v>
      </c>
      <c r="E547" s="101">
        <v>7</v>
      </c>
      <c r="F547" s="4">
        <v>2</v>
      </c>
      <c r="G547" s="4">
        <v>7</v>
      </c>
      <c r="H547" s="4">
        <v>7</v>
      </c>
      <c r="I547" s="4">
        <v>3</v>
      </c>
      <c r="J547" s="4">
        <v>2</v>
      </c>
      <c r="K547" s="102">
        <v>5</v>
      </c>
      <c r="M547" s="101">
        <f t="shared" si="145"/>
        <v>29</v>
      </c>
      <c r="N547" s="4">
        <f t="shared" si="146"/>
        <v>56</v>
      </c>
      <c r="O547" s="4">
        <f t="shared" si="147"/>
        <v>29</v>
      </c>
      <c r="P547" s="4">
        <f t="shared" si="148"/>
        <v>29</v>
      </c>
      <c r="Q547" s="4">
        <f t="shared" si="149"/>
        <v>23</v>
      </c>
      <c r="R547" s="4">
        <f t="shared" si="150"/>
        <v>56</v>
      </c>
      <c r="S547" s="102">
        <f t="shared" si="151"/>
        <v>30</v>
      </c>
      <c r="U547" s="101">
        <f t="shared" si="152"/>
        <v>41</v>
      </c>
      <c r="V547" s="4">
        <f t="shared" si="153"/>
        <v>78</v>
      </c>
      <c r="W547" s="4">
        <f t="shared" si="154"/>
        <v>41</v>
      </c>
      <c r="X547" s="4">
        <f t="shared" si="155"/>
        <v>41</v>
      </c>
      <c r="Y547" s="4">
        <f t="shared" si="156"/>
        <v>39</v>
      </c>
      <c r="Z547" s="4">
        <f t="shared" si="157"/>
        <v>78</v>
      </c>
      <c r="AA547" s="102">
        <f t="shared" si="158"/>
        <v>39</v>
      </c>
      <c r="AC547" s="100">
        <f t="shared" si="159"/>
        <v>0.98876416292889224</v>
      </c>
    </row>
    <row r="548" spans="4:29" x14ac:dyDescent="0.35">
      <c r="D548">
        <f t="shared" si="160"/>
        <v>544</v>
      </c>
      <c r="E548" s="101">
        <v>2</v>
      </c>
      <c r="F548" s="4">
        <v>5</v>
      </c>
      <c r="G548" s="4">
        <v>3</v>
      </c>
      <c r="H548" s="4">
        <v>4</v>
      </c>
      <c r="I548" s="4">
        <v>7</v>
      </c>
      <c r="J548" s="4">
        <v>3</v>
      </c>
      <c r="K548" s="102">
        <v>3</v>
      </c>
      <c r="M548" s="101">
        <f t="shared" si="145"/>
        <v>56</v>
      </c>
      <c r="N548" s="4">
        <f t="shared" si="146"/>
        <v>30</v>
      </c>
      <c r="O548" s="4">
        <f t="shared" si="147"/>
        <v>23</v>
      </c>
      <c r="P548" s="4">
        <f t="shared" si="148"/>
        <v>12</v>
      </c>
      <c r="Q548" s="4">
        <f t="shared" si="149"/>
        <v>29</v>
      </c>
      <c r="R548" s="4">
        <f t="shared" si="150"/>
        <v>23</v>
      </c>
      <c r="S548" s="102">
        <f t="shared" si="151"/>
        <v>23</v>
      </c>
      <c r="U548" s="101">
        <f t="shared" si="152"/>
        <v>78</v>
      </c>
      <c r="V548" s="4">
        <f t="shared" si="153"/>
        <v>39</v>
      </c>
      <c r="W548" s="4">
        <f t="shared" si="154"/>
        <v>39</v>
      </c>
      <c r="X548" s="4">
        <f t="shared" si="155"/>
        <v>9</v>
      </c>
      <c r="Y548" s="4">
        <f t="shared" si="156"/>
        <v>41</v>
      </c>
      <c r="Z548" s="4">
        <f t="shared" si="157"/>
        <v>39</v>
      </c>
      <c r="AA548" s="102">
        <f t="shared" si="158"/>
        <v>39</v>
      </c>
      <c r="AC548" s="100">
        <f t="shared" si="159"/>
        <v>0.95850248222177248</v>
      </c>
    </row>
    <row r="549" spans="4:29" x14ac:dyDescent="0.35">
      <c r="D549">
        <f t="shared" si="160"/>
        <v>545</v>
      </c>
      <c r="E549" s="101">
        <v>5</v>
      </c>
      <c r="F549" s="4">
        <v>7</v>
      </c>
      <c r="G549" s="4">
        <v>1</v>
      </c>
      <c r="H549" s="4">
        <v>7</v>
      </c>
      <c r="I549" s="4">
        <v>3</v>
      </c>
      <c r="J549" s="4">
        <v>6</v>
      </c>
      <c r="K549" s="102">
        <v>5</v>
      </c>
      <c r="M549" s="101">
        <f t="shared" si="145"/>
        <v>30</v>
      </c>
      <c r="N549" s="4">
        <f t="shared" si="146"/>
        <v>29</v>
      </c>
      <c r="O549" s="4">
        <f t="shared" si="147"/>
        <v>34</v>
      </c>
      <c r="P549" s="4">
        <f t="shared" si="148"/>
        <v>29</v>
      </c>
      <c r="Q549" s="4">
        <f t="shared" si="149"/>
        <v>23</v>
      </c>
      <c r="R549" s="4">
        <f t="shared" si="150"/>
        <v>45</v>
      </c>
      <c r="S549" s="102">
        <f t="shared" si="151"/>
        <v>30</v>
      </c>
      <c r="U549" s="101">
        <f t="shared" si="152"/>
        <v>39</v>
      </c>
      <c r="V549" s="4">
        <f t="shared" si="153"/>
        <v>41</v>
      </c>
      <c r="W549" s="4">
        <f t="shared" si="154"/>
        <v>46</v>
      </c>
      <c r="X549" s="4">
        <f t="shared" si="155"/>
        <v>41</v>
      </c>
      <c r="Y549" s="4">
        <f t="shared" si="156"/>
        <v>39</v>
      </c>
      <c r="Z549" s="4">
        <f t="shared" si="157"/>
        <v>71</v>
      </c>
      <c r="AA549" s="102">
        <f t="shared" si="158"/>
        <v>39</v>
      </c>
      <c r="AC549" s="100">
        <f t="shared" si="159"/>
        <v>0.92920429301740781</v>
      </c>
    </row>
    <row r="550" spans="4:29" x14ac:dyDescent="0.35">
      <c r="D550">
        <f t="shared" si="160"/>
        <v>546</v>
      </c>
      <c r="E550" s="101">
        <v>5</v>
      </c>
      <c r="F550" s="4">
        <v>7</v>
      </c>
      <c r="G550" s="4">
        <v>5</v>
      </c>
      <c r="H550" s="4">
        <v>1</v>
      </c>
      <c r="I550" s="4">
        <v>1</v>
      </c>
      <c r="J550" s="4">
        <v>3</v>
      </c>
      <c r="K550" s="102">
        <v>1</v>
      </c>
      <c r="M550" s="101">
        <f t="shared" si="145"/>
        <v>30</v>
      </c>
      <c r="N550" s="4">
        <f t="shared" si="146"/>
        <v>29</v>
      </c>
      <c r="O550" s="4">
        <f t="shared" si="147"/>
        <v>30</v>
      </c>
      <c r="P550" s="4">
        <f t="shared" si="148"/>
        <v>34</v>
      </c>
      <c r="Q550" s="4">
        <f t="shared" si="149"/>
        <v>34</v>
      </c>
      <c r="R550" s="4">
        <f t="shared" si="150"/>
        <v>23</v>
      </c>
      <c r="S550" s="102">
        <f t="shared" si="151"/>
        <v>34</v>
      </c>
      <c r="U550" s="101">
        <f t="shared" si="152"/>
        <v>39</v>
      </c>
      <c r="V550" s="4">
        <f t="shared" si="153"/>
        <v>41</v>
      </c>
      <c r="W550" s="4">
        <f t="shared" si="154"/>
        <v>39</v>
      </c>
      <c r="X550" s="4">
        <f t="shared" si="155"/>
        <v>46</v>
      </c>
      <c r="Y550" s="4">
        <f t="shared" si="156"/>
        <v>46</v>
      </c>
      <c r="Z550" s="4">
        <f t="shared" si="157"/>
        <v>39</v>
      </c>
      <c r="AA550" s="102">
        <f t="shared" si="158"/>
        <v>46</v>
      </c>
      <c r="AC550" s="100">
        <f t="shared" si="159"/>
        <v>0.81038739193752707</v>
      </c>
    </row>
    <row r="551" spans="4:29" x14ac:dyDescent="0.35">
      <c r="D551">
        <f t="shared" si="160"/>
        <v>547</v>
      </c>
      <c r="E551" s="101">
        <v>1</v>
      </c>
      <c r="F551" s="4">
        <v>4</v>
      </c>
      <c r="G551" s="4">
        <v>1</v>
      </c>
      <c r="H551" s="4">
        <v>2</v>
      </c>
      <c r="I551" s="4">
        <v>1</v>
      </c>
      <c r="J551" s="4">
        <v>5</v>
      </c>
      <c r="K551" s="102">
        <v>2</v>
      </c>
      <c r="M551" s="101">
        <f t="shared" si="145"/>
        <v>34</v>
      </c>
      <c r="N551" s="4">
        <f t="shared" si="146"/>
        <v>12</v>
      </c>
      <c r="O551" s="4">
        <f t="shared" si="147"/>
        <v>34</v>
      </c>
      <c r="P551" s="4">
        <f t="shared" si="148"/>
        <v>56</v>
      </c>
      <c r="Q551" s="4">
        <f t="shared" si="149"/>
        <v>34</v>
      </c>
      <c r="R551" s="4">
        <f t="shared" si="150"/>
        <v>30</v>
      </c>
      <c r="S551" s="102">
        <f t="shared" si="151"/>
        <v>56</v>
      </c>
      <c r="U551" s="101">
        <f t="shared" si="152"/>
        <v>46</v>
      </c>
      <c r="V551" s="4">
        <f t="shared" si="153"/>
        <v>9</v>
      </c>
      <c r="W551" s="4">
        <f t="shared" si="154"/>
        <v>46</v>
      </c>
      <c r="X551" s="4">
        <f t="shared" si="155"/>
        <v>78</v>
      </c>
      <c r="Y551" s="4">
        <f t="shared" si="156"/>
        <v>46</v>
      </c>
      <c r="Z551" s="4">
        <f t="shared" si="157"/>
        <v>39</v>
      </c>
      <c r="AA551" s="102">
        <f t="shared" si="158"/>
        <v>78</v>
      </c>
      <c r="AC551" s="100">
        <f t="shared" si="159"/>
        <v>0.99868842299550487</v>
      </c>
    </row>
    <row r="552" spans="4:29" x14ac:dyDescent="0.35">
      <c r="D552">
        <f t="shared" si="160"/>
        <v>548</v>
      </c>
      <c r="E552" s="101">
        <v>4</v>
      </c>
      <c r="F552" s="4">
        <v>3</v>
      </c>
      <c r="G552" s="4">
        <v>6</v>
      </c>
      <c r="H552" s="4">
        <v>2</v>
      </c>
      <c r="I552" s="4">
        <v>3</v>
      </c>
      <c r="J552" s="4">
        <v>2</v>
      </c>
      <c r="K552" s="102">
        <v>5</v>
      </c>
      <c r="M552" s="101">
        <f t="shared" si="145"/>
        <v>12</v>
      </c>
      <c r="N552" s="4">
        <f t="shared" si="146"/>
        <v>23</v>
      </c>
      <c r="O552" s="4">
        <f t="shared" si="147"/>
        <v>45</v>
      </c>
      <c r="P552" s="4">
        <f t="shared" si="148"/>
        <v>56</v>
      </c>
      <c r="Q552" s="4">
        <f t="shared" si="149"/>
        <v>23</v>
      </c>
      <c r="R552" s="4">
        <f t="shared" si="150"/>
        <v>56</v>
      </c>
      <c r="S552" s="102">
        <f t="shared" si="151"/>
        <v>30</v>
      </c>
      <c r="U552" s="101">
        <f t="shared" si="152"/>
        <v>9</v>
      </c>
      <c r="V552" s="4">
        <f t="shared" si="153"/>
        <v>39</v>
      </c>
      <c r="W552" s="4">
        <f t="shared" si="154"/>
        <v>71</v>
      </c>
      <c r="X552" s="4">
        <f t="shared" si="155"/>
        <v>78</v>
      </c>
      <c r="Y552" s="4">
        <f t="shared" si="156"/>
        <v>39</v>
      </c>
      <c r="Z552" s="4">
        <f t="shared" si="157"/>
        <v>78</v>
      </c>
      <c r="AA552" s="102">
        <f t="shared" si="158"/>
        <v>39</v>
      </c>
      <c r="AC552" s="100">
        <f t="shared" si="159"/>
        <v>0.97406100508527083</v>
      </c>
    </row>
    <row r="553" spans="4:29" x14ac:dyDescent="0.35">
      <c r="D553">
        <f t="shared" si="160"/>
        <v>549</v>
      </c>
      <c r="E553" s="101">
        <v>6</v>
      </c>
      <c r="F553" s="4">
        <v>7</v>
      </c>
      <c r="G553" s="4">
        <v>3</v>
      </c>
      <c r="H553" s="4">
        <v>3</v>
      </c>
      <c r="I553" s="4">
        <v>4</v>
      </c>
      <c r="J553" s="4">
        <v>4</v>
      </c>
      <c r="K553" s="102">
        <v>3</v>
      </c>
      <c r="M553" s="101">
        <f t="shared" si="145"/>
        <v>45</v>
      </c>
      <c r="N553" s="4">
        <f t="shared" si="146"/>
        <v>29</v>
      </c>
      <c r="O553" s="4">
        <f t="shared" si="147"/>
        <v>23</v>
      </c>
      <c r="P553" s="4">
        <f t="shared" si="148"/>
        <v>23</v>
      </c>
      <c r="Q553" s="4">
        <f t="shared" si="149"/>
        <v>12</v>
      </c>
      <c r="R553" s="4">
        <f t="shared" si="150"/>
        <v>12</v>
      </c>
      <c r="S553" s="102">
        <f t="shared" si="151"/>
        <v>23</v>
      </c>
      <c r="U553" s="101">
        <f t="shared" si="152"/>
        <v>71</v>
      </c>
      <c r="V553" s="4">
        <f t="shared" si="153"/>
        <v>41</v>
      </c>
      <c r="W553" s="4">
        <f t="shared" si="154"/>
        <v>39</v>
      </c>
      <c r="X553" s="4">
        <f t="shared" si="155"/>
        <v>39</v>
      </c>
      <c r="Y553" s="4">
        <f t="shared" si="156"/>
        <v>9</v>
      </c>
      <c r="Z553" s="4">
        <f t="shared" si="157"/>
        <v>9</v>
      </c>
      <c r="AA553" s="102">
        <f t="shared" si="158"/>
        <v>39</v>
      </c>
      <c r="AC553" s="100">
        <f t="shared" si="159"/>
        <v>0.97250991938856413</v>
      </c>
    </row>
    <row r="554" spans="4:29" x14ac:dyDescent="0.35">
      <c r="D554">
        <f t="shared" si="160"/>
        <v>550</v>
      </c>
      <c r="E554" s="101">
        <v>3</v>
      </c>
      <c r="F554" s="4">
        <v>5</v>
      </c>
      <c r="G554" s="4">
        <v>3</v>
      </c>
      <c r="H554" s="4">
        <v>3</v>
      </c>
      <c r="I554" s="4">
        <v>4</v>
      </c>
      <c r="J554" s="4">
        <v>5</v>
      </c>
      <c r="K554" s="102">
        <v>4</v>
      </c>
      <c r="M554" s="101">
        <f t="shared" si="145"/>
        <v>23</v>
      </c>
      <c r="N554" s="4">
        <f t="shared" si="146"/>
        <v>30</v>
      </c>
      <c r="O554" s="4">
        <f t="shared" si="147"/>
        <v>23</v>
      </c>
      <c r="P554" s="4">
        <f t="shared" si="148"/>
        <v>23</v>
      </c>
      <c r="Q554" s="4">
        <f t="shared" si="149"/>
        <v>12</v>
      </c>
      <c r="R554" s="4">
        <f t="shared" si="150"/>
        <v>30</v>
      </c>
      <c r="S554" s="102">
        <f t="shared" si="151"/>
        <v>12</v>
      </c>
      <c r="U554" s="101">
        <f t="shared" si="152"/>
        <v>39</v>
      </c>
      <c r="V554" s="4">
        <f t="shared" si="153"/>
        <v>39</v>
      </c>
      <c r="W554" s="4">
        <f t="shared" si="154"/>
        <v>39</v>
      </c>
      <c r="X554" s="4">
        <f t="shared" si="155"/>
        <v>39</v>
      </c>
      <c r="Y554" s="4">
        <f t="shared" si="156"/>
        <v>9</v>
      </c>
      <c r="Z554" s="4">
        <f t="shared" si="157"/>
        <v>39</v>
      </c>
      <c r="AA554" s="102">
        <f t="shared" si="158"/>
        <v>9</v>
      </c>
      <c r="AC554" s="100">
        <f t="shared" si="159"/>
        <v>0.90679644504492529</v>
      </c>
    </row>
    <row r="555" spans="4:29" x14ac:dyDescent="0.35">
      <c r="D555">
        <f t="shared" si="160"/>
        <v>551</v>
      </c>
      <c r="E555" s="101">
        <v>6</v>
      </c>
      <c r="F555" s="4">
        <v>7</v>
      </c>
      <c r="G555" s="4">
        <v>6</v>
      </c>
      <c r="H555" s="4">
        <v>3</v>
      </c>
      <c r="I555" s="4">
        <v>7</v>
      </c>
      <c r="J555" s="4">
        <v>7</v>
      </c>
      <c r="K555" s="102">
        <v>4</v>
      </c>
      <c r="M555" s="101">
        <f t="shared" si="145"/>
        <v>45</v>
      </c>
      <c r="N555" s="4">
        <f t="shared" si="146"/>
        <v>29</v>
      </c>
      <c r="O555" s="4">
        <f t="shared" si="147"/>
        <v>45</v>
      </c>
      <c r="P555" s="4">
        <f t="shared" si="148"/>
        <v>23</v>
      </c>
      <c r="Q555" s="4">
        <f t="shared" si="149"/>
        <v>29</v>
      </c>
      <c r="R555" s="4">
        <f t="shared" si="150"/>
        <v>29</v>
      </c>
      <c r="S555" s="102">
        <f t="shared" si="151"/>
        <v>12</v>
      </c>
      <c r="U555" s="101">
        <f t="shared" si="152"/>
        <v>71</v>
      </c>
      <c r="V555" s="4">
        <f t="shared" si="153"/>
        <v>41</v>
      </c>
      <c r="W555" s="4">
        <f t="shared" si="154"/>
        <v>71</v>
      </c>
      <c r="X555" s="4">
        <f t="shared" si="155"/>
        <v>39</v>
      </c>
      <c r="Y555" s="4">
        <f t="shared" si="156"/>
        <v>41</v>
      </c>
      <c r="Z555" s="4">
        <f t="shared" si="157"/>
        <v>41</v>
      </c>
      <c r="AA555" s="102">
        <f t="shared" si="158"/>
        <v>9</v>
      </c>
      <c r="AC555" s="100">
        <f t="shared" si="159"/>
        <v>0.98737233271811065</v>
      </c>
    </row>
    <row r="556" spans="4:29" x14ac:dyDescent="0.35">
      <c r="D556">
        <f t="shared" si="160"/>
        <v>552</v>
      </c>
      <c r="E556" s="101">
        <v>5</v>
      </c>
      <c r="F556" s="4">
        <v>2</v>
      </c>
      <c r="G556" s="4">
        <v>2</v>
      </c>
      <c r="H556" s="4">
        <v>7</v>
      </c>
      <c r="I556" s="4">
        <v>6</v>
      </c>
      <c r="J556" s="4">
        <v>3</v>
      </c>
      <c r="K556" s="102">
        <v>1</v>
      </c>
      <c r="M556" s="101">
        <f t="shared" si="145"/>
        <v>30</v>
      </c>
      <c r="N556" s="4">
        <f t="shared" si="146"/>
        <v>56</v>
      </c>
      <c r="O556" s="4">
        <f t="shared" si="147"/>
        <v>56</v>
      </c>
      <c r="P556" s="4">
        <f t="shared" si="148"/>
        <v>29</v>
      </c>
      <c r="Q556" s="4">
        <f t="shared" si="149"/>
        <v>45</v>
      </c>
      <c r="R556" s="4">
        <f t="shared" si="150"/>
        <v>23</v>
      </c>
      <c r="S556" s="102">
        <f t="shared" si="151"/>
        <v>34</v>
      </c>
      <c r="U556" s="101">
        <f t="shared" si="152"/>
        <v>39</v>
      </c>
      <c r="V556" s="4">
        <f t="shared" si="153"/>
        <v>78</v>
      </c>
      <c r="W556" s="4">
        <f t="shared" si="154"/>
        <v>78</v>
      </c>
      <c r="X556" s="4">
        <f t="shared" si="155"/>
        <v>41</v>
      </c>
      <c r="Y556" s="4">
        <f t="shared" si="156"/>
        <v>71</v>
      </c>
      <c r="Z556" s="4">
        <f t="shared" si="157"/>
        <v>39</v>
      </c>
      <c r="AA556" s="102">
        <f t="shared" si="158"/>
        <v>46</v>
      </c>
      <c r="AC556" s="100">
        <f t="shared" si="159"/>
        <v>0.9741874967575731</v>
      </c>
    </row>
    <row r="557" spans="4:29" x14ac:dyDescent="0.35">
      <c r="D557">
        <f t="shared" si="160"/>
        <v>553</v>
      </c>
      <c r="E557" s="101">
        <v>5</v>
      </c>
      <c r="F557" s="4">
        <v>1</v>
      </c>
      <c r="G557" s="4">
        <v>3</v>
      </c>
      <c r="H557" s="4">
        <v>4</v>
      </c>
      <c r="I557" s="4">
        <v>6</v>
      </c>
      <c r="J557" s="4">
        <v>7</v>
      </c>
      <c r="K557" s="102">
        <v>2</v>
      </c>
      <c r="M557" s="101">
        <f t="shared" si="145"/>
        <v>30</v>
      </c>
      <c r="N557" s="4">
        <f t="shared" si="146"/>
        <v>34</v>
      </c>
      <c r="O557" s="4">
        <f t="shared" si="147"/>
        <v>23</v>
      </c>
      <c r="P557" s="4">
        <f t="shared" si="148"/>
        <v>12</v>
      </c>
      <c r="Q557" s="4">
        <f t="shared" si="149"/>
        <v>45</v>
      </c>
      <c r="R557" s="4">
        <f t="shared" si="150"/>
        <v>29</v>
      </c>
      <c r="S557" s="102">
        <f t="shared" si="151"/>
        <v>56</v>
      </c>
      <c r="U557" s="101">
        <f t="shared" si="152"/>
        <v>39</v>
      </c>
      <c r="V557" s="4">
        <f t="shared" si="153"/>
        <v>46</v>
      </c>
      <c r="W557" s="4">
        <f t="shared" si="154"/>
        <v>39</v>
      </c>
      <c r="X557" s="4">
        <f t="shared" si="155"/>
        <v>9</v>
      </c>
      <c r="Y557" s="4">
        <f t="shared" si="156"/>
        <v>71</v>
      </c>
      <c r="Z557" s="4">
        <f t="shared" si="157"/>
        <v>41</v>
      </c>
      <c r="AA557" s="102">
        <f t="shared" si="158"/>
        <v>78</v>
      </c>
      <c r="AC557" s="100">
        <f t="shared" si="159"/>
        <v>0.97529211313754416</v>
      </c>
    </row>
    <row r="558" spans="4:29" x14ac:dyDescent="0.35">
      <c r="D558">
        <f t="shared" si="160"/>
        <v>554</v>
      </c>
      <c r="E558" s="101">
        <v>5</v>
      </c>
      <c r="F558" s="4">
        <v>6</v>
      </c>
      <c r="G558" s="4">
        <v>3</v>
      </c>
      <c r="H558" s="4">
        <v>3</v>
      </c>
      <c r="I558" s="4">
        <v>1</v>
      </c>
      <c r="J558" s="4">
        <v>3</v>
      </c>
      <c r="K558" s="102">
        <v>2</v>
      </c>
      <c r="M558" s="101">
        <f t="shared" si="145"/>
        <v>30</v>
      </c>
      <c r="N558" s="4">
        <f t="shared" si="146"/>
        <v>45</v>
      </c>
      <c r="O558" s="4">
        <f t="shared" si="147"/>
        <v>23</v>
      </c>
      <c r="P558" s="4">
        <f t="shared" si="148"/>
        <v>23</v>
      </c>
      <c r="Q558" s="4">
        <f t="shared" si="149"/>
        <v>34</v>
      </c>
      <c r="R558" s="4">
        <f t="shared" si="150"/>
        <v>23</v>
      </c>
      <c r="S558" s="102">
        <f t="shared" si="151"/>
        <v>56</v>
      </c>
      <c r="U558" s="101">
        <f t="shared" si="152"/>
        <v>39</v>
      </c>
      <c r="V558" s="4">
        <f t="shared" si="153"/>
        <v>71</v>
      </c>
      <c r="W558" s="4">
        <f t="shared" si="154"/>
        <v>39</v>
      </c>
      <c r="X558" s="4">
        <f t="shared" si="155"/>
        <v>39</v>
      </c>
      <c r="Y558" s="4">
        <f t="shared" si="156"/>
        <v>46</v>
      </c>
      <c r="Z558" s="4">
        <f t="shared" si="157"/>
        <v>39</v>
      </c>
      <c r="AA558" s="102">
        <f t="shared" si="158"/>
        <v>78</v>
      </c>
      <c r="AC558" s="100">
        <f t="shared" si="159"/>
        <v>0.96410929871533202</v>
      </c>
    </row>
    <row r="559" spans="4:29" x14ac:dyDescent="0.35">
      <c r="D559">
        <f t="shared" si="160"/>
        <v>555</v>
      </c>
      <c r="E559" s="101">
        <v>2</v>
      </c>
      <c r="F559" s="4">
        <v>7</v>
      </c>
      <c r="G559" s="4">
        <v>1</v>
      </c>
      <c r="H559" s="4">
        <v>7</v>
      </c>
      <c r="I559" s="4">
        <v>5</v>
      </c>
      <c r="J559" s="4">
        <v>4</v>
      </c>
      <c r="K559" s="102">
        <v>1</v>
      </c>
      <c r="M559" s="101">
        <f t="shared" si="145"/>
        <v>56</v>
      </c>
      <c r="N559" s="4">
        <f t="shared" si="146"/>
        <v>29</v>
      </c>
      <c r="O559" s="4">
        <f t="shared" si="147"/>
        <v>34</v>
      </c>
      <c r="P559" s="4">
        <f t="shared" si="148"/>
        <v>29</v>
      </c>
      <c r="Q559" s="4">
        <f t="shared" si="149"/>
        <v>30</v>
      </c>
      <c r="R559" s="4">
        <f t="shared" si="150"/>
        <v>12</v>
      </c>
      <c r="S559" s="102">
        <f t="shared" si="151"/>
        <v>34</v>
      </c>
      <c r="U559" s="101">
        <f t="shared" si="152"/>
        <v>78</v>
      </c>
      <c r="V559" s="4">
        <f t="shared" si="153"/>
        <v>41</v>
      </c>
      <c r="W559" s="4">
        <f t="shared" si="154"/>
        <v>46</v>
      </c>
      <c r="X559" s="4">
        <f t="shared" si="155"/>
        <v>41</v>
      </c>
      <c r="Y559" s="4">
        <f t="shared" si="156"/>
        <v>39</v>
      </c>
      <c r="Z559" s="4">
        <f t="shared" si="157"/>
        <v>9</v>
      </c>
      <c r="AA559" s="102">
        <f t="shared" si="158"/>
        <v>46</v>
      </c>
      <c r="AC559" s="100">
        <f t="shared" si="159"/>
        <v>0.99409713603390537</v>
      </c>
    </row>
    <row r="560" spans="4:29" x14ac:dyDescent="0.35">
      <c r="D560">
        <f t="shared" si="160"/>
        <v>556</v>
      </c>
      <c r="E560" s="101">
        <v>4</v>
      </c>
      <c r="F560" s="4">
        <v>6</v>
      </c>
      <c r="G560" s="4">
        <v>4</v>
      </c>
      <c r="H560" s="4">
        <v>4</v>
      </c>
      <c r="I560" s="4">
        <v>6</v>
      </c>
      <c r="J560" s="4">
        <v>2</v>
      </c>
      <c r="K560" s="102">
        <v>1</v>
      </c>
      <c r="M560" s="101">
        <f t="shared" si="145"/>
        <v>12</v>
      </c>
      <c r="N560" s="4">
        <f t="shared" si="146"/>
        <v>45</v>
      </c>
      <c r="O560" s="4">
        <f t="shared" si="147"/>
        <v>12</v>
      </c>
      <c r="P560" s="4">
        <f t="shared" si="148"/>
        <v>12</v>
      </c>
      <c r="Q560" s="4">
        <f t="shared" si="149"/>
        <v>45</v>
      </c>
      <c r="R560" s="4">
        <f t="shared" si="150"/>
        <v>56</v>
      </c>
      <c r="S560" s="102">
        <f t="shared" si="151"/>
        <v>34</v>
      </c>
      <c r="U560" s="101">
        <f t="shared" si="152"/>
        <v>9</v>
      </c>
      <c r="V560" s="4">
        <f t="shared" si="153"/>
        <v>71</v>
      </c>
      <c r="W560" s="4">
        <f t="shared" si="154"/>
        <v>9</v>
      </c>
      <c r="X560" s="4">
        <f t="shared" si="155"/>
        <v>9</v>
      </c>
      <c r="Y560" s="4">
        <f t="shared" si="156"/>
        <v>71</v>
      </c>
      <c r="Z560" s="4">
        <f t="shared" si="157"/>
        <v>78</v>
      </c>
      <c r="AA560" s="102">
        <f t="shared" si="158"/>
        <v>46</v>
      </c>
      <c r="AC560" s="100">
        <f t="shared" si="159"/>
        <v>0.99208202516734589</v>
      </c>
    </row>
    <row r="561" spans="4:29" x14ac:dyDescent="0.35">
      <c r="D561">
        <f t="shared" si="160"/>
        <v>557</v>
      </c>
      <c r="E561" s="101">
        <v>3</v>
      </c>
      <c r="F561" s="4">
        <v>5</v>
      </c>
      <c r="G561" s="4">
        <v>7</v>
      </c>
      <c r="H561" s="4">
        <v>1</v>
      </c>
      <c r="I561" s="4">
        <v>7</v>
      </c>
      <c r="J561" s="4">
        <v>4</v>
      </c>
      <c r="K561" s="102">
        <v>5</v>
      </c>
      <c r="M561" s="101">
        <f t="shared" si="145"/>
        <v>23</v>
      </c>
      <c r="N561" s="4">
        <f t="shared" si="146"/>
        <v>30</v>
      </c>
      <c r="O561" s="4">
        <f t="shared" si="147"/>
        <v>29</v>
      </c>
      <c r="P561" s="4">
        <f t="shared" si="148"/>
        <v>34</v>
      </c>
      <c r="Q561" s="4">
        <f t="shared" si="149"/>
        <v>29</v>
      </c>
      <c r="R561" s="4">
        <f t="shared" si="150"/>
        <v>12</v>
      </c>
      <c r="S561" s="102">
        <f t="shared" si="151"/>
        <v>30</v>
      </c>
      <c r="U561" s="101">
        <f t="shared" si="152"/>
        <v>39</v>
      </c>
      <c r="V561" s="4">
        <f t="shared" si="153"/>
        <v>39</v>
      </c>
      <c r="W561" s="4">
        <f t="shared" si="154"/>
        <v>41</v>
      </c>
      <c r="X561" s="4">
        <f t="shared" si="155"/>
        <v>46</v>
      </c>
      <c r="Y561" s="4">
        <f t="shared" si="156"/>
        <v>41</v>
      </c>
      <c r="Z561" s="4">
        <f t="shared" si="157"/>
        <v>9</v>
      </c>
      <c r="AA561" s="102">
        <f t="shared" si="158"/>
        <v>39</v>
      </c>
      <c r="AC561" s="100">
        <f t="shared" si="159"/>
        <v>0.93854516668094623</v>
      </c>
    </row>
    <row r="562" spans="4:29" x14ac:dyDescent="0.35">
      <c r="D562">
        <f t="shared" si="160"/>
        <v>558</v>
      </c>
      <c r="E562" s="101">
        <v>4</v>
      </c>
      <c r="F562" s="4">
        <v>2</v>
      </c>
      <c r="G562" s="4">
        <v>2</v>
      </c>
      <c r="H562" s="4">
        <v>7</v>
      </c>
      <c r="I562" s="4">
        <v>5</v>
      </c>
      <c r="J562" s="4">
        <v>1</v>
      </c>
      <c r="K562" s="102">
        <v>5</v>
      </c>
      <c r="M562" s="101">
        <f t="shared" si="145"/>
        <v>12</v>
      </c>
      <c r="N562" s="4">
        <f t="shared" si="146"/>
        <v>56</v>
      </c>
      <c r="O562" s="4">
        <f t="shared" si="147"/>
        <v>56</v>
      </c>
      <c r="P562" s="4">
        <f t="shared" si="148"/>
        <v>29</v>
      </c>
      <c r="Q562" s="4">
        <f t="shared" si="149"/>
        <v>30</v>
      </c>
      <c r="R562" s="4">
        <f t="shared" si="150"/>
        <v>34</v>
      </c>
      <c r="S562" s="102">
        <f t="shared" si="151"/>
        <v>30</v>
      </c>
      <c r="U562" s="101">
        <f t="shared" si="152"/>
        <v>9</v>
      </c>
      <c r="V562" s="4">
        <f t="shared" si="153"/>
        <v>78</v>
      </c>
      <c r="W562" s="4">
        <f t="shared" si="154"/>
        <v>78</v>
      </c>
      <c r="X562" s="4">
        <f t="shared" si="155"/>
        <v>41</v>
      </c>
      <c r="Y562" s="4">
        <f t="shared" si="156"/>
        <v>39</v>
      </c>
      <c r="Z562" s="4">
        <f t="shared" si="157"/>
        <v>46</v>
      </c>
      <c r="AA562" s="102">
        <f t="shared" si="158"/>
        <v>39</v>
      </c>
      <c r="AC562" s="100">
        <f t="shared" si="159"/>
        <v>0.99709561446177786</v>
      </c>
    </row>
    <row r="563" spans="4:29" x14ac:dyDescent="0.35">
      <c r="D563">
        <f t="shared" si="160"/>
        <v>559</v>
      </c>
      <c r="E563" s="101">
        <v>3</v>
      </c>
      <c r="F563" s="4">
        <v>1</v>
      </c>
      <c r="G563" s="4">
        <v>5</v>
      </c>
      <c r="H563" s="4">
        <v>1</v>
      </c>
      <c r="I563" s="4">
        <v>7</v>
      </c>
      <c r="J563" s="4">
        <v>5</v>
      </c>
      <c r="K563" s="102">
        <v>3</v>
      </c>
      <c r="M563" s="101">
        <f t="shared" si="145"/>
        <v>23</v>
      </c>
      <c r="N563" s="4">
        <f t="shared" si="146"/>
        <v>34</v>
      </c>
      <c r="O563" s="4">
        <f t="shared" si="147"/>
        <v>30</v>
      </c>
      <c r="P563" s="4">
        <f t="shared" si="148"/>
        <v>34</v>
      </c>
      <c r="Q563" s="4">
        <f t="shared" si="149"/>
        <v>29</v>
      </c>
      <c r="R563" s="4">
        <f t="shared" si="150"/>
        <v>30</v>
      </c>
      <c r="S563" s="102">
        <f t="shared" si="151"/>
        <v>23</v>
      </c>
      <c r="U563" s="101">
        <f t="shared" si="152"/>
        <v>39</v>
      </c>
      <c r="V563" s="4">
        <f t="shared" si="153"/>
        <v>46</v>
      </c>
      <c r="W563" s="4">
        <f t="shared" si="154"/>
        <v>39</v>
      </c>
      <c r="X563" s="4">
        <f t="shared" si="155"/>
        <v>46</v>
      </c>
      <c r="Y563" s="4">
        <f t="shared" si="156"/>
        <v>41</v>
      </c>
      <c r="Z563" s="4">
        <f t="shared" si="157"/>
        <v>39</v>
      </c>
      <c r="AA563" s="102">
        <f t="shared" si="158"/>
        <v>39</v>
      </c>
      <c r="AC563" s="100">
        <f t="shared" si="159"/>
        <v>0.77714754325448199</v>
      </c>
    </row>
    <row r="564" spans="4:29" x14ac:dyDescent="0.35">
      <c r="D564">
        <f t="shared" si="160"/>
        <v>560</v>
      </c>
      <c r="E564" s="101">
        <v>1</v>
      </c>
      <c r="F564" s="4">
        <v>2</v>
      </c>
      <c r="G564" s="4">
        <v>7</v>
      </c>
      <c r="H564" s="4">
        <v>7</v>
      </c>
      <c r="I564" s="4">
        <v>3</v>
      </c>
      <c r="J564" s="4">
        <v>7</v>
      </c>
      <c r="K564" s="102">
        <v>1</v>
      </c>
      <c r="M564" s="101">
        <f t="shared" si="145"/>
        <v>34</v>
      </c>
      <c r="N564" s="4">
        <f t="shared" si="146"/>
        <v>56</v>
      </c>
      <c r="O564" s="4">
        <f t="shared" si="147"/>
        <v>29</v>
      </c>
      <c r="P564" s="4">
        <f t="shared" si="148"/>
        <v>29</v>
      </c>
      <c r="Q564" s="4">
        <f t="shared" si="149"/>
        <v>23</v>
      </c>
      <c r="R564" s="4">
        <f t="shared" si="150"/>
        <v>29</v>
      </c>
      <c r="S564" s="102">
        <f t="shared" si="151"/>
        <v>34</v>
      </c>
      <c r="U564" s="101">
        <f t="shared" si="152"/>
        <v>46</v>
      </c>
      <c r="V564" s="4">
        <f t="shared" si="153"/>
        <v>78</v>
      </c>
      <c r="W564" s="4">
        <f t="shared" si="154"/>
        <v>41</v>
      </c>
      <c r="X564" s="4">
        <f t="shared" si="155"/>
        <v>41</v>
      </c>
      <c r="Y564" s="4">
        <f t="shared" si="156"/>
        <v>39</v>
      </c>
      <c r="Z564" s="4">
        <f t="shared" si="157"/>
        <v>41</v>
      </c>
      <c r="AA564" s="102">
        <f t="shared" si="158"/>
        <v>46</v>
      </c>
      <c r="AC564" s="100">
        <f t="shared" si="159"/>
        <v>0.98307842067661177</v>
      </c>
    </row>
    <row r="565" spans="4:29" x14ac:dyDescent="0.35">
      <c r="D565">
        <f t="shared" si="160"/>
        <v>561</v>
      </c>
      <c r="E565" s="101">
        <v>4</v>
      </c>
      <c r="F565" s="4">
        <v>3</v>
      </c>
      <c r="G565" s="4">
        <v>5</v>
      </c>
      <c r="H565" s="4">
        <v>6</v>
      </c>
      <c r="I565" s="4">
        <v>3</v>
      </c>
      <c r="J565" s="4">
        <v>6</v>
      </c>
      <c r="K565" s="102">
        <v>4</v>
      </c>
      <c r="M565" s="101">
        <f t="shared" si="145"/>
        <v>12</v>
      </c>
      <c r="N565" s="4">
        <f t="shared" si="146"/>
        <v>23</v>
      </c>
      <c r="O565" s="4">
        <f t="shared" si="147"/>
        <v>30</v>
      </c>
      <c r="P565" s="4">
        <f t="shared" si="148"/>
        <v>45</v>
      </c>
      <c r="Q565" s="4">
        <f t="shared" si="149"/>
        <v>23</v>
      </c>
      <c r="R565" s="4">
        <f t="shared" si="150"/>
        <v>45</v>
      </c>
      <c r="S565" s="102">
        <f t="shared" si="151"/>
        <v>12</v>
      </c>
      <c r="U565" s="101">
        <f t="shared" si="152"/>
        <v>9</v>
      </c>
      <c r="V565" s="4">
        <f t="shared" si="153"/>
        <v>39</v>
      </c>
      <c r="W565" s="4">
        <f t="shared" si="154"/>
        <v>39</v>
      </c>
      <c r="X565" s="4">
        <f t="shared" si="155"/>
        <v>71</v>
      </c>
      <c r="Y565" s="4">
        <f t="shared" si="156"/>
        <v>39</v>
      </c>
      <c r="Z565" s="4">
        <f t="shared" si="157"/>
        <v>71</v>
      </c>
      <c r="AA565" s="102">
        <f t="shared" si="158"/>
        <v>9</v>
      </c>
      <c r="AC565" s="100">
        <f t="shared" si="159"/>
        <v>0.98024191087925427</v>
      </c>
    </row>
    <row r="566" spans="4:29" x14ac:dyDescent="0.35">
      <c r="D566">
        <f t="shared" si="160"/>
        <v>562</v>
      </c>
      <c r="E566" s="101">
        <v>6</v>
      </c>
      <c r="F566" s="4">
        <v>7</v>
      </c>
      <c r="G566" s="4">
        <v>6</v>
      </c>
      <c r="H566" s="4">
        <v>4</v>
      </c>
      <c r="I566" s="4">
        <v>3</v>
      </c>
      <c r="J566" s="4">
        <v>3</v>
      </c>
      <c r="K566" s="102">
        <v>6</v>
      </c>
      <c r="M566" s="101">
        <f t="shared" si="145"/>
        <v>45</v>
      </c>
      <c r="N566" s="4">
        <f t="shared" si="146"/>
        <v>29</v>
      </c>
      <c r="O566" s="4">
        <f t="shared" si="147"/>
        <v>45</v>
      </c>
      <c r="P566" s="4">
        <f t="shared" si="148"/>
        <v>12</v>
      </c>
      <c r="Q566" s="4">
        <f t="shared" si="149"/>
        <v>23</v>
      </c>
      <c r="R566" s="4">
        <f t="shared" si="150"/>
        <v>23</v>
      </c>
      <c r="S566" s="102">
        <f t="shared" si="151"/>
        <v>45</v>
      </c>
      <c r="U566" s="101">
        <f t="shared" si="152"/>
        <v>71</v>
      </c>
      <c r="V566" s="4">
        <f t="shared" si="153"/>
        <v>41</v>
      </c>
      <c r="W566" s="4">
        <f t="shared" si="154"/>
        <v>71</v>
      </c>
      <c r="X566" s="4">
        <f t="shared" si="155"/>
        <v>9</v>
      </c>
      <c r="Y566" s="4">
        <f t="shared" si="156"/>
        <v>39</v>
      </c>
      <c r="Z566" s="4">
        <f t="shared" si="157"/>
        <v>39</v>
      </c>
      <c r="AA566" s="102">
        <f t="shared" si="158"/>
        <v>71</v>
      </c>
      <c r="AC566" s="100">
        <f t="shared" si="159"/>
        <v>0.98487767662344494</v>
      </c>
    </row>
    <row r="567" spans="4:29" x14ac:dyDescent="0.35">
      <c r="D567">
        <f t="shared" si="160"/>
        <v>563</v>
      </c>
      <c r="E567" s="101">
        <v>3</v>
      </c>
      <c r="F567" s="4">
        <v>5</v>
      </c>
      <c r="G567" s="4">
        <v>5</v>
      </c>
      <c r="H567" s="4">
        <v>7</v>
      </c>
      <c r="I567" s="4">
        <v>4</v>
      </c>
      <c r="J567" s="4">
        <v>6</v>
      </c>
      <c r="K567" s="102">
        <v>7</v>
      </c>
      <c r="M567" s="101">
        <f t="shared" si="145"/>
        <v>23</v>
      </c>
      <c r="N567" s="4">
        <f t="shared" si="146"/>
        <v>30</v>
      </c>
      <c r="O567" s="4">
        <f t="shared" si="147"/>
        <v>30</v>
      </c>
      <c r="P567" s="4">
        <f t="shared" si="148"/>
        <v>29</v>
      </c>
      <c r="Q567" s="4">
        <f t="shared" si="149"/>
        <v>12</v>
      </c>
      <c r="R567" s="4">
        <f t="shared" si="150"/>
        <v>45</v>
      </c>
      <c r="S567" s="102">
        <f t="shared" si="151"/>
        <v>29</v>
      </c>
      <c r="U567" s="101">
        <f t="shared" si="152"/>
        <v>39</v>
      </c>
      <c r="V567" s="4">
        <f t="shared" si="153"/>
        <v>39</v>
      </c>
      <c r="W567" s="4">
        <f t="shared" si="154"/>
        <v>39</v>
      </c>
      <c r="X567" s="4">
        <f t="shared" si="155"/>
        <v>41</v>
      </c>
      <c r="Y567" s="4">
        <f t="shared" si="156"/>
        <v>9</v>
      </c>
      <c r="Z567" s="4">
        <f t="shared" si="157"/>
        <v>71</v>
      </c>
      <c r="AA567" s="102">
        <f t="shared" si="158"/>
        <v>41</v>
      </c>
      <c r="AC567" s="100">
        <f t="shared" si="159"/>
        <v>0.97127804478825353</v>
      </c>
    </row>
    <row r="568" spans="4:29" x14ac:dyDescent="0.35">
      <c r="D568">
        <f t="shared" si="160"/>
        <v>564</v>
      </c>
      <c r="E568" s="101">
        <v>5</v>
      </c>
      <c r="F568" s="4">
        <v>4</v>
      </c>
      <c r="G568" s="4">
        <v>5</v>
      </c>
      <c r="H568" s="4">
        <v>2</v>
      </c>
      <c r="I568" s="4">
        <v>1</v>
      </c>
      <c r="J568" s="4">
        <v>2</v>
      </c>
      <c r="K568" s="102">
        <v>3</v>
      </c>
      <c r="M568" s="101">
        <f t="shared" si="145"/>
        <v>30</v>
      </c>
      <c r="N568" s="4">
        <f t="shared" si="146"/>
        <v>12</v>
      </c>
      <c r="O568" s="4">
        <f t="shared" si="147"/>
        <v>30</v>
      </c>
      <c r="P568" s="4">
        <f t="shared" si="148"/>
        <v>56</v>
      </c>
      <c r="Q568" s="4">
        <f t="shared" si="149"/>
        <v>34</v>
      </c>
      <c r="R568" s="4">
        <f t="shared" si="150"/>
        <v>56</v>
      </c>
      <c r="S568" s="102">
        <f t="shared" si="151"/>
        <v>23</v>
      </c>
      <c r="U568" s="101">
        <f t="shared" si="152"/>
        <v>39</v>
      </c>
      <c r="V568" s="4">
        <f t="shared" si="153"/>
        <v>9</v>
      </c>
      <c r="W568" s="4">
        <f t="shared" si="154"/>
        <v>39</v>
      </c>
      <c r="X568" s="4">
        <f t="shared" si="155"/>
        <v>78</v>
      </c>
      <c r="Y568" s="4">
        <f t="shared" si="156"/>
        <v>46</v>
      </c>
      <c r="Z568" s="4">
        <f t="shared" si="157"/>
        <v>78</v>
      </c>
      <c r="AA568" s="102">
        <f t="shared" si="158"/>
        <v>39</v>
      </c>
      <c r="AC568" s="100">
        <f t="shared" si="159"/>
        <v>0.98468578611408175</v>
      </c>
    </row>
    <row r="569" spans="4:29" x14ac:dyDescent="0.35">
      <c r="D569">
        <f t="shared" si="160"/>
        <v>565</v>
      </c>
      <c r="E569" s="101">
        <v>6</v>
      </c>
      <c r="F569" s="4">
        <v>2</v>
      </c>
      <c r="G569" s="4">
        <v>3</v>
      </c>
      <c r="H569" s="4">
        <v>3</v>
      </c>
      <c r="I569" s="4">
        <v>1</v>
      </c>
      <c r="J569" s="4">
        <v>2</v>
      </c>
      <c r="K569" s="102">
        <v>3</v>
      </c>
      <c r="M569" s="101">
        <f t="shared" si="145"/>
        <v>45</v>
      </c>
      <c r="N569" s="4">
        <f t="shared" si="146"/>
        <v>56</v>
      </c>
      <c r="O569" s="4">
        <f t="shared" si="147"/>
        <v>23</v>
      </c>
      <c r="P569" s="4">
        <f t="shared" si="148"/>
        <v>23</v>
      </c>
      <c r="Q569" s="4">
        <f t="shared" si="149"/>
        <v>34</v>
      </c>
      <c r="R569" s="4">
        <f t="shared" si="150"/>
        <v>56</v>
      </c>
      <c r="S569" s="102">
        <f t="shared" si="151"/>
        <v>23</v>
      </c>
      <c r="U569" s="101">
        <f t="shared" si="152"/>
        <v>71</v>
      </c>
      <c r="V569" s="4">
        <f t="shared" si="153"/>
        <v>78</v>
      </c>
      <c r="W569" s="4">
        <f t="shared" si="154"/>
        <v>39</v>
      </c>
      <c r="X569" s="4">
        <f t="shared" si="155"/>
        <v>39</v>
      </c>
      <c r="Y569" s="4">
        <f t="shared" si="156"/>
        <v>46</v>
      </c>
      <c r="Z569" s="4">
        <f t="shared" si="157"/>
        <v>78</v>
      </c>
      <c r="AA569" s="102">
        <f t="shared" si="158"/>
        <v>39</v>
      </c>
      <c r="AC569" s="100">
        <f t="shared" si="159"/>
        <v>0.9839291464474953</v>
      </c>
    </row>
    <row r="570" spans="4:29" x14ac:dyDescent="0.35">
      <c r="D570">
        <f t="shared" si="160"/>
        <v>566</v>
      </c>
      <c r="E570" s="101">
        <v>3</v>
      </c>
      <c r="F570" s="4">
        <v>3</v>
      </c>
      <c r="G570" s="4">
        <v>5</v>
      </c>
      <c r="H570" s="4">
        <v>2</v>
      </c>
      <c r="I570" s="4">
        <v>4</v>
      </c>
      <c r="J570" s="4">
        <v>2</v>
      </c>
      <c r="K570" s="102">
        <v>3</v>
      </c>
      <c r="M570" s="101">
        <f t="shared" si="145"/>
        <v>23</v>
      </c>
      <c r="N570" s="4">
        <f t="shared" si="146"/>
        <v>23</v>
      </c>
      <c r="O570" s="4">
        <f t="shared" si="147"/>
        <v>30</v>
      </c>
      <c r="P570" s="4">
        <f t="shared" si="148"/>
        <v>56</v>
      </c>
      <c r="Q570" s="4">
        <f t="shared" si="149"/>
        <v>12</v>
      </c>
      <c r="R570" s="4">
        <f t="shared" si="150"/>
        <v>56</v>
      </c>
      <c r="S570" s="102">
        <f t="shared" si="151"/>
        <v>23</v>
      </c>
      <c r="U570" s="101">
        <f t="shared" si="152"/>
        <v>39</v>
      </c>
      <c r="V570" s="4">
        <f t="shared" si="153"/>
        <v>39</v>
      </c>
      <c r="W570" s="4">
        <f t="shared" si="154"/>
        <v>39</v>
      </c>
      <c r="X570" s="4">
        <f t="shared" si="155"/>
        <v>78</v>
      </c>
      <c r="Y570" s="4">
        <f t="shared" si="156"/>
        <v>9</v>
      </c>
      <c r="Z570" s="4">
        <f t="shared" si="157"/>
        <v>78</v>
      </c>
      <c r="AA570" s="102">
        <f t="shared" si="158"/>
        <v>39</v>
      </c>
      <c r="AC570" s="100">
        <f t="shared" si="159"/>
        <v>0.97236152667214493</v>
      </c>
    </row>
    <row r="571" spans="4:29" x14ac:dyDescent="0.35">
      <c r="D571">
        <f t="shared" si="160"/>
        <v>567</v>
      </c>
      <c r="E571" s="101">
        <v>6</v>
      </c>
      <c r="F571" s="4">
        <v>3</v>
      </c>
      <c r="G571" s="4">
        <v>4</v>
      </c>
      <c r="H571" s="4">
        <v>2</v>
      </c>
      <c r="I571" s="4">
        <v>3</v>
      </c>
      <c r="J571" s="4">
        <v>7</v>
      </c>
      <c r="K571" s="102">
        <v>2</v>
      </c>
      <c r="M571" s="101">
        <f t="shared" si="145"/>
        <v>45</v>
      </c>
      <c r="N571" s="4">
        <f t="shared" si="146"/>
        <v>23</v>
      </c>
      <c r="O571" s="4">
        <f t="shared" si="147"/>
        <v>12</v>
      </c>
      <c r="P571" s="4">
        <f t="shared" si="148"/>
        <v>56</v>
      </c>
      <c r="Q571" s="4">
        <f t="shared" si="149"/>
        <v>23</v>
      </c>
      <c r="R571" s="4">
        <f t="shared" si="150"/>
        <v>29</v>
      </c>
      <c r="S571" s="102">
        <f t="shared" si="151"/>
        <v>56</v>
      </c>
      <c r="U571" s="101">
        <f t="shared" si="152"/>
        <v>71</v>
      </c>
      <c r="V571" s="4">
        <f t="shared" si="153"/>
        <v>39</v>
      </c>
      <c r="W571" s="4">
        <f t="shared" si="154"/>
        <v>9</v>
      </c>
      <c r="X571" s="4">
        <f t="shared" si="155"/>
        <v>78</v>
      </c>
      <c r="Y571" s="4">
        <f t="shared" si="156"/>
        <v>39</v>
      </c>
      <c r="Z571" s="4">
        <f t="shared" si="157"/>
        <v>41</v>
      </c>
      <c r="AA571" s="102">
        <f t="shared" si="158"/>
        <v>78</v>
      </c>
      <c r="AC571" s="100">
        <f t="shared" si="159"/>
        <v>0.97617740212525617</v>
      </c>
    </row>
    <row r="572" spans="4:29" x14ac:dyDescent="0.35">
      <c r="D572">
        <f t="shared" si="160"/>
        <v>568</v>
      </c>
      <c r="E572" s="101">
        <v>7</v>
      </c>
      <c r="F572" s="4">
        <v>5</v>
      </c>
      <c r="G572" s="4">
        <v>2</v>
      </c>
      <c r="H572" s="4">
        <v>7</v>
      </c>
      <c r="I572" s="4">
        <v>2</v>
      </c>
      <c r="J572" s="4">
        <v>6</v>
      </c>
      <c r="K572" s="102">
        <v>7</v>
      </c>
      <c r="M572" s="101">
        <f t="shared" si="145"/>
        <v>29</v>
      </c>
      <c r="N572" s="4">
        <f t="shared" si="146"/>
        <v>30</v>
      </c>
      <c r="O572" s="4">
        <f t="shared" si="147"/>
        <v>56</v>
      </c>
      <c r="P572" s="4">
        <f t="shared" si="148"/>
        <v>29</v>
      </c>
      <c r="Q572" s="4">
        <f t="shared" si="149"/>
        <v>56</v>
      </c>
      <c r="R572" s="4">
        <f t="shared" si="150"/>
        <v>45</v>
      </c>
      <c r="S572" s="102">
        <f t="shared" si="151"/>
        <v>29</v>
      </c>
      <c r="U572" s="101">
        <f t="shared" si="152"/>
        <v>41</v>
      </c>
      <c r="V572" s="4">
        <f t="shared" si="153"/>
        <v>39</v>
      </c>
      <c r="W572" s="4">
        <f t="shared" si="154"/>
        <v>78</v>
      </c>
      <c r="X572" s="4">
        <f t="shared" si="155"/>
        <v>41</v>
      </c>
      <c r="Y572" s="4">
        <f t="shared" si="156"/>
        <v>78</v>
      </c>
      <c r="Z572" s="4">
        <f t="shared" si="157"/>
        <v>71</v>
      </c>
      <c r="AA572" s="102">
        <f t="shared" si="158"/>
        <v>41</v>
      </c>
      <c r="AC572" s="100">
        <f t="shared" si="159"/>
        <v>0.98427661072083217</v>
      </c>
    </row>
    <row r="573" spans="4:29" x14ac:dyDescent="0.35">
      <c r="D573">
        <f t="shared" si="160"/>
        <v>569</v>
      </c>
      <c r="E573" s="101">
        <v>3</v>
      </c>
      <c r="F573" s="4">
        <v>6</v>
      </c>
      <c r="G573" s="4">
        <v>4</v>
      </c>
      <c r="H573" s="4">
        <v>7</v>
      </c>
      <c r="I573" s="4">
        <v>6</v>
      </c>
      <c r="J573" s="4">
        <v>3</v>
      </c>
      <c r="K573" s="102">
        <v>4</v>
      </c>
      <c r="M573" s="101">
        <f t="shared" si="145"/>
        <v>23</v>
      </c>
      <c r="N573" s="4">
        <f t="shared" si="146"/>
        <v>45</v>
      </c>
      <c r="O573" s="4">
        <f t="shared" si="147"/>
        <v>12</v>
      </c>
      <c r="P573" s="4">
        <f t="shared" si="148"/>
        <v>29</v>
      </c>
      <c r="Q573" s="4">
        <f t="shared" si="149"/>
        <v>45</v>
      </c>
      <c r="R573" s="4">
        <f t="shared" si="150"/>
        <v>23</v>
      </c>
      <c r="S573" s="102">
        <f t="shared" si="151"/>
        <v>12</v>
      </c>
      <c r="U573" s="101">
        <f t="shared" si="152"/>
        <v>39</v>
      </c>
      <c r="V573" s="4">
        <f t="shared" si="153"/>
        <v>71</v>
      </c>
      <c r="W573" s="4">
        <f t="shared" si="154"/>
        <v>9</v>
      </c>
      <c r="X573" s="4">
        <f t="shared" si="155"/>
        <v>41</v>
      </c>
      <c r="Y573" s="4">
        <f t="shared" si="156"/>
        <v>71</v>
      </c>
      <c r="Z573" s="4">
        <f t="shared" si="157"/>
        <v>39</v>
      </c>
      <c r="AA573" s="102">
        <f t="shared" si="158"/>
        <v>9</v>
      </c>
      <c r="AC573" s="100">
        <f t="shared" si="159"/>
        <v>0.98438175058311062</v>
      </c>
    </row>
    <row r="574" spans="4:29" x14ac:dyDescent="0.35">
      <c r="D574">
        <f t="shared" si="160"/>
        <v>570</v>
      </c>
      <c r="E574" s="101">
        <v>3</v>
      </c>
      <c r="F574" s="4">
        <v>6</v>
      </c>
      <c r="G574" s="4">
        <v>7</v>
      </c>
      <c r="H574" s="4">
        <v>5</v>
      </c>
      <c r="I574" s="4">
        <v>6</v>
      </c>
      <c r="J574" s="4">
        <v>6</v>
      </c>
      <c r="K574" s="102">
        <v>2</v>
      </c>
      <c r="M574" s="101">
        <f t="shared" si="145"/>
        <v>23</v>
      </c>
      <c r="N574" s="4">
        <f t="shared" si="146"/>
        <v>45</v>
      </c>
      <c r="O574" s="4">
        <f t="shared" si="147"/>
        <v>29</v>
      </c>
      <c r="P574" s="4">
        <f t="shared" si="148"/>
        <v>30</v>
      </c>
      <c r="Q574" s="4">
        <f t="shared" si="149"/>
        <v>45</v>
      </c>
      <c r="R574" s="4">
        <f t="shared" si="150"/>
        <v>45</v>
      </c>
      <c r="S574" s="102">
        <f t="shared" si="151"/>
        <v>56</v>
      </c>
      <c r="U574" s="101">
        <f t="shared" si="152"/>
        <v>39</v>
      </c>
      <c r="V574" s="4">
        <f t="shared" si="153"/>
        <v>71</v>
      </c>
      <c r="W574" s="4">
        <f t="shared" si="154"/>
        <v>41</v>
      </c>
      <c r="X574" s="4">
        <f t="shared" si="155"/>
        <v>39</v>
      </c>
      <c r="Y574" s="4">
        <f t="shared" si="156"/>
        <v>71</v>
      </c>
      <c r="Z574" s="4">
        <f t="shared" si="157"/>
        <v>71</v>
      </c>
      <c r="AA574" s="102">
        <f t="shared" si="158"/>
        <v>78</v>
      </c>
      <c r="AC574" s="100">
        <f t="shared" si="159"/>
        <v>0.96439580232969047</v>
      </c>
    </row>
    <row r="575" spans="4:29" x14ac:dyDescent="0.35">
      <c r="D575">
        <f t="shared" si="160"/>
        <v>571</v>
      </c>
      <c r="E575" s="101">
        <v>3</v>
      </c>
      <c r="F575" s="4">
        <v>7</v>
      </c>
      <c r="G575" s="4">
        <v>2</v>
      </c>
      <c r="H575" s="4">
        <v>5</v>
      </c>
      <c r="I575" s="4">
        <v>6</v>
      </c>
      <c r="J575" s="4">
        <v>4</v>
      </c>
      <c r="K575" s="102">
        <v>7</v>
      </c>
      <c r="M575" s="101">
        <f t="shared" si="145"/>
        <v>23</v>
      </c>
      <c r="N575" s="4">
        <f t="shared" si="146"/>
        <v>29</v>
      </c>
      <c r="O575" s="4">
        <f t="shared" si="147"/>
        <v>56</v>
      </c>
      <c r="P575" s="4">
        <f t="shared" si="148"/>
        <v>30</v>
      </c>
      <c r="Q575" s="4">
        <f t="shared" si="149"/>
        <v>45</v>
      </c>
      <c r="R575" s="4">
        <f t="shared" si="150"/>
        <v>12</v>
      </c>
      <c r="S575" s="102">
        <f t="shared" si="151"/>
        <v>29</v>
      </c>
      <c r="U575" s="101">
        <f t="shared" si="152"/>
        <v>39</v>
      </c>
      <c r="V575" s="4">
        <f t="shared" si="153"/>
        <v>41</v>
      </c>
      <c r="W575" s="4">
        <f t="shared" si="154"/>
        <v>78</v>
      </c>
      <c r="X575" s="4">
        <f t="shared" si="155"/>
        <v>39</v>
      </c>
      <c r="Y575" s="4">
        <f t="shared" si="156"/>
        <v>71</v>
      </c>
      <c r="Z575" s="4">
        <f t="shared" si="157"/>
        <v>9</v>
      </c>
      <c r="AA575" s="102">
        <f t="shared" si="158"/>
        <v>41</v>
      </c>
      <c r="AC575" s="100">
        <f t="shared" si="159"/>
        <v>0.97632814590635097</v>
      </c>
    </row>
    <row r="576" spans="4:29" x14ac:dyDescent="0.35">
      <c r="D576">
        <f t="shared" si="160"/>
        <v>572</v>
      </c>
      <c r="E576" s="101">
        <v>2</v>
      </c>
      <c r="F576" s="4">
        <v>7</v>
      </c>
      <c r="G576" s="4">
        <v>2</v>
      </c>
      <c r="H576" s="4">
        <v>4</v>
      </c>
      <c r="I576" s="4">
        <v>2</v>
      </c>
      <c r="J576" s="4">
        <v>3</v>
      </c>
      <c r="K576" s="102">
        <v>1</v>
      </c>
      <c r="M576" s="101">
        <f t="shared" si="145"/>
        <v>56</v>
      </c>
      <c r="N576" s="4">
        <f t="shared" si="146"/>
        <v>29</v>
      </c>
      <c r="O576" s="4">
        <f t="shared" si="147"/>
        <v>56</v>
      </c>
      <c r="P576" s="4">
        <f t="shared" si="148"/>
        <v>12</v>
      </c>
      <c r="Q576" s="4">
        <f t="shared" si="149"/>
        <v>56</v>
      </c>
      <c r="R576" s="4">
        <f t="shared" si="150"/>
        <v>23</v>
      </c>
      <c r="S576" s="102">
        <f t="shared" si="151"/>
        <v>34</v>
      </c>
      <c r="U576" s="101">
        <f t="shared" si="152"/>
        <v>78</v>
      </c>
      <c r="V576" s="4">
        <f t="shared" si="153"/>
        <v>41</v>
      </c>
      <c r="W576" s="4">
        <f t="shared" si="154"/>
        <v>78</v>
      </c>
      <c r="X576" s="4">
        <f t="shared" si="155"/>
        <v>9</v>
      </c>
      <c r="Y576" s="4">
        <f t="shared" si="156"/>
        <v>78</v>
      </c>
      <c r="Z576" s="4">
        <f t="shared" si="157"/>
        <v>39</v>
      </c>
      <c r="AA576" s="102">
        <f t="shared" si="158"/>
        <v>46</v>
      </c>
      <c r="AC576" s="100">
        <f t="shared" si="159"/>
        <v>0.98739319007367998</v>
      </c>
    </row>
    <row r="577" spans="4:29" x14ac:dyDescent="0.35">
      <c r="D577">
        <f t="shared" si="160"/>
        <v>573</v>
      </c>
      <c r="E577" s="101">
        <v>6</v>
      </c>
      <c r="F577" s="4">
        <v>4</v>
      </c>
      <c r="G577" s="4">
        <v>7</v>
      </c>
      <c r="H577" s="4">
        <v>7</v>
      </c>
      <c r="I577" s="4">
        <v>6</v>
      </c>
      <c r="J577" s="4">
        <v>6</v>
      </c>
      <c r="K577" s="102">
        <v>1</v>
      </c>
      <c r="M577" s="101">
        <f t="shared" si="145"/>
        <v>45</v>
      </c>
      <c r="N577" s="4">
        <f t="shared" si="146"/>
        <v>12</v>
      </c>
      <c r="O577" s="4">
        <f t="shared" si="147"/>
        <v>29</v>
      </c>
      <c r="P577" s="4">
        <f t="shared" si="148"/>
        <v>29</v>
      </c>
      <c r="Q577" s="4">
        <f t="shared" si="149"/>
        <v>45</v>
      </c>
      <c r="R577" s="4">
        <f t="shared" si="150"/>
        <v>45</v>
      </c>
      <c r="S577" s="102">
        <f t="shared" si="151"/>
        <v>34</v>
      </c>
      <c r="U577" s="101">
        <f t="shared" si="152"/>
        <v>71</v>
      </c>
      <c r="V577" s="4">
        <f t="shared" si="153"/>
        <v>9</v>
      </c>
      <c r="W577" s="4">
        <f t="shared" si="154"/>
        <v>41</v>
      </c>
      <c r="X577" s="4">
        <f t="shared" si="155"/>
        <v>41</v>
      </c>
      <c r="Y577" s="4">
        <f t="shared" si="156"/>
        <v>71</v>
      </c>
      <c r="Z577" s="4">
        <f t="shared" si="157"/>
        <v>71</v>
      </c>
      <c r="AA577" s="102">
        <f t="shared" si="158"/>
        <v>46</v>
      </c>
      <c r="AC577" s="100">
        <f t="shared" si="159"/>
        <v>0.99744321831264748</v>
      </c>
    </row>
    <row r="578" spans="4:29" x14ac:dyDescent="0.35">
      <c r="D578">
        <f t="shared" si="160"/>
        <v>574</v>
      </c>
      <c r="E578" s="101">
        <v>1</v>
      </c>
      <c r="F578" s="4">
        <v>1</v>
      </c>
      <c r="G578" s="4">
        <v>3</v>
      </c>
      <c r="H578" s="4">
        <v>1</v>
      </c>
      <c r="I578" s="4">
        <v>2</v>
      </c>
      <c r="J578" s="4">
        <v>2</v>
      </c>
      <c r="K578" s="102">
        <v>7</v>
      </c>
      <c r="M578" s="101">
        <f t="shared" si="145"/>
        <v>34</v>
      </c>
      <c r="N578" s="4">
        <f t="shared" si="146"/>
        <v>34</v>
      </c>
      <c r="O578" s="4">
        <f t="shared" si="147"/>
        <v>23</v>
      </c>
      <c r="P578" s="4">
        <f t="shared" si="148"/>
        <v>34</v>
      </c>
      <c r="Q578" s="4">
        <f t="shared" si="149"/>
        <v>56</v>
      </c>
      <c r="R578" s="4">
        <f t="shared" si="150"/>
        <v>56</v>
      </c>
      <c r="S578" s="102">
        <f t="shared" si="151"/>
        <v>29</v>
      </c>
      <c r="U578" s="101">
        <f t="shared" si="152"/>
        <v>46</v>
      </c>
      <c r="V578" s="4">
        <f t="shared" si="153"/>
        <v>46</v>
      </c>
      <c r="W578" s="4">
        <f t="shared" si="154"/>
        <v>39</v>
      </c>
      <c r="X578" s="4">
        <f t="shared" si="155"/>
        <v>46</v>
      </c>
      <c r="Y578" s="4">
        <f t="shared" si="156"/>
        <v>78</v>
      </c>
      <c r="Z578" s="4">
        <f t="shared" si="157"/>
        <v>78</v>
      </c>
      <c r="AA578" s="102">
        <f t="shared" si="158"/>
        <v>41</v>
      </c>
      <c r="AC578" s="100">
        <f t="shared" si="159"/>
        <v>0.98727469232454845</v>
      </c>
    </row>
    <row r="579" spans="4:29" x14ac:dyDescent="0.35">
      <c r="D579">
        <f t="shared" si="160"/>
        <v>575</v>
      </c>
      <c r="E579" s="101">
        <v>6</v>
      </c>
      <c r="F579" s="4">
        <v>6</v>
      </c>
      <c r="G579" s="4">
        <v>4</v>
      </c>
      <c r="H579" s="4">
        <v>5</v>
      </c>
      <c r="I579" s="4">
        <v>3</v>
      </c>
      <c r="J579" s="4">
        <v>5</v>
      </c>
      <c r="K579" s="102">
        <v>3</v>
      </c>
      <c r="M579" s="101">
        <f t="shared" si="145"/>
        <v>45</v>
      </c>
      <c r="N579" s="4">
        <f t="shared" si="146"/>
        <v>45</v>
      </c>
      <c r="O579" s="4">
        <f t="shared" si="147"/>
        <v>12</v>
      </c>
      <c r="P579" s="4">
        <f t="shared" si="148"/>
        <v>30</v>
      </c>
      <c r="Q579" s="4">
        <f t="shared" si="149"/>
        <v>23</v>
      </c>
      <c r="R579" s="4">
        <f t="shared" si="150"/>
        <v>30</v>
      </c>
      <c r="S579" s="102">
        <f t="shared" si="151"/>
        <v>23</v>
      </c>
      <c r="U579" s="101">
        <f t="shared" si="152"/>
        <v>71</v>
      </c>
      <c r="V579" s="4">
        <f t="shared" si="153"/>
        <v>71</v>
      </c>
      <c r="W579" s="4">
        <f t="shared" si="154"/>
        <v>9</v>
      </c>
      <c r="X579" s="4">
        <f t="shared" si="155"/>
        <v>39</v>
      </c>
      <c r="Y579" s="4">
        <f t="shared" si="156"/>
        <v>39</v>
      </c>
      <c r="Z579" s="4">
        <f t="shared" si="157"/>
        <v>39</v>
      </c>
      <c r="AA579" s="102">
        <f t="shared" si="158"/>
        <v>39</v>
      </c>
      <c r="AC579" s="100">
        <f t="shared" si="159"/>
        <v>0.96946784883265802</v>
      </c>
    </row>
    <row r="580" spans="4:29" x14ac:dyDescent="0.35">
      <c r="D580">
        <f t="shared" si="160"/>
        <v>576</v>
      </c>
      <c r="E580" s="101">
        <v>1</v>
      </c>
      <c r="F580" s="4">
        <v>2</v>
      </c>
      <c r="G580" s="4">
        <v>7</v>
      </c>
      <c r="H580" s="4">
        <v>1</v>
      </c>
      <c r="I580" s="4">
        <v>7</v>
      </c>
      <c r="J580" s="4">
        <v>3</v>
      </c>
      <c r="K580" s="102">
        <v>6</v>
      </c>
      <c r="M580" s="101">
        <f t="shared" si="145"/>
        <v>34</v>
      </c>
      <c r="N580" s="4">
        <f t="shared" si="146"/>
        <v>56</v>
      </c>
      <c r="O580" s="4">
        <f t="shared" si="147"/>
        <v>29</v>
      </c>
      <c r="P580" s="4">
        <f t="shared" si="148"/>
        <v>34</v>
      </c>
      <c r="Q580" s="4">
        <f t="shared" si="149"/>
        <v>29</v>
      </c>
      <c r="R580" s="4">
        <f t="shared" si="150"/>
        <v>23</v>
      </c>
      <c r="S580" s="102">
        <f t="shared" si="151"/>
        <v>45</v>
      </c>
      <c r="U580" s="101">
        <f t="shared" si="152"/>
        <v>46</v>
      </c>
      <c r="V580" s="4">
        <f t="shared" si="153"/>
        <v>78</v>
      </c>
      <c r="W580" s="4">
        <f t="shared" si="154"/>
        <v>41</v>
      </c>
      <c r="X580" s="4">
        <f t="shared" si="155"/>
        <v>46</v>
      </c>
      <c r="Y580" s="4">
        <f t="shared" si="156"/>
        <v>41</v>
      </c>
      <c r="Z580" s="4">
        <f t="shared" si="157"/>
        <v>39</v>
      </c>
      <c r="AA580" s="102">
        <f t="shared" si="158"/>
        <v>71</v>
      </c>
      <c r="AC580" s="100">
        <f t="shared" si="159"/>
        <v>0.96832547378247202</v>
      </c>
    </row>
    <row r="581" spans="4:29" x14ac:dyDescent="0.35">
      <c r="D581">
        <f t="shared" si="160"/>
        <v>577</v>
      </c>
      <c r="E581" s="101">
        <v>1</v>
      </c>
      <c r="F581" s="4">
        <v>4</v>
      </c>
      <c r="G581" s="4">
        <v>3</v>
      </c>
      <c r="H581" s="4">
        <v>1</v>
      </c>
      <c r="I581" s="4">
        <v>5</v>
      </c>
      <c r="J581" s="4">
        <v>2</v>
      </c>
      <c r="K581" s="102">
        <v>2</v>
      </c>
      <c r="M581" s="101">
        <f t="shared" si="145"/>
        <v>34</v>
      </c>
      <c r="N581" s="4">
        <f t="shared" si="146"/>
        <v>12</v>
      </c>
      <c r="O581" s="4">
        <f t="shared" si="147"/>
        <v>23</v>
      </c>
      <c r="P581" s="4">
        <f t="shared" si="148"/>
        <v>34</v>
      </c>
      <c r="Q581" s="4">
        <f t="shared" si="149"/>
        <v>30</v>
      </c>
      <c r="R581" s="4">
        <f t="shared" si="150"/>
        <v>56</v>
      </c>
      <c r="S581" s="102">
        <f t="shared" si="151"/>
        <v>56</v>
      </c>
      <c r="U581" s="101">
        <f t="shared" si="152"/>
        <v>46</v>
      </c>
      <c r="V581" s="4">
        <f t="shared" si="153"/>
        <v>9</v>
      </c>
      <c r="W581" s="4">
        <f t="shared" si="154"/>
        <v>39</v>
      </c>
      <c r="X581" s="4">
        <f t="shared" si="155"/>
        <v>46</v>
      </c>
      <c r="Y581" s="4">
        <f t="shared" si="156"/>
        <v>39</v>
      </c>
      <c r="Z581" s="4">
        <f t="shared" si="157"/>
        <v>78</v>
      </c>
      <c r="AA581" s="102">
        <f t="shared" si="158"/>
        <v>78</v>
      </c>
      <c r="AC581" s="100">
        <f t="shared" si="159"/>
        <v>0.98467764161726312</v>
      </c>
    </row>
    <row r="582" spans="4:29" x14ac:dyDescent="0.35">
      <c r="D582">
        <f t="shared" si="160"/>
        <v>578</v>
      </c>
      <c r="E582" s="101">
        <v>7</v>
      </c>
      <c r="F582" s="4">
        <v>3</v>
      </c>
      <c r="G582" s="4">
        <v>1</v>
      </c>
      <c r="H582" s="4">
        <v>2</v>
      </c>
      <c r="I582" s="4">
        <v>7</v>
      </c>
      <c r="J582" s="4">
        <v>6</v>
      </c>
      <c r="K582" s="102">
        <v>4</v>
      </c>
      <c r="M582" s="101">
        <f t="shared" ref="M582:M645" si="161">INDEX($A$5:$A$11,E582)</f>
        <v>29</v>
      </c>
      <c r="N582" s="4">
        <f t="shared" ref="N582:N645" si="162">INDEX($A$5:$A$11,F582)</f>
        <v>23</v>
      </c>
      <c r="O582" s="4">
        <f t="shared" ref="O582:O645" si="163">INDEX($A$5:$A$11,G582)</f>
        <v>34</v>
      </c>
      <c r="P582" s="4">
        <f t="shared" ref="P582:P645" si="164">INDEX($A$5:$A$11,H582)</f>
        <v>56</v>
      </c>
      <c r="Q582" s="4">
        <f t="shared" ref="Q582:Q645" si="165">INDEX($A$5:$A$11,I582)</f>
        <v>29</v>
      </c>
      <c r="R582" s="4">
        <f t="shared" ref="R582:R645" si="166">INDEX($A$5:$A$11,J582)</f>
        <v>45</v>
      </c>
      <c r="S582" s="102">
        <f t="shared" ref="S582:S645" si="167">INDEX($A$5:$A$11,K582)</f>
        <v>12</v>
      </c>
      <c r="U582" s="101">
        <f t="shared" ref="U582:U645" si="168">INDEX($B$5:$B$11,E582)</f>
        <v>41</v>
      </c>
      <c r="V582" s="4">
        <f t="shared" ref="V582:V645" si="169">INDEX($B$5:$B$11,F582)</f>
        <v>39</v>
      </c>
      <c r="W582" s="4">
        <f t="shared" ref="W582:W645" si="170">INDEX($B$5:$B$11,G582)</f>
        <v>46</v>
      </c>
      <c r="X582" s="4">
        <f t="shared" ref="X582:X645" si="171">INDEX($B$5:$B$11,H582)</f>
        <v>78</v>
      </c>
      <c r="Y582" s="4">
        <f t="shared" ref="Y582:Y645" si="172">INDEX($B$5:$B$11,I582)</f>
        <v>41</v>
      </c>
      <c r="Z582" s="4">
        <f t="shared" ref="Z582:Z645" si="173">INDEX($B$5:$B$11,J582)</f>
        <v>71</v>
      </c>
      <c r="AA582" s="102">
        <f t="shared" ref="AA582:AA645" si="174">INDEX($B$5:$B$11,K582)</f>
        <v>9</v>
      </c>
      <c r="AC582" s="100">
        <f t="shared" ref="AC582:AC645" si="175">CORREL(M582:S582,U582:AA582)</f>
        <v>0.97674572809751137</v>
      </c>
    </row>
    <row r="583" spans="4:29" x14ac:dyDescent="0.35">
      <c r="D583">
        <f t="shared" ref="D583:D646" si="176">D582+1</f>
        <v>579</v>
      </c>
      <c r="E583" s="101">
        <v>1</v>
      </c>
      <c r="F583" s="4">
        <v>6</v>
      </c>
      <c r="G583" s="4">
        <v>3</v>
      </c>
      <c r="H583" s="4">
        <v>4</v>
      </c>
      <c r="I583" s="4">
        <v>7</v>
      </c>
      <c r="J583" s="4">
        <v>3</v>
      </c>
      <c r="K583" s="102">
        <v>2</v>
      </c>
      <c r="M583" s="101">
        <f t="shared" si="161"/>
        <v>34</v>
      </c>
      <c r="N583" s="4">
        <f t="shared" si="162"/>
        <v>45</v>
      </c>
      <c r="O583" s="4">
        <f t="shared" si="163"/>
        <v>23</v>
      </c>
      <c r="P583" s="4">
        <f t="shared" si="164"/>
        <v>12</v>
      </c>
      <c r="Q583" s="4">
        <f t="shared" si="165"/>
        <v>29</v>
      </c>
      <c r="R583" s="4">
        <f t="shared" si="166"/>
        <v>23</v>
      </c>
      <c r="S583" s="102">
        <f t="shared" si="167"/>
        <v>56</v>
      </c>
      <c r="U583" s="101">
        <f t="shared" si="168"/>
        <v>46</v>
      </c>
      <c r="V583" s="4">
        <f t="shared" si="169"/>
        <v>71</v>
      </c>
      <c r="W583" s="4">
        <f t="shared" si="170"/>
        <v>39</v>
      </c>
      <c r="X583" s="4">
        <f t="shared" si="171"/>
        <v>9</v>
      </c>
      <c r="Y583" s="4">
        <f t="shared" si="172"/>
        <v>41</v>
      </c>
      <c r="Z583" s="4">
        <f t="shared" si="173"/>
        <v>39</v>
      </c>
      <c r="AA583" s="102">
        <f t="shared" si="174"/>
        <v>78</v>
      </c>
      <c r="AC583" s="100">
        <f t="shared" si="175"/>
        <v>0.9698240933567831</v>
      </c>
    </row>
    <row r="584" spans="4:29" x14ac:dyDescent="0.35">
      <c r="D584">
        <f t="shared" si="176"/>
        <v>580</v>
      </c>
      <c r="E584" s="101">
        <v>7</v>
      </c>
      <c r="F584" s="4">
        <v>5</v>
      </c>
      <c r="G584" s="4">
        <v>7</v>
      </c>
      <c r="H584" s="4">
        <v>4</v>
      </c>
      <c r="I584" s="4">
        <v>1</v>
      </c>
      <c r="J584" s="4">
        <v>1</v>
      </c>
      <c r="K584" s="102">
        <v>4</v>
      </c>
      <c r="M584" s="101">
        <f t="shared" si="161"/>
        <v>29</v>
      </c>
      <c r="N584" s="4">
        <f t="shared" si="162"/>
        <v>30</v>
      </c>
      <c r="O584" s="4">
        <f t="shared" si="163"/>
        <v>29</v>
      </c>
      <c r="P584" s="4">
        <f t="shared" si="164"/>
        <v>12</v>
      </c>
      <c r="Q584" s="4">
        <f t="shared" si="165"/>
        <v>34</v>
      </c>
      <c r="R584" s="4">
        <f t="shared" si="166"/>
        <v>34</v>
      </c>
      <c r="S584" s="102">
        <f t="shared" si="167"/>
        <v>12</v>
      </c>
      <c r="U584" s="101">
        <f t="shared" si="168"/>
        <v>41</v>
      </c>
      <c r="V584" s="4">
        <f t="shared" si="169"/>
        <v>39</v>
      </c>
      <c r="W584" s="4">
        <f t="shared" si="170"/>
        <v>41</v>
      </c>
      <c r="X584" s="4">
        <f t="shared" si="171"/>
        <v>9</v>
      </c>
      <c r="Y584" s="4">
        <f t="shared" si="172"/>
        <v>46</v>
      </c>
      <c r="Z584" s="4">
        <f t="shared" si="173"/>
        <v>46</v>
      </c>
      <c r="AA584" s="102">
        <f t="shared" si="174"/>
        <v>9</v>
      </c>
      <c r="AC584" s="100">
        <f t="shared" si="175"/>
        <v>0.99503511553007506</v>
      </c>
    </row>
    <row r="585" spans="4:29" x14ac:dyDescent="0.35">
      <c r="D585">
        <f t="shared" si="176"/>
        <v>581</v>
      </c>
      <c r="E585" s="101">
        <v>5</v>
      </c>
      <c r="F585" s="4">
        <v>2</v>
      </c>
      <c r="G585" s="4">
        <v>5</v>
      </c>
      <c r="H585" s="4">
        <v>7</v>
      </c>
      <c r="I585" s="4">
        <v>1</v>
      </c>
      <c r="J585" s="4">
        <v>6</v>
      </c>
      <c r="K585" s="102">
        <v>5</v>
      </c>
      <c r="M585" s="101">
        <f t="shared" si="161"/>
        <v>30</v>
      </c>
      <c r="N585" s="4">
        <f t="shared" si="162"/>
        <v>56</v>
      </c>
      <c r="O585" s="4">
        <f t="shared" si="163"/>
        <v>30</v>
      </c>
      <c r="P585" s="4">
        <f t="shared" si="164"/>
        <v>29</v>
      </c>
      <c r="Q585" s="4">
        <f t="shared" si="165"/>
        <v>34</v>
      </c>
      <c r="R585" s="4">
        <f t="shared" si="166"/>
        <v>45</v>
      </c>
      <c r="S585" s="102">
        <f t="shared" si="167"/>
        <v>30</v>
      </c>
      <c r="U585" s="101">
        <f t="shared" si="168"/>
        <v>39</v>
      </c>
      <c r="V585" s="4">
        <f t="shared" si="169"/>
        <v>78</v>
      </c>
      <c r="W585" s="4">
        <f t="shared" si="170"/>
        <v>39</v>
      </c>
      <c r="X585" s="4">
        <f t="shared" si="171"/>
        <v>41</v>
      </c>
      <c r="Y585" s="4">
        <f t="shared" si="172"/>
        <v>46</v>
      </c>
      <c r="Z585" s="4">
        <f t="shared" si="173"/>
        <v>71</v>
      </c>
      <c r="AA585" s="102">
        <f t="shared" si="174"/>
        <v>39</v>
      </c>
      <c r="AC585" s="100">
        <f t="shared" si="175"/>
        <v>0.97875412349816082</v>
      </c>
    </row>
    <row r="586" spans="4:29" x14ac:dyDescent="0.35">
      <c r="D586">
        <f t="shared" si="176"/>
        <v>582</v>
      </c>
      <c r="E586" s="101">
        <v>1</v>
      </c>
      <c r="F586" s="4">
        <v>6</v>
      </c>
      <c r="G586" s="4">
        <v>7</v>
      </c>
      <c r="H586" s="4">
        <v>1</v>
      </c>
      <c r="I586" s="4">
        <v>5</v>
      </c>
      <c r="J586" s="4">
        <v>2</v>
      </c>
      <c r="K586" s="102">
        <v>7</v>
      </c>
      <c r="M586" s="101">
        <f t="shared" si="161"/>
        <v>34</v>
      </c>
      <c r="N586" s="4">
        <f t="shared" si="162"/>
        <v>45</v>
      </c>
      <c r="O586" s="4">
        <f t="shared" si="163"/>
        <v>29</v>
      </c>
      <c r="P586" s="4">
        <f t="shared" si="164"/>
        <v>34</v>
      </c>
      <c r="Q586" s="4">
        <f t="shared" si="165"/>
        <v>30</v>
      </c>
      <c r="R586" s="4">
        <f t="shared" si="166"/>
        <v>56</v>
      </c>
      <c r="S586" s="102">
        <f t="shared" si="167"/>
        <v>29</v>
      </c>
      <c r="U586" s="101">
        <f t="shared" si="168"/>
        <v>46</v>
      </c>
      <c r="V586" s="4">
        <f t="shared" si="169"/>
        <v>71</v>
      </c>
      <c r="W586" s="4">
        <f t="shared" si="170"/>
        <v>41</v>
      </c>
      <c r="X586" s="4">
        <f t="shared" si="171"/>
        <v>46</v>
      </c>
      <c r="Y586" s="4">
        <f t="shared" si="172"/>
        <v>39</v>
      </c>
      <c r="Z586" s="4">
        <f t="shared" si="173"/>
        <v>78</v>
      </c>
      <c r="AA586" s="102">
        <f t="shared" si="174"/>
        <v>41</v>
      </c>
      <c r="AC586" s="100">
        <f t="shared" si="175"/>
        <v>0.9776172758528564</v>
      </c>
    </row>
    <row r="587" spans="4:29" x14ac:dyDescent="0.35">
      <c r="D587">
        <f t="shared" si="176"/>
        <v>583</v>
      </c>
      <c r="E587" s="101">
        <v>3</v>
      </c>
      <c r="F587" s="4">
        <v>1</v>
      </c>
      <c r="G587" s="4">
        <v>3</v>
      </c>
      <c r="H587" s="4">
        <v>1</v>
      </c>
      <c r="I587" s="4">
        <v>7</v>
      </c>
      <c r="J587" s="4">
        <v>5</v>
      </c>
      <c r="K587" s="102">
        <v>4</v>
      </c>
      <c r="M587" s="101">
        <f t="shared" si="161"/>
        <v>23</v>
      </c>
      <c r="N587" s="4">
        <f t="shared" si="162"/>
        <v>34</v>
      </c>
      <c r="O587" s="4">
        <f t="shared" si="163"/>
        <v>23</v>
      </c>
      <c r="P587" s="4">
        <f t="shared" si="164"/>
        <v>34</v>
      </c>
      <c r="Q587" s="4">
        <f t="shared" si="165"/>
        <v>29</v>
      </c>
      <c r="R587" s="4">
        <f t="shared" si="166"/>
        <v>30</v>
      </c>
      <c r="S587" s="102">
        <f t="shared" si="167"/>
        <v>12</v>
      </c>
      <c r="U587" s="101">
        <f t="shared" si="168"/>
        <v>39</v>
      </c>
      <c r="V587" s="4">
        <f t="shared" si="169"/>
        <v>46</v>
      </c>
      <c r="W587" s="4">
        <f t="shared" si="170"/>
        <v>39</v>
      </c>
      <c r="X587" s="4">
        <f t="shared" si="171"/>
        <v>46</v>
      </c>
      <c r="Y587" s="4">
        <f t="shared" si="172"/>
        <v>41</v>
      </c>
      <c r="Z587" s="4">
        <f t="shared" si="173"/>
        <v>39</v>
      </c>
      <c r="AA587" s="102">
        <f t="shared" si="174"/>
        <v>9</v>
      </c>
      <c r="AC587" s="100">
        <f t="shared" si="175"/>
        <v>0.91148275976851922</v>
      </c>
    </row>
    <row r="588" spans="4:29" x14ac:dyDescent="0.35">
      <c r="D588">
        <f t="shared" si="176"/>
        <v>584</v>
      </c>
      <c r="E588" s="101">
        <v>7</v>
      </c>
      <c r="F588" s="4">
        <v>3</v>
      </c>
      <c r="G588" s="4">
        <v>5</v>
      </c>
      <c r="H588" s="4">
        <v>3</v>
      </c>
      <c r="I588" s="4">
        <v>7</v>
      </c>
      <c r="J588" s="4">
        <v>1</v>
      </c>
      <c r="K588" s="102">
        <v>2</v>
      </c>
      <c r="M588" s="101">
        <f t="shared" si="161"/>
        <v>29</v>
      </c>
      <c r="N588" s="4">
        <f t="shared" si="162"/>
        <v>23</v>
      </c>
      <c r="O588" s="4">
        <f t="shared" si="163"/>
        <v>30</v>
      </c>
      <c r="P588" s="4">
        <f t="shared" si="164"/>
        <v>23</v>
      </c>
      <c r="Q588" s="4">
        <f t="shared" si="165"/>
        <v>29</v>
      </c>
      <c r="R588" s="4">
        <f t="shared" si="166"/>
        <v>34</v>
      </c>
      <c r="S588" s="102">
        <f t="shared" si="167"/>
        <v>56</v>
      </c>
      <c r="U588" s="101">
        <f t="shared" si="168"/>
        <v>41</v>
      </c>
      <c r="V588" s="4">
        <f t="shared" si="169"/>
        <v>39</v>
      </c>
      <c r="W588" s="4">
        <f t="shared" si="170"/>
        <v>39</v>
      </c>
      <c r="X588" s="4">
        <f t="shared" si="171"/>
        <v>39</v>
      </c>
      <c r="Y588" s="4">
        <f t="shared" si="172"/>
        <v>41</v>
      </c>
      <c r="Z588" s="4">
        <f t="shared" si="173"/>
        <v>46</v>
      </c>
      <c r="AA588" s="102">
        <f t="shared" si="174"/>
        <v>78</v>
      </c>
      <c r="AC588" s="100">
        <f t="shared" si="175"/>
        <v>0.97123368133922683</v>
      </c>
    </row>
    <row r="589" spans="4:29" x14ac:dyDescent="0.35">
      <c r="D589">
        <f t="shared" si="176"/>
        <v>585</v>
      </c>
      <c r="E589" s="101">
        <v>1</v>
      </c>
      <c r="F589" s="4">
        <v>2</v>
      </c>
      <c r="G589" s="4">
        <v>6</v>
      </c>
      <c r="H589" s="4">
        <v>1</v>
      </c>
      <c r="I589" s="4">
        <v>2</v>
      </c>
      <c r="J589" s="4">
        <v>7</v>
      </c>
      <c r="K589" s="102">
        <v>7</v>
      </c>
      <c r="M589" s="101">
        <f t="shared" si="161"/>
        <v>34</v>
      </c>
      <c r="N589" s="4">
        <f t="shared" si="162"/>
        <v>56</v>
      </c>
      <c r="O589" s="4">
        <f t="shared" si="163"/>
        <v>45</v>
      </c>
      <c r="P589" s="4">
        <f t="shared" si="164"/>
        <v>34</v>
      </c>
      <c r="Q589" s="4">
        <f t="shared" si="165"/>
        <v>56</v>
      </c>
      <c r="R589" s="4">
        <f t="shared" si="166"/>
        <v>29</v>
      </c>
      <c r="S589" s="102">
        <f t="shared" si="167"/>
        <v>29</v>
      </c>
      <c r="U589" s="101">
        <f t="shared" si="168"/>
        <v>46</v>
      </c>
      <c r="V589" s="4">
        <f t="shared" si="169"/>
        <v>78</v>
      </c>
      <c r="W589" s="4">
        <f t="shared" si="170"/>
        <v>71</v>
      </c>
      <c r="X589" s="4">
        <f t="shared" si="171"/>
        <v>46</v>
      </c>
      <c r="Y589" s="4">
        <f t="shared" si="172"/>
        <v>78</v>
      </c>
      <c r="Z589" s="4">
        <f t="shared" si="173"/>
        <v>41</v>
      </c>
      <c r="AA589" s="102">
        <f t="shared" si="174"/>
        <v>41</v>
      </c>
      <c r="AC589" s="100">
        <f t="shared" si="175"/>
        <v>0.98209902487500311</v>
      </c>
    </row>
    <row r="590" spans="4:29" x14ac:dyDescent="0.35">
      <c r="D590">
        <f t="shared" si="176"/>
        <v>586</v>
      </c>
      <c r="E590" s="101">
        <v>7</v>
      </c>
      <c r="F590" s="4">
        <v>3</v>
      </c>
      <c r="G590" s="4">
        <v>6</v>
      </c>
      <c r="H590" s="4">
        <v>2</v>
      </c>
      <c r="I590" s="4">
        <v>2</v>
      </c>
      <c r="J590" s="4">
        <v>7</v>
      </c>
      <c r="K590" s="102">
        <v>3</v>
      </c>
      <c r="M590" s="101">
        <f t="shared" si="161"/>
        <v>29</v>
      </c>
      <c r="N590" s="4">
        <f t="shared" si="162"/>
        <v>23</v>
      </c>
      <c r="O590" s="4">
        <f t="shared" si="163"/>
        <v>45</v>
      </c>
      <c r="P590" s="4">
        <f t="shared" si="164"/>
        <v>56</v>
      </c>
      <c r="Q590" s="4">
        <f t="shared" si="165"/>
        <v>56</v>
      </c>
      <c r="R590" s="4">
        <f t="shared" si="166"/>
        <v>29</v>
      </c>
      <c r="S590" s="102">
        <f t="shared" si="167"/>
        <v>23</v>
      </c>
      <c r="U590" s="101">
        <f t="shared" si="168"/>
        <v>41</v>
      </c>
      <c r="V590" s="4">
        <f t="shared" si="169"/>
        <v>39</v>
      </c>
      <c r="W590" s="4">
        <f t="shared" si="170"/>
        <v>71</v>
      </c>
      <c r="X590" s="4">
        <f t="shared" si="171"/>
        <v>78</v>
      </c>
      <c r="Y590" s="4">
        <f t="shared" si="172"/>
        <v>78</v>
      </c>
      <c r="Z590" s="4">
        <f t="shared" si="173"/>
        <v>41</v>
      </c>
      <c r="AA590" s="102">
        <f t="shared" si="174"/>
        <v>39</v>
      </c>
      <c r="AC590" s="100">
        <f t="shared" si="175"/>
        <v>0.98357119915909674</v>
      </c>
    </row>
    <row r="591" spans="4:29" x14ac:dyDescent="0.35">
      <c r="D591">
        <f t="shared" si="176"/>
        <v>587</v>
      </c>
      <c r="E591" s="101">
        <v>3</v>
      </c>
      <c r="F591" s="4">
        <v>1</v>
      </c>
      <c r="G591" s="4">
        <v>6</v>
      </c>
      <c r="H591" s="4">
        <v>6</v>
      </c>
      <c r="I591" s="4">
        <v>6</v>
      </c>
      <c r="J591" s="4">
        <v>7</v>
      </c>
      <c r="K591" s="102">
        <v>6</v>
      </c>
      <c r="M591" s="101">
        <f t="shared" si="161"/>
        <v>23</v>
      </c>
      <c r="N591" s="4">
        <f t="shared" si="162"/>
        <v>34</v>
      </c>
      <c r="O591" s="4">
        <f t="shared" si="163"/>
        <v>45</v>
      </c>
      <c r="P591" s="4">
        <f t="shared" si="164"/>
        <v>45</v>
      </c>
      <c r="Q591" s="4">
        <f t="shared" si="165"/>
        <v>45</v>
      </c>
      <c r="R591" s="4">
        <f t="shared" si="166"/>
        <v>29</v>
      </c>
      <c r="S591" s="102">
        <f t="shared" si="167"/>
        <v>45</v>
      </c>
      <c r="U591" s="101">
        <f t="shared" si="168"/>
        <v>39</v>
      </c>
      <c r="V591" s="4">
        <f t="shared" si="169"/>
        <v>46</v>
      </c>
      <c r="W591" s="4">
        <f t="shared" si="170"/>
        <v>71</v>
      </c>
      <c r="X591" s="4">
        <f t="shared" si="171"/>
        <v>71</v>
      </c>
      <c r="Y591" s="4">
        <f t="shared" si="172"/>
        <v>71</v>
      </c>
      <c r="Z591" s="4">
        <f t="shared" si="173"/>
        <v>41</v>
      </c>
      <c r="AA591" s="102">
        <f t="shared" si="174"/>
        <v>71</v>
      </c>
      <c r="AC591" s="100">
        <f t="shared" si="175"/>
        <v>0.97483987461936483</v>
      </c>
    </row>
    <row r="592" spans="4:29" x14ac:dyDescent="0.35">
      <c r="D592">
        <f t="shared" si="176"/>
        <v>588</v>
      </c>
      <c r="E592" s="101">
        <v>4</v>
      </c>
      <c r="F592" s="4">
        <v>1</v>
      </c>
      <c r="G592" s="4">
        <v>7</v>
      </c>
      <c r="H592" s="4">
        <v>5</v>
      </c>
      <c r="I592" s="4">
        <v>6</v>
      </c>
      <c r="J592" s="4">
        <v>1</v>
      </c>
      <c r="K592" s="102">
        <v>3</v>
      </c>
      <c r="M592" s="101">
        <f t="shared" si="161"/>
        <v>12</v>
      </c>
      <c r="N592" s="4">
        <f t="shared" si="162"/>
        <v>34</v>
      </c>
      <c r="O592" s="4">
        <f t="shared" si="163"/>
        <v>29</v>
      </c>
      <c r="P592" s="4">
        <f t="shared" si="164"/>
        <v>30</v>
      </c>
      <c r="Q592" s="4">
        <f t="shared" si="165"/>
        <v>45</v>
      </c>
      <c r="R592" s="4">
        <f t="shared" si="166"/>
        <v>34</v>
      </c>
      <c r="S592" s="102">
        <f t="shared" si="167"/>
        <v>23</v>
      </c>
      <c r="U592" s="101">
        <f t="shared" si="168"/>
        <v>9</v>
      </c>
      <c r="V592" s="4">
        <f t="shared" si="169"/>
        <v>46</v>
      </c>
      <c r="W592" s="4">
        <f t="shared" si="170"/>
        <v>41</v>
      </c>
      <c r="X592" s="4">
        <f t="shared" si="171"/>
        <v>39</v>
      </c>
      <c r="Y592" s="4">
        <f t="shared" si="172"/>
        <v>71</v>
      </c>
      <c r="Z592" s="4">
        <f t="shared" si="173"/>
        <v>46</v>
      </c>
      <c r="AA592" s="102">
        <f t="shared" si="174"/>
        <v>39</v>
      </c>
      <c r="AC592" s="100">
        <f t="shared" si="175"/>
        <v>0.9688120544294756</v>
      </c>
    </row>
    <row r="593" spans="4:29" x14ac:dyDescent="0.35">
      <c r="D593">
        <f t="shared" si="176"/>
        <v>589</v>
      </c>
      <c r="E593" s="101">
        <v>3</v>
      </c>
      <c r="F593" s="4">
        <v>4</v>
      </c>
      <c r="G593" s="4">
        <v>6</v>
      </c>
      <c r="H593" s="4">
        <v>2</v>
      </c>
      <c r="I593" s="4">
        <v>1</v>
      </c>
      <c r="J593" s="4">
        <v>4</v>
      </c>
      <c r="K593" s="102">
        <v>7</v>
      </c>
      <c r="M593" s="101">
        <f t="shared" si="161"/>
        <v>23</v>
      </c>
      <c r="N593" s="4">
        <f t="shared" si="162"/>
        <v>12</v>
      </c>
      <c r="O593" s="4">
        <f t="shared" si="163"/>
        <v>45</v>
      </c>
      <c r="P593" s="4">
        <f t="shared" si="164"/>
        <v>56</v>
      </c>
      <c r="Q593" s="4">
        <f t="shared" si="165"/>
        <v>34</v>
      </c>
      <c r="R593" s="4">
        <f t="shared" si="166"/>
        <v>12</v>
      </c>
      <c r="S593" s="102">
        <f t="shared" si="167"/>
        <v>29</v>
      </c>
      <c r="U593" s="101">
        <f t="shared" si="168"/>
        <v>39</v>
      </c>
      <c r="V593" s="4">
        <f t="shared" si="169"/>
        <v>9</v>
      </c>
      <c r="W593" s="4">
        <f t="shared" si="170"/>
        <v>71</v>
      </c>
      <c r="X593" s="4">
        <f t="shared" si="171"/>
        <v>78</v>
      </c>
      <c r="Y593" s="4">
        <f t="shared" si="172"/>
        <v>46</v>
      </c>
      <c r="Z593" s="4">
        <f t="shared" si="173"/>
        <v>9</v>
      </c>
      <c r="AA593" s="102">
        <f t="shared" si="174"/>
        <v>41</v>
      </c>
      <c r="AC593" s="100">
        <f t="shared" si="175"/>
        <v>0.98093682314678265</v>
      </c>
    </row>
    <row r="594" spans="4:29" x14ac:dyDescent="0.35">
      <c r="D594">
        <f t="shared" si="176"/>
        <v>590</v>
      </c>
      <c r="E594" s="101">
        <v>6</v>
      </c>
      <c r="F594" s="4">
        <v>5</v>
      </c>
      <c r="G594" s="4">
        <v>4</v>
      </c>
      <c r="H594" s="4">
        <v>4</v>
      </c>
      <c r="I594" s="4">
        <v>7</v>
      </c>
      <c r="J594" s="4">
        <v>7</v>
      </c>
      <c r="K594" s="102">
        <v>1</v>
      </c>
      <c r="M594" s="101">
        <f t="shared" si="161"/>
        <v>45</v>
      </c>
      <c r="N594" s="4">
        <f t="shared" si="162"/>
        <v>30</v>
      </c>
      <c r="O594" s="4">
        <f t="shared" si="163"/>
        <v>12</v>
      </c>
      <c r="P594" s="4">
        <f t="shared" si="164"/>
        <v>12</v>
      </c>
      <c r="Q594" s="4">
        <f t="shared" si="165"/>
        <v>29</v>
      </c>
      <c r="R594" s="4">
        <f t="shared" si="166"/>
        <v>29</v>
      </c>
      <c r="S594" s="102">
        <f t="shared" si="167"/>
        <v>34</v>
      </c>
      <c r="U594" s="101">
        <f t="shared" si="168"/>
        <v>71</v>
      </c>
      <c r="V594" s="4">
        <f t="shared" si="169"/>
        <v>39</v>
      </c>
      <c r="W594" s="4">
        <f t="shared" si="170"/>
        <v>9</v>
      </c>
      <c r="X594" s="4">
        <f t="shared" si="171"/>
        <v>9</v>
      </c>
      <c r="Y594" s="4">
        <f t="shared" si="172"/>
        <v>41</v>
      </c>
      <c r="Z594" s="4">
        <f t="shared" si="173"/>
        <v>41</v>
      </c>
      <c r="AA594" s="102">
        <f t="shared" si="174"/>
        <v>46</v>
      </c>
      <c r="AC594" s="100">
        <f t="shared" si="175"/>
        <v>0.99606297586886228</v>
      </c>
    </row>
    <row r="595" spans="4:29" x14ac:dyDescent="0.35">
      <c r="D595">
        <f t="shared" si="176"/>
        <v>591</v>
      </c>
      <c r="E595" s="101">
        <v>3</v>
      </c>
      <c r="F595" s="4">
        <v>6</v>
      </c>
      <c r="G595" s="4">
        <v>4</v>
      </c>
      <c r="H595" s="4">
        <v>1</v>
      </c>
      <c r="I595" s="4">
        <v>3</v>
      </c>
      <c r="J595" s="4">
        <v>6</v>
      </c>
      <c r="K595" s="102">
        <v>7</v>
      </c>
      <c r="M595" s="101">
        <f t="shared" si="161"/>
        <v>23</v>
      </c>
      <c r="N595" s="4">
        <f t="shared" si="162"/>
        <v>45</v>
      </c>
      <c r="O595" s="4">
        <f t="shared" si="163"/>
        <v>12</v>
      </c>
      <c r="P595" s="4">
        <f t="shared" si="164"/>
        <v>34</v>
      </c>
      <c r="Q595" s="4">
        <f t="shared" si="165"/>
        <v>23</v>
      </c>
      <c r="R595" s="4">
        <f t="shared" si="166"/>
        <v>45</v>
      </c>
      <c r="S595" s="102">
        <f t="shared" si="167"/>
        <v>29</v>
      </c>
      <c r="U595" s="101">
        <f t="shared" si="168"/>
        <v>39</v>
      </c>
      <c r="V595" s="4">
        <f t="shared" si="169"/>
        <v>71</v>
      </c>
      <c r="W595" s="4">
        <f t="shared" si="170"/>
        <v>9</v>
      </c>
      <c r="X595" s="4">
        <f t="shared" si="171"/>
        <v>46</v>
      </c>
      <c r="Y595" s="4">
        <f t="shared" si="172"/>
        <v>39</v>
      </c>
      <c r="Z595" s="4">
        <f t="shared" si="173"/>
        <v>71</v>
      </c>
      <c r="AA595" s="102">
        <f t="shared" si="174"/>
        <v>41</v>
      </c>
      <c r="AC595" s="100">
        <f t="shared" si="175"/>
        <v>0.97445260522504451</v>
      </c>
    </row>
    <row r="596" spans="4:29" x14ac:dyDescent="0.35">
      <c r="D596">
        <f t="shared" si="176"/>
        <v>592</v>
      </c>
      <c r="E596" s="101">
        <v>1</v>
      </c>
      <c r="F596" s="4">
        <v>5</v>
      </c>
      <c r="G596" s="4">
        <v>4</v>
      </c>
      <c r="H596" s="4">
        <v>3</v>
      </c>
      <c r="I596" s="4">
        <v>7</v>
      </c>
      <c r="J596" s="4">
        <v>1</v>
      </c>
      <c r="K596" s="102">
        <v>6</v>
      </c>
      <c r="M596" s="101">
        <f t="shared" si="161"/>
        <v>34</v>
      </c>
      <c r="N596" s="4">
        <f t="shared" si="162"/>
        <v>30</v>
      </c>
      <c r="O596" s="4">
        <f t="shared" si="163"/>
        <v>12</v>
      </c>
      <c r="P596" s="4">
        <f t="shared" si="164"/>
        <v>23</v>
      </c>
      <c r="Q596" s="4">
        <f t="shared" si="165"/>
        <v>29</v>
      </c>
      <c r="R596" s="4">
        <f t="shared" si="166"/>
        <v>34</v>
      </c>
      <c r="S596" s="102">
        <f t="shared" si="167"/>
        <v>45</v>
      </c>
      <c r="U596" s="101">
        <f t="shared" si="168"/>
        <v>46</v>
      </c>
      <c r="V596" s="4">
        <f t="shared" si="169"/>
        <v>39</v>
      </c>
      <c r="W596" s="4">
        <f t="shared" si="170"/>
        <v>9</v>
      </c>
      <c r="X596" s="4">
        <f t="shared" si="171"/>
        <v>39</v>
      </c>
      <c r="Y596" s="4">
        <f t="shared" si="172"/>
        <v>41</v>
      </c>
      <c r="Z596" s="4">
        <f t="shared" si="173"/>
        <v>46</v>
      </c>
      <c r="AA596" s="102">
        <f t="shared" si="174"/>
        <v>71</v>
      </c>
      <c r="AC596" s="100">
        <f t="shared" si="175"/>
        <v>0.96881205442947571</v>
      </c>
    </row>
    <row r="597" spans="4:29" x14ac:dyDescent="0.35">
      <c r="D597">
        <f t="shared" si="176"/>
        <v>593</v>
      </c>
      <c r="E597" s="101">
        <v>6</v>
      </c>
      <c r="F597" s="4">
        <v>1</v>
      </c>
      <c r="G597" s="4">
        <v>6</v>
      </c>
      <c r="H597" s="4">
        <v>6</v>
      </c>
      <c r="I597" s="4">
        <v>7</v>
      </c>
      <c r="J597" s="4">
        <v>7</v>
      </c>
      <c r="K597" s="102">
        <v>6</v>
      </c>
      <c r="M597" s="101">
        <f t="shared" si="161"/>
        <v>45</v>
      </c>
      <c r="N597" s="4">
        <f t="shared" si="162"/>
        <v>34</v>
      </c>
      <c r="O597" s="4">
        <f t="shared" si="163"/>
        <v>45</v>
      </c>
      <c r="P597" s="4">
        <f t="shared" si="164"/>
        <v>45</v>
      </c>
      <c r="Q597" s="4">
        <f t="shared" si="165"/>
        <v>29</v>
      </c>
      <c r="R597" s="4">
        <f t="shared" si="166"/>
        <v>29</v>
      </c>
      <c r="S597" s="102">
        <f t="shared" si="167"/>
        <v>45</v>
      </c>
      <c r="U597" s="101">
        <f t="shared" si="168"/>
        <v>71</v>
      </c>
      <c r="V597" s="4">
        <f t="shared" si="169"/>
        <v>46</v>
      </c>
      <c r="W597" s="4">
        <f t="shared" si="170"/>
        <v>71</v>
      </c>
      <c r="X597" s="4">
        <f t="shared" si="171"/>
        <v>71</v>
      </c>
      <c r="Y597" s="4">
        <f t="shared" si="172"/>
        <v>41</v>
      </c>
      <c r="Z597" s="4">
        <f t="shared" si="173"/>
        <v>41</v>
      </c>
      <c r="AA597" s="102">
        <f t="shared" si="174"/>
        <v>71</v>
      </c>
      <c r="AC597" s="100">
        <f t="shared" si="175"/>
        <v>0.99453510819458102</v>
      </c>
    </row>
    <row r="598" spans="4:29" x14ac:dyDescent="0.35">
      <c r="D598">
        <f t="shared" si="176"/>
        <v>594</v>
      </c>
      <c r="E598" s="101">
        <v>7</v>
      </c>
      <c r="F598" s="4">
        <v>2</v>
      </c>
      <c r="G598" s="4">
        <v>5</v>
      </c>
      <c r="H598" s="4">
        <v>4</v>
      </c>
      <c r="I598" s="4">
        <v>2</v>
      </c>
      <c r="J598" s="4">
        <v>2</v>
      </c>
      <c r="K598" s="102">
        <v>4</v>
      </c>
      <c r="M598" s="101">
        <f t="shared" si="161"/>
        <v>29</v>
      </c>
      <c r="N598" s="4">
        <f t="shared" si="162"/>
        <v>56</v>
      </c>
      <c r="O598" s="4">
        <f t="shared" si="163"/>
        <v>30</v>
      </c>
      <c r="P598" s="4">
        <f t="shared" si="164"/>
        <v>12</v>
      </c>
      <c r="Q598" s="4">
        <f t="shared" si="165"/>
        <v>56</v>
      </c>
      <c r="R598" s="4">
        <f t="shared" si="166"/>
        <v>56</v>
      </c>
      <c r="S598" s="102">
        <f t="shared" si="167"/>
        <v>12</v>
      </c>
      <c r="U598" s="101">
        <f t="shared" si="168"/>
        <v>41</v>
      </c>
      <c r="V598" s="4">
        <f t="shared" si="169"/>
        <v>78</v>
      </c>
      <c r="W598" s="4">
        <f t="shared" si="170"/>
        <v>39</v>
      </c>
      <c r="X598" s="4">
        <f t="shared" si="171"/>
        <v>9</v>
      </c>
      <c r="Y598" s="4">
        <f t="shared" si="172"/>
        <v>78</v>
      </c>
      <c r="Z598" s="4">
        <f t="shared" si="173"/>
        <v>78</v>
      </c>
      <c r="AA598" s="102">
        <f t="shared" si="174"/>
        <v>9</v>
      </c>
      <c r="AC598" s="100">
        <f t="shared" si="175"/>
        <v>0.99799345930897199</v>
      </c>
    </row>
    <row r="599" spans="4:29" x14ac:dyDescent="0.35">
      <c r="D599">
        <f t="shared" si="176"/>
        <v>595</v>
      </c>
      <c r="E599" s="101">
        <v>4</v>
      </c>
      <c r="F599" s="4">
        <v>6</v>
      </c>
      <c r="G599" s="4">
        <v>3</v>
      </c>
      <c r="H599" s="4">
        <v>6</v>
      </c>
      <c r="I599" s="4">
        <v>2</v>
      </c>
      <c r="J599" s="4">
        <v>5</v>
      </c>
      <c r="K599" s="102">
        <v>4</v>
      </c>
      <c r="M599" s="101">
        <f t="shared" si="161"/>
        <v>12</v>
      </c>
      <c r="N599" s="4">
        <f t="shared" si="162"/>
        <v>45</v>
      </c>
      <c r="O599" s="4">
        <f t="shared" si="163"/>
        <v>23</v>
      </c>
      <c r="P599" s="4">
        <f t="shared" si="164"/>
        <v>45</v>
      </c>
      <c r="Q599" s="4">
        <f t="shared" si="165"/>
        <v>56</v>
      </c>
      <c r="R599" s="4">
        <f t="shared" si="166"/>
        <v>30</v>
      </c>
      <c r="S599" s="102">
        <f t="shared" si="167"/>
        <v>12</v>
      </c>
      <c r="U599" s="101">
        <f t="shared" si="168"/>
        <v>9</v>
      </c>
      <c r="V599" s="4">
        <f t="shared" si="169"/>
        <v>71</v>
      </c>
      <c r="W599" s="4">
        <f t="shared" si="170"/>
        <v>39</v>
      </c>
      <c r="X599" s="4">
        <f t="shared" si="171"/>
        <v>71</v>
      </c>
      <c r="Y599" s="4">
        <f t="shared" si="172"/>
        <v>78</v>
      </c>
      <c r="Z599" s="4">
        <f t="shared" si="173"/>
        <v>39</v>
      </c>
      <c r="AA599" s="102">
        <f t="shared" si="174"/>
        <v>9</v>
      </c>
      <c r="AC599" s="100">
        <f t="shared" si="175"/>
        <v>0.98145793623200195</v>
      </c>
    </row>
    <row r="600" spans="4:29" x14ac:dyDescent="0.35">
      <c r="D600">
        <f t="shared" si="176"/>
        <v>596</v>
      </c>
      <c r="E600" s="101">
        <v>5</v>
      </c>
      <c r="F600" s="4">
        <v>6</v>
      </c>
      <c r="G600" s="4">
        <v>4</v>
      </c>
      <c r="H600" s="4">
        <v>5</v>
      </c>
      <c r="I600" s="4">
        <v>2</v>
      </c>
      <c r="J600" s="4">
        <v>5</v>
      </c>
      <c r="K600" s="102">
        <v>4</v>
      </c>
      <c r="M600" s="101">
        <f t="shared" si="161"/>
        <v>30</v>
      </c>
      <c r="N600" s="4">
        <f t="shared" si="162"/>
        <v>45</v>
      </c>
      <c r="O600" s="4">
        <f t="shared" si="163"/>
        <v>12</v>
      </c>
      <c r="P600" s="4">
        <f t="shared" si="164"/>
        <v>30</v>
      </c>
      <c r="Q600" s="4">
        <f t="shared" si="165"/>
        <v>56</v>
      </c>
      <c r="R600" s="4">
        <f t="shared" si="166"/>
        <v>30</v>
      </c>
      <c r="S600" s="102">
        <f t="shared" si="167"/>
        <v>12</v>
      </c>
      <c r="U600" s="101">
        <f t="shared" si="168"/>
        <v>39</v>
      </c>
      <c r="V600" s="4">
        <f t="shared" si="169"/>
        <v>71</v>
      </c>
      <c r="W600" s="4">
        <f t="shared" si="170"/>
        <v>9</v>
      </c>
      <c r="X600" s="4">
        <f t="shared" si="171"/>
        <v>39</v>
      </c>
      <c r="Y600" s="4">
        <f t="shared" si="172"/>
        <v>78</v>
      </c>
      <c r="Z600" s="4">
        <f t="shared" si="173"/>
        <v>39</v>
      </c>
      <c r="AA600" s="102">
        <f t="shared" si="174"/>
        <v>9</v>
      </c>
      <c r="AC600" s="100">
        <f t="shared" si="175"/>
        <v>0.99226362450824246</v>
      </c>
    </row>
    <row r="601" spans="4:29" x14ac:dyDescent="0.35">
      <c r="D601">
        <f t="shared" si="176"/>
        <v>597</v>
      </c>
      <c r="E601" s="101">
        <v>6</v>
      </c>
      <c r="F601" s="4">
        <v>3</v>
      </c>
      <c r="G601" s="4">
        <v>4</v>
      </c>
      <c r="H601" s="4">
        <v>1</v>
      </c>
      <c r="I601" s="4">
        <v>2</v>
      </c>
      <c r="J601" s="4">
        <v>6</v>
      </c>
      <c r="K601" s="102">
        <v>3</v>
      </c>
      <c r="M601" s="101">
        <f t="shared" si="161"/>
        <v>45</v>
      </c>
      <c r="N601" s="4">
        <f t="shared" si="162"/>
        <v>23</v>
      </c>
      <c r="O601" s="4">
        <f t="shared" si="163"/>
        <v>12</v>
      </c>
      <c r="P601" s="4">
        <f t="shared" si="164"/>
        <v>34</v>
      </c>
      <c r="Q601" s="4">
        <f t="shared" si="165"/>
        <v>56</v>
      </c>
      <c r="R601" s="4">
        <f t="shared" si="166"/>
        <v>45</v>
      </c>
      <c r="S601" s="102">
        <f t="shared" si="167"/>
        <v>23</v>
      </c>
      <c r="U601" s="101">
        <f t="shared" si="168"/>
        <v>71</v>
      </c>
      <c r="V601" s="4">
        <f t="shared" si="169"/>
        <v>39</v>
      </c>
      <c r="W601" s="4">
        <f t="shared" si="170"/>
        <v>9</v>
      </c>
      <c r="X601" s="4">
        <f t="shared" si="171"/>
        <v>46</v>
      </c>
      <c r="Y601" s="4">
        <f t="shared" si="172"/>
        <v>78</v>
      </c>
      <c r="Z601" s="4">
        <f t="shared" si="173"/>
        <v>71</v>
      </c>
      <c r="AA601" s="102">
        <f t="shared" si="174"/>
        <v>39</v>
      </c>
      <c r="AC601" s="100">
        <f t="shared" si="175"/>
        <v>0.97137197773071693</v>
      </c>
    </row>
    <row r="602" spans="4:29" x14ac:dyDescent="0.35">
      <c r="D602">
        <f t="shared" si="176"/>
        <v>598</v>
      </c>
      <c r="E602" s="101">
        <v>7</v>
      </c>
      <c r="F602" s="4">
        <v>1</v>
      </c>
      <c r="G602" s="4">
        <v>4</v>
      </c>
      <c r="H602" s="4">
        <v>3</v>
      </c>
      <c r="I602" s="4">
        <v>1</v>
      </c>
      <c r="J602" s="4">
        <v>2</v>
      </c>
      <c r="K602" s="102">
        <v>4</v>
      </c>
      <c r="M602" s="101">
        <f t="shared" si="161"/>
        <v>29</v>
      </c>
      <c r="N602" s="4">
        <f t="shared" si="162"/>
        <v>34</v>
      </c>
      <c r="O602" s="4">
        <f t="shared" si="163"/>
        <v>12</v>
      </c>
      <c r="P602" s="4">
        <f t="shared" si="164"/>
        <v>23</v>
      </c>
      <c r="Q602" s="4">
        <f t="shared" si="165"/>
        <v>34</v>
      </c>
      <c r="R602" s="4">
        <f t="shared" si="166"/>
        <v>56</v>
      </c>
      <c r="S602" s="102">
        <f t="shared" si="167"/>
        <v>12</v>
      </c>
      <c r="U602" s="101">
        <f t="shared" si="168"/>
        <v>41</v>
      </c>
      <c r="V602" s="4">
        <f t="shared" si="169"/>
        <v>46</v>
      </c>
      <c r="W602" s="4">
        <f t="shared" si="170"/>
        <v>9</v>
      </c>
      <c r="X602" s="4">
        <f t="shared" si="171"/>
        <v>39</v>
      </c>
      <c r="Y602" s="4">
        <f t="shared" si="172"/>
        <v>46</v>
      </c>
      <c r="Z602" s="4">
        <f t="shared" si="173"/>
        <v>78</v>
      </c>
      <c r="AA602" s="102">
        <f t="shared" si="174"/>
        <v>9</v>
      </c>
      <c r="AC602" s="100">
        <f t="shared" si="175"/>
        <v>0.98137700477219703</v>
      </c>
    </row>
    <row r="603" spans="4:29" x14ac:dyDescent="0.35">
      <c r="D603">
        <f t="shared" si="176"/>
        <v>599</v>
      </c>
      <c r="E603" s="101">
        <v>3</v>
      </c>
      <c r="F603" s="4">
        <v>3</v>
      </c>
      <c r="G603" s="4">
        <v>4</v>
      </c>
      <c r="H603" s="4">
        <v>4</v>
      </c>
      <c r="I603" s="4">
        <v>1</v>
      </c>
      <c r="J603" s="4">
        <v>4</v>
      </c>
      <c r="K603" s="102">
        <v>5</v>
      </c>
      <c r="M603" s="101">
        <f t="shared" si="161"/>
        <v>23</v>
      </c>
      <c r="N603" s="4">
        <f t="shared" si="162"/>
        <v>23</v>
      </c>
      <c r="O603" s="4">
        <f t="shared" si="163"/>
        <v>12</v>
      </c>
      <c r="P603" s="4">
        <f t="shared" si="164"/>
        <v>12</v>
      </c>
      <c r="Q603" s="4">
        <f t="shared" si="165"/>
        <v>34</v>
      </c>
      <c r="R603" s="4">
        <f t="shared" si="166"/>
        <v>12</v>
      </c>
      <c r="S603" s="102">
        <f t="shared" si="167"/>
        <v>30</v>
      </c>
      <c r="U603" s="101">
        <f t="shared" si="168"/>
        <v>39</v>
      </c>
      <c r="V603" s="4">
        <f t="shared" si="169"/>
        <v>39</v>
      </c>
      <c r="W603" s="4">
        <f t="shared" si="170"/>
        <v>9</v>
      </c>
      <c r="X603" s="4">
        <f t="shared" si="171"/>
        <v>9</v>
      </c>
      <c r="Y603" s="4">
        <f t="shared" si="172"/>
        <v>46</v>
      </c>
      <c r="Z603" s="4">
        <f t="shared" si="173"/>
        <v>9</v>
      </c>
      <c r="AA603" s="102">
        <f t="shared" si="174"/>
        <v>39</v>
      </c>
      <c r="AC603" s="100">
        <f t="shared" si="175"/>
        <v>0.94571402478807332</v>
      </c>
    </row>
    <row r="604" spans="4:29" x14ac:dyDescent="0.35">
      <c r="D604">
        <f t="shared" si="176"/>
        <v>600</v>
      </c>
      <c r="E604" s="101">
        <v>2</v>
      </c>
      <c r="F604" s="4">
        <v>5</v>
      </c>
      <c r="G604" s="4">
        <v>6</v>
      </c>
      <c r="H604" s="4">
        <v>6</v>
      </c>
      <c r="I604" s="4">
        <v>7</v>
      </c>
      <c r="J604" s="4">
        <v>3</v>
      </c>
      <c r="K604" s="102">
        <v>3</v>
      </c>
      <c r="M604" s="101">
        <f t="shared" si="161"/>
        <v>56</v>
      </c>
      <c r="N604" s="4">
        <f t="shared" si="162"/>
        <v>30</v>
      </c>
      <c r="O604" s="4">
        <f t="shared" si="163"/>
        <v>45</v>
      </c>
      <c r="P604" s="4">
        <f t="shared" si="164"/>
        <v>45</v>
      </c>
      <c r="Q604" s="4">
        <f t="shared" si="165"/>
        <v>29</v>
      </c>
      <c r="R604" s="4">
        <f t="shared" si="166"/>
        <v>23</v>
      </c>
      <c r="S604" s="102">
        <f t="shared" si="167"/>
        <v>23</v>
      </c>
      <c r="U604" s="101">
        <f t="shared" si="168"/>
        <v>78</v>
      </c>
      <c r="V604" s="4">
        <f t="shared" si="169"/>
        <v>39</v>
      </c>
      <c r="W604" s="4">
        <f t="shared" si="170"/>
        <v>71</v>
      </c>
      <c r="X604" s="4">
        <f t="shared" si="171"/>
        <v>71</v>
      </c>
      <c r="Y604" s="4">
        <f t="shared" si="172"/>
        <v>41</v>
      </c>
      <c r="Z604" s="4">
        <f t="shared" si="173"/>
        <v>39</v>
      </c>
      <c r="AA604" s="102">
        <f t="shared" si="174"/>
        <v>39</v>
      </c>
      <c r="AC604" s="100">
        <f t="shared" si="175"/>
        <v>0.9673763955471949</v>
      </c>
    </row>
    <row r="605" spans="4:29" x14ac:dyDescent="0.35">
      <c r="D605">
        <f t="shared" si="176"/>
        <v>601</v>
      </c>
      <c r="E605" s="101">
        <v>5</v>
      </c>
      <c r="F605" s="4">
        <v>3</v>
      </c>
      <c r="G605" s="4">
        <v>7</v>
      </c>
      <c r="H605" s="4">
        <v>6</v>
      </c>
      <c r="I605" s="4">
        <v>3</v>
      </c>
      <c r="J605" s="4">
        <v>5</v>
      </c>
      <c r="K605" s="102">
        <v>7</v>
      </c>
      <c r="M605" s="101">
        <f t="shared" si="161"/>
        <v>30</v>
      </c>
      <c r="N605" s="4">
        <f t="shared" si="162"/>
        <v>23</v>
      </c>
      <c r="O605" s="4">
        <f t="shared" si="163"/>
        <v>29</v>
      </c>
      <c r="P605" s="4">
        <f t="shared" si="164"/>
        <v>45</v>
      </c>
      <c r="Q605" s="4">
        <f t="shared" si="165"/>
        <v>23</v>
      </c>
      <c r="R605" s="4">
        <f t="shared" si="166"/>
        <v>30</v>
      </c>
      <c r="S605" s="102">
        <f t="shared" si="167"/>
        <v>29</v>
      </c>
      <c r="U605" s="101">
        <f t="shared" si="168"/>
        <v>39</v>
      </c>
      <c r="V605" s="4">
        <f t="shared" si="169"/>
        <v>39</v>
      </c>
      <c r="W605" s="4">
        <f t="shared" si="170"/>
        <v>41</v>
      </c>
      <c r="X605" s="4">
        <f t="shared" si="171"/>
        <v>71</v>
      </c>
      <c r="Y605" s="4">
        <f t="shared" si="172"/>
        <v>39</v>
      </c>
      <c r="Z605" s="4">
        <f t="shared" si="173"/>
        <v>39</v>
      </c>
      <c r="AA605" s="102">
        <f t="shared" si="174"/>
        <v>41</v>
      </c>
      <c r="AC605" s="100">
        <f t="shared" si="175"/>
        <v>0.91732399796940467</v>
      </c>
    </row>
    <row r="606" spans="4:29" x14ac:dyDescent="0.35">
      <c r="D606">
        <f t="shared" si="176"/>
        <v>602</v>
      </c>
      <c r="E606" s="101">
        <v>4</v>
      </c>
      <c r="F606" s="4">
        <v>5</v>
      </c>
      <c r="G606" s="4">
        <v>5</v>
      </c>
      <c r="H606" s="4">
        <v>3</v>
      </c>
      <c r="I606" s="4">
        <v>2</v>
      </c>
      <c r="J606" s="4">
        <v>7</v>
      </c>
      <c r="K606" s="102">
        <v>2</v>
      </c>
      <c r="M606" s="101">
        <f t="shared" si="161"/>
        <v>12</v>
      </c>
      <c r="N606" s="4">
        <f t="shared" si="162"/>
        <v>30</v>
      </c>
      <c r="O606" s="4">
        <f t="shared" si="163"/>
        <v>30</v>
      </c>
      <c r="P606" s="4">
        <f t="shared" si="164"/>
        <v>23</v>
      </c>
      <c r="Q606" s="4">
        <f t="shared" si="165"/>
        <v>56</v>
      </c>
      <c r="R606" s="4">
        <f t="shared" si="166"/>
        <v>29</v>
      </c>
      <c r="S606" s="102">
        <f t="shared" si="167"/>
        <v>56</v>
      </c>
      <c r="U606" s="101">
        <f t="shared" si="168"/>
        <v>9</v>
      </c>
      <c r="V606" s="4">
        <f t="shared" si="169"/>
        <v>39</v>
      </c>
      <c r="W606" s="4">
        <f t="shared" si="170"/>
        <v>39</v>
      </c>
      <c r="X606" s="4">
        <f t="shared" si="171"/>
        <v>39</v>
      </c>
      <c r="Y606" s="4">
        <f t="shared" si="172"/>
        <v>78</v>
      </c>
      <c r="Z606" s="4">
        <f t="shared" si="173"/>
        <v>41</v>
      </c>
      <c r="AA606" s="102">
        <f t="shared" si="174"/>
        <v>78</v>
      </c>
      <c r="AC606" s="100">
        <f t="shared" si="175"/>
        <v>0.98431327180007921</v>
      </c>
    </row>
    <row r="607" spans="4:29" x14ac:dyDescent="0.35">
      <c r="D607">
        <f t="shared" si="176"/>
        <v>603</v>
      </c>
      <c r="E607" s="101">
        <v>7</v>
      </c>
      <c r="F607" s="4">
        <v>1</v>
      </c>
      <c r="G607" s="4">
        <v>3</v>
      </c>
      <c r="H607" s="4">
        <v>6</v>
      </c>
      <c r="I607" s="4">
        <v>1</v>
      </c>
      <c r="J607" s="4">
        <v>2</v>
      </c>
      <c r="K607" s="102">
        <v>7</v>
      </c>
      <c r="M607" s="101">
        <f t="shared" si="161"/>
        <v>29</v>
      </c>
      <c r="N607" s="4">
        <f t="shared" si="162"/>
        <v>34</v>
      </c>
      <c r="O607" s="4">
        <f t="shared" si="163"/>
        <v>23</v>
      </c>
      <c r="P607" s="4">
        <f t="shared" si="164"/>
        <v>45</v>
      </c>
      <c r="Q607" s="4">
        <f t="shared" si="165"/>
        <v>34</v>
      </c>
      <c r="R607" s="4">
        <f t="shared" si="166"/>
        <v>56</v>
      </c>
      <c r="S607" s="102">
        <f t="shared" si="167"/>
        <v>29</v>
      </c>
      <c r="U607" s="101">
        <f t="shared" si="168"/>
        <v>41</v>
      </c>
      <c r="V607" s="4">
        <f t="shared" si="169"/>
        <v>46</v>
      </c>
      <c r="W607" s="4">
        <f t="shared" si="170"/>
        <v>39</v>
      </c>
      <c r="X607" s="4">
        <f t="shared" si="171"/>
        <v>71</v>
      </c>
      <c r="Y607" s="4">
        <f t="shared" si="172"/>
        <v>46</v>
      </c>
      <c r="Z607" s="4">
        <f t="shared" si="173"/>
        <v>78</v>
      </c>
      <c r="AA607" s="102">
        <f t="shared" si="174"/>
        <v>41</v>
      </c>
      <c r="AC607" s="100">
        <f t="shared" si="175"/>
        <v>0.9683254737824718</v>
      </c>
    </row>
    <row r="608" spans="4:29" x14ac:dyDescent="0.35">
      <c r="D608">
        <f t="shared" si="176"/>
        <v>604</v>
      </c>
      <c r="E608" s="101">
        <v>1</v>
      </c>
      <c r="F608" s="4">
        <v>3</v>
      </c>
      <c r="G608" s="4">
        <v>5</v>
      </c>
      <c r="H608" s="4">
        <v>4</v>
      </c>
      <c r="I608" s="4">
        <v>5</v>
      </c>
      <c r="J608" s="4">
        <v>2</v>
      </c>
      <c r="K608" s="102">
        <v>6</v>
      </c>
      <c r="M608" s="101">
        <f t="shared" si="161"/>
        <v>34</v>
      </c>
      <c r="N608" s="4">
        <f t="shared" si="162"/>
        <v>23</v>
      </c>
      <c r="O608" s="4">
        <f t="shared" si="163"/>
        <v>30</v>
      </c>
      <c r="P608" s="4">
        <f t="shared" si="164"/>
        <v>12</v>
      </c>
      <c r="Q608" s="4">
        <f t="shared" si="165"/>
        <v>30</v>
      </c>
      <c r="R608" s="4">
        <f t="shared" si="166"/>
        <v>56</v>
      </c>
      <c r="S608" s="102">
        <f t="shared" si="167"/>
        <v>45</v>
      </c>
      <c r="U608" s="101">
        <f t="shared" si="168"/>
        <v>46</v>
      </c>
      <c r="V608" s="4">
        <f t="shared" si="169"/>
        <v>39</v>
      </c>
      <c r="W608" s="4">
        <f t="shared" si="170"/>
        <v>39</v>
      </c>
      <c r="X608" s="4">
        <f t="shared" si="171"/>
        <v>9</v>
      </c>
      <c r="Y608" s="4">
        <f t="shared" si="172"/>
        <v>39</v>
      </c>
      <c r="Z608" s="4">
        <f t="shared" si="173"/>
        <v>78</v>
      </c>
      <c r="AA608" s="102">
        <f t="shared" si="174"/>
        <v>71</v>
      </c>
      <c r="AC608" s="100">
        <f t="shared" si="175"/>
        <v>0.97446236210462167</v>
      </c>
    </row>
    <row r="609" spans="4:29" x14ac:dyDescent="0.35">
      <c r="D609">
        <f t="shared" si="176"/>
        <v>605</v>
      </c>
      <c r="E609" s="101">
        <v>5</v>
      </c>
      <c r="F609" s="4">
        <v>7</v>
      </c>
      <c r="G609" s="4">
        <v>5</v>
      </c>
      <c r="H609" s="4">
        <v>6</v>
      </c>
      <c r="I609" s="4">
        <v>7</v>
      </c>
      <c r="J609" s="4">
        <v>4</v>
      </c>
      <c r="K609" s="102">
        <v>5</v>
      </c>
      <c r="M609" s="101">
        <f t="shared" si="161"/>
        <v>30</v>
      </c>
      <c r="N609" s="4">
        <f t="shared" si="162"/>
        <v>29</v>
      </c>
      <c r="O609" s="4">
        <f t="shared" si="163"/>
        <v>30</v>
      </c>
      <c r="P609" s="4">
        <f t="shared" si="164"/>
        <v>45</v>
      </c>
      <c r="Q609" s="4">
        <f t="shared" si="165"/>
        <v>29</v>
      </c>
      <c r="R609" s="4">
        <f t="shared" si="166"/>
        <v>12</v>
      </c>
      <c r="S609" s="102">
        <f t="shared" si="167"/>
        <v>30</v>
      </c>
      <c r="U609" s="101">
        <f t="shared" si="168"/>
        <v>39</v>
      </c>
      <c r="V609" s="4">
        <f t="shared" si="169"/>
        <v>41</v>
      </c>
      <c r="W609" s="4">
        <f t="shared" si="170"/>
        <v>39</v>
      </c>
      <c r="X609" s="4">
        <f t="shared" si="171"/>
        <v>71</v>
      </c>
      <c r="Y609" s="4">
        <f t="shared" si="172"/>
        <v>41</v>
      </c>
      <c r="Z609" s="4">
        <f t="shared" si="173"/>
        <v>9</v>
      </c>
      <c r="AA609" s="102">
        <f t="shared" si="174"/>
        <v>39</v>
      </c>
      <c r="AC609" s="100">
        <f t="shared" si="175"/>
        <v>0.99342095579245426</v>
      </c>
    </row>
    <row r="610" spans="4:29" x14ac:dyDescent="0.35">
      <c r="D610">
        <f t="shared" si="176"/>
        <v>606</v>
      </c>
      <c r="E610" s="101">
        <v>6</v>
      </c>
      <c r="F610" s="4">
        <v>6</v>
      </c>
      <c r="G610" s="4">
        <v>1</v>
      </c>
      <c r="H610" s="4">
        <v>5</v>
      </c>
      <c r="I610" s="4">
        <v>1</v>
      </c>
      <c r="J610" s="4">
        <v>2</v>
      </c>
      <c r="K610" s="102">
        <v>5</v>
      </c>
      <c r="M610" s="101">
        <f t="shared" si="161"/>
        <v>45</v>
      </c>
      <c r="N610" s="4">
        <f t="shared" si="162"/>
        <v>45</v>
      </c>
      <c r="O610" s="4">
        <f t="shared" si="163"/>
        <v>34</v>
      </c>
      <c r="P610" s="4">
        <f t="shared" si="164"/>
        <v>30</v>
      </c>
      <c r="Q610" s="4">
        <f t="shared" si="165"/>
        <v>34</v>
      </c>
      <c r="R610" s="4">
        <f t="shared" si="166"/>
        <v>56</v>
      </c>
      <c r="S610" s="102">
        <f t="shared" si="167"/>
        <v>30</v>
      </c>
      <c r="U610" s="101">
        <f t="shared" si="168"/>
        <v>71</v>
      </c>
      <c r="V610" s="4">
        <f t="shared" si="169"/>
        <v>71</v>
      </c>
      <c r="W610" s="4">
        <f t="shared" si="170"/>
        <v>46</v>
      </c>
      <c r="X610" s="4">
        <f t="shared" si="171"/>
        <v>39</v>
      </c>
      <c r="Y610" s="4">
        <f t="shared" si="172"/>
        <v>46</v>
      </c>
      <c r="Z610" s="4">
        <f t="shared" si="173"/>
        <v>78</v>
      </c>
      <c r="AA610" s="102">
        <f t="shared" si="174"/>
        <v>39</v>
      </c>
      <c r="AC610" s="100">
        <f t="shared" si="175"/>
        <v>0.96983513320363346</v>
      </c>
    </row>
    <row r="611" spans="4:29" x14ac:dyDescent="0.35">
      <c r="D611">
        <f t="shared" si="176"/>
        <v>607</v>
      </c>
      <c r="E611" s="101">
        <v>7</v>
      </c>
      <c r="F611" s="4">
        <v>7</v>
      </c>
      <c r="G611" s="4">
        <v>7</v>
      </c>
      <c r="H611" s="4">
        <v>2</v>
      </c>
      <c r="I611" s="4">
        <v>3</v>
      </c>
      <c r="J611" s="4">
        <v>1</v>
      </c>
      <c r="K611" s="102">
        <v>4</v>
      </c>
      <c r="M611" s="101">
        <f t="shared" si="161"/>
        <v>29</v>
      </c>
      <c r="N611" s="4">
        <f t="shared" si="162"/>
        <v>29</v>
      </c>
      <c r="O611" s="4">
        <f t="shared" si="163"/>
        <v>29</v>
      </c>
      <c r="P611" s="4">
        <f t="shared" si="164"/>
        <v>56</v>
      </c>
      <c r="Q611" s="4">
        <f t="shared" si="165"/>
        <v>23</v>
      </c>
      <c r="R611" s="4">
        <f t="shared" si="166"/>
        <v>34</v>
      </c>
      <c r="S611" s="102">
        <f t="shared" si="167"/>
        <v>12</v>
      </c>
      <c r="U611" s="101">
        <f t="shared" si="168"/>
        <v>41</v>
      </c>
      <c r="V611" s="4">
        <f t="shared" si="169"/>
        <v>41</v>
      </c>
      <c r="W611" s="4">
        <f t="shared" si="170"/>
        <v>41</v>
      </c>
      <c r="X611" s="4">
        <f t="shared" si="171"/>
        <v>78</v>
      </c>
      <c r="Y611" s="4">
        <f t="shared" si="172"/>
        <v>39</v>
      </c>
      <c r="Z611" s="4">
        <f t="shared" si="173"/>
        <v>46</v>
      </c>
      <c r="AA611" s="102">
        <f t="shared" si="174"/>
        <v>9</v>
      </c>
      <c r="AC611" s="100">
        <f t="shared" si="175"/>
        <v>0.97810480937411748</v>
      </c>
    </row>
    <row r="612" spans="4:29" x14ac:dyDescent="0.35">
      <c r="D612">
        <f t="shared" si="176"/>
        <v>608</v>
      </c>
      <c r="E612" s="101">
        <v>7</v>
      </c>
      <c r="F612" s="4">
        <v>1</v>
      </c>
      <c r="G612" s="4">
        <v>2</v>
      </c>
      <c r="H612" s="4">
        <v>1</v>
      </c>
      <c r="I612" s="4">
        <v>1</v>
      </c>
      <c r="J612" s="4">
        <v>3</v>
      </c>
      <c r="K612" s="102">
        <v>5</v>
      </c>
      <c r="M612" s="101">
        <f t="shared" si="161"/>
        <v>29</v>
      </c>
      <c r="N612" s="4">
        <f t="shared" si="162"/>
        <v>34</v>
      </c>
      <c r="O612" s="4">
        <f t="shared" si="163"/>
        <v>56</v>
      </c>
      <c r="P612" s="4">
        <f t="shared" si="164"/>
        <v>34</v>
      </c>
      <c r="Q612" s="4">
        <f t="shared" si="165"/>
        <v>34</v>
      </c>
      <c r="R612" s="4">
        <f t="shared" si="166"/>
        <v>23</v>
      </c>
      <c r="S612" s="102">
        <f t="shared" si="167"/>
        <v>30</v>
      </c>
      <c r="U612" s="101">
        <f t="shared" si="168"/>
        <v>41</v>
      </c>
      <c r="V612" s="4">
        <f t="shared" si="169"/>
        <v>46</v>
      </c>
      <c r="W612" s="4">
        <f t="shared" si="170"/>
        <v>78</v>
      </c>
      <c r="X612" s="4">
        <f t="shared" si="171"/>
        <v>46</v>
      </c>
      <c r="Y612" s="4">
        <f t="shared" si="172"/>
        <v>46</v>
      </c>
      <c r="Z612" s="4">
        <f t="shared" si="173"/>
        <v>39</v>
      </c>
      <c r="AA612" s="102">
        <f t="shared" si="174"/>
        <v>39</v>
      </c>
      <c r="AC612" s="100">
        <f t="shared" si="175"/>
        <v>0.97530672614915614</v>
      </c>
    </row>
    <row r="613" spans="4:29" x14ac:dyDescent="0.35">
      <c r="D613">
        <f t="shared" si="176"/>
        <v>609</v>
      </c>
      <c r="E613" s="101">
        <v>2</v>
      </c>
      <c r="F613" s="4">
        <v>1</v>
      </c>
      <c r="G613" s="4">
        <v>4</v>
      </c>
      <c r="H613" s="4">
        <v>7</v>
      </c>
      <c r="I613" s="4">
        <v>1</v>
      </c>
      <c r="J613" s="4">
        <v>2</v>
      </c>
      <c r="K613" s="102">
        <v>3</v>
      </c>
      <c r="M613" s="101">
        <f t="shared" si="161"/>
        <v>56</v>
      </c>
      <c r="N613" s="4">
        <f t="shared" si="162"/>
        <v>34</v>
      </c>
      <c r="O613" s="4">
        <f t="shared" si="163"/>
        <v>12</v>
      </c>
      <c r="P613" s="4">
        <f t="shared" si="164"/>
        <v>29</v>
      </c>
      <c r="Q613" s="4">
        <f t="shared" si="165"/>
        <v>34</v>
      </c>
      <c r="R613" s="4">
        <f t="shared" si="166"/>
        <v>56</v>
      </c>
      <c r="S613" s="102">
        <f t="shared" si="167"/>
        <v>23</v>
      </c>
      <c r="U613" s="101">
        <f t="shared" si="168"/>
        <v>78</v>
      </c>
      <c r="V613" s="4">
        <f t="shared" si="169"/>
        <v>46</v>
      </c>
      <c r="W613" s="4">
        <f t="shared" si="170"/>
        <v>9</v>
      </c>
      <c r="X613" s="4">
        <f t="shared" si="171"/>
        <v>41</v>
      </c>
      <c r="Y613" s="4">
        <f t="shared" si="172"/>
        <v>46</v>
      </c>
      <c r="Z613" s="4">
        <f t="shared" si="173"/>
        <v>78</v>
      </c>
      <c r="AA613" s="102">
        <f t="shared" si="174"/>
        <v>39</v>
      </c>
      <c r="AC613" s="100">
        <f t="shared" si="175"/>
        <v>0.98462773488502919</v>
      </c>
    </row>
    <row r="614" spans="4:29" x14ac:dyDescent="0.35">
      <c r="D614">
        <f t="shared" si="176"/>
        <v>610</v>
      </c>
      <c r="E614" s="101">
        <v>3</v>
      </c>
      <c r="F614" s="4">
        <v>7</v>
      </c>
      <c r="G614" s="4">
        <v>1</v>
      </c>
      <c r="H614" s="4">
        <v>1</v>
      </c>
      <c r="I614" s="4">
        <v>1</v>
      </c>
      <c r="J614" s="4">
        <v>6</v>
      </c>
      <c r="K614" s="102">
        <v>2</v>
      </c>
      <c r="M614" s="101">
        <f t="shared" si="161"/>
        <v>23</v>
      </c>
      <c r="N614" s="4">
        <f t="shared" si="162"/>
        <v>29</v>
      </c>
      <c r="O614" s="4">
        <f t="shared" si="163"/>
        <v>34</v>
      </c>
      <c r="P614" s="4">
        <f t="shared" si="164"/>
        <v>34</v>
      </c>
      <c r="Q614" s="4">
        <f t="shared" si="165"/>
        <v>34</v>
      </c>
      <c r="R614" s="4">
        <f t="shared" si="166"/>
        <v>45</v>
      </c>
      <c r="S614" s="102">
        <f t="shared" si="167"/>
        <v>56</v>
      </c>
      <c r="U614" s="101">
        <f t="shared" si="168"/>
        <v>39</v>
      </c>
      <c r="V614" s="4">
        <f t="shared" si="169"/>
        <v>41</v>
      </c>
      <c r="W614" s="4">
        <f t="shared" si="170"/>
        <v>46</v>
      </c>
      <c r="X614" s="4">
        <f t="shared" si="171"/>
        <v>46</v>
      </c>
      <c r="Y614" s="4">
        <f t="shared" si="172"/>
        <v>46</v>
      </c>
      <c r="Z614" s="4">
        <f t="shared" si="173"/>
        <v>71</v>
      </c>
      <c r="AA614" s="102">
        <f t="shared" si="174"/>
        <v>78</v>
      </c>
      <c r="AC614" s="100">
        <f t="shared" si="175"/>
        <v>0.96330875570072028</v>
      </c>
    </row>
    <row r="615" spans="4:29" x14ac:dyDescent="0.35">
      <c r="D615">
        <f t="shared" si="176"/>
        <v>611</v>
      </c>
      <c r="E615" s="101">
        <v>6</v>
      </c>
      <c r="F615" s="4">
        <v>3</v>
      </c>
      <c r="G615" s="4">
        <v>1</v>
      </c>
      <c r="H615" s="4">
        <v>6</v>
      </c>
      <c r="I615" s="4">
        <v>1</v>
      </c>
      <c r="J615" s="4">
        <v>3</v>
      </c>
      <c r="K615" s="102">
        <v>1</v>
      </c>
      <c r="M615" s="101">
        <f t="shared" si="161"/>
        <v>45</v>
      </c>
      <c r="N615" s="4">
        <f t="shared" si="162"/>
        <v>23</v>
      </c>
      <c r="O615" s="4">
        <f t="shared" si="163"/>
        <v>34</v>
      </c>
      <c r="P615" s="4">
        <f t="shared" si="164"/>
        <v>45</v>
      </c>
      <c r="Q615" s="4">
        <f t="shared" si="165"/>
        <v>34</v>
      </c>
      <c r="R615" s="4">
        <f t="shared" si="166"/>
        <v>23</v>
      </c>
      <c r="S615" s="102">
        <f t="shared" si="167"/>
        <v>34</v>
      </c>
      <c r="U615" s="101">
        <f t="shared" si="168"/>
        <v>71</v>
      </c>
      <c r="V615" s="4">
        <f t="shared" si="169"/>
        <v>39</v>
      </c>
      <c r="W615" s="4">
        <f t="shared" si="170"/>
        <v>46</v>
      </c>
      <c r="X615" s="4">
        <f t="shared" si="171"/>
        <v>71</v>
      </c>
      <c r="Y615" s="4">
        <f t="shared" si="172"/>
        <v>46</v>
      </c>
      <c r="Z615" s="4">
        <f t="shared" si="173"/>
        <v>39</v>
      </c>
      <c r="AA615" s="102">
        <f t="shared" si="174"/>
        <v>46</v>
      </c>
      <c r="AC615" s="100">
        <f t="shared" si="175"/>
        <v>0.93839740014009032</v>
      </c>
    </row>
    <row r="616" spans="4:29" x14ac:dyDescent="0.35">
      <c r="D616">
        <f t="shared" si="176"/>
        <v>612</v>
      </c>
      <c r="E616" s="101">
        <v>7</v>
      </c>
      <c r="F616" s="4">
        <v>5</v>
      </c>
      <c r="G616" s="4">
        <v>4</v>
      </c>
      <c r="H616" s="4">
        <v>1</v>
      </c>
      <c r="I616" s="4">
        <v>5</v>
      </c>
      <c r="J616" s="4">
        <v>6</v>
      </c>
      <c r="K616" s="102">
        <v>7</v>
      </c>
      <c r="M616" s="101">
        <f t="shared" si="161"/>
        <v>29</v>
      </c>
      <c r="N616" s="4">
        <f t="shared" si="162"/>
        <v>30</v>
      </c>
      <c r="O616" s="4">
        <f t="shared" si="163"/>
        <v>12</v>
      </c>
      <c r="P616" s="4">
        <f t="shared" si="164"/>
        <v>34</v>
      </c>
      <c r="Q616" s="4">
        <f t="shared" si="165"/>
        <v>30</v>
      </c>
      <c r="R616" s="4">
        <f t="shared" si="166"/>
        <v>45</v>
      </c>
      <c r="S616" s="102">
        <f t="shared" si="167"/>
        <v>29</v>
      </c>
      <c r="U616" s="101">
        <f t="shared" si="168"/>
        <v>41</v>
      </c>
      <c r="V616" s="4">
        <f t="shared" si="169"/>
        <v>39</v>
      </c>
      <c r="W616" s="4">
        <f t="shared" si="170"/>
        <v>9</v>
      </c>
      <c r="X616" s="4">
        <f t="shared" si="171"/>
        <v>46</v>
      </c>
      <c r="Y616" s="4">
        <f t="shared" si="172"/>
        <v>39</v>
      </c>
      <c r="Z616" s="4">
        <f t="shared" si="173"/>
        <v>71</v>
      </c>
      <c r="AA616" s="102">
        <f t="shared" si="174"/>
        <v>41</v>
      </c>
      <c r="AC616" s="100">
        <f t="shared" si="175"/>
        <v>0.99301542389456943</v>
      </c>
    </row>
    <row r="617" spans="4:29" x14ac:dyDescent="0.35">
      <c r="D617">
        <f t="shared" si="176"/>
        <v>613</v>
      </c>
      <c r="E617" s="101">
        <v>6</v>
      </c>
      <c r="F617" s="4">
        <v>4</v>
      </c>
      <c r="G617" s="4">
        <v>5</v>
      </c>
      <c r="H617" s="4">
        <v>7</v>
      </c>
      <c r="I617" s="4">
        <v>3</v>
      </c>
      <c r="J617" s="4">
        <v>7</v>
      </c>
      <c r="K617" s="102">
        <v>6</v>
      </c>
      <c r="M617" s="101">
        <f t="shared" si="161"/>
        <v>45</v>
      </c>
      <c r="N617" s="4">
        <f t="shared" si="162"/>
        <v>12</v>
      </c>
      <c r="O617" s="4">
        <f t="shared" si="163"/>
        <v>30</v>
      </c>
      <c r="P617" s="4">
        <f t="shared" si="164"/>
        <v>29</v>
      </c>
      <c r="Q617" s="4">
        <f t="shared" si="165"/>
        <v>23</v>
      </c>
      <c r="R617" s="4">
        <f t="shared" si="166"/>
        <v>29</v>
      </c>
      <c r="S617" s="102">
        <f t="shared" si="167"/>
        <v>45</v>
      </c>
      <c r="U617" s="101">
        <f t="shared" si="168"/>
        <v>71</v>
      </c>
      <c r="V617" s="4">
        <f t="shared" si="169"/>
        <v>9</v>
      </c>
      <c r="W617" s="4">
        <f t="shared" si="170"/>
        <v>39</v>
      </c>
      <c r="X617" s="4">
        <f t="shared" si="171"/>
        <v>41</v>
      </c>
      <c r="Y617" s="4">
        <f t="shared" si="172"/>
        <v>39</v>
      </c>
      <c r="Z617" s="4">
        <f t="shared" si="173"/>
        <v>41</v>
      </c>
      <c r="AA617" s="102">
        <f t="shared" si="174"/>
        <v>71</v>
      </c>
      <c r="AC617" s="100">
        <f t="shared" si="175"/>
        <v>0.98320885818791848</v>
      </c>
    </row>
    <row r="618" spans="4:29" x14ac:dyDescent="0.35">
      <c r="D618">
        <f t="shared" si="176"/>
        <v>614</v>
      </c>
      <c r="E618" s="101">
        <v>4</v>
      </c>
      <c r="F618" s="4">
        <v>6</v>
      </c>
      <c r="G618" s="4">
        <v>4</v>
      </c>
      <c r="H618" s="4">
        <v>1</v>
      </c>
      <c r="I618" s="4">
        <v>2</v>
      </c>
      <c r="J618" s="4">
        <v>6</v>
      </c>
      <c r="K618" s="102">
        <v>7</v>
      </c>
      <c r="M618" s="101">
        <f t="shared" si="161"/>
        <v>12</v>
      </c>
      <c r="N618" s="4">
        <f t="shared" si="162"/>
        <v>45</v>
      </c>
      <c r="O618" s="4">
        <f t="shared" si="163"/>
        <v>12</v>
      </c>
      <c r="P618" s="4">
        <f t="shared" si="164"/>
        <v>34</v>
      </c>
      <c r="Q618" s="4">
        <f t="shared" si="165"/>
        <v>56</v>
      </c>
      <c r="R618" s="4">
        <f t="shared" si="166"/>
        <v>45</v>
      </c>
      <c r="S618" s="102">
        <f t="shared" si="167"/>
        <v>29</v>
      </c>
      <c r="U618" s="101">
        <f t="shared" si="168"/>
        <v>9</v>
      </c>
      <c r="V618" s="4">
        <f t="shared" si="169"/>
        <v>71</v>
      </c>
      <c r="W618" s="4">
        <f t="shared" si="170"/>
        <v>9</v>
      </c>
      <c r="X618" s="4">
        <f t="shared" si="171"/>
        <v>46</v>
      </c>
      <c r="Y618" s="4">
        <f t="shared" si="172"/>
        <v>78</v>
      </c>
      <c r="Z618" s="4">
        <f t="shared" si="173"/>
        <v>71</v>
      </c>
      <c r="AA618" s="102">
        <f t="shared" si="174"/>
        <v>41</v>
      </c>
      <c r="AC618" s="100">
        <f t="shared" si="175"/>
        <v>0.98980168336391405</v>
      </c>
    </row>
    <row r="619" spans="4:29" x14ac:dyDescent="0.35">
      <c r="D619">
        <f t="shared" si="176"/>
        <v>615</v>
      </c>
      <c r="E619" s="101">
        <v>5</v>
      </c>
      <c r="F619" s="4">
        <v>2</v>
      </c>
      <c r="G619" s="4">
        <v>4</v>
      </c>
      <c r="H619" s="4">
        <v>7</v>
      </c>
      <c r="I619" s="4">
        <v>2</v>
      </c>
      <c r="J619" s="4">
        <v>2</v>
      </c>
      <c r="K619" s="102">
        <v>5</v>
      </c>
      <c r="M619" s="101">
        <f t="shared" si="161"/>
        <v>30</v>
      </c>
      <c r="N619" s="4">
        <f t="shared" si="162"/>
        <v>56</v>
      </c>
      <c r="O619" s="4">
        <f t="shared" si="163"/>
        <v>12</v>
      </c>
      <c r="P619" s="4">
        <f t="shared" si="164"/>
        <v>29</v>
      </c>
      <c r="Q619" s="4">
        <f t="shared" si="165"/>
        <v>56</v>
      </c>
      <c r="R619" s="4">
        <f t="shared" si="166"/>
        <v>56</v>
      </c>
      <c r="S619" s="102">
        <f t="shared" si="167"/>
        <v>30</v>
      </c>
      <c r="U619" s="101">
        <f t="shared" si="168"/>
        <v>39</v>
      </c>
      <c r="V619" s="4">
        <f t="shared" si="169"/>
        <v>78</v>
      </c>
      <c r="W619" s="4">
        <f t="shared" si="170"/>
        <v>9</v>
      </c>
      <c r="X619" s="4">
        <f t="shared" si="171"/>
        <v>41</v>
      </c>
      <c r="Y619" s="4">
        <f t="shared" si="172"/>
        <v>78</v>
      </c>
      <c r="Z619" s="4">
        <f t="shared" si="173"/>
        <v>78</v>
      </c>
      <c r="AA619" s="102">
        <f t="shared" si="174"/>
        <v>39</v>
      </c>
      <c r="AC619" s="100">
        <f t="shared" si="175"/>
        <v>0.99768384224370277</v>
      </c>
    </row>
    <row r="620" spans="4:29" x14ac:dyDescent="0.35">
      <c r="D620">
        <f t="shared" si="176"/>
        <v>616</v>
      </c>
      <c r="E620" s="101">
        <v>4</v>
      </c>
      <c r="F620" s="4">
        <v>1</v>
      </c>
      <c r="G620" s="4">
        <v>7</v>
      </c>
      <c r="H620" s="4">
        <v>3</v>
      </c>
      <c r="I620" s="4">
        <v>4</v>
      </c>
      <c r="J620" s="4">
        <v>4</v>
      </c>
      <c r="K620" s="102">
        <v>1</v>
      </c>
      <c r="M620" s="101">
        <f t="shared" si="161"/>
        <v>12</v>
      </c>
      <c r="N620" s="4">
        <f t="shared" si="162"/>
        <v>34</v>
      </c>
      <c r="O620" s="4">
        <f t="shared" si="163"/>
        <v>29</v>
      </c>
      <c r="P620" s="4">
        <f t="shared" si="164"/>
        <v>23</v>
      </c>
      <c r="Q620" s="4">
        <f t="shared" si="165"/>
        <v>12</v>
      </c>
      <c r="R620" s="4">
        <f t="shared" si="166"/>
        <v>12</v>
      </c>
      <c r="S620" s="102">
        <f t="shared" si="167"/>
        <v>34</v>
      </c>
      <c r="U620" s="101">
        <f t="shared" si="168"/>
        <v>9</v>
      </c>
      <c r="V620" s="4">
        <f t="shared" si="169"/>
        <v>46</v>
      </c>
      <c r="W620" s="4">
        <f t="shared" si="170"/>
        <v>41</v>
      </c>
      <c r="X620" s="4">
        <f t="shared" si="171"/>
        <v>39</v>
      </c>
      <c r="Y620" s="4">
        <f t="shared" si="172"/>
        <v>9</v>
      </c>
      <c r="Z620" s="4">
        <f t="shared" si="173"/>
        <v>9</v>
      </c>
      <c r="AA620" s="102">
        <f t="shared" si="174"/>
        <v>46</v>
      </c>
      <c r="AC620" s="100">
        <f t="shared" si="175"/>
        <v>0.97223449459194589</v>
      </c>
    </row>
    <row r="621" spans="4:29" x14ac:dyDescent="0.35">
      <c r="D621">
        <f t="shared" si="176"/>
        <v>617</v>
      </c>
      <c r="E621" s="101">
        <v>2</v>
      </c>
      <c r="F621" s="4">
        <v>2</v>
      </c>
      <c r="G621" s="4">
        <v>1</v>
      </c>
      <c r="H621" s="4">
        <v>7</v>
      </c>
      <c r="I621" s="4">
        <v>5</v>
      </c>
      <c r="J621" s="4">
        <v>3</v>
      </c>
      <c r="K621" s="102">
        <v>7</v>
      </c>
      <c r="M621" s="101">
        <f t="shared" si="161"/>
        <v>56</v>
      </c>
      <c r="N621" s="4">
        <f t="shared" si="162"/>
        <v>56</v>
      </c>
      <c r="O621" s="4">
        <f t="shared" si="163"/>
        <v>34</v>
      </c>
      <c r="P621" s="4">
        <f t="shared" si="164"/>
        <v>29</v>
      </c>
      <c r="Q621" s="4">
        <f t="shared" si="165"/>
        <v>30</v>
      </c>
      <c r="R621" s="4">
        <f t="shared" si="166"/>
        <v>23</v>
      </c>
      <c r="S621" s="102">
        <f t="shared" si="167"/>
        <v>29</v>
      </c>
      <c r="U621" s="101">
        <f t="shared" si="168"/>
        <v>78</v>
      </c>
      <c r="V621" s="4">
        <f t="shared" si="169"/>
        <v>78</v>
      </c>
      <c r="W621" s="4">
        <f t="shared" si="170"/>
        <v>46</v>
      </c>
      <c r="X621" s="4">
        <f t="shared" si="171"/>
        <v>41</v>
      </c>
      <c r="Y621" s="4">
        <f t="shared" si="172"/>
        <v>39</v>
      </c>
      <c r="Z621" s="4">
        <f t="shared" si="173"/>
        <v>39</v>
      </c>
      <c r="AA621" s="102">
        <f t="shared" si="174"/>
        <v>41</v>
      </c>
      <c r="AC621" s="100">
        <f t="shared" si="175"/>
        <v>0.98712192438801638</v>
      </c>
    </row>
    <row r="622" spans="4:29" x14ac:dyDescent="0.35">
      <c r="D622">
        <f t="shared" si="176"/>
        <v>618</v>
      </c>
      <c r="E622" s="101">
        <v>6</v>
      </c>
      <c r="F622" s="4">
        <v>6</v>
      </c>
      <c r="G622" s="4">
        <v>2</v>
      </c>
      <c r="H622" s="4">
        <v>3</v>
      </c>
      <c r="I622" s="4">
        <v>5</v>
      </c>
      <c r="J622" s="4">
        <v>6</v>
      </c>
      <c r="K622" s="102">
        <v>2</v>
      </c>
      <c r="M622" s="101">
        <f t="shared" si="161"/>
        <v>45</v>
      </c>
      <c r="N622" s="4">
        <f t="shared" si="162"/>
        <v>45</v>
      </c>
      <c r="O622" s="4">
        <f t="shared" si="163"/>
        <v>56</v>
      </c>
      <c r="P622" s="4">
        <f t="shared" si="164"/>
        <v>23</v>
      </c>
      <c r="Q622" s="4">
        <f t="shared" si="165"/>
        <v>30</v>
      </c>
      <c r="R622" s="4">
        <f t="shared" si="166"/>
        <v>45</v>
      </c>
      <c r="S622" s="102">
        <f t="shared" si="167"/>
        <v>56</v>
      </c>
      <c r="U622" s="101">
        <f t="shared" si="168"/>
        <v>71</v>
      </c>
      <c r="V622" s="4">
        <f t="shared" si="169"/>
        <v>71</v>
      </c>
      <c r="W622" s="4">
        <f t="shared" si="170"/>
        <v>78</v>
      </c>
      <c r="X622" s="4">
        <f t="shared" si="171"/>
        <v>39</v>
      </c>
      <c r="Y622" s="4">
        <f t="shared" si="172"/>
        <v>39</v>
      </c>
      <c r="Z622" s="4">
        <f t="shared" si="173"/>
        <v>71</v>
      </c>
      <c r="AA622" s="102">
        <f t="shared" si="174"/>
        <v>78</v>
      </c>
      <c r="AC622" s="100">
        <f t="shared" si="175"/>
        <v>0.96005435652228499</v>
      </c>
    </row>
    <row r="623" spans="4:29" x14ac:dyDescent="0.35">
      <c r="D623">
        <f t="shared" si="176"/>
        <v>619</v>
      </c>
      <c r="E623" s="101">
        <v>2</v>
      </c>
      <c r="F623" s="4">
        <v>6</v>
      </c>
      <c r="G623" s="4">
        <v>6</v>
      </c>
      <c r="H623" s="4">
        <v>5</v>
      </c>
      <c r="I623" s="4">
        <v>3</v>
      </c>
      <c r="J623" s="4">
        <v>7</v>
      </c>
      <c r="K623" s="102">
        <v>1</v>
      </c>
      <c r="M623" s="101">
        <f t="shared" si="161"/>
        <v>56</v>
      </c>
      <c r="N623" s="4">
        <f t="shared" si="162"/>
        <v>45</v>
      </c>
      <c r="O623" s="4">
        <f t="shared" si="163"/>
        <v>45</v>
      </c>
      <c r="P623" s="4">
        <f t="shared" si="164"/>
        <v>30</v>
      </c>
      <c r="Q623" s="4">
        <f t="shared" si="165"/>
        <v>23</v>
      </c>
      <c r="R623" s="4">
        <f t="shared" si="166"/>
        <v>29</v>
      </c>
      <c r="S623" s="102">
        <f t="shared" si="167"/>
        <v>34</v>
      </c>
      <c r="U623" s="101">
        <f t="shared" si="168"/>
        <v>78</v>
      </c>
      <c r="V623" s="4">
        <f t="shared" si="169"/>
        <v>71</v>
      </c>
      <c r="W623" s="4">
        <f t="shared" si="170"/>
        <v>71</v>
      </c>
      <c r="X623" s="4">
        <f t="shared" si="171"/>
        <v>39</v>
      </c>
      <c r="Y623" s="4">
        <f t="shared" si="172"/>
        <v>39</v>
      </c>
      <c r="Z623" s="4">
        <f t="shared" si="173"/>
        <v>41</v>
      </c>
      <c r="AA623" s="102">
        <f t="shared" si="174"/>
        <v>46</v>
      </c>
      <c r="AC623" s="100">
        <f t="shared" si="175"/>
        <v>0.96189300371852327</v>
      </c>
    </row>
    <row r="624" spans="4:29" x14ac:dyDescent="0.35">
      <c r="D624">
        <f t="shared" si="176"/>
        <v>620</v>
      </c>
      <c r="E624" s="101">
        <v>3</v>
      </c>
      <c r="F624" s="4">
        <v>2</v>
      </c>
      <c r="G624" s="4">
        <v>7</v>
      </c>
      <c r="H624" s="4">
        <v>7</v>
      </c>
      <c r="I624" s="4">
        <v>7</v>
      </c>
      <c r="J624" s="4">
        <v>4</v>
      </c>
      <c r="K624" s="102">
        <v>5</v>
      </c>
      <c r="M624" s="101">
        <f t="shared" si="161"/>
        <v>23</v>
      </c>
      <c r="N624" s="4">
        <f t="shared" si="162"/>
        <v>56</v>
      </c>
      <c r="O624" s="4">
        <f t="shared" si="163"/>
        <v>29</v>
      </c>
      <c r="P624" s="4">
        <f t="shared" si="164"/>
        <v>29</v>
      </c>
      <c r="Q624" s="4">
        <f t="shared" si="165"/>
        <v>29</v>
      </c>
      <c r="R624" s="4">
        <f t="shared" si="166"/>
        <v>12</v>
      </c>
      <c r="S624" s="102">
        <f t="shared" si="167"/>
        <v>30</v>
      </c>
      <c r="U624" s="101">
        <f t="shared" si="168"/>
        <v>39</v>
      </c>
      <c r="V624" s="4">
        <f t="shared" si="169"/>
        <v>78</v>
      </c>
      <c r="W624" s="4">
        <f t="shared" si="170"/>
        <v>41</v>
      </c>
      <c r="X624" s="4">
        <f t="shared" si="171"/>
        <v>41</v>
      </c>
      <c r="Y624" s="4">
        <f t="shared" si="172"/>
        <v>41</v>
      </c>
      <c r="Z624" s="4">
        <f t="shared" si="173"/>
        <v>9</v>
      </c>
      <c r="AA624" s="102">
        <f t="shared" si="174"/>
        <v>39</v>
      </c>
      <c r="AC624" s="100">
        <f t="shared" si="175"/>
        <v>0.97700911149102521</v>
      </c>
    </row>
    <row r="625" spans="4:29" x14ac:dyDescent="0.35">
      <c r="D625">
        <f t="shared" si="176"/>
        <v>621</v>
      </c>
      <c r="E625" s="101">
        <v>2</v>
      </c>
      <c r="F625" s="4">
        <v>3</v>
      </c>
      <c r="G625" s="4">
        <v>1</v>
      </c>
      <c r="H625" s="4">
        <v>6</v>
      </c>
      <c r="I625" s="4">
        <v>4</v>
      </c>
      <c r="J625" s="4">
        <v>5</v>
      </c>
      <c r="K625" s="102">
        <v>3</v>
      </c>
      <c r="M625" s="101">
        <f t="shared" si="161"/>
        <v>56</v>
      </c>
      <c r="N625" s="4">
        <f t="shared" si="162"/>
        <v>23</v>
      </c>
      <c r="O625" s="4">
        <f t="shared" si="163"/>
        <v>34</v>
      </c>
      <c r="P625" s="4">
        <f t="shared" si="164"/>
        <v>45</v>
      </c>
      <c r="Q625" s="4">
        <f t="shared" si="165"/>
        <v>12</v>
      </c>
      <c r="R625" s="4">
        <f t="shared" si="166"/>
        <v>30</v>
      </c>
      <c r="S625" s="102">
        <f t="shared" si="167"/>
        <v>23</v>
      </c>
      <c r="U625" s="101">
        <f t="shared" si="168"/>
        <v>78</v>
      </c>
      <c r="V625" s="4">
        <f t="shared" si="169"/>
        <v>39</v>
      </c>
      <c r="W625" s="4">
        <f t="shared" si="170"/>
        <v>46</v>
      </c>
      <c r="X625" s="4">
        <f t="shared" si="171"/>
        <v>71</v>
      </c>
      <c r="Y625" s="4">
        <f t="shared" si="172"/>
        <v>9</v>
      </c>
      <c r="Z625" s="4">
        <f t="shared" si="173"/>
        <v>39</v>
      </c>
      <c r="AA625" s="102">
        <f t="shared" si="174"/>
        <v>39</v>
      </c>
      <c r="AC625" s="100">
        <f t="shared" si="175"/>
        <v>0.9671176246359563</v>
      </c>
    </row>
    <row r="626" spans="4:29" x14ac:dyDescent="0.35">
      <c r="D626">
        <f t="shared" si="176"/>
        <v>622</v>
      </c>
      <c r="E626" s="101">
        <v>4</v>
      </c>
      <c r="F626" s="4">
        <v>1</v>
      </c>
      <c r="G626" s="4">
        <v>1</v>
      </c>
      <c r="H626" s="4">
        <v>7</v>
      </c>
      <c r="I626" s="4">
        <v>5</v>
      </c>
      <c r="J626" s="4">
        <v>4</v>
      </c>
      <c r="K626" s="102">
        <v>4</v>
      </c>
      <c r="M626" s="101">
        <f t="shared" si="161"/>
        <v>12</v>
      </c>
      <c r="N626" s="4">
        <f t="shared" si="162"/>
        <v>34</v>
      </c>
      <c r="O626" s="4">
        <f t="shared" si="163"/>
        <v>34</v>
      </c>
      <c r="P626" s="4">
        <f t="shared" si="164"/>
        <v>29</v>
      </c>
      <c r="Q626" s="4">
        <f t="shared" si="165"/>
        <v>30</v>
      </c>
      <c r="R626" s="4">
        <f t="shared" si="166"/>
        <v>12</v>
      </c>
      <c r="S626" s="102">
        <f t="shared" si="167"/>
        <v>12</v>
      </c>
      <c r="U626" s="101">
        <f t="shared" si="168"/>
        <v>9</v>
      </c>
      <c r="V626" s="4">
        <f t="shared" si="169"/>
        <v>46</v>
      </c>
      <c r="W626" s="4">
        <f t="shared" si="170"/>
        <v>46</v>
      </c>
      <c r="X626" s="4">
        <f t="shared" si="171"/>
        <v>41</v>
      </c>
      <c r="Y626" s="4">
        <f t="shared" si="172"/>
        <v>39</v>
      </c>
      <c r="Z626" s="4">
        <f t="shared" si="173"/>
        <v>9</v>
      </c>
      <c r="AA626" s="102">
        <f t="shared" si="174"/>
        <v>9</v>
      </c>
      <c r="AC626" s="100">
        <f t="shared" si="175"/>
        <v>0.99756123507652794</v>
      </c>
    </row>
    <row r="627" spans="4:29" x14ac:dyDescent="0.35">
      <c r="D627">
        <f t="shared" si="176"/>
        <v>623</v>
      </c>
      <c r="E627" s="101">
        <v>2</v>
      </c>
      <c r="F627" s="4">
        <v>2</v>
      </c>
      <c r="G627" s="4">
        <v>1</v>
      </c>
      <c r="H627" s="4">
        <v>5</v>
      </c>
      <c r="I627" s="4">
        <v>3</v>
      </c>
      <c r="J627" s="4">
        <v>3</v>
      </c>
      <c r="K627" s="102">
        <v>2</v>
      </c>
      <c r="M627" s="101">
        <f t="shared" si="161"/>
        <v>56</v>
      </c>
      <c r="N627" s="4">
        <f t="shared" si="162"/>
        <v>56</v>
      </c>
      <c r="O627" s="4">
        <f t="shared" si="163"/>
        <v>34</v>
      </c>
      <c r="P627" s="4">
        <f t="shared" si="164"/>
        <v>30</v>
      </c>
      <c r="Q627" s="4">
        <f t="shared" si="165"/>
        <v>23</v>
      </c>
      <c r="R627" s="4">
        <f t="shared" si="166"/>
        <v>23</v>
      </c>
      <c r="S627" s="102">
        <f t="shared" si="167"/>
        <v>56</v>
      </c>
      <c r="U627" s="101">
        <f t="shared" si="168"/>
        <v>78</v>
      </c>
      <c r="V627" s="4">
        <f t="shared" si="169"/>
        <v>78</v>
      </c>
      <c r="W627" s="4">
        <f t="shared" si="170"/>
        <v>46</v>
      </c>
      <c r="X627" s="4">
        <f t="shared" si="171"/>
        <v>39</v>
      </c>
      <c r="Y627" s="4">
        <f t="shared" si="172"/>
        <v>39</v>
      </c>
      <c r="Z627" s="4">
        <f t="shared" si="173"/>
        <v>39</v>
      </c>
      <c r="AA627" s="102">
        <f t="shared" si="174"/>
        <v>78</v>
      </c>
      <c r="AC627" s="100">
        <f t="shared" si="175"/>
        <v>0.98614588423669181</v>
      </c>
    </row>
    <row r="628" spans="4:29" x14ac:dyDescent="0.35">
      <c r="D628">
        <f t="shared" si="176"/>
        <v>624</v>
      </c>
      <c r="E628" s="101">
        <v>5</v>
      </c>
      <c r="F628" s="4">
        <v>6</v>
      </c>
      <c r="G628" s="4">
        <v>4</v>
      </c>
      <c r="H628" s="4">
        <v>6</v>
      </c>
      <c r="I628" s="4">
        <v>6</v>
      </c>
      <c r="J628" s="4">
        <v>7</v>
      </c>
      <c r="K628" s="102">
        <v>1</v>
      </c>
      <c r="M628" s="101">
        <f t="shared" si="161"/>
        <v>30</v>
      </c>
      <c r="N628" s="4">
        <f t="shared" si="162"/>
        <v>45</v>
      </c>
      <c r="O628" s="4">
        <f t="shared" si="163"/>
        <v>12</v>
      </c>
      <c r="P628" s="4">
        <f t="shared" si="164"/>
        <v>45</v>
      </c>
      <c r="Q628" s="4">
        <f t="shared" si="165"/>
        <v>45</v>
      </c>
      <c r="R628" s="4">
        <f t="shared" si="166"/>
        <v>29</v>
      </c>
      <c r="S628" s="102">
        <f t="shared" si="167"/>
        <v>34</v>
      </c>
      <c r="U628" s="101">
        <f t="shared" si="168"/>
        <v>39</v>
      </c>
      <c r="V628" s="4">
        <f t="shared" si="169"/>
        <v>71</v>
      </c>
      <c r="W628" s="4">
        <f t="shared" si="170"/>
        <v>9</v>
      </c>
      <c r="X628" s="4">
        <f t="shared" si="171"/>
        <v>71</v>
      </c>
      <c r="Y628" s="4">
        <f t="shared" si="172"/>
        <v>71</v>
      </c>
      <c r="Z628" s="4">
        <f t="shared" si="173"/>
        <v>41</v>
      </c>
      <c r="AA628" s="102">
        <f t="shared" si="174"/>
        <v>46</v>
      </c>
      <c r="AC628" s="100">
        <f t="shared" si="175"/>
        <v>0.99631914086109263</v>
      </c>
    </row>
    <row r="629" spans="4:29" x14ac:dyDescent="0.35">
      <c r="D629">
        <f t="shared" si="176"/>
        <v>625</v>
      </c>
      <c r="E629" s="101">
        <v>4</v>
      </c>
      <c r="F629" s="4">
        <v>3</v>
      </c>
      <c r="G629" s="4">
        <v>2</v>
      </c>
      <c r="H629" s="4">
        <v>7</v>
      </c>
      <c r="I629" s="4">
        <v>1</v>
      </c>
      <c r="J629" s="4">
        <v>3</v>
      </c>
      <c r="K629" s="102">
        <v>4</v>
      </c>
      <c r="M629" s="101">
        <f t="shared" si="161"/>
        <v>12</v>
      </c>
      <c r="N629" s="4">
        <f t="shared" si="162"/>
        <v>23</v>
      </c>
      <c r="O629" s="4">
        <f t="shared" si="163"/>
        <v>56</v>
      </c>
      <c r="P629" s="4">
        <f t="shared" si="164"/>
        <v>29</v>
      </c>
      <c r="Q629" s="4">
        <f t="shared" si="165"/>
        <v>34</v>
      </c>
      <c r="R629" s="4">
        <f t="shared" si="166"/>
        <v>23</v>
      </c>
      <c r="S629" s="102">
        <f t="shared" si="167"/>
        <v>12</v>
      </c>
      <c r="U629" s="101">
        <f t="shared" si="168"/>
        <v>9</v>
      </c>
      <c r="V629" s="4">
        <f t="shared" si="169"/>
        <v>39</v>
      </c>
      <c r="W629" s="4">
        <f t="shared" si="170"/>
        <v>78</v>
      </c>
      <c r="X629" s="4">
        <f t="shared" si="171"/>
        <v>41</v>
      </c>
      <c r="Y629" s="4">
        <f t="shared" si="172"/>
        <v>46</v>
      </c>
      <c r="Z629" s="4">
        <f t="shared" si="173"/>
        <v>39</v>
      </c>
      <c r="AA629" s="102">
        <f t="shared" si="174"/>
        <v>9</v>
      </c>
      <c r="AC629" s="100">
        <f t="shared" si="175"/>
        <v>0.97016134702718915</v>
      </c>
    </row>
    <row r="630" spans="4:29" x14ac:dyDescent="0.35">
      <c r="D630">
        <f t="shared" si="176"/>
        <v>626</v>
      </c>
      <c r="E630" s="101">
        <v>6</v>
      </c>
      <c r="F630" s="4">
        <v>4</v>
      </c>
      <c r="G630" s="4">
        <v>1</v>
      </c>
      <c r="H630" s="4">
        <v>5</v>
      </c>
      <c r="I630" s="4">
        <v>1</v>
      </c>
      <c r="J630" s="4">
        <v>5</v>
      </c>
      <c r="K630" s="102">
        <v>3</v>
      </c>
      <c r="M630" s="101">
        <f t="shared" si="161"/>
        <v>45</v>
      </c>
      <c r="N630" s="4">
        <f t="shared" si="162"/>
        <v>12</v>
      </c>
      <c r="O630" s="4">
        <f t="shared" si="163"/>
        <v>34</v>
      </c>
      <c r="P630" s="4">
        <f t="shared" si="164"/>
        <v>30</v>
      </c>
      <c r="Q630" s="4">
        <f t="shared" si="165"/>
        <v>34</v>
      </c>
      <c r="R630" s="4">
        <f t="shared" si="166"/>
        <v>30</v>
      </c>
      <c r="S630" s="102">
        <f t="shared" si="167"/>
        <v>23</v>
      </c>
      <c r="U630" s="101">
        <f t="shared" si="168"/>
        <v>71</v>
      </c>
      <c r="V630" s="4">
        <f t="shared" si="169"/>
        <v>9</v>
      </c>
      <c r="W630" s="4">
        <f t="shared" si="170"/>
        <v>46</v>
      </c>
      <c r="X630" s="4">
        <f t="shared" si="171"/>
        <v>39</v>
      </c>
      <c r="Y630" s="4">
        <f t="shared" si="172"/>
        <v>46</v>
      </c>
      <c r="Z630" s="4">
        <f t="shared" si="173"/>
        <v>39</v>
      </c>
      <c r="AA630" s="102">
        <f t="shared" si="174"/>
        <v>39</v>
      </c>
      <c r="AC630" s="100">
        <f t="shared" si="175"/>
        <v>0.9666140870712483</v>
      </c>
    </row>
    <row r="631" spans="4:29" x14ac:dyDescent="0.35">
      <c r="D631">
        <f t="shared" si="176"/>
        <v>627</v>
      </c>
      <c r="E631" s="101">
        <v>1</v>
      </c>
      <c r="F631" s="4">
        <v>4</v>
      </c>
      <c r="G631" s="4">
        <v>1</v>
      </c>
      <c r="H631" s="4">
        <v>6</v>
      </c>
      <c r="I631" s="4">
        <v>1</v>
      </c>
      <c r="J631" s="4">
        <v>5</v>
      </c>
      <c r="K631" s="102">
        <v>3</v>
      </c>
      <c r="M631" s="101">
        <f t="shared" si="161"/>
        <v>34</v>
      </c>
      <c r="N631" s="4">
        <f t="shared" si="162"/>
        <v>12</v>
      </c>
      <c r="O631" s="4">
        <f t="shared" si="163"/>
        <v>34</v>
      </c>
      <c r="P631" s="4">
        <f t="shared" si="164"/>
        <v>45</v>
      </c>
      <c r="Q631" s="4">
        <f t="shared" si="165"/>
        <v>34</v>
      </c>
      <c r="R631" s="4">
        <f t="shared" si="166"/>
        <v>30</v>
      </c>
      <c r="S631" s="102">
        <f t="shared" si="167"/>
        <v>23</v>
      </c>
      <c r="U631" s="101">
        <f t="shared" si="168"/>
        <v>46</v>
      </c>
      <c r="V631" s="4">
        <f t="shared" si="169"/>
        <v>9</v>
      </c>
      <c r="W631" s="4">
        <f t="shared" si="170"/>
        <v>46</v>
      </c>
      <c r="X631" s="4">
        <f t="shared" si="171"/>
        <v>71</v>
      </c>
      <c r="Y631" s="4">
        <f t="shared" si="172"/>
        <v>46</v>
      </c>
      <c r="Z631" s="4">
        <f t="shared" si="173"/>
        <v>39</v>
      </c>
      <c r="AA631" s="102">
        <f t="shared" si="174"/>
        <v>39</v>
      </c>
      <c r="AC631" s="100">
        <f t="shared" si="175"/>
        <v>0.96701692736810851</v>
      </c>
    </row>
    <row r="632" spans="4:29" x14ac:dyDescent="0.35">
      <c r="D632">
        <f t="shared" si="176"/>
        <v>628</v>
      </c>
      <c r="E632" s="101">
        <v>6</v>
      </c>
      <c r="F632" s="4">
        <v>2</v>
      </c>
      <c r="G632" s="4">
        <v>4</v>
      </c>
      <c r="H632" s="4">
        <v>6</v>
      </c>
      <c r="I632" s="4">
        <v>6</v>
      </c>
      <c r="J632" s="4">
        <v>4</v>
      </c>
      <c r="K632" s="102">
        <v>7</v>
      </c>
      <c r="M632" s="101">
        <f t="shared" si="161"/>
        <v>45</v>
      </c>
      <c r="N632" s="4">
        <f t="shared" si="162"/>
        <v>56</v>
      </c>
      <c r="O632" s="4">
        <f t="shared" si="163"/>
        <v>12</v>
      </c>
      <c r="P632" s="4">
        <f t="shared" si="164"/>
        <v>45</v>
      </c>
      <c r="Q632" s="4">
        <f t="shared" si="165"/>
        <v>45</v>
      </c>
      <c r="R632" s="4">
        <f t="shared" si="166"/>
        <v>12</v>
      </c>
      <c r="S632" s="102">
        <f t="shared" si="167"/>
        <v>29</v>
      </c>
      <c r="U632" s="101">
        <f t="shared" si="168"/>
        <v>71</v>
      </c>
      <c r="V632" s="4">
        <f t="shared" si="169"/>
        <v>78</v>
      </c>
      <c r="W632" s="4">
        <f t="shared" si="170"/>
        <v>9</v>
      </c>
      <c r="X632" s="4">
        <f t="shared" si="171"/>
        <v>71</v>
      </c>
      <c r="Y632" s="4">
        <f t="shared" si="172"/>
        <v>71</v>
      </c>
      <c r="Z632" s="4">
        <f t="shared" si="173"/>
        <v>9</v>
      </c>
      <c r="AA632" s="102">
        <f t="shared" si="174"/>
        <v>41</v>
      </c>
      <c r="AC632" s="100">
        <f t="shared" si="175"/>
        <v>0.98961098093185373</v>
      </c>
    </row>
    <row r="633" spans="4:29" x14ac:dyDescent="0.35">
      <c r="D633">
        <f t="shared" si="176"/>
        <v>629</v>
      </c>
      <c r="E633" s="101">
        <v>6</v>
      </c>
      <c r="F633" s="4">
        <v>2</v>
      </c>
      <c r="G633" s="4">
        <v>2</v>
      </c>
      <c r="H633" s="4">
        <v>4</v>
      </c>
      <c r="I633" s="4">
        <v>7</v>
      </c>
      <c r="J633" s="4">
        <v>4</v>
      </c>
      <c r="K633" s="102">
        <v>4</v>
      </c>
      <c r="M633" s="101">
        <f t="shared" si="161"/>
        <v>45</v>
      </c>
      <c r="N633" s="4">
        <f t="shared" si="162"/>
        <v>56</v>
      </c>
      <c r="O633" s="4">
        <f t="shared" si="163"/>
        <v>56</v>
      </c>
      <c r="P633" s="4">
        <f t="shared" si="164"/>
        <v>12</v>
      </c>
      <c r="Q633" s="4">
        <f t="shared" si="165"/>
        <v>29</v>
      </c>
      <c r="R633" s="4">
        <f t="shared" si="166"/>
        <v>12</v>
      </c>
      <c r="S633" s="102">
        <f t="shared" si="167"/>
        <v>12</v>
      </c>
      <c r="U633" s="101">
        <f t="shared" si="168"/>
        <v>71</v>
      </c>
      <c r="V633" s="4">
        <f t="shared" si="169"/>
        <v>78</v>
      </c>
      <c r="W633" s="4">
        <f t="shared" si="170"/>
        <v>78</v>
      </c>
      <c r="X633" s="4">
        <f t="shared" si="171"/>
        <v>9</v>
      </c>
      <c r="Y633" s="4">
        <f t="shared" si="172"/>
        <v>41</v>
      </c>
      <c r="Z633" s="4">
        <f t="shared" si="173"/>
        <v>9</v>
      </c>
      <c r="AA633" s="102">
        <f t="shared" si="174"/>
        <v>9</v>
      </c>
      <c r="AC633" s="100">
        <f t="shared" si="175"/>
        <v>0.9930356724849676</v>
      </c>
    </row>
    <row r="634" spans="4:29" x14ac:dyDescent="0.35">
      <c r="D634">
        <f t="shared" si="176"/>
        <v>630</v>
      </c>
      <c r="E634" s="101">
        <v>1</v>
      </c>
      <c r="F634" s="4">
        <v>4</v>
      </c>
      <c r="G634" s="4">
        <v>5</v>
      </c>
      <c r="H634" s="4">
        <v>3</v>
      </c>
      <c r="I634" s="4">
        <v>2</v>
      </c>
      <c r="J634" s="4">
        <v>5</v>
      </c>
      <c r="K634" s="102">
        <v>1</v>
      </c>
      <c r="M634" s="101">
        <f t="shared" si="161"/>
        <v>34</v>
      </c>
      <c r="N634" s="4">
        <f t="shared" si="162"/>
        <v>12</v>
      </c>
      <c r="O634" s="4">
        <f t="shared" si="163"/>
        <v>30</v>
      </c>
      <c r="P634" s="4">
        <f t="shared" si="164"/>
        <v>23</v>
      </c>
      <c r="Q634" s="4">
        <f t="shared" si="165"/>
        <v>56</v>
      </c>
      <c r="R634" s="4">
        <f t="shared" si="166"/>
        <v>30</v>
      </c>
      <c r="S634" s="102">
        <f t="shared" si="167"/>
        <v>34</v>
      </c>
      <c r="U634" s="101">
        <f t="shared" si="168"/>
        <v>46</v>
      </c>
      <c r="V634" s="4">
        <f t="shared" si="169"/>
        <v>9</v>
      </c>
      <c r="W634" s="4">
        <f t="shared" si="170"/>
        <v>39</v>
      </c>
      <c r="X634" s="4">
        <f t="shared" si="171"/>
        <v>39</v>
      </c>
      <c r="Y634" s="4">
        <f t="shared" si="172"/>
        <v>78</v>
      </c>
      <c r="Z634" s="4">
        <f t="shared" si="173"/>
        <v>39</v>
      </c>
      <c r="AA634" s="102">
        <f t="shared" si="174"/>
        <v>46</v>
      </c>
      <c r="AC634" s="100">
        <f t="shared" si="175"/>
        <v>0.97768546135792933</v>
      </c>
    </row>
    <row r="635" spans="4:29" x14ac:dyDescent="0.35">
      <c r="D635">
        <f t="shared" si="176"/>
        <v>631</v>
      </c>
      <c r="E635" s="101">
        <v>7</v>
      </c>
      <c r="F635" s="4">
        <v>5</v>
      </c>
      <c r="G635" s="4">
        <v>3</v>
      </c>
      <c r="H635" s="4">
        <v>6</v>
      </c>
      <c r="I635" s="4">
        <v>6</v>
      </c>
      <c r="J635" s="4">
        <v>7</v>
      </c>
      <c r="K635" s="102">
        <v>2</v>
      </c>
      <c r="M635" s="101">
        <f t="shared" si="161"/>
        <v>29</v>
      </c>
      <c r="N635" s="4">
        <f t="shared" si="162"/>
        <v>30</v>
      </c>
      <c r="O635" s="4">
        <f t="shared" si="163"/>
        <v>23</v>
      </c>
      <c r="P635" s="4">
        <f t="shared" si="164"/>
        <v>45</v>
      </c>
      <c r="Q635" s="4">
        <f t="shared" si="165"/>
        <v>45</v>
      </c>
      <c r="R635" s="4">
        <f t="shared" si="166"/>
        <v>29</v>
      </c>
      <c r="S635" s="102">
        <f t="shared" si="167"/>
        <v>56</v>
      </c>
      <c r="U635" s="101">
        <f t="shared" si="168"/>
        <v>41</v>
      </c>
      <c r="V635" s="4">
        <f t="shared" si="169"/>
        <v>39</v>
      </c>
      <c r="W635" s="4">
        <f t="shared" si="170"/>
        <v>39</v>
      </c>
      <c r="X635" s="4">
        <f t="shared" si="171"/>
        <v>71</v>
      </c>
      <c r="Y635" s="4">
        <f t="shared" si="172"/>
        <v>71</v>
      </c>
      <c r="Z635" s="4">
        <f t="shared" si="173"/>
        <v>41</v>
      </c>
      <c r="AA635" s="102">
        <f t="shared" si="174"/>
        <v>78</v>
      </c>
      <c r="AC635" s="100">
        <f t="shared" si="175"/>
        <v>0.96779928272117266</v>
      </c>
    </row>
    <row r="636" spans="4:29" x14ac:dyDescent="0.35">
      <c r="D636">
        <f t="shared" si="176"/>
        <v>632</v>
      </c>
      <c r="E636" s="101">
        <v>3</v>
      </c>
      <c r="F636" s="4">
        <v>1</v>
      </c>
      <c r="G636" s="4">
        <v>1</v>
      </c>
      <c r="H636" s="4">
        <v>7</v>
      </c>
      <c r="I636" s="4">
        <v>4</v>
      </c>
      <c r="J636" s="4">
        <v>4</v>
      </c>
      <c r="K636" s="102">
        <v>4</v>
      </c>
      <c r="M636" s="101">
        <f t="shared" si="161"/>
        <v>23</v>
      </c>
      <c r="N636" s="4">
        <f t="shared" si="162"/>
        <v>34</v>
      </c>
      <c r="O636" s="4">
        <f t="shared" si="163"/>
        <v>34</v>
      </c>
      <c r="P636" s="4">
        <f t="shared" si="164"/>
        <v>29</v>
      </c>
      <c r="Q636" s="4">
        <f t="shared" si="165"/>
        <v>12</v>
      </c>
      <c r="R636" s="4">
        <f t="shared" si="166"/>
        <v>12</v>
      </c>
      <c r="S636" s="102">
        <f t="shared" si="167"/>
        <v>12</v>
      </c>
      <c r="U636" s="101">
        <f t="shared" si="168"/>
        <v>39</v>
      </c>
      <c r="V636" s="4">
        <f t="shared" si="169"/>
        <v>46</v>
      </c>
      <c r="W636" s="4">
        <f t="shared" si="170"/>
        <v>46</v>
      </c>
      <c r="X636" s="4">
        <f t="shared" si="171"/>
        <v>41</v>
      </c>
      <c r="Y636" s="4">
        <f t="shared" si="172"/>
        <v>9</v>
      </c>
      <c r="Z636" s="4">
        <f t="shared" si="173"/>
        <v>9</v>
      </c>
      <c r="AA636" s="102">
        <f t="shared" si="174"/>
        <v>9</v>
      </c>
      <c r="AC636" s="100">
        <f t="shared" si="175"/>
        <v>0.97223449459194622</v>
      </c>
    </row>
    <row r="637" spans="4:29" x14ac:dyDescent="0.35">
      <c r="D637">
        <f t="shared" si="176"/>
        <v>633</v>
      </c>
      <c r="E637" s="101">
        <v>6</v>
      </c>
      <c r="F637" s="4">
        <v>2</v>
      </c>
      <c r="G637" s="4">
        <v>3</v>
      </c>
      <c r="H637" s="4">
        <v>6</v>
      </c>
      <c r="I637" s="4">
        <v>7</v>
      </c>
      <c r="J637" s="4">
        <v>5</v>
      </c>
      <c r="K637" s="102">
        <v>6</v>
      </c>
      <c r="M637" s="101">
        <f t="shared" si="161"/>
        <v>45</v>
      </c>
      <c r="N637" s="4">
        <f t="shared" si="162"/>
        <v>56</v>
      </c>
      <c r="O637" s="4">
        <f t="shared" si="163"/>
        <v>23</v>
      </c>
      <c r="P637" s="4">
        <f t="shared" si="164"/>
        <v>45</v>
      </c>
      <c r="Q637" s="4">
        <f t="shared" si="165"/>
        <v>29</v>
      </c>
      <c r="R637" s="4">
        <f t="shared" si="166"/>
        <v>30</v>
      </c>
      <c r="S637" s="102">
        <f t="shared" si="167"/>
        <v>45</v>
      </c>
      <c r="U637" s="101">
        <f t="shared" si="168"/>
        <v>71</v>
      </c>
      <c r="V637" s="4">
        <f t="shared" si="169"/>
        <v>78</v>
      </c>
      <c r="W637" s="4">
        <f t="shared" si="170"/>
        <v>39</v>
      </c>
      <c r="X637" s="4">
        <f t="shared" si="171"/>
        <v>71</v>
      </c>
      <c r="Y637" s="4">
        <f t="shared" si="172"/>
        <v>41</v>
      </c>
      <c r="Z637" s="4">
        <f t="shared" si="173"/>
        <v>39</v>
      </c>
      <c r="AA637" s="102">
        <f t="shared" si="174"/>
        <v>71</v>
      </c>
      <c r="AC637" s="100">
        <f t="shared" si="175"/>
        <v>0.96439580232969047</v>
      </c>
    </row>
    <row r="638" spans="4:29" x14ac:dyDescent="0.35">
      <c r="D638">
        <f t="shared" si="176"/>
        <v>634</v>
      </c>
      <c r="E638" s="101">
        <v>2</v>
      </c>
      <c r="F638" s="4">
        <v>7</v>
      </c>
      <c r="G638" s="4">
        <v>3</v>
      </c>
      <c r="H638" s="4">
        <v>4</v>
      </c>
      <c r="I638" s="4">
        <v>7</v>
      </c>
      <c r="J638" s="4">
        <v>3</v>
      </c>
      <c r="K638" s="102">
        <v>7</v>
      </c>
      <c r="M638" s="101">
        <f t="shared" si="161"/>
        <v>56</v>
      </c>
      <c r="N638" s="4">
        <f t="shared" si="162"/>
        <v>29</v>
      </c>
      <c r="O638" s="4">
        <f t="shared" si="163"/>
        <v>23</v>
      </c>
      <c r="P638" s="4">
        <f t="shared" si="164"/>
        <v>12</v>
      </c>
      <c r="Q638" s="4">
        <f t="shared" si="165"/>
        <v>29</v>
      </c>
      <c r="R638" s="4">
        <f t="shared" si="166"/>
        <v>23</v>
      </c>
      <c r="S638" s="102">
        <f t="shared" si="167"/>
        <v>29</v>
      </c>
      <c r="U638" s="101">
        <f t="shared" si="168"/>
        <v>78</v>
      </c>
      <c r="V638" s="4">
        <f t="shared" si="169"/>
        <v>41</v>
      </c>
      <c r="W638" s="4">
        <f t="shared" si="170"/>
        <v>39</v>
      </c>
      <c r="X638" s="4">
        <f t="shared" si="171"/>
        <v>9</v>
      </c>
      <c r="Y638" s="4">
        <f t="shared" si="172"/>
        <v>41</v>
      </c>
      <c r="Z638" s="4">
        <f t="shared" si="173"/>
        <v>39</v>
      </c>
      <c r="AA638" s="102">
        <f t="shared" si="174"/>
        <v>41</v>
      </c>
      <c r="AC638" s="100">
        <f t="shared" si="175"/>
        <v>0.96909339813174022</v>
      </c>
    </row>
    <row r="639" spans="4:29" x14ac:dyDescent="0.35">
      <c r="D639">
        <f t="shared" si="176"/>
        <v>635</v>
      </c>
      <c r="E639" s="101">
        <v>4</v>
      </c>
      <c r="F639" s="4">
        <v>4</v>
      </c>
      <c r="G639" s="4">
        <v>7</v>
      </c>
      <c r="H639" s="4">
        <v>7</v>
      </c>
      <c r="I639" s="4">
        <v>4</v>
      </c>
      <c r="J639" s="4">
        <v>4</v>
      </c>
      <c r="K639" s="102">
        <v>2</v>
      </c>
      <c r="M639" s="101">
        <f t="shared" si="161"/>
        <v>12</v>
      </c>
      <c r="N639" s="4">
        <f t="shared" si="162"/>
        <v>12</v>
      </c>
      <c r="O639" s="4">
        <f t="shared" si="163"/>
        <v>29</v>
      </c>
      <c r="P639" s="4">
        <f t="shared" si="164"/>
        <v>29</v>
      </c>
      <c r="Q639" s="4">
        <f t="shared" si="165"/>
        <v>12</v>
      </c>
      <c r="R639" s="4">
        <f t="shared" si="166"/>
        <v>12</v>
      </c>
      <c r="S639" s="102">
        <f t="shared" si="167"/>
        <v>56</v>
      </c>
      <c r="U639" s="101">
        <f t="shared" si="168"/>
        <v>9</v>
      </c>
      <c r="V639" s="4">
        <f t="shared" si="169"/>
        <v>9</v>
      </c>
      <c r="W639" s="4">
        <f t="shared" si="170"/>
        <v>41</v>
      </c>
      <c r="X639" s="4">
        <f t="shared" si="171"/>
        <v>41</v>
      </c>
      <c r="Y639" s="4">
        <f t="shared" si="172"/>
        <v>9</v>
      </c>
      <c r="Z639" s="4">
        <f t="shared" si="173"/>
        <v>9</v>
      </c>
      <c r="AA639" s="102">
        <f t="shared" si="174"/>
        <v>78</v>
      </c>
      <c r="AC639" s="100">
        <f t="shared" si="175"/>
        <v>0.99550945519949596</v>
      </c>
    </row>
    <row r="640" spans="4:29" x14ac:dyDescent="0.35">
      <c r="D640">
        <f t="shared" si="176"/>
        <v>636</v>
      </c>
      <c r="E640" s="101">
        <v>2</v>
      </c>
      <c r="F640" s="4">
        <v>6</v>
      </c>
      <c r="G640" s="4">
        <v>3</v>
      </c>
      <c r="H640" s="4">
        <v>5</v>
      </c>
      <c r="I640" s="4">
        <v>6</v>
      </c>
      <c r="J640" s="4">
        <v>3</v>
      </c>
      <c r="K640" s="102">
        <v>4</v>
      </c>
      <c r="M640" s="101">
        <f t="shared" si="161"/>
        <v>56</v>
      </c>
      <c r="N640" s="4">
        <f t="shared" si="162"/>
        <v>45</v>
      </c>
      <c r="O640" s="4">
        <f t="shared" si="163"/>
        <v>23</v>
      </c>
      <c r="P640" s="4">
        <f t="shared" si="164"/>
        <v>30</v>
      </c>
      <c r="Q640" s="4">
        <f t="shared" si="165"/>
        <v>45</v>
      </c>
      <c r="R640" s="4">
        <f t="shared" si="166"/>
        <v>23</v>
      </c>
      <c r="S640" s="102">
        <f t="shared" si="167"/>
        <v>12</v>
      </c>
      <c r="U640" s="101">
        <f t="shared" si="168"/>
        <v>78</v>
      </c>
      <c r="V640" s="4">
        <f t="shared" si="169"/>
        <v>71</v>
      </c>
      <c r="W640" s="4">
        <f t="shared" si="170"/>
        <v>39</v>
      </c>
      <c r="X640" s="4">
        <f t="shared" si="171"/>
        <v>39</v>
      </c>
      <c r="Y640" s="4">
        <f t="shared" si="172"/>
        <v>71</v>
      </c>
      <c r="Z640" s="4">
        <f t="shared" si="173"/>
        <v>39</v>
      </c>
      <c r="AA640" s="102">
        <f t="shared" si="174"/>
        <v>9</v>
      </c>
      <c r="AC640" s="100">
        <f t="shared" si="175"/>
        <v>0.97105498268871882</v>
      </c>
    </row>
    <row r="641" spans="4:29" x14ac:dyDescent="0.35">
      <c r="D641">
        <f t="shared" si="176"/>
        <v>637</v>
      </c>
      <c r="E641" s="101">
        <v>6</v>
      </c>
      <c r="F641" s="4">
        <v>4</v>
      </c>
      <c r="G641" s="4">
        <v>6</v>
      </c>
      <c r="H641" s="4">
        <v>6</v>
      </c>
      <c r="I641" s="4">
        <v>7</v>
      </c>
      <c r="J641" s="4">
        <v>3</v>
      </c>
      <c r="K641" s="102">
        <v>3</v>
      </c>
      <c r="M641" s="101">
        <f t="shared" si="161"/>
        <v>45</v>
      </c>
      <c r="N641" s="4">
        <f t="shared" si="162"/>
        <v>12</v>
      </c>
      <c r="O641" s="4">
        <f t="shared" si="163"/>
        <v>45</v>
      </c>
      <c r="P641" s="4">
        <f t="shared" si="164"/>
        <v>45</v>
      </c>
      <c r="Q641" s="4">
        <f t="shared" si="165"/>
        <v>29</v>
      </c>
      <c r="R641" s="4">
        <f t="shared" si="166"/>
        <v>23</v>
      </c>
      <c r="S641" s="102">
        <f t="shared" si="167"/>
        <v>23</v>
      </c>
      <c r="U641" s="101">
        <f t="shared" si="168"/>
        <v>71</v>
      </c>
      <c r="V641" s="4">
        <f t="shared" si="169"/>
        <v>9</v>
      </c>
      <c r="W641" s="4">
        <f t="shared" si="170"/>
        <v>71</v>
      </c>
      <c r="X641" s="4">
        <f t="shared" si="171"/>
        <v>71</v>
      </c>
      <c r="Y641" s="4">
        <f t="shared" si="172"/>
        <v>41</v>
      </c>
      <c r="Z641" s="4">
        <f t="shared" si="173"/>
        <v>39</v>
      </c>
      <c r="AA641" s="102">
        <f t="shared" si="174"/>
        <v>39</v>
      </c>
      <c r="AC641" s="100">
        <f t="shared" si="175"/>
        <v>0.98487767662344494</v>
      </c>
    </row>
    <row r="642" spans="4:29" x14ac:dyDescent="0.35">
      <c r="D642">
        <f t="shared" si="176"/>
        <v>638</v>
      </c>
      <c r="E642" s="101">
        <v>3</v>
      </c>
      <c r="F642" s="4">
        <v>4</v>
      </c>
      <c r="G642" s="4">
        <v>2</v>
      </c>
      <c r="H642" s="4">
        <v>4</v>
      </c>
      <c r="I642" s="4">
        <v>3</v>
      </c>
      <c r="J642" s="4">
        <v>7</v>
      </c>
      <c r="K642" s="102">
        <v>2</v>
      </c>
      <c r="M642" s="101">
        <f t="shared" si="161"/>
        <v>23</v>
      </c>
      <c r="N642" s="4">
        <f t="shared" si="162"/>
        <v>12</v>
      </c>
      <c r="O642" s="4">
        <f t="shared" si="163"/>
        <v>56</v>
      </c>
      <c r="P642" s="4">
        <f t="shared" si="164"/>
        <v>12</v>
      </c>
      <c r="Q642" s="4">
        <f t="shared" si="165"/>
        <v>23</v>
      </c>
      <c r="R642" s="4">
        <f t="shared" si="166"/>
        <v>29</v>
      </c>
      <c r="S642" s="102">
        <f t="shared" si="167"/>
        <v>56</v>
      </c>
      <c r="U642" s="101">
        <f t="shared" si="168"/>
        <v>39</v>
      </c>
      <c r="V642" s="4">
        <f t="shared" si="169"/>
        <v>9</v>
      </c>
      <c r="W642" s="4">
        <f t="shared" si="170"/>
        <v>78</v>
      </c>
      <c r="X642" s="4">
        <f t="shared" si="171"/>
        <v>9</v>
      </c>
      <c r="Y642" s="4">
        <f t="shared" si="172"/>
        <v>39</v>
      </c>
      <c r="Z642" s="4">
        <f t="shared" si="173"/>
        <v>41</v>
      </c>
      <c r="AA642" s="102">
        <f t="shared" si="174"/>
        <v>78</v>
      </c>
      <c r="AC642" s="100">
        <f t="shared" si="175"/>
        <v>0.97880096454936349</v>
      </c>
    </row>
    <row r="643" spans="4:29" x14ac:dyDescent="0.35">
      <c r="D643">
        <f t="shared" si="176"/>
        <v>639</v>
      </c>
      <c r="E643" s="101">
        <v>5</v>
      </c>
      <c r="F643" s="4">
        <v>7</v>
      </c>
      <c r="G643" s="4">
        <v>5</v>
      </c>
      <c r="H643" s="4">
        <v>5</v>
      </c>
      <c r="I643" s="4">
        <v>5</v>
      </c>
      <c r="J643" s="4">
        <v>2</v>
      </c>
      <c r="K643" s="102">
        <v>2</v>
      </c>
      <c r="M643" s="101">
        <f t="shared" si="161"/>
        <v>30</v>
      </c>
      <c r="N643" s="4">
        <f t="shared" si="162"/>
        <v>29</v>
      </c>
      <c r="O643" s="4">
        <f t="shared" si="163"/>
        <v>30</v>
      </c>
      <c r="P643" s="4">
        <f t="shared" si="164"/>
        <v>30</v>
      </c>
      <c r="Q643" s="4">
        <f t="shared" si="165"/>
        <v>30</v>
      </c>
      <c r="R643" s="4">
        <f t="shared" si="166"/>
        <v>56</v>
      </c>
      <c r="S643" s="102">
        <f t="shared" si="167"/>
        <v>56</v>
      </c>
      <c r="U643" s="101">
        <f t="shared" si="168"/>
        <v>39</v>
      </c>
      <c r="V643" s="4">
        <f t="shared" si="169"/>
        <v>41</v>
      </c>
      <c r="W643" s="4">
        <f t="shared" si="170"/>
        <v>39</v>
      </c>
      <c r="X643" s="4">
        <f t="shared" si="171"/>
        <v>39</v>
      </c>
      <c r="Y643" s="4">
        <f t="shared" si="172"/>
        <v>39</v>
      </c>
      <c r="Z643" s="4">
        <f t="shared" si="173"/>
        <v>78</v>
      </c>
      <c r="AA643" s="102">
        <f t="shared" si="174"/>
        <v>78</v>
      </c>
      <c r="AC643" s="100">
        <f t="shared" si="175"/>
        <v>0.99773562148581507</v>
      </c>
    </row>
    <row r="644" spans="4:29" x14ac:dyDescent="0.35">
      <c r="D644">
        <f t="shared" si="176"/>
        <v>640</v>
      </c>
      <c r="E644" s="101">
        <v>7</v>
      </c>
      <c r="F644" s="4">
        <v>7</v>
      </c>
      <c r="G644" s="4">
        <v>2</v>
      </c>
      <c r="H644" s="4">
        <v>2</v>
      </c>
      <c r="I644" s="4">
        <v>3</v>
      </c>
      <c r="J644" s="4">
        <v>4</v>
      </c>
      <c r="K644" s="102">
        <v>1</v>
      </c>
      <c r="M644" s="101">
        <f t="shared" si="161"/>
        <v>29</v>
      </c>
      <c r="N644" s="4">
        <f t="shared" si="162"/>
        <v>29</v>
      </c>
      <c r="O644" s="4">
        <f t="shared" si="163"/>
        <v>56</v>
      </c>
      <c r="P644" s="4">
        <f t="shared" si="164"/>
        <v>56</v>
      </c>
      <c r="Q644" s="4">
        <f t="shared" si="165"/>
        <v>23</v>
      </c>
      <c r="R644" s="4">
        <f t="shared" si="166"/>
        <v>12</v>
      </c>
      <c r="S644" s="102">
        <f t="shared" si="167"/>
        <v>34</v>
      </c>
      <c r="U644" s="101">
        <f t="shared" si="168"/>
        <v>41</v>
      </c>
      <c r="V644" s="4">
        <f t="shared" si="169"/>
        <v>41</v>
      </c>
      <c r="W644" s="4">
        <f t="shared" si="170"/>
        <v>78</v>
      </c>
      <c r="X644" s="4">
        <f t="shared" si="171"/>
        <v>78</v>
      </c>
      <c r="Y644" s="4">
        <f t="shared" si="172"/>
        <v>39</v>
      </c>
      <c r="Z644" s="4">
        <f t="shared" si="173"/>
        <v>9</v>
      </c>
      <c r="AA644" s="102">
        <f t="shared" si="174"/>
        <v>46</v>
      </c>
      <c r="AC644" s="100">
        <f t="shared" si="175"/>
        <v>0.98477794947726294</v>
      </c>
    </row>
    <row r="645" spans="4:29" x14ac:dyDescent="0.35">
      <c r="D645">
        <f t="shared" si="176"/>
        <v>641</v>
      </c>
      <c r="E645" s="101">
        <v>4</v>
      </c>
      <c r="F645" s="4">
        <v>4</v>
      </c>
      <c r="G645" s="4">
        <v>4</v>
      </c>
      <c r="H645" s="4">
        <v>5</v>
      </c>
      <c r="I645" s="4">
        <v>6</v>
      </c>
      <c r="J645" s="4">
        <v>2</v>
      </c>
      <c r="K645" s="102">
        <v>7</v>
      </c>
      <c r="M645" s="101">
        <f t="shared" si="161"/>
        <v>12</v>
      </c>
      <c r="N645" s="4">
        <f t="shared" si="162"/>
        <v>12</v>
      </c>
      <c r="O645" s="4">
        <f t="shared" si="163"/>
        <v>12</v>
      </c>
      <c r="P645" s="4">
        <f t="shared" si="164"/>
        <v>30</v>
      </c>
      <c r="Q645" s="4">
        <f t="shared" si="165"/>
        <v>45</v>
      </c>
      <c r="R645" s="4">
        <f t="shared" si="166"/>
        <v>56</v>
      </c>
      <c r="S645" s="102">
        <f t="shared" si="167"/>
        <v>29</v>
      </c>
      <c r="U645" s="101">
        <f t="shared" si="168"/>
        <v>9</v>
      </c>
      <c r="V645" s="4">
        <f t="shared" si="169"/>
        <v>9</v>
      </c>
      <c r="W645" s="4">
        <f t="shared" si="170"/>
        <v>9</v>
      </c>
      <c r="X645" s="4">
        <f t="shared" si="171"/>
        <v>39</v>
      </c>
      <c r="Y645" s="4">
        <f t="shared" si="172"/>
        <v>71</v>
      </c>
      <c r="Z645" s="4">
        <f t="shared" si="173"/>
        <v>78</v>
      </c>
      <c r="AA645" s="102">
        <f t="shared" si="174"/>
        <v>41</v>
      </c>
      <c r="AC645" s="100">
        <f t="shared" si="175"/>
        <v>0.99272553395134644</v>
      </c>
    </row>
    <row r="646" spans="4:29" x14ac:dyDescent="0.35">
      <c r="D646">
        <f t="shared" si="176"/>
        <v>642</v>
      </c>
      <c r="E646" s="101">
        <v>3</v>
      </c>
      <c r="F646" s="4">
        <v>3</v>
      </c>
      <c r="G646" s="4">
        <v>5</v>
      </c>
      <c r="H646" s="4">
        <v>2</v>
      </c>
      <c r="I646" s="4">
        <v>5</v>
      </c>
      <c r="J646" s="4">
        <v>1</v>
      </c>
      <c r="K646" s="102">
        <v>5</v>
      </c>
      <c r="M646" s="101">
        <f t="shared" ref="M646:M709" si="177">INDEX($A$5:$A$11,E646)</f>
        <v>23</v>
      </c>
      <c r="N646" s="4">
        <f t="shared" ref="N646:N709" si="178">INDEX($A$5:$A$11,F646)</f>
        <v>23</v>
      </c>
      <c r="O646" s="4">
        <f t="shared" ref="O646:O709" si="179">INDEX($A$5:$A$11,G646)</f>
        <v>30</v>
      </c>
      <c r="P646" s="4">
        <f t="shared" ref="P646:P709" si="180">INDEX($A$5:$A$11,H646)</f>
        <v>56</v>
      </c>
      <c r="Q646" s="4">
        <f t="shared" ref="Q646:Q709" si="181">INDEX($A$5:$A$11,I646)</f>
        <v>30</v>
      </c>
      <c r="R646" s="4">
        <f t="shared" ref="R646:R709" si="182">INDEX($A$5:$A$11,J646)</f>
        <v>34</v>
      </c>
      <c r="S646" s="102">
        <f t="shared" ref="S646:S709" si="183">INDEX($A$5:$A$11,K646)</f>
        <v>30</v>
      </c>
      <c r="U646" s="101">
        <f t="shared" ref="U646:U709" si="184">INDEX($B$5:$B$11,E646)</f>
        <v>39</v>
      </c>
      <c r="V646" s="4">
        <f t="shared" ref="V646:V709" si="185">INDEX($B$5:$B$11,F646)</f>
        <v>39</v>
      </c>
      <c r="W646" s="4">
        <f t="shared" ref="W646:W709" si="186">INDEX($B$5:$B$11,G646)</f>
        <v>39</v>
      </c>
      <c r="X646" s="4">
        <f t="shared" ref="X646:X709" si="187">INDEX($B$5:$B$11,H646)</f>
        <v>78</v>
      </c>
      <c r="Y646" s="4">
        <f t="shared" ref="Y646:Y709" si="188">INDEX($B$5:$B$11,I646)</f>
        <v>39</v>
      </c>
      <c r="Z646" s="4">
        <f t="shared" ref="Z646:Z709" si="189">INDEX($B$5:$B$11,J646)</f>
        <v>46</v>
      </c>
      <c r="AA646" s="102">
        <f t="shared" ref="AA646:AA709" si="190">INDEX($B$5:$B$11,K646)</f>
        <v>39</v>
      </c>
      <c r="AC646" s="100">
        <f t="shared" ref="AC646:AC709" si="191">CORREL(M646:S646,U646:AA646)</f>
        <v>0.95860929869052081</v>
      </c>
    </row>
    <row r="647" spans="4:29" x14ac:dyDescent="0.35">
      <c r="D647">
        <f t="shared" ref="D647:D710" si="192">D646+1</f>
        <v>643</v>
      </c>
      <c r="E647" s="101">
        <v>7</v>
      </c>
      <c r="F647" s="4">
        <v>1</v>
      </c>
      <c r="G647" s="4">
        <v>5</v>
      </c>
      <c r="H647" s="4">
        <v>6</v>
      </c>
      <c r="I647" s="4">
        <v>3</v>
      </c>
      <c r="J647" s="4">
        <v>1</v>
      </c>
      <c r="K647" s="102">
        <v>7</v>
      </c>
      <c r="M647" s="101">
        <f t="shared" si="177"/>
        <v>29</v>
      </c>
      <c r="N647" s="4">
        <f t="shared" si="178"/>
        <v>34</v>
      </c>
      <c r="O647" s="4">
        <f t="shared" si="179"/>
        <v>30</v>
      </c>
      <c r="P647" s="4">
        <f t="shared" si="180"/>
        <v>45</v>
      </c>
      <c r="Q647" s="4">
        <f t="shared" si="181"/>
        <v>23</v>
      </c>
      <c r="R647" s="4">
        <f t="shared" si="182"/>
        <v>34</v>
      </c>
      <c r="S647" s="102">
        <f t="shared" si="183"/>
        <v>29</v>
      </c>
      <c r="U647" s="101">
        <f t="shared" si="184"/>
        <v>41</v>
      </c>
      <c r="V647" s="4">
        <f t="shared" si="185"/>
        <v>46</v>
      </c>
      <c r="W647" s="4">
        <f t="shared" si="186"/>
        <v>39</v>
      </c>
      <c r="X647" s="4">
        <f t="shared" si="187"/>
        <v>71</v>
      </c>
      <c r="Y647" s="4">
        <f t="shared" si="188"/>
        <v>39</v>
      </c>
      <c r="Z647" s="4">
        <f t="shared" si="189"/>
        <v>46</v>
      </c>
      <c r="AA647" s="102">
        <f t="shared" si="190"/>
        <v>41</v>
      </c>
      <c r="AC647" s="100">
        <f t="shared" si="191"/>
        <v>0.92865653364747125</v>
      </c>
    </row>
    <row r="648" spans="4:29" x14ac:dyDescent="0.35">
      <c r="D648">
        <f t="shared" si="192"/>
        <v>644</v>
      </c>
      <c r="E648" s="101">
        <v>6</v>
      </c>
      <c r="F648" s="4">
        <v>7</v>
      </c>
      <c r="G648" s="4">
        <v>6</v>
      </c>
      <c r="H648" s="4">
        <v>6</v>
      </c>
      <c r="I648" s="4">
        <v>5</v>
      </c>
      <c r="J648" s="4">
        <v>2</v>
      </c>
      <c r="K648" s="102">
        <v>7</v>
      </c>
      <c r="M648" s="101">
        <f t="shared" si="177"/>
        <v>45</v>
      </c>
      <c r="N648" s="4">
        <f t="shared" si="178"/>
        <v>29</v>
      </c>
      <c r="O648" s="4">
        <f t="shared" si="179"/>
        <v>45</v>
      </c>
      <c r="P648" s="4">
        <f t="shared" si="180"/>
        <v>45</v>
      </c>
      <c r="Q648" s="4">
        <f t="shared" si="181"/>
        <v>30</v>
      </c>
      <c r="R648" s="4">
        <f t="shared" si="182"/>
        <v>56</v>
      </c>
      <c r="S648" s="102">
        <f t="shared" si="183"/>
        <v>29</v>
      </c>
      <c r="U648" s="101">
        <f t="shared" si="184"/>
        <v>71</v>
      </c>
      <c r="V648" s="4">
        <f t="shared" si="185"/>
        <v>41</v>
      </c>
      <c r="W648" s="4">
        <f t="shared" si="186"/>
        <v>71</v>
      </c>
      <c r="X648" s="4">
        <f t="shared" si="187"/>
        <v>71</v>
      </c>
      <c r="Y648" s="4">
        <f t="shared" si="188"/>
        <v>39</v>
      </c>
      <c r="Z648" s="4">
        <f t="shared" si="189"/>
        <v>78</v>
      </c>
      <c r="AA648" s="102">
        <f t="shared" si="190"/>
        <v>41</v>
      </c>
      <c r="AC648" s="100">
        <f t="shared" si="191"/>
        <v>0.97027497035587984</v>
      </c>
    </row>
    <row r="649" spans="4:29" x14ac:dyDescent="0.35">
      <c r="D649">
        <f t="shared" si="192"/>
        <v>645</v>
      </c>
      <c r="E649" s="101">
        <v>2</v>
      </c>
      <c r="F649" s="4">
        <v>7</v>
      </c>
      <c r="G649" s="4">
        <v>4</v>
      </c>
      <c r="H649" s="4">
        <v>1</v>
      </c>
      <c r="I649" s="4">
        <v>1</v>
      </c>
      <c r="J649" s="4">
        <v>4</v>
      </c>
      <c r="K649" s="102">
        <v>7</v>
      </c>
      <c r="M649" s="101">
        <f t="shared" si="177"/>
        <v>56</v>
      </c>
      <c r="N649" s="4">
        <f t="shared" si="178"/>
        <v>29</v>
      </c>
      <c r="O649" s="4">
        <f t="shared" si="179"/>
        <v>12</v>
      </c>
      <c r="P649" s="4">
        <f t="shared" si="180"/>
        <v>34</v>
      </c>
      <c r="Q649" s="4">
        <f t="shared" si="181"/>
        <v>34</v>
      </c>
      <c r="R649" s="4">
        <f t="shared" si="182"/>
        <v>12</v>
      </c>
      <c r="S649" s="102">
        <f t="shared" si="183"/>
        <v>29</v>
      </c>
      <c r="U649" s="101">
        <f t="shared" si="184"/>
        <v>78</v>
      </c>
      <c r="V649" s="4">
        <f t="shared" si="185"/>
        <v>41</v>
      </c>
      <c r="W649" s="4">
        <f t="shared" si="186"/>
        <v>9</v>
      </c>
      <c r="X649" s="4">
        <f t="shared" si="187"/>
        <v>46</v>
      </c>
      <c r="Y649" s="4">
        <f t="shared" si="188"/>
        <v>46</v>
      </c>
      <c r="Z649" s="4">
        <f t="shared" si="189"/>
        <v>9</v>
      </c>
      <c r="AA649" s="102">
        <f t="shared" si="190"/>
        <v>41</v>
      </c>
      <c r="AC649" s="100">
        <f t="shared" si="191"/>
        <v>0.99499980732653959</v>
      </c>
    </row>
    <row r="650" spans="4:29" x14ac:dyDescent="0.35">
      <c r="D650">
        <f t="shared" si="192"/>
        <v>646</v>
      </c>
      <c r="E650" s="101">
        <v>3</v>
      </c>
      <c r="F650" s="4">
        <v>7</v>
      </c>
      <c r="G650" s="4">
        <v>3</v>
      </c>
      <c r="H650" s="4">
        <v>5</v>
      </c>
      <c r="I650" s="4">
        <v>7</v>
      </c>
      <c r="J650" s="4">
        <v>6</v>
      </c>
      <c r="K650" s="102">
        <v>2</v>
      </c>
      <c r="M650" s="101">
        <f t="shared" si="177"/>
        <v>23</v>
      </c>
      <c r="N650" s="4">
        <f t="shared" si="178"/>
        <v>29</v>
      </c>
      <c r="O650" s="4">
        <f t="shared" si="179"/>
        <v>23</v>
      </c>
      <c r="P650" s="4">
        <f t="shared" si="180"/>
        <v>30</v>
      </c>
      <c r="Q650" s="4">
        <f t="shared" si="181"/>
        <v>29</v>
      </c>
      <c r="R650" s="4">
        <f t="shared" si="182"/>
        <v>45</v>
      </c>
      <c r="S650" s="102">
        <f t="shared" si="183"/>
        <v>56</v>
      </c>
      <c r="U650" s="101">
        <f t="shared" si="184"/>
        <v>39</v>
      </c>
      <c r="V650" s="4">
        <f t="shared" si="185"/>
        <v>41</v>
      </c>
      <c r="W650" s="4">
        <f t="shared" si="186"/>
        <v>39</v>
      </c>
      <c r="X650" s="4">
        <f t="shared" si="187"/>
        <v>39</v>
      </c>
      <c r="Y650" s="4">
        <f t="shared" si="188"/>
        <v>41</v>
      </c>
      <c r="Z650" s="4">
        <f t="shared" si="189"/>
        <v>71</v>
      </c>
      <c r="AA650" s="102">
        <f t="shared" si="190"/>
        <v>78</v>
      </c>
      <c r="AC650" s="100">
        <f t="shared" si="191"/>
        <v>0.96770834546480855</v>
      </c>
    </row>
    <row r="651" spans="4:29" x14ac:dyDescent="0.35">
      <c r="D651">
        <f t="shared" si="192"/>
        <v>647</v>
      </c>
      <c r="E651" s="101">
        <v>4</v>
      </c>
      <c r="F651" s="4">
        <v>4</v>
      </c>
      <c r="G651" s="4">
        <v>5</v>
      </c>
      <c r="H651" s="4">
        <v>3</v>
      </c>
      <c r="I651" s="4">
        <v>3</v>
      </c>
      <c r="J651" s="4">
        <v>7</v>
      </c>
      <c r="K651" s="102">
        <v>3</v>
      </c>
      <c r="M651" s="101">
        <f t="shared" si="177"/>
        <v>12</v>
      </c>
      <c r="N651" s="4">
        <f t="shared" si="178"/>
        <v>12</v>
      </c>
      <c r="O651" s="4">
        <f t="shared" si="179"/>
        <v>30</v>
      </c>
      <c r="P651" s="4">
        <f t="shared" si="180"/>
        <v>23</v>
      </c>
      <c r="Q651" s="4">
        <f t="shared" si="181"/>
        <v>23</v>
      </c>
      <c r="R651" s="4">
        <f t="shared" si="182"/>
        <v>29</v>
      </c>
      <c r="S651" s="102">
        <f t="shared" si="183"/>
        <v>23</v>
      </c>
      <c r="U651" s="101">
        <f t="shared" si="184"/>
        <v>9</v>
      </c>
      <c r="V651" s="4">
        <f t="shared" si="185"/>
        <v>9</v>
      </c>
      <c r="W651" s="4">
        <f t="shared" si="186"/>
        <v>39</v>
      </c>
      <c r="X651" s="4">
        <f t="shared" si="187"/>
        <v>39</v>
      </c>
      <c r="Y651" s="4">
        <f t="shared" si="188"/>
        <v>39</v>
      </c>
      <c r="Z651" s="4">
        <f t="shared" si="189"/>
        <v>41</v>
      </c>
      <c r="AA651" s="102">
        <f t="shared" si="190"/>
        <v>39</v>
      </c>
      <c r="AC651" s="100">
        <f t="shared" si="191"/>
        <v>0.92466670657451067</v>
      </c>
    </row>
    <row r="652" spans="4:29" x14ac:dyDescent="0.35">
      <c r="D652">
        <f t="shared" si="192"/>
        <v>648</v>
      </c>
      <c r="E652" s="101">
        <v>5</v>
      </c>
      <c r="F652" s="4">
        <v>6</v>
      </c>
      <c r="G652" s="4">
        <v>6</v>
      </c>
      <c r="H652" s="4">
        <v>7</v>
      </c>
      <c r="I652" s="4">
        <v>3</v>
      </c>
      <c r="J652" s="4">
        <v>4</v>
      </c>
      <c r="K652" s="102">
        <v>5</v>
      </c>
      <c r="M652" s="101">
        <f t="shared" si="177"/>
        <v>30</v>
      </c>
      <c r="N652" s="4">
        <f t="shared" si="178"/>
        <v>45</v>
      </c>
      <c r="O652" s="4">
        <f t="shared" si="179"/>
        <v>45</v>
      </c>
      <c r="P652" s="4">
        <f t="shared" si="180"/>
        <v>29</v>
      </c>
      <c r="Q652" s="4">
        <f t="shared" si="181"/>
        <v>23</v>
      </c>
      <c r="R652" s="4">
        <f t="shared" si="182"/>
        <v>12</v>
      </c>
      <c r="S652" s="102">
        <f t="shared" si="183"/>
        <v>30</v>
      </c>
      <c r="U652" s="101">
        <f t="shared" si="184"/>
        <v>39</v>
      </c>
      <c r="V652" s="4">
        <f t="shared" si="185"/>
        <v>71</v>
      </c>
      <c r="W652" s="4">
        <f t="shared" si="186"/>
        <v>71</v>
      </c>
      <c r="X652" s="4">
        <f t="shared" si="187"/>
        <v>41</v>
      </c>
      <c r="Y652" s="4">
        <f t="shared" si="188"/>
        <v>39</v>
      </c>
      <c r="Z652" s="4">
        <f t="shared" si="189"/>
        <v>9</v>
      </c>
      <c r="AA652" s="102">
        <f t="shared" si="190"/>
        <v>39</v>
      </c>
      <c r="AC652" s="100">
        <f t="shared" si="191"/>
        <v>0.97983445402296943</v>
      </c>
    </row>
    <row r="653" spans="4:29" x14ac:dyDescent="0.35">
      <c r="D653">
        <f t="shared" si="192"/>
        <v>649</v>
      </c>
      <c r="E653" s="101">
        <v>6</v>
      </c>
      <c r="F653" s="4">
        <v>2</v>
      </c>
      <c r="G653" s="4">
        <v>3</v>
      </c>
      <c r="H653" s="4">
        <v>1</v>
      </c>
      <c r="I653" s="4">
        <v>6</v>
      </c>
      <c r="J653" s="4">
        <v>7</v>
      </c>
      <c r="K653" s="102">
        <v>4</v>
      </c>
      <c r="M653" s="101">
        <f t="shared" si="177"/>
        <v>45</v>
      </c>
      <c r="N653" s="4">
        <f t="shared" si="178"/>
        <v>56</v>
      </c>
      <c r="O653" s="4">
        <f t="shared" si="179"/>
        <v>23</v>
      </c>
      <c r="P653" s="4">
        <f t="shared" si="180"/>
        <v>34</v>
      </c>
      <c r="Q653" s="4">
        <f t="shared" si="181"/>
        <v>45</v>
      </c>
      <c r="R653" s="4">
        <f t="shared" si="182"/>
        <v>29</v>
      </c>
      <c r="S653" s="102">
        <f t="shared" si="183"/>
        <v>12</v>
      </c>
      <c r="U653" s="101">
        <f t="shared" si="184"/>
        <v>71</v>
      </c>
      <c r="V653" s="4">
        <f t="shared" si="185"/>
        <v>78</v>
      </c>
      <c r="W653" s="4">
        <f t="shared" si="186"/>
        <v>39</v>
      </c>
      <c r="X653" s="4">
        <f t="shared" si="187"/>
        <v>46</v>
      </c>
      <c r="Y653" s="4">
        <f t="shared" si="188"/>
        <v>71</v>
      </c>
      <c r="Z653" s="4">
        <f t="shared" si="189"/>
        <v>41</v>
      </c>
      <c r="AA653" s="102">
        <f t="shared" si="190"/>
        <v>9</v>
      </c>
      <c r="AC653" s="100">
        <f t="shared" si="191"/>
        <v>0.97643806751196449</v>
      </c>
    </row>
    <row r="654" spans="4:29" x14ac:dyDescent="0.35">
      <c r="D654">
        <f t="shared" si="192"/>
        <v>650</v>
      </c>
      <c r="E654" s="101">
        <v>3</v>
      </c>
      <c r="F654" s="4">
        <v>3</v>
      </c>
      <c r="G654" s="4">
        <v>1</v>
      </c>
      <c r="H654" s="4">
        <v>4</v>
      </c>
      <c r="I654" s="4">
        <v>1</v>
      </c>
      <c r="J654" s="4">
        <v>2</v>
      </c>
      <c r="K654" s="102">
        <v>1</v>
      </c>
      <c r="M654" s="101">
        <f t="shared" si="177"/>
        <v>23</v>
      </c>
      <c r="N654" s="4">
        <f t="shared" si="178"/>
        <v>23</v>
      </c>
      <c r="O654" s="4">
        <f t="shared" si="179"/>
        <v>34</v>
      </c>
      <c r="P654" s="4">
        <f t="shared" si="180"/>
        <v>12</v>
      </c>
      <c r="Q654" s="4">
        <f t="shared" si="181"/>
        <v>34</v>
      </c>
      <c r="R654" s="4">
        <f t="shared" si="182"/>
        <v>56</v>
      </c>
      <c r="S654" s="102">
        <f t="shared" si="183"/>
        <v>34</v>
      </c>
      <c r="U654" s="101">
        <f t="shared" si="184"/>
        <v>39</v>
      </c>
      <c r="V654" s="4">
        <f t="shared" si="185"/>
        <v>39</v>
      </c>
      <c r="W654" s="4">
        <f t="shared" si="186"/>
        <v>46</v>
      </c>
      <c r="X654" s="4">
        <f t="shared" si="187"/>
        <v>9</v>
      </c>
      <c r="Y654" s="4">
        <f t="shared" si="188"/>
        <v>46</v>
      </c>
      <c r="Z654" s="4">
        <f t="shared" si="189"/>
        <v>78</v>
      </c>
      <c r="AA654" s="102">
        <f t="shared" si="190"/>
        <v>46</v>
      </c>
      <c r="AC654" s="100">
        <f t="shared" si="191"/>
        <v>0.96645651921814768</v>
      </c>
    </row>
    <row r="655" spans="4:29" x14ac:dyDescent="0.35">
      <c r="D655">
        <f t="shared" si="192"/>
        <v>651</v>
      </c>
      <c r="E655" s="101">
        <v>7</v>
      </c>
      <c r="F655" s="4">
        <v>6</v>
      </c>
      <c r="G655" s="4">
        <v>2</v>
      </c>
      <c r="H655" s="4">
        <v>5</v>
      </c>
      <c r="I655" s="4">
        <v>3</v>
      </c>
      <c r="J655" s="4">
        <v>3</v>
      </c>
      <c r="K655" s="102">
        <v>3</v>
      </c>
      <c r="M655" s="101">
        <f t="shared" si="177"/>
        <v>29</v>
      </c>
      <c r="N655" s="4">
        <f t="shared" si="178"/>
        <v>45</v>
      </c>
      <c r="O655" s="4">
        <f t="shared" si="179"/>
        <v>56</v>
      </c>
      <c r="P655" s="4">
        <f t="shared" si="180"/>
        <v>30</v>
      </c>
      <c r="Q655" s="4">
        <f t="shared" si="181"/>
        <v>23</v>
      </c>
      <c r="R655" s="4">
        <f t="shared" si="182"/>
        <v>23</v>
      </c>
      <c r="S655" s="102">
        <f t="shared" si="183"/>
        <v>23</v>
      </c>
      <c r="U655" s="101">
        <f t="shared" si="184"/>
        <v>41</v>
      </c>
      <c r="V655" s="4">
        <f t="shared" si="185"/>
        <v>71</v>
      </c>
      <c r="W655" s="4">
        <f t="shared" si="186"/>
        <v>78</v>
      </c>
      <c r="X655" s="4">
        <f t="shared" si="187"/>
        <v>39</v>
      </c>
      <c r="Y655" s="4">
        <f t="shared" si="188"/>
        <v>39</v>
      </c>
      <c r="Z655" s="4">
        <f t="shared" si="189"/>
        <v>39</v>
      </c>
      <c r="AA655" s="102">
        <f t="shared" si="190"/>
        <v>39</v>
      </c>
      <c r="AC655" s="100">
        <f t="shared" si="191"/>
        <v>0.96893885159013504</v>
      </c>
    </row>
    <row r="656" spans="4:29" x14ac:dyDescent="0.35">
      <c r="D656">
        <f t="shared" si="192"/>
        <v>652</v>
      </c>
      <c r="E656" s="101">
        <v>2</v>
      </c>
      <c r="F656" s="4">
        <v>4</v>
      </c>
      <c r="G656" s="4">
        <v>1</v>
      </c>
      <c r="H656" s="4">
        <v>3</v>
      </c>
      <c r="I656" s="4">
        <v>1</v>
      </c>
      <c r="J656" s="4">
        <v>2</v>
      </c>
      <c r="K656" s="102">
        <v>4</v>
      </c>
      <c r="M656" s="101">
        <f t="shared" si="177"/>
        <v>56</v>
      </c>
      <c r="N656" s="4">
        <f t="shared" si="178"/>
        <v>12</v>
      </c>
      <c r="O656" s="4">
        <f t="shared" si="179"/>
        <v>34</v>
      </c>
      <c r="P656" s="4">
        <f t="shared" si="180"/>
        <v>23</v>
      </c>
      <c r="Q656" s="4">
        <f t="shared" si="181"/>
        <v>34</v>
      </c>
      <c r="R656" s="4">
        <f t="shared" si="182"/>
        <v>56</v>
      </c>
      <c r="S656" s="102">
        <f t="shared" si="183"/>
        <v>12</v>
      </c>
      <c r="U656" s="101">
        <f t="shared" si="184"/>
        <v>78</v>
      </c>
      <c r="V656" s="4">
        <f t="shared" si="185"/>
        <v>9</v>
      </c>
      <c r="W656" s="4">
        <f t="shared" si="186"/>
        <v>46</v>
      </c>
      <c r="X656" s="4">
        <f t="shared" si="187"/>
        <v>39</v>
      </c>
      <c r="Y656" s="4">
        <f t="shared" si="188"/>
        <v>46</v>
      </c>
      <c r="Z656" s="4">
        <f t="shared" si="189"/>
        <v>78</v>
      </c>
      <c r="AA656" s="102">
        <f t="shared" si="190"/>
        <v>9</v>
      </c>
      <c r="AC656" s="100">
        <f t="shared" si="191"/>
        <v>0.98699598711008651</v>
      </c>
    </row>
    <row r="657" spans="4:29" x14ac:dyDescent="0.35">
      <c r="D657">
        <f t="shared" si="192"/>
        <v>653</v>
      </c>
      <c r="E657" s="101">
        <v>1</v>
      </c>
      <c r="F657" s="4">
        <v>5</v>
      </c>
      <c r="G657" s="4">
        <v>1</v>
      </c>
      <c r="H657" s="4">
        <v>1</v>
      </c>
      <c r="I657" s="4">
        <v>4</v>
      </c>
      <c r="J657" s="4">
        <v>4</v>
      </c>
      <c r="K657" s="102">
        <v>6</v>
      </c>
      <c r="M657" s="101">
        <f t="shared" si="177"/>
        <v>34</v>
      </c>
      <c r="N657" s="4">
        <f t="shared" si="178"/>
        <v>30</v>
      </c>
      <c r="O657" s="4">
        <f t="shared" si="179"/>
        <v>34</v>
      </c>
      <c r="P657" s="4">
        <f t="shared" si="180"/>
        <v>34</v>
      </c>
      <c r="Q657" s="4">
        <f t="shared" si="181"/>
        <v>12</v>
      </c>
      <c r="R657" s="4">
        <f t="shared" si="182"/>
        <v>12</v>
      </c>
      <c r="S657" s="102">
        <f t="shared" si="183"/>
        <v>45</v>
      </c>
      <c r="U657" s="101">
        <f t="shared" si="184"/>
        <v>46</v>
      </c>
      <c r="V657" s="4">
        <f t="shared" si="185"/>
        <v>39</v>
      </c>
      <c r="W657" s="4">
        <f t="shared" si="186"/>
        <v>46</v>
      </c>
      <c r="X657" s="4">
        <f t="shared" si="187"/>
        <v>46</v>
      </c>
      <c r="Y657" s="4">
        <f t="shared" si="188"/>
        <v>9</v>
      </c>
      <c r="Z657" s="4">
        <f t="shared" si="189"/>
        <v>9</v>
      </c>
      <c r="AA657" s="102">
        <f t="shared" si="190"/>
        <v>71</v>
      </c>
      <c r="AC657" s="100">
        <f t="shared" si="191"/>
        <v>0.9958509917464583</v>
      </c>
    </row>
    <row r="658" spans="4:29" x14ac:dyDescent="0.35">
      <c r="D658">
        <f t="shared" si="192"/>
        <v>654</v>
      </c>
      <c r="E658" s="101">
        <v>4</v>
      </c>
      <c r="F658" s="4">
        <v>6</v>
      </c>
      <c r="G658" s="4">
        <v>2</v>
      </c>
      <c r="H658" s="4">
        <v>2</v>
      </c>
      <c r="I658" s="4">
        <v>5</v>
      </c>
      <c r="J658" s="4">
        <v>4</v>
      </c>
      <c r="K658" s="102">
        <v>7</v>
      </c>
      <c r="M658" s="101">
        <f t="shared" si="177"/>
        <v>12</v>
      </c>
      <c r="N658" s="4">
        <f t="shared" si="178"/>
        <v>45</v>
      </c>
      <c r="O658" s="4">
        <f t="shared" si="179"/>
        <v>56</v>
      </c>
      <c r="P658" s="4">
        <f t="shared" si="180"/>
        <v>56</v>
      </c>
      <c r="Q658" s="4">
        <f t="shared" si="181"/>
        <v>30</v>
      </c>
      <c r="R658" s="4">
        <f t="shared" si="182"/>
        <v>12</v>
      </c>
      <c r="S658" s="102">
        <f t="shared" si="183"/>
        <v>29</v>
      </c>
      <c r="U658" s="101">
        <f t="shared" si="184"/>
        <v>9</v>
      </c>
      <c r="V658" s="4">
        <f t="shared" si="185"/>
        <v>71</v>
      </c>
      <c r="W658" s="4">
        <f t="shared" si="186"/>
        <v>78</v>
      </c>
      <c r="X658" s="4">
        <f t="shared" si="187"/>
        <v>78</v>
      </c>
      <c r="Y658" s="4">
        <f t="shared" si="188"/>
        <v>39</v>
      </c>
      <c r="Z658" s="4">
        <f t="shared" si="189"/>
        <v>9</v>
      </c>
      <c r="AA658" s="102">
        <f t="shared" si="190"/>
        <v>41</v>
      </c>
      <c r="AC658" s="100">
        <f t="shared" si="191"/>
        <v>0.99166347144710942</v>
      </c>
    </row>
    <row r="659" spans="4:29" x14ac:dyDescent="0.35">
      <c r="D659">
        <f t="shared" si="192"/>
        <v>655</v>
      </c>
      <c r="E659" s="101">
        <v>3</v>
      </c>
      <c r="F659" s="4">
        <v>2</v>
      </c>
      <c r="G659" s="4">
        <v>5</v>
      </c>
      <c r="H659" s="4">
        <v>1</v>
      </c>
      <c r="I659" s="4">
        <v>4</v>
      </c>
      <c r="J659" s="4">
        <v>1</v>
      </c>
      <c r="K659" s="102">
        <v>5</v>
      </c>
      <c r="M659" s="101">
        <f t="shared" si="177"/>
        <v>23</v>
      </c>
      <c r="N659" s="4">
        <f t="shared" si="178"/>
        <v>56</v>
      </c>
      <c r="O659" s="4">
        <f t="shared" si="179"/>
        <v>30</v>
      </c>
      <c r="P659" s="4">
        <f t="shared" si="180"/>
        <v>34</v>
      </c>
      <c r="Q659" s="4">
        <f t="shared" si="181"/>
        <v>12</v>
      </c>
      <c r="R659" s="4">
        <f t="shared" si="182"/>
        <v>34</v>
      </c>
      <c r="S659" s="102">
        <f t="shared" si="183"/>
        <v>30</v>
      </c>
      <c r="U659" s="101">
        <f t="shared" si="184"/>
        <v>39</v>
      </c>
      <c r="V659" s="4">
        <f t="shared" si="185"/>
        <v>78</v>
      </c>
      <c r="W659" s="4">
        <f t="shared" si="186"/>
        <v>39</v>
      </c>
      <c r="X659" s="4">
        <f t="shared" si="187"/>
        <v>46</v>
      </c>
      <c r="Y659" s="4">
        <f t="shared" si="188"/>
        <v>9</v>
      </c>
      <c r="Z659" s="4">
        <f t="shared" si="189"/>
        <v>46</v>
      </c>
      <c r="AA659" s="102">
        <f t="shared" si="190"/>
        <v>39</v>
      </c>
      <c r="AC659" s="100">
        <f t="shared" si="191"/>
        <v>0.97768546135792933</v>
      </c>
    </row>
    <row r="660" spans="4:29" x14ac:dyDescent="0.35">
      <c r="D660">
        <f t="shared" si="192"/>
        <v>656</v>
      </c>
      <c r="E660" s="101">
        <v>4</v>
      </c>
      <c r="F660" s="4">
        <v>5</v>
      </c>
      <c r="G660" s="4">
        <v>3</v>
      </c>
      <c r="H660" s="4">
        <v>5</v>
      </c>
      <c r="I660" s="4">
        <v>1</v>
      </c>
      <c r="J660" s="4">
        <v>4</v>
      </c>
      <c r="K660" s="102">
        <v>7</v>
      </c>
      <c r="M660" s="101">
        <f t="shared" si="177"/>
        <v>12</v>
      </c>
      <c r="N660" s="4">
        <f t="shared" si="178"/>
        <v>30</v>
      </c>
      <c r="O660" s="4">
        <f t="shared" si="179"/>
        <v>23</v>
      </c>
      <c r="P660" s="4">
        <f t="shared" si="180"/>
        <v>30</v>
      </c>
      <c r="Q660" s="4">
        <f t="shared" si="181"/>
        <v>34</v>
      </c>
      <c r="R660" s="4">
        <f t="shared" si="182"/>
        <v>12</v>
      </c>
      <c r="S660" s="102">
        <f t="shared" si="183"/>
        <v>29</v>
      </c>
      <c r="U660" s="101">
        <f t="shared" si="184"/>
        <v>9</v>
      </c>
      <c r="V660" s="4">
        <f t="shared" si="185"/>
        <v>39</v>
      </c>
      <c r="W660" s="4">
        <f t="shared" si="186"/>
        <v>39</v>
      </c>
      <c r="X660" s="4">
        <f t="shared" si="187"/>
        <v>39</v>
      </c>
      <c r="Y660" s="4">
        <f t="shared" si="188"/>
        <v>46</v>
      </c>
      <c r="Z660" s="4">
        <f t="shared" si="189"/>
        <v>9</v>
      </c>
      <c r="AA660" s="102">
        <f t="shared" si="190"/>
        <v>41</v>
      </c>
      <c r="AC660" s="100">
        <f t="shared" si="191"/>
        <v>0.96056364917875836</v>
      </c>
    </row>
    <row r="661" spans="4:29" x14ac:dyDescent="0.35">
      <c r="D661">
        <f t="shared" si="192"/>
        <v>657</v>
      </c>
      <c r="E661" s="101">
        <v>2</v>
      </c>
      <c r="F661" s="4">
        <v>4</v>
      </c>
      <c r="G661" s="4">
        <v>6</v>
      </c>
      <c r="H661" s="4">
        <v>4</v>
      </c>
      <c r="I661" s="4">
        <v>4</v>
      </c>
      <c r="J661" s="4">
        <v>6</v>
      </c>
      <c r="K661" s="102">
        <v>1</v>
      </c>
      <c r="M661" s="101">
        <f t="shared" si="177"/>
        <v>56</v>
      </c>
      <c r="N661" s="4">
        <f t="shared" si="178"/>
        <v>12</v>
      </c>
      <c r="O661" s="4">
        <f t="shared" si="179"/>
        <v>45</v>
      </c>
      <c r="P661" s="4">
        <f t="shared" si="180"/>
        <v>12</v>
      </c>
      <c r="Q661" s="4">
        <f t="shared" si="181"/>
        <v>12</v>
      </c>
      <c r="R661" s="4">
        <f t="shared" si="182"/>
        <v>45</v>
      </c>
      <c r="S661" s="102">
        <f t="shared" si="183"/>
        <v>34</v>
      </c>
      <c r="U661" s="101">
        <f t="shared" si="184"/>
        <v>78</v>
      </c>
      <c r="V661" s="4">
        <f t="shared" si="185"/>
        <v>9</v>
      </c>
      <c r="W661" s="4">
        <f t="shared" si="186"/>
        <v>71</v>
      </c>
      <c r="X661" s="4">
        <f t="shared" si="187"/>
        <v>9</v>
      </c>
      <c r="Y661" s="4">
        <f t="shared" si="188"/>
        <v>9</v>
      </c>
      <c r="Z661" s="4">
        <f t="shared" si="189"/>
        <v>71</v>
      </c>
      <c r="AA661" s="102">
        <f t="shared" si="190"/>
        <v>46</v>
      </c>
      <c r="AC661" s="100">
        <f t="shared" si="191"/>
        <v>0.99208202516734589</v>
      </c>
    </row>
    <row r="662" spans="4:29" x14ac:dyDescent="0.35">
      <c r="D662">
        <f t="shared" si="192"/>
        <v>658</v>
      </c>
      <c r="E662" s="101">
        <v>1</v>
      </c>
      <c r="F662" s="4">
        <v>1</v>
      </c>
      <c r="G662" s="4">
        <v>7</v>
      </c>
      <c r="H662" s="4">
        <v>1</v>
      </c>
      <c r="I662" s="4">
        <v>5</v>
      </c>
      <c r="J662" s="4">
        <v>4</v>
      </c>
      <c r="K662" s="102">
        <v>4</v>
      </c>
      <c r="M662" s="101">
        <f t="shared" si="177"/>
        <v>34</v>
      </c>
      <c r="N662" s="4">
        <f t="shared" si="178"/>
        <v>34</v>
      </c>
      <c r="O662" s="4">
        <f t="shared" si="179"/>
        <v>29</v>
      </c>
      <c r="P662" s="4">
        <f t="shared" si="180"/>
        <v>34</v>
      </c>
      <c r="Q662" s="4">
        <f t="shared" si="181"/>
        <v>30</v>
      </c>
      <c r="R662" s="4">
        <f t="shared" si="182"/>
        <v>12</v>
      </c>
      <c r="S662" s="102">
        <f t="shared" si="183"/>
        <v>12</v>
      </c>
      <c r="U662" s="101">
        <f t="shared" si="184"/>
        <v>46</v>
      </c>
      <c r="V662" s="4">
        <f t="shared" si="185"/>
        <v>46</v>
      </c>
      <c r="W662" s="4">
        <f t="shared" si="186"/>
        <v>41</v>
      </c>
      <c r="X662" s="4">
        <f t="shared" si="187"/>
        <v>46</v>
      </c>
      <c r="Y662" s="4">
        <f t="shared" si="188"/>
        <v>39</v>
      </c>
      <c r="Z662" s="4">
        <f t="shared" si="189"/>
        <v>9</v>
      </c>
      <c r="AA662" s="102">
        <f t="shared" si="190"/>
        <v>9</v>
      </c>
      <c r="AC662" s="100">
        <f t="shared" si="191"/>
        <v>0.99709303226775936</v>
      </c>
    </row>
    <row r="663" spans="4:29" x14ac:dyDescent="0.35">
      <c r="D663">
        <f t="shared" si="192"/>
        <v>659</v>
      </c>
      <c r="E663" s="101">
        <v>2</v>
      </c>
      <c r="F663" s="4">
        <v>7</v>
      </c>
      <c r="G663" s="4">
        <v>2</v>
      </c>
      <c r="H663" s="4">
        <v>2</v>
      </c>
      <c r="I663" s="4">
        <v>4</v>
      </c>
      <c r="J663" s="4">
        <v>4</v>
      </c>
      <c r="K663" s="102">
        <v>6</v>
      </c>
      <c r="M663" s="101">
        <f t="shared" si="177"/>
        <v>56</v>
      </c>
      <c r="N663" s="4">
        <f t="shared" si="178"/>
        <v>29</v>
      </c>
      <c r="O663" s="4">
        <f t="shared" si="179"/>
        <v>56</v>
      </c>
      <c r="P663" s="4">
        <f t="shared" si="180"/>
        <v>56</v>
      </c>
      <c r="Q663" s="4">
        <f t="shared" si="181"/>
        <v>12</v>
      </c>
      <c r="R663" s="4">
        <f t="shared" si="182"/>
        <v>12</v>
      </c>
      <c r="S663" s="102">
        <f t="shared" si="183"/>
        <v>45</v>
      </c>
      <c r="U663" s="101">
        <f t="shared" si="184"/>
        <v>78</v>
      </c>
      <c r="V663" s="4">
        <f t="shared" si="185"/>
        <v>41</v>
      </c>
      <c r="W663" s="4">
        <f t="shared" si="186"/>
        <v>78</v>
      </c>
      <c r="X663" s="4">
        <f t="shared" si="187"/>
        <v>78</v>
      </c>
      <c r="Y663" s="4">
        <f t="shared" si="188"/>
        <v>9</v>
      </c>
      <c r="Z663" s="4">
        <f t="shared" si="189"/>
        <v>9</v>
      </c>
      <c r="AA663" s="102">
        <f t="shared" si="190"/>
        <v>71</v>
      </c>
      <c r="AC663" s="100">
        <f t="shared" si="191"/>
        <v>0.99202408260688169</v>
      </c>
    </row>
    <row r="664" spans="4:29" x14ac:dyDescent="0.35">
      <c r="D664">
        <f t="shared" si="192"/>
        <v>660</v>
      </c>
      <c r="E664" s="101">
        <v>4</v>
      </c>
      <c r="F664" s="4">
        <v>6</v>
      </c>
      <c r="G664" s="4">
        <v>7</v>
      </c>
      <c r="H664" s="4">
        <v>2</v>
      </c>
      <c r="I664" s="4">
        <v>7</v>
      </c>
      <c r="J664" s="4">
        <v>6</v>
      </c>
      <c r="K664" s="102">
        <v>1</v>
      </c>
      <c r="M664" s="101">
        <f t="shared" si="177"/>
        <v>12</v>
      </c>
      <c r="N664" s="4">
        <f t="shared" si="178"/>
        <v>45</v>
      </c>
      <c r="O664" s="4">
        <f t="shared" si="179"/>
        <v>29</v>
      </c>
      <c r="P664" s="4">
        <f t="shared" si="180"/>
        <v>56</v>
      </c>
      <c r="Q664" s="4">
        <f t="shared" si="181"/>
        <v>29</v>
      </c>
      <c r="R664" s="4">
        <f t="shared" si="182"/>
        <v>45</v>
      </c>
      <c r="S664" s="102">
        <f t="shared" si="183"/>
        <v>34</v>
      </c>
      <c r="U664" s="101">
        <f t="shared" si="184"/>
        <v>9</v>
      </c>
      <c r="V664" s="4">
        <f t="shared" si="185"/>
        <v>71</v>
      </c>
      <c r="W664" s="4">
        <f t="shared" si="186"/>
        <v>41</v>
      </c>
      <c r="X664" s="4">
        <f t="shared" si="187"/>
        <v>78</v>
      </c>
      <c r="Y664" s="4">
        <f t="shared" si="188"/>
        <v>41</v>
      </c>
      <c r="Z664" s="4">
        <f t="shared" si="189"/>
        <v>71</v>
      </c>
      <c r="AA664" s="102">
        <f t="shared" si="190"/>
        <v>46</v>
      </c>
      <c r="AC664" s="100">
        <f t="shared" si="191"/>
        <v>0.98556824300359624</v>
      </c>
    </row>
    <row r="665" spans="4:29" x14ac:dyDescent="0.35">
      <c r="D665">
        <f t="shared" si="192"/>
        <v>661</v>
      </c>
      <c r="E665" s="101">
        <v>6</v>
      </c>
      <c r="F665" s="4">
        <v>1</v>
      </c>
      <c r="G665" s="4">
        <v>6</v>
      </c>
      <c r="H665" s="4">
        <v>5</v>
      </c>
      <c r="I665" s="4">
        <v>6</v>
      </c>
      <c r="J665" s="4">
        <v>3</v>
      </c>
      <c r="K665" s="102">
        <v>1</v>
      </c>
      <c r="M665" s="101">
        <f t="shared" si="177"/>
        <v>45</v>
      </c>
      <c r="N665" s="4">
        <f t="shared" si="178"/>
        <v>34</v>
      </c>
      <c r="O665" s="4">
        <f t="shared" si="179"/>
        <v>45</v>
      </c>
      <c r="P665" s="4">
        <f t="shared" si="180"/>
        <v>30</v>
      </c>
      <c r="Q665" s="4">
        <f t="shared" si="181"/>
        <v>45</v>
      </c>
      <c r="R665" s="4">
        <f t="shared" si="182"/>
        <v>23</v>
      </c>
      <c r="S665" s="102">
        <f t="shared" si="183"/>
        <v>34</v>
      </c>
      <c r="U665" s="101">
        <f t="shared" si="184"/>
        <v>71</v>
      </c>
      <c r="V665" s="4">
        <f t="shared" si="185"/>
        <v>46</v>
      </c>
      <c r="W665" s="4">
        <f t="shared" si="186"/>
        <v>71</v>
      </c>
      <c r="X665" s="4">
        <f t="shared" si="187"/>
        <v>39</v>
      </c>
      <c r="Y665" s="4">
        <f t="shared" si="188"/>
        <v>71</v>
      </c>
      <c r="Z665" s="4">
        <f t="shared" si="189"/>
        <v>39</v>
      </c>
      <c r="AA665" s="102">
        <f t="shared" si="190"/>
        <v>46</v>
      </c>
      <c r="AC665" s="100">
        <f t="shared" si="191"/>
        <v>0.95603096282145406</v>
      </c>
    </row>
    <row r="666" spans="4:29" x14ac:dyDescent="0.35">
      <c r="D666">
        <f t="shared" si="192"/>
        <v>662</v>
      </c>
      <c r="E666" s="101">
        <v>5</v>
      </c>
      <c r="F666" s="4">
        <v>5</v>
      </c>
      <c r="G666" s="4">
        <v>4</v>
      </c>
      <c r="H666" s="4">
        <v>3</v>
      </c>
      <c r="I666" s="4">
        <v>4</v>
      </c>
      <c r="J666" s="4">
        <v>3</v>
      </c>
      <c r="K666" s="102">
        <v>4</v>
      </c>
      <c r="M666" s="101">
        <f t="shared" si="177"/>
        <v>30</v>
      </c>
      <c r="N666" s="4">
        <f t="shared" si="178"/>
        <v>30</v>
      </c>
      <c r="O666" s="4">
        <f t="shared" si="179"/>
        <v>12</v>
      </c>
      <c r="P666" s="4">
        <f t="shared" si="180"/>
        <v>23</v>
      </c>
      <c r="Q666" s="4">
        <f t="shared" si="181"/>
        <v>12</v>
      </c>
      <c r="R666" s="4">
        <f t="shared" si="182"/>
        <v>23</v>
      </c>
      <c r="S666" s="102">
        <f t="shared" si="183"/>
        <v>12</v>
      </c>
      <c r="U666" s="101">
        <f t="shared" si="184"/>
        <v>39</v>
      </c>
      <c r="V666" s="4">
        <f t="shared" si="185"/>
        <v>39</v>
      </c>
      <c r="W666" s="4">
        <f t="shared" si="186"/>
        <v>9</v>
      </c>
      <c r="X666" s="4">
        <f t="shared" si="187"/>
        <v>39</v>
      </c>
      <c r="Y666" s="4">
        <f t="shared" si="188"/>
        <v>9</v>
      </c>
      <c r="Z666" s="4">
        <f t="shared" si="189"/>
        <v>39</v>
      </c>
      <c r="AA666" s="102">
        <f t="shared" si="190"/>
        <v>9</v>
      </c>
      <c r="AC666" s="100">
        <f t="shared" si="191"/>
        <v>0.93825423254300155</v>
      </c>
    </row>
    <row r="667" spans="4:29" x14ac:dyDescent="0.35">
      <c r="D667">
        <f t="shared" si="192"/>
        <v>663</v>
      </c>
      <c r="E667" s="101">
        <v>6</v>
      </c>
      <c r="F667" s="4">
        <v>2</v>
      </c>
      <c r="G667" s="4">
        <v>2</v>
      </c>
      <c r="H667" s="4">
        <v>2</v>
      </c>
      <c r="I667" s="4">
        <v>5</v>
      </c>
      <c r="J667" s="4">
        <v>1</v>
      </c>
      <c r="K667" s="102">
        <v>3</v>
      </c>
      <c r="M667" s="101">
        <f t="shared" si="177"/>
        <v>45</v>
      </c>
      <c r="N667" s="4">
        <f t="shared" si="178"/>
        <v>56</v>
      </c>
      <c r="O667" s="4">
        <f t="shared" si="179"/>
        <v>56</v>
      </c>
      <c r="P667" s="4">
        <f t="shared" si="180"/>
        <v>56</v>
      </c>
      <c r="Q667" s="4">
        <f t="shared" si="181"/>
        <v>30</v>
      </c>
      <c r="R667" s="4">
        <f t="shared" si="182"/>
        <v>34</v>
      </c>
      <c r="S667" s="102">
        <f t="shared" si="183"/>
        <v>23</v>
      </c>
      <c r="U667" s="101">
        <f t="shared" si="184"/>
        <v>71</v>
      </c>
      <c r="V667" s="4">
        <f t="shared" si="185"/>
        <v>78</v>
      </c>
      <c r="W667" s="4">
        <f t="shared" si="186"/>
        <v>78</v>
      </c>
      <c r="X667" s="4">
        <f t="shared" si="187"/>
        <v>78</v>
      </c>
      <c r="Y667" s="4">
        <f t="shared" si="188"/>
        <v>39</v>
      </c>
      <c r="Z667" s="4">
        <f t="shared" si="189"/>
        <v>46</v>
      </c>
      <c r="AA667" s="102">
        <f t="shared" si="190"/>
        <v>39</v>
      </c>
      <c r="AC667" s="100">
        <f t="shared" si="191"/>
        <v>0.97536876412562656</v>
      </c>
    </row>
    <row r="668" spans="4:29" x14ac:dyDescent="0.35">
      <c r="D668">
        <f t="shared" si="192"/>
        <v>664</v>
      </c>
      <c r="E668" s="101">
        <v>1</v>
      </c>
      <c r="F668" s="4">
        <v>4</v>
      </c>
      <c r="G668" s="4">
        <v>5</v>
      </c>
      <c r="H668" s="4">
        <v>6</v>
      </c>
      <c r="I668" s="4">
        <v>2</v>
      </c>
      <c r="J668" s="4">
        <v>6</v>
      </c>
      <c r="K668" s="102">
        <v>4</v>
      </c>
      <c r="M668" s="101">
        <f t="shared" si="177"/>
        <v>34</v>
      </c>
      <c r="N668" s="4">
        <f t="shared" si="178"/>
        <v>12</v>
      </c>
      <c r="O668" s="4">
        <f t="shared" si="179"/>
        <v>30</v>
      </c>
      <c r="P668" s="4">
        <f t="shared" si="180"/>
        <v>45</v>
      </c>
      <c r="Q668" s="4">
        <f t="shared" si="181"/>
        <v>56</v>
      </c>
      <c r="R668" s="4">
        <f t="shared" si="182"/>
        <v>45</v>
      </c>
      <c r="S668" s="102">
        <f t="shared" si="183"/>
        <v>12</v>
      </c>
      <c r="U668" s="101">
        <f t="shared" si="184"/>
        <v>46</v>
      </c>
      <c r="V668" s="4">
        <f t="shared" si="185"/>
        <v>9</v>
      </c>
      <c r="W668" s="4">
        <f t="shared" si="186"/>
        <v>39</v>
      </c>
      <c r="X668" s="4">
        <f t="shared" si="187"/>
        <v>71</v>
      </c>
      <c r="Y668" s="4">
        <f t="shared" si="188"/>
        <v>78</v>
      </c>
      <c r="Z668" s="4">
        <f t="shared" si="189"/>
        <v>71</v>
      </c>
      <c r="AA668" s="102">
        <f t="shared" si="190"/>
        <v>9</v>
      </c>
      <c r="AC668" s="100">
        <f t="shared" si="191"/>
        <v>0.99005339402589865</v>
      </c>
    </row>
    <row r="669" spans="4:29" x14ac:dyDescent="0.35">
      <c r="D669">
        <f t="shared" si="192"/>
        <v>665</v>
      </c>
      <c r="E669" s="101">
        <v>4</v>
      </c>
      <c r="F669" s="4">
        <v>5</v>
      </c>
      <c r="G669" s="4">
        <v>4</v>
      </c>
      <c r="H669" s="4">
        <v>4</v>
      </c>
      <c r="I669" s="4">
        <v>2</v>
      </c>
      <c r="J669" s="4">
        <v>1</v>
      </c>
      <c r="K669" s="102">
        <v>1</v>
      </c>
      <c r="M669" s="101">
        <f t="shared" si="177"/>
        <v>12</v>
      </c>
      <c r="N669" s="4">
        <f t="shared" si="178"/>
        <v>30</v>
      </c>
      <c r="O669" s="4">
        <f t="shared" si="179"/>
        <v>12</v>
      </c>
      <c r="P669" s="4">
        <f t="shared" si="180"/>
        <v>12</v>
      </c>
      <c r="Q669" s="4">
        <f t="shared" si="181"/>
        <v>56</v>
      </c>
      <c r="R669" s="4">
        <f t="shared" si="182"/>
        <v>34</v>
      </c>
      <c r="S669" s="102">
        <f t="shared" si="183"/>
        <v>34</v>
      </c>
      <c r="U669" s="101">
        <f t="shared" si="184"/>
        <v>9</v>
      </c>
      <c r="V669" s="4">
        <f t="shared" si="185"/>
        <v>39</v>
      </c>
      <c r="W669" s="4">
        <f t="shared" si="186"/>
        <v>9</v>
      </c>
      <c r="X669" s="4">
        <f t="shared" si="187"/>
        <v>9</v>
      </c>
      <c r="Y669" s="4">
        <f t="shared" si="188"/>
        <v>78</v>
      </c>
      <c r="Z669" s="4">
        <f t="shared" si="189"/>
        <v>46</v>
      </c>
      <c r="AA669" s="102">
        <f t="shared" si="190"/>
        <v>46</v>
      </c>
      <c r="AC669" s="100">
        <f t="shared" si="191"/>
        <v>0.99901300821771477</v>
      </c>
    </row>
    <row r="670" spans="4:29" x14ac:dyDescent="0.35">
      <c r="D670">
        <f t="shared" si="192"/>
        <v>666</v>
      </c>
      <c r="E670" s="101">
        <v>6</v>
      </c>
      <c r="F670" s="4">
        <v>5</v>
      </c>
      <c r="G670" s="4">
        <v>7</v>
      </c>
      <c r="H670" s="4">
        <v>5</v>
      </c>
      <c r="I670" s="4">
        <v>2</v>
      </c>
      <c r="J670" s="4">
        <v>1</v>
      </c>
      <c r="K670" s="102">
        <v>2</v>
      </c>
      <c r="M670" s="101">
        <f t="shared" si="177"/>
        <v>45</v>
      </c>
      <c r="N670" s="4">
        <f t="shared" si="178"/>
        <v>30</v>
      </c>
      <c r="O670" s="4">
        <f t="shared" si="179"/>
        <v>29</v>
      </c>
      <c r="P670" s="4">
        <f t="shared" si="180"/>
        <v>30</v>
      </c>
      <c r="Q670" s="4">
        <f t="shared" si="181"/>
        <v>56</v>
      </c>
      <c r="R670" s="4">
        <f t="shared" si="182"/>
        <v>34</v>
      </c>
      <c r="S670" s="102">
        <f t="shared" si="183"/>
        <v>56</v>
      </c>
      <c r="U670" s="101">
        <f t="shared" si="184"/>
        <v>71</v>
      </c>
      <c r="V670" s="4">
        <f t="shared" si="185"/>
        <v>39</v>
      </c>
      <c r="W670" s="4">
        <f t="shared" si="186"/>
        <v>41</v>
      </c>
      <c r="X670" s="4">
        <f t="shared" si="187"/>
        <v>39</v>
      </c>
      <c r="Y670" s="4">
        <f t="shared" si="188"/>
        <v>78</v>
      </c>
      <c r="Z670" s="4">
        <f t="shared" si="189"/>
        <v>46</v>
      </c>
      <c r="AA670" s="102">
        <f t="shared" si="190"/>
        <v>78</v>
      </c>
      <c r="AC670" s="100">
        <f t="shared" si="191"/>
        <v>0.98182677221902925</v>
      </c>
    </row>
    <row r="671" spans="4:29" x14ac:dyDescent="0.35">
      <c r="D671">
        <f t="shared" si="192"/>
        <v>667</v>
      </c>
      <c r="E671" s="101">
        <v>4</v>
      </c>
      <c r="F671" s="4">
        <v>3</v>
      </c>
      <c r="G671" s="4">
        <v>2</v>
      </c>
      <c r="H671" s="4">
        <v>5</v>
      </c>
      <c r="I671" s="4">
        <v>1</v>
      </c>
      <c r="J671" s="4">
        <v>2</v>
      </c>
      <c r="K671" s="102">
        <v>7</v>
      </c>
      <c r="M671" s="101">
        <f t="shared" si="177"/>
        <v>12</v>
      </c>
      <c r="N671" s="4">
        <f t="shared" si="178"/>
        <v>23</v>
      </c>
      <c r="O671" s="4">
        <f t="shared" si="179"/>
        <v>56</v>
      </c>
      <c r="P671" s="4">
        <f t="shared" si="180"/>
        <v>30</v>
      </c>
      <c r="Q671" s="4">
        <f t="shared" si="181"/>
        <v>34</v>
      </c>
      <c r="R671" s="4">
        <f t="shared" si="182"/>
        <v>56</v>
      </c>
      <c r="S671" s="102">
        <f t="shared" si="183"/>
        <v>29</v>
      </c>
      <c r="U671" s="101">
        <f t="shared" si="184"/>
        <v>9</v>
      </c>
      <c r="V671" s="4">
        <f t="shared" si="185"/>
        <v>39</v>
      </c>
      <c r="W671" s="4">
        <f t="shared" si="186"/>
        <v>78</v>
      </c>
      <c r="X671" s="4">
        <f t="shared" si="187"/>
        <v>39</v>
      </c>
      <c r="Y671" s="4">
        <f t="shared" si="188"/>
        <v>46</v>
      </c>
      <c r="Z671" s="4">
        <f t="shared" si="189"/>
        <v>78</v>
      </c>
      <c r="AA671" s="102">
        <f t="shared" si="190"/>
        <v>41</v>
      </c>
      <c r="AC671" s="100">
        <f t="shared" si="191"/>
        <v>0.98446461864207147</v>
      </c>
    </row>
    <row r="672" spans="4:29" x14ac:dyDescent="0.35">
      <c r="D672">
        <f t="shared" si="192"/>
        <v>668</v>
      </c>
      <c r="E672" s="101">
        <v>6</v>
      </c>
      <c r="F672" s="4">
        <v>1</v>
      </c>
      <c r="G672" s="4">
        <v>6</v>
      </c>
      <c r="H672" s="4">
        <v>1</v>
      </c>
      <c r="I672" s="4">
        <v>2</v>
      </c>
      <c r="J672" s="4">
        <v>4</v>
      </c>
      <c r="K672" s="102">
        <v>5</v>
      </c>
      <c r="M672" s="101">
        <f t="shared" si="177"/>
        <v>45</v>
      </c>
      <c r="N672" s="4">
        <f t="shared" si="178"/>
        <v>34</v>
      </c>
      <c r="O672" s="4">
        <f t="shared" si="179"/>
        <v>45</v>
      </c>
      <c r="P672" s="4">
        <f t="shared" si="180"/>
        <v>34</v>
      </c>
      <c r="Q672" s="4">
        <f t="shared" si="181"/>
        <v>56</v>
      </c>
      <c r="R672" s="4">
        <f t="shared" si="182"/>
        <v>12</v>
      </c>
      <c r="S672" s="102">
        <f t="shared" si="183"/>
        <v>30</v>
      </c>
      <c r="U672" s="101">
        <f t="shared" si="184"/>
        <v>71</v>
      </c>
      <c r="V672" s="4">
        <f t="shared" si="185"/>
        <v>46</v>
      </c>
      <c r="W672" s="4">
        <f t="shared" si="186"/>
        <v>71</v>
      </c>
      <c r="X672" s="4">
        <f t="shared" si="187"/>
        <v>46</v>
      </c>
      <c r="Y672" s="4">
        <f t="shared" si="188"/>
        <v>78</v>
      </c>
      <c r="Z672" s="4">
        <f t="shared" si="189"/>
        <v>9</v>
      </c>
      <c r="AA672" s="102">
        <f t="shared" si="190"/>
        <v>39</v>
      </c>
      <c r="AC672" s="100">
        <f t="shared" si="191"/>
        <v>0.98542430833609496</v>
      </c>
    </row>
    <row r="673" spans="4:29" x14ac:dyDescent="0.35">
      <c r="D673">
        <f t="shared" si="192"/>
        <v>669</v>
      </c>
      <c r="E673" s="101">
        <v>3</v>
      </c>
      <c r="F673" s="4">
        <v>5</v>
      </c>
      <c r="G673" s="4">
        <v>7</v>
      </c>
      <c r="H673" s="4">
        <v>1</v>
      </c>
      <c r="I673" s="4">
        <v>4</v>
      </c>
      <c r="J673" s="4">
        <v>6</v>
      </c>
      <c r="K673" s="102">
        <v>1</v>
      </c>
      <c r="M673" s="101">
        <f t="shared" si="177"/>
        <v>23</v>
      </c>
      <c r="N673" s="4">
        <f t="shared" si="178"/>
        <v>30</v>
      </c>
      <c r="O673" s="4">
        <f t="shared" si="179"/>
        <v>29</v>
      </c>
      <c r="P673" s="4">
        <f t="shared" si="180"/>
        <v>34</v>
      </c>
      <c r="Q673" s="4">
        <f t="shared" si="181"/>
        <v>12</v>
      </c>
      <c r="R673" s="4">
        <f t="shared" si="182"/>
        <v>45</v>
      </c>
      <c r="S673" s="102">
        <f t="shared" si="183"/>
        <v>34</v>
      </c>
      <c r="U673" s="101">
        <f t="shared" si="184"/>
        <v>39</v>
      </c>
      <c r="V673" s="4">
        <f t="shared" si="185"/>
        <v>39</v>
      </c>
      <c r="W673" s="4">
        <f t="shared" si="186"/>
        <v>41</v>
      </c>
      <c r="X673" s="4">
        <f t="shared" si="187"/>
        <v>46</v>
      </c>
      <c r="Y673" s="4">
        <f t="shared" si="188"/>
        <v>9</v>
      </c>
      <c r="Z673" s="4">
        <f t="shared" si="189"/>
        <v>71</v>
      </c>
      <c r="AA673" s="102">
        <f t="shared" si="190"/>
        <v>46</v>
      </c>
      <c r="AC673" s="100">
        <f t="shared" si="191"/>
        <v>0.9688120544294756</v>
      </c>
    </row>
    <row r="674" spans="4:29" x14ac:dyDescent="0.35">
      <c r="D674">
        <f t="shared" si="192"/>
        <v>670</v>
      </c>
      <c r="E674" s="101">
        <v>5</v>
      </c>
      <c r="F674" s="4">
        <v>3</v>
      </c>
      <c r="G674" s="4">
        <v>5</v>
      </c>
      <c r="H674" s="4">
        <v>4</v>
      </c>
      <c r="I674" s="4">
        <v>6</v>
      </c>
      <c r="J674" s="4">
        <v>1</v>
      </c>
      <c r="K674" s="102">
        <v>4</v>
      </c>
      <c r="M674" s="101">
        <f t="shared" si="177"/>
        <v>30</v>
      </c>
      <c r="N674" s="4">
        <f t="shared" si="178"/>
        <v>23</v>
      </c>
      <c r="O674" s="4">
        <f t="shared" si="179"/>
        <v>30</v>
      </c>
      <c r="P674" s="4">
        <f t="shared" si="180"/>
        <v>12</v>
      </c>
      <c r="Q674" s="4">
        <f t="shared" si="181"/>
        <v>45</v>
      </c>
      <c r="R674" s="4">
        <f t="shared" si="182"/>
        <v>34</v>
      </c>
      <c r="S674" s="102">
        <f t="shared" si="183"/>
        <v>12</v>
      </c>
      <c r="U674" s="101">
        <f t="shared" si="184"/>
        <v>39</v>
      </c>
      <c r="V674" s="4">
        <f t="shared" si="185"/>
        <v>39</v>
      </c>
      <c r="W674" s="4">
        <f t="shared" si="186"/>
        <v>39</v>
      </c>
      <c r="X674" s="4">
        <f t="shared" si="187"/>
        <v>9</v>
      </c>
      <c r="Y674" s="4">
        <f t="shared" si="188"/>
        <v>71</v>
      </c>
      <c r="Z674" s="4">
        <f t="shared" si="189"/>
        <v>46</v>
      </c>
      <c r="AA674" s="102">
        <f t="shared" si="190"/>
        <v>9</v>
      </c>
      <c r="AC674" s="100">
        <f t="shared" si="191"/>
        <v>0.97764605051821774</v>
      </c>
    </row>
    <row r="675" spans="4:29" x14ac:dyDescent="0.35">
      <c r="D675">
        <f t="shared" si="192"/>
        <v>671</v>
      </c>
      <c r="E675" s="101">
        <v>2</v>
      </c>
      <c r="F675" s="4">
        <v>3</v>
      </c>
      <c r="G675" s="4">
        <v>4</v>
      </c>
      <c r="H675" s="4">
        <v>4</v>
      </c>
      <c r="I675" s="4">
        <v>6</v>
      </c>
      <c r="J675" s="4">
        <v>6</v>
      </c>
      <c r="K675" s="102">
        <v>7</v>
      </c>
      <c r="M675" s="101">
        <f t="shared" si="177"/>
        <v>56</v>
      </c>
      <c r="N675" s="4">
        <f t="shared" si="178"/>
        <v>23</v>
      </c>
      <c r="O675" s="4">
        <f t="shared" si="179"/>
        <v>12</v>
      </c>
      <c r="P675" s="4">
        <f t="shared" si="180"/>
        <v>12</v>
      </c>
      <c r="Q675" s="4">
        <f t="shared" si="181"/>
        <v>45</v>
      </c>
      <c r="R675" s="4">
        <f t="shared" si="182"/>
        <v>45</v>
      </c>
      <c r="S675" s="102">
        <f t="shared" si="183"/>
        <v>29</v>
      </c>
      <c r="U675" s="101">
        <f t="shared" si="184"/>
        <v>78</v>
      </c>
      <c r="V675" s="4">
        <f t="shared" si="185"/>
        <v>39</v>
      </c>
      <c r="W675" s="4">
        <f t="shared" si="186"/>
        <v>9</v>
      </c>
      <c r="X675" s="4">
        <f t="shared" si="187"/>
        <v>9</v>
      </c>
      <c r="Y675" s="4">
        <f t="shared" si="188"/>
        <v>71</v>
      </c>
      <c r="Z675" s="4">
        <f t="shared" si="189"/>
        <v>71</v>
      </c>
      <c r="AA675" s="102">
        <f t="shared" si="190"/>
        <v>41</v>
      </c>
      <c r="AC675" s="100">
        <f t="shared" si="191"/>
        <v>0.9824853312242614</v>
      </c>
    </row>
    <row r="676" spans="4:29" x14ac:dyDescent="0.35">
      <c r="D676">
        <f t="shared" si="192"/>
        <v>672</v>
      </c>
      <c r="E676" s="101">
        <v>3</v>
      </c>
      <c r="F676" s="4">
        <v>7</v>
      </c>
      <c r="G676" s="4">
        <v>3</v>
      </c>
      <c r="H676" s="4">
        <v>2</v>
      </c>
      <c r="I676" s="4">
        <v>6</v>
      </c>
      <c r="J676" s="4">
        <v>2</v>
      </c>
      <c r="K676" s="102">
        <v>7</v>
      </c>
      <c r="M676" s="101">
        <f t="shared" si="177"/>
        <v>23</v>
      </c>
      <c r="N676" s="4">
        <f t="shared" si="178"/>
        <v>29</v>
      </c>
      <c r="O676" s="4">
        <f t="shared" si="179"/>
        <v>23</v>
      </c>
      <c r="P676" s="4">
        <f t="shared" si="180"/>
        <v>56</v>
      </c>
      <c r="Q676" s="4">
        <f t="shared" si="181"/>
        <v>45</v>
      </c>
      <c r="R676" s="4">
        <f t="shared" si="182"/>
        <v>56</v>
      </c>
      <c r="S676" s="102">
        <f t="shared" si="183"/>
        <v>29</v>
      </c>
      <c r="U676" s="101">
        <f t="shared" si="184"/>
        <v>39</v>
      </c>
      <c r="V676" s="4">
        <f t="shared" si="185"/>
        <v>41</v>
      </c>
      <c r="W676" s="4">
        <f t="shared" si="186"/>
        <v>39</v>
      </c>
      <c r="X676" s="4">
        <f t="shared" si="187"/>
        <v>78</v>
      </c>
      <c r="Y676" s="4">
        <f t="shared" si="188"/>
        <v>71</v>
      </c>
      <c r="Z676" s="4">
        <f t="shared" si="189"/>
        <v>78</v>
      </c>
      <c r="AA676" s="102">
        <f t="shared" si="190"/>
        <v>41</v>
      </c>
      <c r="AC676" s="100">
        <f t="shared" si="191"/>
        <v>0.98357119915909674</v>
      </c>
    </row>
    <row r="677" spans="4:29" x14ac:dyDescent="0.35">
      <c r="D677">
        <f t="shared" si="192"/>
        <v>673</v>
      </c>
      <c r="E677" s="101">
        <v>4</v>
      </c>
      <c r="F677" s="4">
        <v>5</v>
      </c>
      <c r="G677" s="4">
        <v>6</v>
      </c>
      <c r="H677" s="4">
        <v>3</v>
      </c>
      <c r="I677" s="4">
        <v>4</v>
      </c>
      <c r="J677" s="4">
        <v>4</v>
      </c>
      <c r="K677" s="102">
        <v>5</v>
      </c>
      <c r="M677" s="101">
        <f t="shared" si="177"/>
        <v>12</v>
      </c>
      <c r="N677" s="4">
        <f t="shared" si="178"/>
        <v>30</v>
      </c>
      <c r="O677" s="4">
        <f t="shared" si="179"/>
        <v>45</v>
      </c>
      <c r="P677" s="4">
        <f t="shared" si="180"/>
        <v>23</v>
      </c>
      <c r="Q677" s="4">
        <f t="shared" si="181"/>
        <v>12</v>
      </c>
      <c r="R677" s="4">
        <f t="shared" si="182"/>
        <v>12</v>
      </c>
      <c r="S677" s="102">
        <f t="shared" si="183"/>
        <v>30</v>
      </c>
      <c r="U677" s="101">
        <f t="shared" si="184"/>
        <v>9</v>
      </c>
      <c r="V677" s="4">
        <f t="shared" si="185"/>
        <v>39</v>
      </c>
      <c r="W677" s="4">
        <f t="shared" si="186"/>
        <v>71</v>
      </c>
      <c r="X677" s="4">
        <f t="shared" si="187"/>
        <v>39</v>
      </c>
      <c r="Y677" s="4">
        <f t="shared" si="188"/>
        <v>9</v>
      </c>
      <c r="Z677" s="4">
        <f t="shared" si="189"/>
        <v>9</v>
      </c>
      <c r="AA677" s="102">
        <f t="shared" si="190"/>
        <v>39</v>
      </c>
      <c r="AC677" s="100">
        <f t="shared" si="191"/>
        <v>0.98246559222738894</v>
      </c>
    </row>
    <row r="678" spans="4:29" x14ac:dyDescent="0.35">
      <c r="D678">
        <f t="shared" si="192"/>
        <v>674</v>
      </c>
      <c r="E678" s="101">
        <v>6</v>
      </c>
      <c r="F678" s="4">
        <v>1</v>
      </c>
      <c r="G678" s="4">
        <v>3</v>
      </c>
      <c r="H678" s="4">
        <v>4</v>
      </c>
      <c r="I678" s="4">
        <v>7</v>
      </c>
      <c r="J678" s="4">
        <v>1</v>
      </c>
      <c r="K678" s="102">
        <v>3</v>
      </c>
      <c r="M678" s="101">
        <f t="shared" si="177"/>
        <v>45</v>
      </c>
      <c r="N678" s="4">
        <f t="shared" si="178"/>
        <v>34</v>
      </c>
      <c r="O678" s="4">
        <f t="shared" si="179"/>
        <v>23</v>
      </c>
      <c r="P678" s="4">
        <f t="shared" si="180"/>
        <v>12</v>
      </c>
      <c r="Q678" s="4">
        <f t="shared" si="181"/>
        <v>29</v>
      </c>
      <c r="R678" s="4">
        <f t="shared" si="182"/>
        <v>34</v>
      </c>
      <c r="S678" s="102">
        <f t="shared" si="183"/>
        <v>23</v>
      </c>
      <c r="U678" s="101">
        <f t="shared" si="184"/>
        <v>71</v>
      </c>
      <c r="V678" s="4">
        <f t="shared" si="185"/>
        <v>46</v>
      </c>
      <c r="W678" s="4">
        <f t="shared" si="186"/>
        <v>39</v>
      </c>
      <c r="X678" s="4">
        <f t="shared" si="187"/>
        <v>9</v>
      </c>
      <c r="Y678" s="4">
        <f t="shared" si="188"/>
        <v>41</v>
      </c>
      <c r="Z678" s="4">
        <f t="shared" si="189"/>
        <v>46</v>
      </c>
      <c r="AA678" s="102">
        <f t="shared" si="190"/>
        <v>39</v>
      </c>
      <c r="AC678" s="100">
        <f t="shared" si="191"/>
        <v>0.95793197502824601</v>
      </c>
    </row>
    <row r="679" spans="4:29" x14ac:dyDescent="0.35">
      <c r="D679">
        <f t="shared" si="192"/>
        <v>675</v>
      </c>
      <c r="E679" s="101">
        <v>6</v>
      </c>
      <c r="F679" s="4">
        <v>1</v>
      </c>
      <c r="G679" s="4">
        <v>6</v>
      </c>
      <c r="H679" s="4">
        <v>3</v>
      </c>
      <c r="I679" s="4">
        <v>1</v>
      </c>
      <c r="J679" s="4">
        <v>5</v>
      </c>
      <c r="K679" s="102">
        <v>4</v>
      </c>
      <c r="M679" s="101">
        <f t="shared" si="177"/>
        <v>45</v>
      </c>
      <c r="N679" s="4">
        <f t="shared" si="178"/>
        <v>34</v>
      </c>
      <c r="O679" s="4">
        <f t="shared" si="179"/>
        <v>45</v>
      </c>
      <c r="P679" s="4">
        <f t="shared" si="180"/>
        <v>23</v>
      </c>
      <c r="Q679" s="4">
        <f t="shared" si="181"/>
        <v>34</v>
      </c>
      <c r="R679" s="4">
        <f t="shared" si="182"/>
        <v>30</v>
      </c>
      <c r="S679" s="102">
        <f t="shared" si="183"/>
        <v>12</v>
      </c>
      <c r="U679" s="101">
        <f t="shared" si="184"/>
        <v>71</v>
      </c>
      <c r="V679" s="4">
        <f t="shared" si="185"/>
        <v>46</v>
      </c>
      <c r="W679" s="4">
        <f t="shared" si="186"/>
        <v>71</v>
      </c>
      <c r="X679" s="4">
        <f t="shared" si="187"/>
        <v>39</v>
      </c>
      <c r="Y679" s="4">
        <f t="shared" si="188"/>
        <v>46</v>
      </c>
      <c r="Z679" s="4">
        <f t="shared" si="189"/>
        <v>39</v>
      </c>
      <c r="AA679" s="102">
        <f t="shared" si="190"/>
        <v>9</v>
      </c>
      <c r="AC679" s="100">
        <f t="shared" si="191"/>
        <v>0.97631787239453738</v>
      </c>
    </row>
    <row r="680" spans="4:29" x14ac:dyDescent="0.35">
      <c r="D680">
        <f t="shared" si="192"/>
        <v>676</v>
      </c>
      <c r="E680" s="101">
        <v>5</v>
      </c>
      <c r="F680" s="4">
        <v>2</v>
      </c>
      <c r="G680" s="4">
        <v>3</v>
      </c>
      <c r="H680" s="4">
        <v>5</v>
      </c>
      <c r="I680" s="4">
        <v>6</v>
      </c>
      <c r="J680" s="4">
        <v>7</v>
      </c>
      <c r="K680" s="102">
        <v>6</v>
      </c>
      <c r="M680" s="101">
        <f t="shared" si="177"/>
        <v>30</v>
      </c>
      <c r="N680" s="4">
        <f t="shared" si="178"/>
        <v>56</v>
      </c>
      <c r="O680" s="4">
        <f t="shared" si="179"/>
        <v>23</v>
      </c>
      <c r="P680" s="4">
        <f t="shared" si="180"/>
        <v>30</v>
      </c>
      <c r="Q680" s="4">
        <f t="shared" si="181"/>
        <v>45</v>
      </c>
      <c r="R680" s="4">
        <f t="shared" si="182"/>
        <v>29</v>
      </c>
      <c r="S680" s="102">
        <f t="shared" si="183"/>
        <v>45</v>
      </c>
      <c r="U680" s="101">
        <f t="shared" si="184"/>
        <v>39</v>
      </c>
      <c r="V680" s="4">
        <f t="shared" si="185"/>
        <v>78</v>
      </c>
      <c r="W680" s="4">
        <f t="shared" si="186"/>
        <v>39</v>
      </c>
      <c r="X680" s="4">
        <f t="shared" si="187"/>
        <v>39</v>
      </c>
      <c r="Y680" s="4">
        <f t="shared" si="188"/>
        <v>71</v>
      </c>
      <c r="Z680" s="4">
        <f t="shared" si="189"/>
        <v>41</v>
      </c>
      <c r="AA680" s="102">
        <f t="shared" si="190"/>
        <v>71</v>
      </c>
      <c r="AC680" s="100">
        <f t="shared" si="191"/>
        <v>0.96250170932036694</v>
      </c>
    </row>
    <row r="681" spans="4:29" x14ac:dyDescent="0.35">
      <c r="D681">
        <f t="shared" si="192"/>
        <v>677</v>
      </c>
      <c r="E681" s="101">
        <v>4</v>
      </c>
      <c r="F681" s="4">
        <v>4</v>
      </c>
      <c r="G681" s="4">
        <v>7</v>
      </c>
      <c r="H681" s="4">
        <v>4</v>
      </c>
      <c r="I681" s="4">
        <v>3</v>
      </c>
      <c r="J681" s="4">
        <v>5</v>
      </c>
      <c r="K681" s="102">
        <v>3</v>
      </c>
      <c r="M681" s="101">
        <f t="shared" si="177"/>
        <v>12</v>
      </c>
      <c r="N681" s="4">
        <f t="shared" si="178"/>
        <v>12</v>
      </c>
      <c r="O681" s="4">
        <f t="shared" si="179"/>
        <v>29</v>
      </c>
      <c r="P681" s="4">
        <f t="shared" si="180"/>
        <v>12</v>
      </c>
      <c r="Q681" s="4">
        <f t="shared" si="181"/>
        <v>23</v>
      </c>
      <c r="R681" s="4">
        <f t="shared" si="182"/>
        <v>30</v>
      </c>
      <c r="S681" s="102">
        <f t="shared" si="183"/>
        <v>23</v>
      </c>
      <c r="U681" s="101">
        <f t="shared" si="184"/>
        <v>9</v>
      </c>
      <c r="V681" s="4">
        <f t="shared" si="185"/>
        <v>9</v>
      </c>
      <c r="W681" s="4">
        <f t="shared" si="186"/>
        <v>41</v>
      </c>
      <c r="X681" s="4">
        <f t="shared" si="187"/>
        <v>9</v>
      </c>
      <c r="Y681" s="4">
        <f t="shared" si="188"/>
        <v>39</v>
      </c>
      <c r="Z681" s="4">
        <f t="shared" si="189"/>
        <v>39</v>
      </c>
      <c r="AA681" s="102">
        <f t="shared" si="190"/>
        <v>39</v>
      </c>
      <c r="AC681" s="100">
        <f t="shared" si="191"/>
        <v>0.94980279384516353</v>
      </c>
    </row>
    <row r="682" spans="4:29" x14ac:dyDescent="0.35">
      <c r="D682">
        <f t="shared" si="192"/>
        <v>678</v>
      </c>
      <c r="E682" s="101">
        <v>3</v>
      </c>
      <c r="F682" s="4">
        <v>2</v>
      </c>
      <c r="G682" s="4">
        <v>6</v>
      </c>
      <c r="H682" s="4">
        <v>2</v>
      </c>
      <c r="I682" s="4">
        <v>2</v>
      </c>
      <c r="J682" s="4">
        <v>6</v>
      </c>
      <c r="K682" s="102">
        <v>1</v>
      </c>
      <c r="M682" s="101">
        <f t="shared" si="177"/>
        <v>23</v>
      </c>
      <c r="N682" s="4">
        <f t="shared" si="178"/>
        <v>56</v>
      </c>
      <c r="O682" s="4">
        <f t="shared" si="179"/>
        <v>45</v>
      </c>
      <c r="P682" s="4">
        <f t="shared" si="180"/>
        <v>56</v>
      </c>
      <c r="Q682" s="4">
        <f t="shared" si="181"/>
        <v>56</v>
      </c>
      <c r="R682" s="4">
        <f t="shared" si="182"/>
        <v>45</v>
      </c>
      <c r="S682" s="102">
        <f t="shared" si="183"/>
        <v>34</v>
      </c>
      <c r="U682" s="101">
        <f t="shared" si="184"/>
        <v>39</v>
      </c>
      <c r="V682" s="4">
        <f t="shared" si="185"/>
        <v>78</v>
      </c>
      <c r="W682" s="4">
        <f t="shared" si="186"/>
        <v>71</v>
      </c>
      <c r="X682" s="4">
        <f t="shared" si="187"/>
        <v>78</v>
      </c>
      <c r="Y682" s="4">
        <f t="shared" si="188"/>
        <v>78</v>
      </c>
      <c r="Z682" s="4">
        <f t="shared" si="189"/>
        <v>71</v>
      </c>
      <c r="AA682" s="102">
        <f t="shared" si="190"/>
        <v>46</v>
      </c>
      <c r="AC682" s="100">
        <f t="shared" si="191"/>
        <v>0.96898973878476491</v>
      </c>
    </row>
    <row r="683" spans="4:29" x14ac:dyDescent="0.35">
      <c r="D683">
        <f t="shared" si="192"/>
        <v>679</v>
      </c>
      <c r="E683" s="101">
        <v>5</v>
      </c>
      <c r="F683" s="4">
        <v>1</v>
      </c>
      <c r="G683" s="4">
        <v>6</v>
      </c>
      <c r="H683" s="4">
        <v>4</v>
      </c>
      <c r="I683" s="4">
        <v>7</v>
      </c>
      <c r="J683" s="4">
        <v>6</v>
      </c>
      <c r="K683" s="102">
        <v>7</v>
      </c>
      <c r="M683" s="101">
        <f t="shared" si="177"/>
        <v>30</v>
      </c>
      <c r="N683" s="4">
        <f t="shared" si="178"/>
        <v>34</v>
      </c>
      <c r="O683" s="4">
        <f t="shared" si="179"/>
        <v>45</v>
      </c>
      <c r="P683" s="4">
        <f t="shared" si="180"/>
        <v>12</v>
      </c>
      <c r="Q683" s="4">
        <f t="shared" si="181"/>
        <v>29</v>
      </c>
      <c r="R683" s="4">
        <f t="shared" si="182"/>
        <v>45</v>
      </c>
      <c r="S683" s="102">
        <f t="shared" si="183"/>
        <v>29</v>
      </c>
      <c r="U683" s="101">
        <f t="shared" si="184"/>
        <v>39</v>
      </c>
      <c r="V683" s="4">
        <f t="shared" si="185"/>
        <v>46</v>
      </c>
      <c r="W683" s="4">
        <f t="shared" si="186"/>
        <v>71</v>
      </c>
      <c r="X683" s="4">
        <f t="shared" si="187"/>
        <v>9</v>
      </c>
      <c r="Y683" s="4">
        <f t="shared" si="188"/>
        <v>41</v>
      </c>
      <c r="Z683" s="4">
        <f t="shared" si="189"/>
        <v>71</v>
      </c>
      <c r="AA683" s="102">
        <f t="shared" si="190"/>
        <v>41</v>
      </c>
      <c r="AC683" s="100">
        <f t="shared" si="191"/>
        <v>0.99554394118557743</v>
      </c>
    </row>
    <row r="684" spans="4:29" x14ac:dyDescent="0.35">
      <c r="D684">
        <f t="shared" si="192"/>
        <v>680</v>
      </c>
      <c r="E684" s="101">
        <v>4</v>
      </c>
      <c r="F684" s="4">
        <v>7</v>
      </c>
      <c r="G684" s="4">
        <v>1</v>
      </c>
      <c r="H684" s="4">
        <v>5</v>
      </c>
      <c r="I684" s="4">
        <v>4</v>
      </c>
      <c r="J684" s="4">
        <v>4</v>
      </c>
      <c r="K684" s="102">
        <v>6</v>
      </c>
      <c r="M684" s="101">
        <f t="shared" si="177"/>
        <v>12</v>
      </c>
      <c r="N684" s="4">
        <f t="shared" si="178"/>
        <v>29</v>
      </c>
      <c r="O684" s="4">
        <f t="shared" si="179"/>
        <v>34</v>
      </c>
      <c r="P684" s="4">
        <f t="shared" si="180"/>
        <v>30</v>
      </c>
      <c r="Q684" s="4">
        <f t="shared" si="181"/>
        <v>12</v>
      </c>
      <c r="R684" s="4">
        <f t="shared" si="182"/>
        <v>12</v>
      </c>
      <c r="S684" s="102">
        <f t="shared" si="183"/>
        <v>45</v>
      </c>
      <c r="U684" s="101">
        <f t="shared" si="184"/>
        <v>9</v>
      </c>
      <c r="V684" s="4">
        <f t="shared" si="185"/>
        <v>41</v>
      </c>
      <c r="W684" s="4">
        <f t="shared" si="186"/>
        <v>46</v>
      </c>
      <c r="X684" s="4">
        <f t="shared" si="187"/>
        <v>39</v>
      </c>
      <c r="Y684" s="4">
        <f t="shared" si="188"/>
        <v>9</v>
      </c>
      <c r="Z684" s="4">
        <f t="shared" si="189"/>
        <v>9</v>
      </c>
      <c r="AA684" s="102">
        <f t="shared" si="190"/>
        <v>71</v>
      </c>
      <c r="AC684" s="100">
        <f t="shared" si="191"/>
        <v>0.99699252603067701</v>
      </c>
    </row>
    <row r="685" spans="4:29" x14ac:dyDescent="0.35">
      <c r="D685">
        <f t="shared" si="192"/>
        <v>681</v>
      </c>
      <c r="E685" s="101">
        <v>1</v>
      </c>
      <c r="F685" s="4">
        <v>3</v>
      </c>
      <c r="G685" s="4">
        <v>1</v>
      </c>
      <c r="H685" s="4">
        <v>1</v>
      </c>
      <c r="I685" s="4">
        <v>1</v>
      </c>
      <c r="J685" s="4">
        <v>7</v>
      </c>
      <c r="K685" s="102">
        <v>4</v>
      </c>
      <c r="M685" s="101">
        <f t="shared" si="177"/>
        <v>34</v>
      </c>
      <c r="N685" s="4">
        <f t="shared" si="178"/>
        <v>23</v>
      </c>
      <c r="O685" s="4">
        <f t="shared" si="179"/>
        <v>34</v>
      </c>
      <c r="P685" s="4">
        <f t="shared" si="180"/>
        <v>34</v>
      </c>
      <c r="Q685" s="4">
        <f t="shared" si="181"/>
        <v>34</v>
      </c>
      <c r="R685" s="4">
        <f t="shared" si="182"/>
        <v>29</v>
      </c>
      <c r="S685" s="102">
        <f t="shared" si="183"/>
        <v>12</v>
      </c>
      <c r="U685" s="101">
        <f t="shared" si="184"/>
        <v>46</v>
      </c>
      <c r="V685" s="4">
        <f t="shared" si="185"/>
        <v>39</v>
      </c>
      <c r="W685" s="4">
        <f t="shared" si="186"/>
        <v>46</v>
      </c>
      <c r="X685" s="4">
        <f t="shared" si="187"/>
        <v>46</v>
      </c>
      <c r="Y685" s="4">
        <f t="shared" si="188"/>
        <v>46</v>
      </c>
      <c r="Z685" s="4">
        <f t="shared" si="189"/>
        <v>41</v>
      </c>
      <c r="AA685" s="102">
        <f t="shared" si="190"/>
        <v>9</v>
      </c>
      <c r="AC685" s="100">
        <f t="shared" si="191"/>
        <v>0.95209538648272374</v>
      </c>
    </row>
    <row r="686" spans="4:29" x14ac:dyDescent="0.35">
      <c r="D686">
        <f t="shared" si="192"/>
        <v>682</v>
      </c>
      <c r="E686" s="101">
        <v>3</v>
      </c>
      <c r="F686" s="4">
        <v>7</v>
      </c>
      <c r="G686" s="4">
        <v>6</v>
      </c>
      <c r="H686" s="4">
        <v>7</v>
      </c>
      <c r="I686" s="4">
        <v>5</v>
      </c>
      <c r="J686" s="4">
        <v>5</v>
      </c>
      <c r="K686" s="102">
        <v>6</v>
      </c>
      <c r="M686" s="101">
        <f t="shared" si="177"/>
        <v>23</v>
      </c>
      <c r="N686" s="4">
        <f t="shared" si="178"/>
        <v>29</v>
      </c>
      <c r="O686" s="4">
        <f t="shared" si="179"/>
        <v>45</v>
      </c>
      <c r="P686" s="4">
        <f t="shared" si="180"/>
        <v>29</v>
      </c>
      <c r="Q686" s="4">
        <f t="shared" si="181"/>
        <v>30</v>
      </c>
      <c r="R686" s="4">
        <f t="shared" si="182"/>
        <v>30</v>
      </c>
      <c r="S686" s="102">
        <f t="shared" si="183"/>
        <v>45</v>
      </c>
      <c r="U686" s="101">
        <f t="shared" si="184"/>
        <v>39</v>
      </c>
      <c r="V686" s="4">
        <f t="shared" si="185"/>
        <v>41</v>
      </c>
      <c r="W686" s="4">
        <f t="shared" si="186"/>
        <v>71</v>
      </c>
      <c r="X686" s="4">
        <f t="shared" si="187"/>
        <v>41</v>
      </c>
      <c r="Y686" s="4">
        <f t="shared" si="188"/>
        <v>39</v>
      </c>
      <c r="Z686" s="4">
        <f t="shared" si="189"/>
        <v>39</v>
      </c>
      <c r="AA686" s="102">
        <f t="shared" si="190"/>
        <v>71</v>
      </c>
      <c r="AC686" s="100">
        <f t="shared" si="191"/>
        <v>0.96189347758749444</v>
      </c>
    </row>
    <row r="687" spans="4:29" x14ac:dyDescent="0.35">
      <c r="D687">
        <f t="shared" si="192"/>
        <v>683</v>
      </c>
      <c r="E687" s="101">
        <v>3</v>
      </c>
      <c r="F687" s="4">
        <v>7</v>
      </c>
      <c r="G687" s="4">
        <v>3</v>
      </c>
      <c r="H687" s="4">
        <v>1</v>
      </c>
      <c r="I687" s="4">
        <v>2</v>
      </c>
      <c r="J687" s="4">
        <v>6</v>
      </c>
      <c r="K687" s="102">
        <v>5</v>
      </c>
      <c r="M687" s="101">
        <f t="shared" si="177"/>
        <v>23</v>
      </c>
      <c r="N687" s="4">
        <f t="shared" si="178"/>
        <v>29</v>
      </c>
      <c r="O687" s="4">
        <f t="shared" si="179"/>
        <v>23</v>
      </c>
      <c r="P687" s="4">
        <f t="shared" si="180"/>
        <v>34</v>
      </c>
      <c r="Q687" s="4">
        <f t="shared" si="181"/>
        <v>56</v>
      </c>
      <c r="R687" s="4">
        <f t="shared" si="182"/>
        <v>45</v>
      </c>
      <c r="S687" s="102">
        <f t="shared" si="183"/>
        <v>30</v>
      </c>
      <c r="U687" s="101">
        <f t="shared" si="184"/>
        <v>39</v>
      </c>
      <c r="V687" s="4">
        <f t="shared" si="185"/>
        <v>41</v>
      </c>
      <c r="W687" s="4">
        <f t="shared" si="186"/>
        <v>39</v>
      </c>
      <c r="X687" s="4">
        <f t="shared" si="187"/>
        <v>46</v>
      </c>
      <c r="Y687" s="4">
        <f t="shared" si="188"/>
        <v>78</v>
      </c>
      <c r="Z687" s="4">
        <f t="shared" si="189"/>
        <v>71</v>
      </c>
      <c r="AA687" s="102">
        <f t="shared" si="190"/>
        <v>39</v>
      </c>
      <c r="AC687" s="100">
        <f t="shared" si="191"/>
        <v>0.96300439634993629</v>
      </c>
    </row>
    <row r="688" spans="4:29" x14ac:dyDescent="0.35">
      <c r="D688">
        <f t="shared" si="192"/>
        <v>684</v>
      </c>
      <c r="E688" s="101">
        <v>1</v>
      </c>
      <c r="F688" s="4">
        <v>1</v>
      </c>
      <c r="G688" s="4">
        <v>6</v>
      </c>
      <c r="H688" s="4">
        <v>1</v>
      </c>
      <c r="I688" s="4">
        <v>2</v>
      </c>
      <c r="J688" s="4">
        <v>1</v>
      </c>
      <c r="K688" s="102">
        <v>6</v>
      </c>
      <c r="M688" s="101">
        <f t="shared" si="177"/>
        <v>34</v>
      </c>
      <c r="N688" s="4">
        <f t="shared" si="178"/>
        <v>34</v>
      </c>
      <c r="O688" s="4">
        <f t="shared" si="179"/>
        <v>45</v>
      </c>
      <c r="P688" s="4">
        <f t="shared" si="180"/>
        <v>34</v>
      </c>
      <c r="Q688" s="4">
        <f t="shared" si="181"/>
        <v>56</v>
      </c>
      <c r="R688" s="4">
        <f t="shared" si="182"/>
        <v>34</v>
      </c>
      <c r="S688" s="102">
        <f t="shared" si="183"/>
        <v>45</v>
      </c>
      <c r="U688" s="101">
        <f t="shared" si="184"/>
        <v>46</v>
      </c>
      <c r="V688" s="4">
        <f t="shared" si="185"/>
        <v>46</v>
      </c>
      <c r="W688" s="4">
        <f t="shared" si="186"/>
        <v>71</v>
      </c>
      <c r="X688" s="4">
        <f t="shared" si="187"/>
        <v>46</v>
      </c>
      <c r="Y688" s="4">
        <f t="shared" si="188"/>
        <v>78</v>
      </c>
      <c r="Z688" s="4">
        <f t="shared" si="189"/>
        <v>46</v>
      </c>
      <c r="AA688" s="102">
        <f t="shared" si="190"/>
        <v>71</v>
      </c>
      <c r="AC688" s="100">
        <f t="shared" si="191"/>
        <v>0.96129998213966439</v>
      </c>
    </row>
    <row r="689" spans="4:29" x14ac:dyDescent="0.35">
      <c r="D689">
        <f t="shared" si="192"/>
        <v>685</v>
      </c>
      <c r="E689" s="101">
        <v>7</v>
      </c>
      <c r="F689" s="4">
        <v>5</v>
      </c>
      <c r="G689" s="4">
        <v>5</v>
      </c>
      <c r="H689" s="4">
        <v>4</v>
      </c>
      <c r="I689" s="4">
        <v>2</v>
      </c>
      <c r="J689" s="4">
        <v>1</v>
      </c>
      <c r="K689" s="102">
        <v>3</v>
      </c>
      <c r="M689" s="101">
        <f t="shared" si="177"/>
        <v>29</v>
      </c>
      <c r="N689" s="4">
        <f t="shared" si="178"/>
        <v>30</v>
      </c>
      <c r="O689" s="4">
        <f t="shared" si="179"/>
        <v>30</v>
      </c>
      <c r="P689" s="4">
        <f t="shared" si="180"/>
        <v>12</v>
      </c>
      <c r="Q689" s="4">
        <f t="shared" si="181"/>
        <v>56</v>
      </c>
      <c r="R689" s="4">
        <f t="shared" si="182"/>
        <v>34</v>
      </c>
      <c r="S689" s="102">
        <f t="shared" si="183"/>
        <v>23</v>
      </c>
      <c r="U689" s="101">
        <f t="shared" si="184"/>
        <v>41</v>
      </c>
      <c r="V689" s="4">
        <f t="shared" si="185"/>
        <v>39</v>
      </c>
      <c r="W689" s="4">
        <f t="shared" si="186"/>
        <v>39</v>
      </c>
      <c r="X689" s="4">
        <f t="shared" si="187"/>
        <v>9</v>
      </c>
      <c r="Y689" s="4">
        <f t="shared" si="188"/>
        <v>78</v>
      </c>
      <c r="Z689" s="4">
        <f t="shared" si="189"/>
        <v>46</v>
      </c>
      <c r="AA689" s="102">
        <f t="shared" si="190"/>
        <v>39</v>
      </c>
      <c r="AC689" s="100">
        <f t="shared" si="191"/>
        <v>0.97680827001719739</v>
      </c>
    </row>
    <row r="690" spans="4:29" x14ac:dyDescent="0.35">
      <c r="D690">
        <f t="shared" si="192"/>
        <v>686</v>
      </c>
      <c r="E690" s="101">
        <v>3</v>
      </c>
      <c r="F690" s="4">
        <v>7</v>
      </c>
      <c r="G690" s="4">
        <v>3</v>
      </c>
      <c r="H690" s="4">
        <v>7</v>
      </c>
      <c r="I690" s="4">
        <v>6</v>
      </c>
      <c r="J690" s="4">
        <v>4</v>
      </c>
      <c r="K690" s="102">
        <v>1</v>
      </c>
      <c r="M690" s="101">
        <f t="shared" si="177"/>
        <v>23</v>
      </c>
      <c r="N690" s="4">
        <f t="shared" si="178"/>
        <v>29</v>
      </c>
      <c r="O690" s="4">
        <f t="shared" si="179"/>
        <v>23</v>
      </c>
      <c r="P690" s="4">
        <f t="shared" si="180"/>
        <v>29</v>
      </c>
      <c r="Q690" s="4">
        <f t="shared" si="181"/>
        <v>45</v>
      </c>
      <c r="R690" s="4">
        <f t="shared" si="182"/>
        <v>12</v>
      </c>
      <c r="S690" s="102">
        <f t="shared" si="183"/>
        <v>34</v>
      </c>
      <c r="U690" s="101">
        <f t="shared" si="184"/>
        <v>39</v>
      </c>
      <c r="V690" s="4">
        <f t="shared" si="185"/>
        <v>41</v>
      </c>
      <c r="W690" s="4">
        <f t="shared" si="186"/>
        <v>39</v>
      </c>
      <c r="X690" s="4">
        <f t="shared" si="187"/>
        <v>41</v>
      </c>
      <c r="Y690" s="4">
        <f t="shared" si="188"/>
        <v>71</v>
      </c>
      <c r="Z690" s="4">
        <f t="shared" si="189"/>
        <v>9</v>
      </c>
      <c r="AA690" s="102">
        <f t="shared" si="190"/>
        <v>46</v>
      </c>
      <c r="AC690" s="100">
        <f t="shared" si="191"/>
        <v>0.96317344934838289</v>
      </c>
    </row>
    <row r="691" spans="4:29" x14ac:dyDescent="0.35">
      <c r="D691">
        <f t="shared" si="192"/>
        <v>687</v>
      </c>
      <c r="E691" s="101">
        <v>3</v>
      </c>
      <c r="F691" s="4">
        <v>6</v>
      </c>
      <c r="G691" s="4">
        <v>5</v>
      </c>
      <c r="H691" s="4">
        <v>1</v>
      </c>
      <c r="I691" s="4">
        <v>7</v>
      </c>
      <c r="J691" s="4">
        <v>1</v>
      </c>
      <c r="K691" s="102">
        <v>5</v>
      </c>
      <c r="M691" s="101">
        <f t="shared" si="177"/>
        <v>23</v>
      </c>
      <c r="N691" s="4">
        <f t="shared" si="178"/>
        <v>45</v>
      </c>
      <c r="O691" s="4">
        <f t="shared" si="179"/>
        <v>30</v>
      </c>
      <c r="P691" s="4">
        <f t="shared" si="180"/>
        <v>34</v>
      </c>
      <c r="Q691" s="4">
        <f t="shared" si="181"/>
        <v>29</v>
      </c>
      <c r="R691" s="4">
        <f t="shared" si="182"/>
        <v>34</v>
      </c>
      <c r="S691" s="102">
        <f t="shared" si="183"/>
        <v>30</v>
      </c>
      <c r="U691" s="101">
        <f t="shared" si="184"/>
        <v>39</v>
      </c>
      <c r="V691" s="4">
        <f t="shared" si="185"/>
        <v>71</v>
      </c>
      <c r="W691" s="4">
        <f t="shared" si="186"/>
        <v>39</v>
      </c>
      <c r="X691" s="4">
        <f t="shared" si="187"/>
        <v>46</v>
      </c>
      <c r="Y691" s="4">
        <f t="shared" si="188"/>
        <v>41</v>
      </c>
      <c r="Z691" s="4">
        <f t="shared" si="189"/>
        <v>46</v>
      </c>
      <c r="AA691" s="102">
        <f t="shared" si="190"/>
        <v>39</v>
      </c>
      <c r="AC691" s="100">
        <f t="shared" si="191"/>
        <v>0.92124988493573623</v>
      </c>
    </row>
    <row r="692" spans="4:29" x14ac:dyDescent="0.35">
      <c r="D692">
        <f t="shared" si="192"/>
        <v>688</v>
      </c>
      <c r="E692" s="101">
        <v>5</v>
      </c>
      <c r="F692" s="4">
        <v>1</v>
      </c>
      <c r="G692" s="4">
        <v>2</v>
      </c>
      <c r="H692" s="4">
        <v>6</v>
      </c>
      <c r="I692" s="4">
        <v>6</v>
      </c>
      <c r="J692" s="4">
        <v>5</v>
      </c>
      <c r="K692" s="102">
        <v>6</v>
      </c>
      <c r="M692" s="101">
        <f t="shared" si="177"/>
        <v>30</v>
      </c>
      <c r="N692" s="4">
        <f t="shared" si="178"/>
        <v>34</v>
      </c>
      <c r="O692" s="4">
        <f t="shared" si="179"/>
        <v>56</v>
      </c>
      <c r="P692" s="4">
        <f t="shared" si="180"/>
        <v>45</v>
      </c>
      <c r="Q692" s="4">
        <f t="shared" si="181"/>
        <v>45</v>
      </c>
      <c r="R692" s="4">
        <f t="shared" si="182"/>
        <v>30</v>
      </c>
      <c r="S692" s="102">
        <f t="shared" si="183"/>
        <v>45</v>
      </c>
      <c r="U692" s="101">
        <f t="shared" si="184"/>
        <v>39</v>
      </c>
      <c r="V692" s="4">
        <f t="shared" si="185"/>
        <v>46</v>
      </c>
      <c r="W692" s="4">
        <f t="shared" si="186"/>
        <v>78</v>
      </c>
      <c r="X692" s="4">
        <f t="shared" si="187"/>
        <v>71</v>
      </c>
      <c r="Y692" s="4">
        <f t="shared" si="188"/>
        <v>71</v>
      </c>
      <c r="Z692" s="4">
        <f t="shared" si="189"/>
        <v>39</v>
      </c>
      <c r="AA692" s="102">
        <f t="shared" si="190"/>
        <v>71</v>
      </c>
      <c r="AC692" s="100">
        <f t="shared" si="191"/>
        <v>0.96422350323868289</v>
      </c>
    </row>
    <row r="693" spans="4:29" x14ac:dyDescent="0.35">
      <c r="D693">
        <f t="shared" si="192"/>
        <v>689</v>
      </c>
      <c r="E693" s="101">
        <v>2</v>
      </c>
      <c r="F693" s="4">
        <v>6</v>
      </c>
      <c r="G693" s="4">
        <v>5</v>
      </c>
      <c r="H693" s="4">
        <v>5</v>
      </c>
      <c r="I693" s="4">
        <v>4</v>
      </c>
      <c r="J693" s="4">
        <v>4</v>
      </c>
      <c r="K693" s="102">
        <v>6</v>
      </c>
      <c r="M693" s="101">
        <f t="shared" si="177"/>
        <v>56</v>
      </c>
      <c r="N693" s="4">
        <f t="shared" si="178"/>
        <v>45</v>
      </c>
      <c r="O693" s="4">
        <f t="shared" si="179"/>
        <v>30</v>
      </c>
      <c r="P693" s="4">
        <f t="shared" si="180"/>
        <v>30</v>
      </c>
      <c r="Q693" s="4">
        <f t="shared" si="181"/>
        <v>12</v>
      </c>
      <c r="R693" s="4">
        <f t="shared" si="182"/>
        <v>12</v>
      </c>
      <c r="S693" s="102">
        <f t="shared" si="183"/>
        <v>45</v>
      </c>
      <c r="U693" s="101">
        <f t="shared" si="184"/>
        <v>78</v>
      </c>
      <c r="V693" s="4">
        <f t="shared" si="185"/>
        <v>71</v>
      </c>
      <c r="W693" s="4">
        <f t="shared" si="186"/>
        <v>39</v>
      </c>
      <c r="X693" s="4">
        <f t="shared" si="187"/>
        <v>39</v>
      </c>
      <c r="Y693" s="4">
        <f t="shared" si="188"/>
        <v>9</v>
      </c>
      <c r="Z693" s="4">
        <f t="shared" si="189"/>
        <v>9</v>
      </c>
      <c r="AA693" s="102">
        <f t="shared" si="190"/>
        <v>71</v>
      </c>
      <c r="AC693" s="100">
        <f t="shared" si="191"/>
        <v>0.9900978309980617</v>
      </c>
    </row>
    <row r="694" spans="4:29" x14ac:dyDescent="0.35">
      <c r="D694">
        <f t="shared" si="192"/>
        <v>690</v>
      </c>
      <c r="E694" s="101">
        <v>3</v>
      </c>
      <c r="F694" s="4">
        <v>1</v>
      </c>
      <c r="G694" s="4">
        <v>7</v>
      </c>
      <c r="H694" s="4">
        <v>7</v>
      </c>
      <c r="I694" s="4">
        <v>2</v>
      </c>
      <c r="J694" s="4">
        <v>1</v>
      </c>
      <c r="K694" s="102">
        <v>4</v>
      </c>
      <c r="M694" s="101">
        <f t="shared" si="177"/>
        <v>23</v>
      </c>
      <c r="N694" s="4">
        <f t="shared" si="178"/>
        <v>34</v>
      </c>
      <c r="O694" s="4">
        <f t="shared" si="179"/>
        <v>29</v>
      </c>
      <c r="P694" s="4">
        <f t="shared" si="180"/>
        <v>29</v>
      </c>
      <c r="Q694" s="4">
        <f t="shared" si="181"/>
        <v>56</v>
      </c>
      <c r="R694" s="4">
        <f t="shared" si="182"/>
        <v>34</v>
      </c>
      <c r="S694" s="102">
        <f t="shared" si="183"/>
        <v>12</v>
      </c>
      <c r="U694" s="101">
        <f t="shared" si="184"/>
        <v>39</v>
      </c>
      <c r="V694" s="4">
        <f t="shared" si="185"/>
        <v>46</v>
      </c>
      <c r="W694" s="4">
        <f t="shared" si="186"/>
        <v>41</v>
      </c>
      <c r="X694" s="4">
        <f t="shared" si="187"/>
        <v>41</v>
      </c>
      <c r="Y694" s="4">
        <f t="shared" si="188"/>
        <v>78</v>
      </c>
      <c r="Z694" s="4">
        <f t="shared" si="189"/>
        <v>46</v>
      </c>
      <c r="AA694" s="102">
        <f t="shared" si="190"/>
        <v>9</v>
      </c>
      <c r="AC694" s="100">
        <f t="shared" si="191"/>
        <v>0.97793973035462378</v>
      </c>
    </row>
    <row r="695" spans="4:29" x14ac:dyDescent="0.35">
      <c r="D695">
        <f t="shared" si="192"/>
        <v>691</v>
      </c>
      <c r="E695" s="101">
        <v>3</v>
      </c>
      <c r="F695" s="4">
        <v>3</v>
      </c>
      <c r="G695" s="4">
        <v>5</v>
      </c>
      <c r="H695" s="4">
        <v>6</v>
      </c>
      <c r="I695" s="4">
        <v>3</v>
      </c>
      <c r="J695" s="4">
        <v>6</v>
      </c>
      <c r="K695" s="102">
        <v>3</v>
      </c>
      <c r="M695" s="101">
        <f t="shared" si="177"/>
        <v>23</v>
      </c>
      <c r="N695" s="4">
        <f t="shared" si="178"/>
        <v>23</v>
      </c>
      <c r="O695" s="4">
        <f t="shared" si="179"/>
        <v>30</v>
      </c>
      <c r="P695" s="4">
        <f t="shared" si="180"/>
        <v>45</v>
      </c>
      <c r="Q695" s="4">
        <f t="shared" si="181"/>
        <v>23</v>
      </c>
      <c r="R695" s="4">
        <f t="shared" si="182"/>
        <v>45</v>
      </c>
      <c r="S695" s="102">
        <f t="shared" si="183"/>
        <v>23</v>
      </c>
      <c r="U695" s="101">
        <f t="shared" si="184"/>
        <v>39</v>
      </c>
      <c r="V695" s="4">
        <f t="shared" si="185"/>
        <v>39</v>
      </c>
      <c r="W695" s="4">
        <f t="shared" si="186"/>
        <v>39</v>
      </c>
      <c r="X695" s="4">
        <f t="shared" si="187"/>
        <v>71</v>
      </c>
      <c r="Y695" s="4">
        <f t="shared" si="188"/>
        <v>39</v>
      </c>
      <c r="Z695" s="4">
        <f t="shared" si="189"/>
        <v>71</v>
      </c>
      <c r="AA695" s="102">
        <f t="shared" si="190"/>
        <v>39</v>
      </c>
      <c r="AC695" s="100">
        <f t="shared" si="191"/>
        <v>0.96915693340960962</v>
      </c>
    </row>
    <row r="696" spans="4:29" x14ac:dyDescent="0.35">
      <c r="D696">
        <f t="shared" si="192"/>
        <v>692</v>
      </c>
      <c r="E696" s="101">
        <v>5</v>
      </c>
      <c r="F696" s="4">
        <v>5</v>
      </c>
      <c r="G696" s="4">
        <v>3</v>
      </c>
      <c r="H696" s="4">
        <v>4</v>
      </c>
      <c r="I696" s="4">
        <v>7</v>
      </c>
      <c r="J696" s="4">
        <v>2</v>
      </c>
      <c r="K696" s="102">
        <v>7</v>
      </c>
      <c r="M696" s="101">
        <f t="shared" si="177"/>
        <v>30</v>
      </c>
      <c r="N696" s="4">
        <f t="shared" si="178"/>
        <v>30</v>
      </c>
      <c r="O696" s="4">
        <f t="shared" si="179"/>
        <v>23</v>
      </c>
      <c r="P696" s="4">
        <f t="shared" si="180"/>
        <v>12</v>
      </c>
      <c r="Q696" s="4">
        <f t="shared" si="181"/>
        <v>29</v>
      </c>
      <c r="R696" s="4">
        <f t="shared" si="182"/>
        <v>56</v>
      </c>
      <c r="S696" s="102">
        <f t="shared" si="183"/>
        <v>29</v>
      </c>
      <c r="U696" s="101">
        <f t="shared" si="184"/>
        <v>39</v>
      </c>
      <c r="V696" s="4">
        <f t="shared" si="185"/>
        <v>39</v>
      </c>
      <c r="W696" s="4">
        <f t="shared" si="186"/>
        <v>39</v>
      </c>
      <c r="X696" s="4">
        <f t="shared" si="187"/>
        <v>9</v>
      </c>
      <c r="Y696" s="4">
        <f t="shared" si="188"/>
        <v>41</v>
      </c>
      <c r="Z696" s="4">
        <f t="shared" si="189"/>
        <v>78</v>
      </c>
      <c r="AA696" s="102">
        <f t="shared" si="190"/>
        <v>41</v>
      </c>
      <c r="AC696" s="100">
        <f t="shared" si="191"/>
        <v>0.97619203054558834</v>
      </c>
    </row>
    <row r="697" spans="4:29" x14ac:dyDescent="0.35">
      <c r="D697">
        <f t="shared" si="192"/>
        <v>693</v>
      </c>
      <c r="E697" s="101">
        <v>6</v>
      </c>
      <c r="F697" s="4">
        <v>6</v>
      </c>
      <c r="G697" s="4">
        <v>2</v>
      </c>
      <c r="H697" s="4">
        <v>2</v>
      </c>
      <c r="I697" s="4">
        <v>1</v>
      </c>
      <c r="J697" s="4">
        <v>7</v>
      </c>
      <c r="K697" s="102">
        <v>7</v>
      </c>
      <c r="M697" s="101">
        <f t="shared" si="177"/>
        <v>45</v>
      </c>
      <c r="N697" s="4">
        <f t="shared" si="178"/>
        <v>45</v>
      </c>
      <c r="O697" s="4">
        <f t="shared" si="179"/>
        <v>56</v>
      </c>
      <c r="P697" s="4">
        <f t="shared" si="180"/>
        <v>56</v>
      </c>
      <c r="Q697" s="4">
        <f t="shared" si="181"/>
        <v>34</v>
      </c>
      <c r="R697" s="4">
        <f t="shared" si="182"/>
        <v>29</v>
      </c>
      <c r="S697" s="102">
        <f t="shared" si="183"/>
        <v>29</v>
      </c>
      <c r="U697" s="101">
        <f t="shared" si="184"/>
        <v>71</v>
      </c>
      <c r="V697" s="4">
        <f t="shared" si="185"/>
        <v>71</v>
      </c>
      <c r="W697" s="4">
        <f t="shared" si="186"/>
        <v>78</v>
      </c>
      <c r="X697" s="4">
        <f t="shared" si="187"/>
        <v>78</v>
      </c>
      <c r="Y697" s="4">
        <f t="shared" si="188"/>
        <v>46</v>
      </c>
      <c r="Z697" s="4">
        <f t="shared" si="189"/>
        <v>41</v>
      </c>
      <c r="AA697" s="102">
        <f t="shared" si="190"/>
        <v>41</v>
      </c>
      <c r="AC697" s="100">
        <f t="shared" si="191"/>
        <v>0.97196057587639917</v>
      </c>
    </row>
    <row r="698" spans="4:29" x14ac:dyDescent="0.35">
      <c r="D698">
        <f t="shared" si="192"/>
        <v>694</v>
      </c>
      <c r="E698" s="101">
        <v>5</v>
      </c>
      <c r="F698" s="4">
        <v>3</v>
      </c>
      <c r="G698" s="4">
        <v>1</v>
      </c>
      <c r="H698" s="4">
        <v>4</v>
      </c>
      <c r="I698" s="4">
        <v>1</v>
      </c>
      <c r="J698" s="4">
        <v>3</v>
      </c>
      <c r="K698" s="102">
        <v>7</v>
      </c>
      <c r="M698" s="101">
        <f t="shared" si="177"/>
        <v>30</v>
      </c>
      <c r="N698" s="4">
        <f t="shared" si="178"/>
        <v>23</v>
      </c>
      <c r="O698" s="4">
        <f t="shared" si="179"/>
        <v>34</v>
      </c>
      <c r="P698" s="4">
        <f t="shared" si="180"/>
        <v>12</v>
      </c>
      <c r="Q698" s="4">
        <f t="shared" si="181"/>
        <v>34</v>
      </c>
      <c r="R698" s="4">
        <f t="shared" si="182"/>
        <v>23</v>
      </c>
      <c r="S698" s="102">
        <f t="shared" si="183"/>
        <v>29</v>
      </c>
      <c r="U698" s="101">
        <f t="shared" si="184"/>
        <v>39</v>
      </c>
      <c r="V698" s="4">
        <f t="shared" si="185"/>
        <v>39</v>
      </c>
      <c r="W698" s="4">
        <f t="shared" si="186"/>
        <v>46</v>
      </c>
      <c r="X698" s="4">
        <f t="shared" si="187"/>
        <v>9</v>
      </c>
      <c r="Y698" s="4">
        <f t="shared" si="188"/>
        <v>46</v>
      </c>
      <c r="Z698" s="4">
        <f t="shared" si="189"/>
        <v>39</v>
      </c>
      <c r="AA698" s="102">
        <f t="shared" si="190"/>
        <v>41</v>
      </c>
      <c r="AC698" s="100">
        <f t="shared" si="191"/>
        <v>0.91148275976851911</v>
      </c>
    </row>
    <row r="699" spans="4:29" x14ac:dyDescent="0.35">
      <c r="D699">
        <f t="shared" si="192"/>
        <v>695</v>
      </c>
      <c r="E699" s="101">
        <v>5</v>
      </c>
      <c r="F699" s="4">
        <v>7</v>
      </c>
      <c r="G699" s="4">
        <v>4</v>
      </c>
      <c r="H699" s="4">
        <v>4</v>
      </c>
      <c r="I699" s="4">
        <v>5</v>
      </c>
      <c r="J699" s="4">
        <v>6</v>
      </c>
      <c r="K699" s="102">
        <v>2</v>
      </c>
      <c r="M699" s="101">
        <f t="shared" si="177"/>
        <v>30</v>
      </c>
      <c r="N699" s="4">
        <f t="shared" si="178"/>
        <v>29</v>
      </c>
      <c r="O699" s="4">
        <f t="shared" si="179"/>
        <v>12</v>
      </c>
      <c r="P699" s="4">
        <f t="shared" si="180"/>
        <v>12</v>
      </c>
      <c r="Q699" s="4">
        <f t="shared" si="181"/>
        <v>30</v>
      </c>
      <c r="R699" s="4">
        <f t="shared" si="182"/>
        <v>45</v>
      </c>
      <c r="S699" s="102">
        <f t="shared" si="183"/>
        <v>56</v>
      </c>
      <c r="U699" s="101">
        <f t="shared" si="184"/>
        <v>39</v>
      </c>
      <c r="V699" s="4">
        <f t="shared" si="185"/>
        <v>41</v>
      </c>
      <c r="W699" s="4">
        <f t="shared" si="186"/>
        <v>9</v>
      </c>
      <c r="X699" s="4">
        <f t="shared" si="187"/>
        <v>9</v>
      </c>
      <c r="Y699" s="4">
        <f t="shared" si="188"/>
        <v>39</v>
      </c>
      <c r="Z699" s="4">
        <f t="shared" si="189"/>
        <v>71</v>
      </c>
      <c r="AA699" s="102">
        <f t="shared" si="190"/>
        <v>78</v>
      </c>
      <c r="AC699" s="100">
        <f t="shared" si="191"/>
        <v>0.99125073113172268</v>
      </c>
    </row>
    <row r="700" spans="4:29" x14ac:dyDescent="0.35">
      <c r="D700">
        <f t="shared" si="192"/>
        <v>696</v>
      </c>
      <c r="E700" s="101">
        <v>2</v>
      </c>
      <c r="F700" s="4">
        <v>3</v>
      </c>
      <c r="G700" s="4">
        <v>4</v>
      </c>
      <c r="H700" s="4">
        <v>5</v>
      </c>
      <c r="I700" s="4">
        <v>5</v>
      </c>
      <c r="J700" s="4">
        <v>5</v>
      </c>
      <c r="K700" s="102">
        <v>6</v>
      </c>
      <c r="M700" s="101">
        <f t="shared" si="177"/>
        <v>56</v>
      </c>
      <c r="N700" s="4">
        <f t="shared" si="178"/>
        <v>23</v>
      </c>
      <c r="O700" s="4">
        <f t="shared" si="179"/>
        <v>12</v>
      </c>
      <c r="P700" s="4">
        <f t="shared" si="180"/>
        <v>30</v>
      </c>
      <c r="Q700" s="4">
        <f t="shared" si="181"/>
        <v>30</v>
      </c>
      <c r="R700" s="4">
        <f t="shared" si="182"/>
        <v>30</v>
      </c>
      <c r="S700" s="102">
        <f t="shared" si="183"/>
        <v>45</v>
      </c>
      <c r="U700" s="101">
        <f t="shared" si="184"/>
        <v>78</v>
      </c>
      <c r="V700" s="4">
        <f t="shared" si="185"/>
        <v>39</v>
      </c>
      <c r="W700" s="4">
        <f t="shared" si="186"/>
        <v>9</v>
      </c>
      <c r="X700" s="4">
        <f t="shared" si="187"/>
        <v>39</v>
      </c>
      <c r="Y700" s="4">
        <f t="shared" si="188"/>
        <v>39</v>
      </c>
      <c r="Z700" s="4">
        <f t="shared" si="189"/>
        <v>39</v>
      </c>
      <c r="AA700" s="102">
        <f t="shared" si="190"/>
        <v>71</v>
      </c>
      <c r="AC700" s="100">
        <f t="shared" si="191"/>
        <v>0.9743192399207431</v>
      </c>
    </row>
    <row r="701" spans="4:29" x14ac:dyDescent="0.35">
      <c r="D701">
        <f t="shared" si="192"/>
        <v>697</v>
      </c>
      <c r="E701" s="101">
        <v>2</v>
      </c>
      <c r="F701" s="4">
        <v>5</v>
      </c>
      <c r="G701" s="4">
        <v>1</v>
      </c>
      <c r="H701" s="4">
        <v>5</v>
      </c>
      <c r="I701" s="4">
        <v>7</v>
      </c>
      <c r="J701" s="4">
        <v>7</v>
      </c>
      <c r="K701" s="102">
        <v>7</v>
      </c>
      <c r="M701" s="101">
        <f t="shared" si="177"/>
        <v>56</v>
      </c>
      <c r="N701" s="4">
        <f t="shared" si="178"/>
        <v>30</v>
      </c>
      <c r="O701" s="4">
        <f t="shared" si="179"/>
        <v>34</v>
      </c>
      <c r="P701" s="4">
        <f t="shared" si="180"/>
        <v>30</v>
      </c>
      <c r="Q701" s="4">
        <f t="shared" si="181"/>
        <v>29</v>
      </c>
      <c r="R701" s="4">
        <f t="shared" si="182"/>
        <v>29</v>
      </c>
      <c r="S701" s="102">
        <f t="shared" si="183"/>
        <v>29</v>
      </c>
      <c r="U701" s="101">
        <f t="shared" si="184"/>
        <v>78</v>
      </c>
      <c r="V701" s="4">
        <f t="shared" si="185"/>
        <v>39</v>
      </c>
      <c r="W701" s="4">
        <f t="shared" si="186"/>
        <v>46</v>
      </c>
      <c r="X701" s="4">
        <f t="shared" si="187"/>
        <v>39</v>
      </c>
      <c r="Y701" s="4">
        <f t="shared" si="188"/>
        <v>41</v>
      </c>
      <c r="Z701" s="4">
        <f t="shared" si="189"/>
        <v>41</v>
      </c>
      <c r="AA701" s="102">
        <f t="shared" si="190"/>
        <v>41</v>
      </c>
      <c r="AC701" s="100">
        <f t="shared" si="191"/>
        <v>0.99392672891643052</v>
      </c>
    </row>
    <row r="702" spans="4:29" x14ac:dyDescent="0.35">
      <c r="D702">
        <f t="shared" si="192"/>
        <v>698</v>
      </c>
      <c r="E702" s="101">
        <v>4</v>
      </c>
      <c r="F702" s="4">
        <v>7</v>
      </c>
      <c r="G702" s="4">
        <v>2</v>
      </c>
      <c r="H702" s="4">
        <v>2</v>
      </c>
      <c r="I702" s="4">
        <v>7</v>
      </c>
      <c r="J702" s="4">
        <v>6</v>
      </c>
      <c r="K702" s="102">
        <v>7</v>
      </c>
      <c r="M702" s="101">
        <f t="shared" si="177"/>
        <v>12</v>
      </c>
      <c r="N702" s="4">
        <f t="shared" si="178"/>
        <v>29</v>
      </c>
      <c r="O702" s="4">
        <f t="shared" si="179"/>
        <v>56</v>
      </c>
      <c r="P702" s="4">
        <f t="shared" si="180"/>
        <v>56</v>
      </c>
      <c r="Q702" s="4">
        <f t="shared" si="181"/>
        <v>29</v>
      </c>
      <c r="R702" s="4">
        <f t="shared" si="182"/>
        <v>45</v>
      </c>
      <c r="S702" s="102">
        <f t="shared" si="183"/>
        <v>29</v>
      </c>
      <c r="U702" s="101">
        <f t="shared" si="184"/>
        <v>9</v>
      </c>
      <c r="V702" s="4">
        <f t="shared" si="185"/>
        <v>41</v>
      </c>
      <c r="W702" s="4">
        <f t="shared" si="186"/>
        <v>78</v>
      </c>
      <c r="X702" s="4">
        <f t="shared" si="187"/>
        <v>78</v>
      </c>
      <c r="Y702" s="4">
        <f t="shared" si="188"/>
        <v>41</v>
      </c>
      <c r="Z702" s="4">
        <f t="shared" si="189"/>
        <v>71</v>
      </c>
      <c r="AA702" s="102">
        <f t="shared" si="190"/>
        <v>41</v>
      </c>
      <c r="AC702" s="100">
        <f t="shared" si="191"/>
        <v>0.9882942752072037</v>
      </c>
    </row>
    <row r="703" spans="4:29" x14ac:dyDescent="0.35">
      <c r="D703">
        <f t="shared" si="192"/>
        <v>699</v>
      </c>
      <c r="E703" s="101">
        <v>2</v>
      </c>
      <c r="F703" s="4">
        <v>4</v>
      </c>
      <c r="G703" s="4">
        <v>4</v>
      </c>
      <c r="H703" s="4">
        <v>2</v>
      </c>
      <c r="I703" s="4">
        <v>5</v>
      </c>
      <c r="J703" s="4">
        <v>2</v>
      </c>
      <c r="K703" s="102">
        <v>1</v>
      </c>
      <c r="M703" s="101">
        <f t="shared" si="177"/>
        <v>56</v>
      </c>
      <c r="N703" s="4">
        <f t="shared" si="178"/>
        <v>12</v>
      </c>
      <c r="O703" s="4">
        <f t="shared" si="179"/>
        <v>12</v>
      </c>
      <c r="P703" s="4">
        <f t="shared" si="180"/>
        <v>56</v>
      </c>
      <c r="Q703" s="4">
        <f t="shared" si="181"/>
        <v>30</v>
      </c>
      <c r="R703" s="4">
        <f t="shared" si="182"/>
        <v>56</v>
      </c>
      <c r="S703" s="102">
        <f t="shared" si="183"/>
        <v>34</v>
      </c>
      <c r="U703" s="101">
        <f t="shared" si="184"/>
        <v>78</v>
      </c>
      <c r="V703" s="4">
        <f t="shared" si="185"/>
        <v>9</v>
      </c>
      <c r="W703" s="4">
        <f t="shared" si="186"/>
        <v>9</v>
      </c>
      <c r="X703" s="4">
        <f t="shared" si="187"/>
        <v>78</v>
      </c>
      <c r="Y703" s="4">
        <f t="shared" si="188"/>
        <v>39</v>
      </c>
      <c r="Z703" s="4">
        <f t="shared" si="189"/>
        <v>78</v>
      </c>
      <c r="AA703" s="102">
        <f t="shared" si="190"/>
        <v>46</v>
      </c>
      <c r="AC703" s="100">
        <f t="shared" si="191"/>
        <v>0.99942939450970969</v>
      </c>
    </row>
    <row r="704" spans="4:29" x14ac:dyDescent="0.35">
      <c r="D704">
        <f t="shared" si="192"/>
        <v>700</v>
      </c>
      <c r="E704" s="101">
        <v>6</v>
      </c>
      <c r="F704" s="4">
        <v>6</v>
      </c>
      <c r="G704" s="4">
        <v>7</v>
      </c>
      <c r="H704" s="4">
        <v>5</v>
      </c>
      <c r="I704" s="4">
        <v>6</v>
      </c>
      <c r="J704" s="4">
        <v>6</v>
      </c>
      <c r="K704" s="102">
        <v>5</v>
      </c>
      <c r="M704" s="101">
        <f t="shared" si="177"/>
        <v>45</v>
      </c>
      <c r="N704" s="4">
        <f t="shared" si="178"/>
        <v>45</v>
      </c>
      <c r="O704" s="4">
        <f t="shared" si="179"/>
        <v>29</v>
      </c>
      <c r="P704" s="4">
        <f t="shared" si="180"/>
        <v>30</v>
      </c>
      <c r="Q704" s="4">
        <f t="shared" si="181"/>
        <v>45</v>
      </c>
      <c r="R704" s="4">
        <f t="shared" si="182"/>
        <v>45</v>
      </c>
      <c r="S704" s="102">
        <f t="shared" si="183"/>
        <v>30</v>
      </c>
      <c r="U704" s="101">
        <f t="shared" si="184"/>
        <v>71</v>
      </c>
      <c r="V704" s="4">
        <f t="shared" si="185"/>
        <v>71</v>
      </c>
      <c r="W704" s="4">
        <f t="shared" si="186"/>
        <v>41</v>
      </c>
      <c r="X704" s="4">
        <f t="shared" si="187"/>
        <v>39</v>
      </c>
      <c r="Y704" s="4">
        <f t="shared" si="188"/>
        <v>71</v>
      </c>
      <c r="Z704" s="4">
        <f t="shared" si="189"/>
        <v>71</v>
      </c>
      <c r="AA704" s="102">
        <f t="shared" si="190"/>
        <v>39</v>
      </c>
      <c r="AC704" s="100">
        <f t="shared" si="191"/>
        <v>0.99676711821070296</v>
      </c>
    </row>
    <row r="705" spans="4:29" x14ac:dyDescent="0.35">
      <c r="D705">
        <f t="shared" si="192"/>
        <v>701</v>
      </c>
      <c r="E705" s="101">
        <v>3</v>
      </c>
      <c r="F705" s="4">
        <v>7</v>
      </c>
      <c r="G705" s="4">
        <v>3</v>
      </c>
      <c r="H705" s="4">
        <v>3</v>
      </c>
      <c r="I705" s="4">
        <v>2</v>
      </c>
      <c r="J705" s="4">
        <v>4</v>
      </c>
      <c r="K705" s="102">
        <v>4</v>
      </c>
      <c r="M705" s="101">
        <f t="shared" si="177"/>
        <v>23</v>
      </c>
      <c r="N705" s="4">
        <f t="shared" si="178"/>
        <v>29</v>
      </c>
      <c r="O705" s="4">
        <f t="shared" si="179"/>
        <v>23</v>
      </c>
      <c r="P705" s="4">
        <f t="shared" si="180"/>
        <v>23</v>
      </c>
      <c r="Q705" s="4">
        <f t="shared" si="181"/>
        <v>56</v>
      </c>
      <c r="R705" s="4">
        <f t="shared" si="182"/>
        <v>12</v>
      </c>
      <c r="S705" s="102">
        <f t="shared" si="183"/>
        <v>12</v>
      </c>
      <c r="U705" s="101">
        <f t="shared" si="184"/>
        <v>39</v>
      </c>
      <c r="V705" s="4">
        <f t="shared" si="185"/>
        <v>41</v>
      </c>
      <c r="W705" s="4">
        <f t="shared" si="186"/>
        <v>39</v>
      </c>
      <c r="X705" s="4">
        <f t="shared" si="187"/>
        <v>39</v>
      </c>
      <c r="Y705" s="4">
        <f t="shared" si="188"/>
        <v>78</v>
      </c>
      <c r="Z705" s="4">
        <f t="shared" si="189"/>
        <v>9</v>
      </c>
      <c r="AA705" s="102">
        <f t="shared" si="190"/>
        <v>9</v>
      </c>
      <c r="AC705" s="100">
        <f t="shared" si="191"/>
        <v>0.96254028955937754</v>
      </c>
    </row>
    <row r="706" spans="4:29" x14ac:dyDescent="0.35">
      <c r="D706">
        <f t="shared" si="192"/>
        <v>702</v>
      </c>
      <c r="E706" s="101">
        <v>3</v>
      </c>
      <c r="F706" s="4">
        <v>6</v>
      </c>
      <c r="G706" s="4">
        <v>4</v>
      </c>
      <c r="H706" s="4">
        <v>1</v>
      </c>
      <c r="I706" s="4">
        <v>2</v>
      </c>
      <c r="J706" s="4">
        <v>6</v>
      </c>
      <c r="K706" s="102">
        <v>1</v>
      </c>
      <c r="M706" s="101">
        <f t="shared" si="177"/>
        <v>23</v>
      </c>
      <c r="N706" s="4">
        <f t="shared" si="178"/>
        <v>45</v>
      </c>
      <c r="O706" s="4">
        <f t="shared" si="179"/>
        <v>12</v>
      </c>
      <c r="P706" s="4">
        <f t="shared" si="180"/>
        <v>34</v>
      </c>
      <c r="Q706" s="4">
        <f t="shared" si="181"/>
        <v>56</v>
      </c>
      <c r="R706" s="4">
        <f t="shared" si="182"/>
        <v>45</v>
      </c>
      <c r="S706" s="102">
        <f t="shared" si="183"/>
        <v>34</v>
      </c>
      <c r="U706" s="101">
        <f t="shared" si="184"/>
        <v>39</v>
      </c>
      <c r="V706" s="4">
        <f t="shared" si="185"/>
        <v>71</v>
      </c>
      <c r="W706" s="4">
        <f t="shared" si="186"/>
        <v>9</v>
      </c>
      <c r="X706" s="4">
        <f t="shared" si="187"/>
        <v>46</v>
      </c>
      <c r="Y706" s="4">
        <f t="shared" si="188"/>
        <v>78</v>
      </c>
      <c r="Z706" s="4">
        <f t="shared" si="189"/>
        <v>71</v>
      </c>
      <c r="AA706" s="102">
        <f t="shared" si="190"/>
        <v>46</v>
      </c>
      <c r="AC706" s="100">
        <f t="shared" si="191"/>
        <v>0.97447166057112988</v>
      </c>
    </row>
    <row r="707" spans="4:29" x14ac:dyDescent="0.35">
      <c r="D707">
        <f t="shared" si="192"/>
        <v>703</v>
      </c>
      <c r="E707" s="101">
        <v>7</v>
      </c>
      <c r="F707" s="4">
        <v>4</v>
      </c>
      <c r="G707" s="4">
        <v>5</v>
      </c>
      <c r="H707" s="4">
        <v>2</v>
      </c>
      <c r="I707" s="4">
        <v>7</v>
      </c>
      <c r="J707" s="4">
        <v>1</v>
      </c>
      <c r="K707" s="102">
        <v>1</v>
      </c>
      <c r="M707" s="101">
        <f t="shared" si="177"/>
        <v>29</v>
      </c>
      <c r="N707" s="4">
        <f t="shared" si="178"/>
        <v>12</v>
      </c>
      <c r="O707" s="4">
        <f t="shared" si="179"/>
        <v>30</v>
      </c>
      <c r="P707" s="4">
        <f t="shared" si="180"/>
        <v>56</v>
      </c>
      <c r="Q707" s="4">
        <f t="shared" si="181"/>
        <v>29</v>
      </c>
      <c r="R707" s="4">
        <f t="shared" si="182"/>
        <v>34</v>
      </c>
      <c r="S707" s="102">
        <f t="shared" si="183"/>
        <v>34</v>
      </c>
      <c r="U707" s="101">
        <f t="shared" si="184"/>
        <v>41</v>
      </c>
      <c r="V707" s="4">
        <f t="shared" si="185"/>
        <v>9</v>
      </c>
      <c r="W707" s="4">
        <f t="shared" si="186"/>
        <v>39</v>
      </c>
      <c r="X707" s="4">
        <f t="shared" si="187"/>
        <v>78</v>
      </c>
      <c r="Y707" s="4">
        <f t="shared" si="188"/>
        <v>41</v>
      </c>
      <c r="Z707" s="4">
        <f t="shared" si="189"/>
        <v>46</v>
      </c>
      <c r="AA707" s="102">
        <f t="shared" si="190"/>
        <v>46</v>
      </c>
      <c r="AC707" s="100">
        <f t="shared" si="191"/>
        <v>0.99409713603390537</v>
      </c>
    </row>
    <row r="708" spans="4:29" x14ac:dyDescent="0.35">
      <c r="D708">
        <f t="shared" si="192"/>
        <v>704</v>
      </c>
      <c r="E708" s="101">
        <v>4</v>
      </c>
      <c r="F708" s="4">
        <v>2</v>
      </c>
      <c r="G708" s="4">
        <v>3</v>
      </c>
      <c r="H708" s="4">
        <v>2</v>
      </c>
      <c r="I708" s="4">
        <v>5</v>
      </c>
      <c r="J708" s="4">
        <v>5</v>
      </c>
      <c r="K708" s="102">
        <v>2</v>
      </c>
      <c r="M708" s="101">
        <f t="shared" si="177"/>
        <v>12</v>
      </c>
      <c r="N708" s="4">
        <f t="shared" si="178"/>
        <v>56</v>
      </c>
      <c r="O708" s="4">
        <f t="shared" si="179"/>
        <v>23</v>
      </c>
      <c r="P708" s="4">
        <f t="shared" si="180"/>
        <v>56</v>
      </c>
      <c r="Q708" s="4">
        <f t="shared" si="181"/>
        <v>30</v>
      </c>
      <c r="R708" s="4">
        <f t="shared" si="182"/>
        <v>30</v>
      </c>
      <c r="S708" s="102">
        <f t="shared" si="183"/>
        <v>56</v>
      </c>
      <c r="U708" s="101">
        <f t="shared" si="184"/>
        <v>9</v>
      </c>
      <c r="V708" s="4">
        <f t="shared" si="185"/>
        <v>78</v>
      </c>
      <c r="W708" s="4">
        <f t="shared" si="186"/>
        <v>39</v>
      </c>
      <c r="X708" s="4">
        <f t="shared" si="187"/>
        <v>78</v>
      </c>
      <c r="Y708" s="4">
        <f t="shared" si="188"/>
        <v>39</v>
      </c>
      <c r="Z708" s="4">
        <f t="shared" si="189"/>
        <v>39</v>
      </c>
      <c r="AA708" s="102">
        <f t="shared" si="190"/>
        <v>78</v>
      </c>
      <c r="AC708" s="100">
        <f t="shared" si="191"/>
        <v>0.9875640268970336</v>
      </c>
    </row>
    <row r="709" spans="4:29" x14ac:dyDescent="0.35">
      <c r="D709">
        <f t="shared" si="192"/>
        <v>705</v>
      </c>
      <c r="E709" s="101">
        <v>1</v>
      </c>
      <c r="F709" s="4">
        <v>2</v>
      </c>
      <c r="G709" s="4">
        <v>7</v>
      </c>
      <c r="H709" s="4">
        <v>4</v>
      </c>
      <c r="I709" s="4">
        <v>7</v>
      </c>
      <c r="J709" s="4">
        <v>1</v>
      </c>
      <c r="K709" s="102">
        <v>5</v>
      </c>
      <c r="M709" s="101">
        <f t="shared" si="177"/>
        <v>34</v>
      </c>
      <c r="N709" s="4">
        <f t="shared" si="178"/>
        <v>56</v>
      </c>
      <c r="O709" s="4">
        <f t="shared" si="179"/>
        <v>29</v>
      </c>
      <c r="P709" s="4">
        <f t="shared" si="180"/>
        <v>12</v>
      </c>
      <c r="Q709" s="4">
        <f t="shared" si="181"/>
        <v>29</v>
      </c>
      <c r="R709" s="4">
        <f t="shared" si="182"/>
        <v>34</v>
      </c>
      <c r="S709" s="102">
        <f t="shared" si="183"/>
        <v>30</v>
      </c>
      <c r="U709" s="101">
        <f t="shared" si="184"/>
        <v>46</v>
      </c>
      <c r="V709" s="4">
        <f t="shared" si="185"/>
        <v>78</v>
      </c>
      <c r="W709" s="4">
        <f t="shared" si="186"/>
        <v>41</v>
      </c>
      <c r="X709" s="4">
        <f t="shared" si="187"/>
        <v>9</v>
      </c>
      <c r="Y709" s="4">
        <f t="shared" si="188"/>
        <v>41</v>
      </c>
      <c r="Z709" s="4">
        <f t="shared" si="189"/>
        <v>46</v>
      </c>
      <c r="AA709" s="102">
        <f t="shared" si="190"/>
        <v>39</v>
      </c>
      <c r="AC709" s="100">
        <f t="shared" si="191"/>
        <v>0.99409713603390548</v>
      </c>
    </row>
    <row r="710" spans="4:29" x14ac:dyDescent="0.35">
      <c r="D710">
        <f t="shared" si="192"/>
        <v>706</v>
      </c>
      <c r="E710" s="101">
        <v>2</v>
      </c>
      <c r="F710" s="4">
        <v>1</v>
      </c>
      <c r="G710" s="4">
        <v>3</v>
      </c>
      <c r="H710" s="4">
        <v>1</v>
      </c>
      <c r="I710" s="4">
        <v>7</v>
      </c>
      <c r="J710" s="4">
        <v>2</v>
      </c>
      <c r="K710" s="102">
        <v>3</v>
      </c>
      <c r="M710" s="101">
        <f t="shared" ref="M710:M773" si="193">INDEX($A$5:$A$11,E710)</f>
        <v>56</v>
      </c>
      <c r="N710" s="4">
        <f t="shared" ref="N710:N773" si="194">INDEX($A$5:$A$11,F710)</f>
        <v>34</v>
      </c>
      <c r="O710" s="4">
        <f t="shared" ref="O710:O773" si="195">INDEX($A$5:$A$11,G710)</f>
        <v>23</v>
      </c>
      <c r="P710" s="4">
        <f t="shared" ref="P710:P773" si="196">INDEX($A$5:$A$11,H710)</f>
        <v>34</v>
      </c>
      <c r="Q710" s="4">
        <f t="shared" ref="Q710:Q773" si="197">INDEX($A$5:$A$11,I710)</f>
        <v>29</v>
      </c>
      <c r="R710" s="4">
        <f t="shared" ref="R710:R773" si="198">INDEX($A$5:$A$11,J710)</f>
        <v>56</v>
      </c>
      <c r="S710" s="102">
        <f t="shared" ref="S710:S773" si="199">INDEX($A$5:$A$11,K710)</f>
        <v>23</v>
      </c>
      <c r="U710" s="101">
        <f t="shared" ref="U710:U773" si="200">INDEX($B$5:$B$11,E710)</f>
        <v>78</v>
      </c>
      <c r="V710" s="4">
        <f t="shared" ref="V710:V773" si="201">INDEX($B$5:$B$11,F710)</f>
        <v>46</v>
      </c>
      <c r="W710" s="4">
        <f t="shared" ref="W710:W773" si="202">INDEX($B$5:$B$11,G710)</f>
        <v>39</v>
      </c>
      <c r="X710" s="4">
        <f t="shared" ref="X710:X773" si="203">INDEX($B$5:$B$11,H710)</f>
        <v>46</v>
      </c>
      <c r="Y710" s="4">
        <f t="shared" ref="Y710:Y773" si="204">INDEX($B$5:$B$11,I710)</f>
        <v>41</v>
      </c>
      <c r="Z710" s="4">
        <f t="shared" ref="Z710:Z773" si="205">INDEX($B$5:$B$11,J710)</f>
        <v>78</v>
      </c>
      <c r="AA710" s="102">
        <f t="shared" ref="AA710:AA773" si="206">INDEX($B$5:$B$11,K710)</f>
        <v>39</v>
      </c>
      <c r="AC710" s="100">
        <f t="shared" ref="AC710:AC773" si="207">CORREL(M710:S710,U710:AA710)</f>
        <v>0.98596939675534934</v>
      </c>
    </row>
    <row r="711" spans="4:29" x14ac:dyDescent="0.35">
      <c r="D711">
        <f t="shared" ref="D711:D774" si="208">D710+1</f>
        <v>707</v>
      </c>
      <c r="E711" s="101">
        <v>7</v>
      </c>
      <c r="F711" s="4">
        <v>1</v>
      </c>
      <c r="G711" s="4">
        <v>3</v>
      </c>
      <c r="H711" s="4">
        <v>5</v>
      </c>
      <c r="I711" s="4">
        <v>4</v>
      </c>
      <c r="J711" s="4">
        <v>3</v>
      </c>
      <c r="K711" s="102">
        <v>5</v>
      </c>
      <c r="M711" s="101">
        <f t="shared" si="193"/>
        <v>29</v>
      </c>
      <c r="N711" s="4">
        <f t="shared" si="194"/>
        <v>34</v>
      </c>
      <c r="O711" s="4">
        <f t="shared" si="195"/>
        <v>23</v>
      </c>
      <c r="P711" s="4">
        <f t="shared" si="196"/>
        <v>30</v>
      </c>
      <c r="Q711" s="4">
        <f t="shared" si="197"/>
        <v>12</v>
      </c>
      <c r="R711" s="4">
        <f t="shared" si="198"/>
        <v>23</v>
      </c>
      <c r="S711" s="102">
        <f t="shared" si="199"/>
        <v>30</v>
      </c>
      <c r="U711" s="101">
        <f t="shared" si="200"/>
        <v>41</v>
      </c>
      <c r="V711" s="4">
        <f t="shared" si="201"/>
        <v>46</v>
      </c>
      <c r="W711" s="4">
        <f t="shared" si="202"/>
        <v>39</v>
      </c>
      <c r="X711" s="4">
        <f t="shared" si="203"/>
        <v>39</v>
      </c>
      <c r="Y711" s="4">
        <f t="shared" si="204"/>
        <v>9</v>
      </c>
      <c r="Z711" s="4">
        <f t="shared" si="205"/>
        <v>39</v>
      </c>
      <c r="AA711" s="102">
        <f t="shared" si="206"/>
        <v>39</v>
      </c>
      <c r="AC711" s="100">
        <f t="shared" si="207"/>
        <v>0.89917129679602048</v>
      </c>
    </row>
    <row r="712" spans="4:29" x14ac:dyDescent="0.35">
      <c r="D712">
        <f t="shared" si="208"/>
        <v>708</v>
      </c>
      <c r="E712" s="101">
        <v>6</v>
      </c>
      <c r="F712" s="4">
        <v>3</v>
      </c>
      <c r="G712" s="4">
        <v>3</v>
      </c>
      <c r="H712" s="4">
        <v>6</v>
      </c>
      <c r="I712" s="4">
        <v>6</v>
      </c>
      <c r="J712" s="4">
        <v>7</v>
      </c>
      <c r="K712" s="102">
        <v>5</v>
      </c>
      <c r="M712" s="101">
        <f t="shared" si="193"/>
        <v>45</v>
      </c>
      <c r="N712" s="4">
        <f t="shared" si="194"/>
        <v>23</v>
      </c>
      <c r="O712" s="4">
        <f t="shared" si="195"/>
        <v>23</v>
      </c>
      <c r="P712" s="4">
        <f t="shared" si="196"/>
        <v>45</v>
      </c>
      <c r="Q712" s="4">
        <f t="shared" si="197"/>
        <v>45</v>
      </c>
      <c r="R712" s="4">
        <f t="shared" si="198"/>
        <v>29</v>
      </c>
      <c r="S712" s="102">
        <f t="shared" si="199"/>
        <v>30</v>
      </c>
      <c r="U712" s="101">
        <f t="shared" si="200"/>
        <v>71</v>
      </c>
      <c r="V712" s="4">
        <f t="shared" si="201"/>
        <v>39</v>
      </c>
      <c r="W712" s="4">
        <f t="shared" si="202"/>
        <v>39</v>
      </c>
      <c r="X712" s="4">
        <f t="shared" si="203"/>
        <v>71</v>
      </c>
      <c r="Y712" s="4">
        <f t="shared" si="204"/>
        <v>71</v>
      </c>
      <c r="Z712" s="4">
        <f t="shared" si="205"/>
        <v>41</v>
      </c>
      <c r="AA712" s="102">
        <f t="shared" si="206"/>
        <v>39</v>
      </c>
      <c r="AC712" s="100">
        <f t="shared" si="207"/>
        <v>0.97070862732239593</v>
      </c>
    </row>
    <row r="713" spans="4:29" x14ac:dyDescent="0.35">
      <c r="D713">
        <f t="shared" si="208"/>
        <v>709</v>
      </c>
      <c r="E713" s="101">
        <v>2</v>
      </c>
      <c r="F713" s="4">
        <v>6</v>
      </c>
      <c r="G713" s="4">
        <v>6</v>
      </c>
      <c r="H713" s="4">
        <v>4</v>
      </c>
      <c r="I713" s="4">
        <v>2</v>
      </c>
      <c r="J713" s="4">
        <v>1</v>
      </c>
      <c r="K713" s="102">
        <v>5</v>
      </c>
      <c r="M713" s="101">
        <f t="shared" si="193"/>
        <v>56</v>
      </c>
      <c r="N713" s="4">
        <f t="shared" si="194"/>
        <v>45</v>
      </c>
      <c r="O713" s="4">
        <f t="shared" si="195"/>
        <v>45</v>
      </c>
      <c r="P713" s="4">
        <f t="shared" si="196"/>
        <v>12</v>
      </c>
      <c r="Q713" s="4">
        <f t="shared" si="197"/>
        <v>56</v>
      </c>
      <c r="R713" s="4">
        <f t="shared" si="198"/>
        <v>34</v>
      </c>
      <c r="S713" s="102">
        <f t="shared" si="199"/>
        <v>30</v>
      </c>
      <c r="U713" s="101">
        <f t="shared" si="200"/>
        <v>78</v>
      </c>
      <c r="V713" s="4">
        <f t="shared" si="201"/>
        <v>71</v>
      </c>
      <c r="W713" s="4">
        <f t="shared" si="202"/>
        <v>71</v>
      </c>
      <c r="X713" s="4">
        <f t="shared" si="203"/>
        <v>9</v>
      </c>
      <c r="Y713" s="4">
        <f t="shared" si="204"/>
        <v>78</v>
      </c>
      <c r="Z713" s="4">
        <f t="shared" si="205"/>
        <v>46</v>
      </c>
      <c r="AA713" s="102">
        <f t="shared" si="206"/>
        <v>39</v>
      </c>
      <c r="AC713" s="100">
        <f t="shared" si="207"/>
        <v>0.98395226878976649</v>
      </c>
    </row>
    <row r="714" spans="4:29" x14ac:dyDescent="0.35">
      <c r="D714">
        <f t="shared" si="208"/>
        <v>710</v>
      </c>
      <c r="E714" s="101">
        <v>2</v>
      </c>
      <c r="F714" s="4">
        <v>2</v>
      </c>
      <c r="G714" s="4">
        <v>6</v>
      </c>
      <c r="H714" s="4">
        <v>6</v>
      </c>
      <c r="I714" s="4">
        <v>3</v>
      </c>
      <c r="J714" s="4">
        <v>7</v>
      </c>
      <c r="K714" s="102">
        <v>3</v>
      </c>
      <c r="M714" s="101">
        <f t="shared" si="193"/>
        <v>56</v>
      </c>
      <c r="N714" s="4">
        <f t="shared" si="194"/>
        <v>56</v>
      </c>
      <c r="O714" s="4">
        <f t="shared" si="195"/>
        <v>45</v>
      </c>
      <c r="P714" s="4">
        <f t="shared" si="196"/>
        <v>45</v>
      </c>
      <c r="Q714" s="4">
        <f t="shared" si="197"/>
        <v>23</v>
      </c>
      <c r="R714" s="4">
        <f t="shared" si="198"/>
        <v>29</v>
      </c>
      <c r="S714" s="102">
        <f t="shared" si="199"/>
        <v>23</v>
      </c>
      <c r="U714" s="101">
        <f t="shared" si="200"/>
        <v>78</v>
      </c>
      <c r="V714" s="4">
        <f t="shared" si="201"/>
        <v>78</v>
      </c>
      <c r="W714" s="4">
        <f t="shared" si="202"/>
        <v>71</v>
      </c>
      <c r="X714" s="4">
        <f t="shared" si="203"/>
        <v>71</v>
      </c>
      <c r="Y714" s="4">
        <f t="shared" si="204"/>
        <v>39</v>
      </c>
      <c r="Z714" s="4">
        <f t="shared" si="205"/>
        <v>41</v>
      </c>
      <c r="AA714" s="102">
        <f t="shared" si="206"/>
        <v>39</v>
      </c>
      <c r="AC714" s="100">
        <f t="shared" si="207"/>
        <v>0.98108886294109443</v>
      </c>
    </row>
    <row r="715" spans="4:29" x14ac:dyDescent="0.35">
      <c r="D715">
        <f t="shared" si="208"/>
        <v>711</v>
      </c>
      <c r="E715" s="101">
        <v>7</v>
      </c>
      <c r="F715" s="4">
        <v>1</v>
      </c>
      <c r="G715" s="4">
        <v>5</v>
      </c>
      <c r="H715" s="4">
        <v>7</v>
      </c>
      <c r="I715" s="4">
        <v>7</v>
      </c>
      <c r="J715" s="4">
        <v>6</v>
      </c>
      <c r="K715" s="102">
        <v>5</v>
      </c>
      <c r="M715" s="101">
        <f t="shared" si="193"/>
        <v>29</v>
      </c>
      <c r="N715" s="4">
        <f t="shared" si="194"/>
        <v>34</v>
      </c>
      <c r="O715" s="4">
        <f t="shared" si="195"/>
        <v>30</v>
      </c>
      <c r="P715" s="4">
        <f t="shared" si="196"/>
        <v>29</v>
      </c>
      <c r="Q715" s="4">
        <f t="shared" si="197"/>
        <v>29</v>
      </c>
      <c r="R715" s="4">
        <f t="shared" si="198"/>
        <v>45</v>
      </c>
      <c r="S715" s="102">
        <f t="shared" si="199"/>
        <v>30</v>
      </c>
      <c r="U715" s="101">
        <f t="shared" si="200"/>
        <v>41</v>
      </c>
      <c r="V715" s="4">
        <f t="shared" si="201"/>
        <v>46</v>
      </c>
      <c r="W715" s="4">
        <f t="shared" si="202"/>
        <v>39</v>
      </c>
      <c r="X715" s="4">
        <f t="shared" si="203"/>
        <v>41</v>
      </c>
      <c r="Y715" s="4">
        <f t="shared" si="204"/>
        <v>41</v>
      </c>
      <c r="Z715" s="4">
        <f t="shared" si="205"/>
        <v>71</v>
      </c>
      <c r="AA715" s="102">
        <f t="shared" si="206"/>
        <v>39</v>
      </c>
      <c r="AC715" s="100">
        <f t="shared" si="207"/>
        <v>0.98246139922009668</v>
      </c>
    </row>
    <row r="716" spans="4:29" x14ac:dyDescent="0.35">
      <c r="D716">
        <f t="shared" si="208"/>
        <v>712</v>
      </c>
      <c r="E716" s="101">
        <v>2</v>
      </c>
      <c r="F716" s="4">
        <v>1</v>
      </c>
      <c r="G716" s="4">
        <v>6</v>
      </c>
      <c r="H716" s="4">
        <v>3</v>
      </c>
      <c r="I716" s="4">
        <v>4</v>
      </c>
      <c r="J716" s="4">
        <v>2</v>
      </c>
      <c r="K716" s="102">
        <v>1</v>
      </c>
      <c r="M716" s="101">
        <f t="shared" si="193"/>
        <v>56</v>
      </c>
      <c r="N716" s="4">
        <f t="shared" si="194"/>
        <v>34</v>
      </c>
      <c r="O716" s="4">
        <f t="shared" si="195"/>
        <v>45</v>
      </c>
      <c r="P716" s="4">
        <f t="shared" si="196"/>
        <v>23</v>
      </c>
      <c r="Q716" s="4">
        <f t="shared" si="197"/>
        <v>12</v>
      </c>
      <c r="R716" s="4">
        <f t="shared" si="198"/>
        <v>56</v>
      </c>
      <c r="S716" s="102">
        <f t="shared" si="199"/>
        <v>34</v>
      </c>
      <c r="U716" s="101">
        <f t="shared" si="200"/>
        <v>78</v>
      </c>
      <c r="V716" s="4">
        <f t="shared" si="201"/>
        <v>46</v>
      </c>
      <c r="W716" s="4">
        <f t="shared" si="202"/>
        <v>71</v>
      </c>
      <c r="X716" s="4">
        <f t="shared" si="203"/>
        <v>39</v>
      </c>
      <c r="Y716" s="4">
        <f t="shared" si="204"/>
        <v>9</v>
      </c>
      <c r="Z716" s="4">
        <f t="shared" si="205"/>
        <v>78</v>
      </c>
      <c r="AA716" s="102">
        <f t="shared" si="206"/>
        <v>46</v>
      </c>
      <c r="AC716" s="100">
        <f t="shared" si="207"/>
        <v>0.97874210568969822</v>
      </c>
    </row>
    <row r="717" spans="4:29" x14ac:dyDescent="0.35">
      <c r="D717">
        <f t="shared" si="208"/>
        <v>713</v>
      </c>
      <c r="E717" s="101">
        <v>2</v>
      </c>
      <c r="F717" s="4">
        <v>4</v>
      </c>
      <c r="G717" s="4">
        <v>3</v>
      </c>
      <c r="H717" s="4">
        <v>7</v>
      </c>
      <c r="I717" s="4">
        <v>1</v>
      </c>
      <c r="J717" s="4">
        <v>1</v>
      </c>
      <c r="K717" s="102">
        <v>2</v>
      </c>
      <c r="M717" s="101">
        <f t="shared" si="193"/>
        <v>56</v>
      </c>
      <c r="N717" s="4">
        <f t="shared" si="194"/>
        <v>12</v>
      </c>
      <c r="O717" s="4">
        <f t="shared" si="195"/>
        <v>23</v>
      </c>
      <c r="P717" s="4">
        <f t="shared" si="196"/>
        <v>29</v>
      </c>
      <c r="Q717" s="4">
        <f t="shared" si="197"/>
        <v>34</v>
      </c>
      <c r="R717" s="4">
        <f t="shared" si="198"/>
        <v>34</v>
      </c>
      <c r="S717" s="102">
        <f t="shared" si="199"/>
        <v>56</v>
      </c>
      <c r="U717" s="101">
        <f t="shared" si="200"/>
        <v>78</v>
      </c>
      <c r="V717" s="4">
        <f t="shared" si="201"/>
        <v>9</v>
      </c>
      <c r="W717" s="4">
        <f t="shared" si="202"/>
        <v>39</v>
      </c>
      <c r="X717" s="4">
        <f t="shared" si="203"/>
        <v>41</v>
      </c>
      <c r="Y717" s="4">
        <f t="shared" si="204"/>
        <v>46</v>
      </c>
      <c r="Z717" s="4">
        <f t="shared" si="205"/>
        <v>46</v>
      </c>
      <c r="AA717" s="102">
        <f t="shared" si="206"/>
        <v>78</v>
      </c>
      <c r="AC717" s="100">
        <f t="shared" si="207"/>
        <v>0.98462773488502897</v>
      </c>
    </row>
    <row r="718" spans="4:29" x14ac:dyDescent="0.35">
      <c r="D718">
        <f t="shared" si="208"/>
        <v>714</v>
      </c>
      <c r="E718" s="101">
        <v>2</v>
      </c>
      <c r="F718" s="4">
        <v>3</v>
      </c>
      <c r="G718" s="4">
        <v>3</v>
      </c>
      <c r="H718" s="4">
        <v>7</v>
      </c>
      <c r="I718" s="4">
        <v>2</v>
      </c>
      <c r="J718" s="4">
        <v>2</v>
      </c>
      <c r="K718" s="102">
        <v>2</v>
      </c>
      <c r="M718" s="101">
        <f t="shared" si="193"/>
        <v>56</v>
      </c>
      <c r="N718" s="4">
        <f t="shared" si="194"/>
        <v>23</v>
      </c>
      <c r="O718" s="4">
        <f t="shared" si="195"/>
        <v>23</v>
      </c>
      <c r="P718" s="4">
        <f t="shared" si="196"/>
        <v>29</v>
      </c>
      <c r="Q718" s="4">
        <f t="shared" si="197"/>
        <v>56</v>
      </c>
      <c r="R718" s="4">
        <f t="shared" si="198"/>
        <v>56</v>
      </c>
      <c r="S718" s="102">
        <f t="shared" si="199"/>
        <v>56</v>
      </c>
      <c r="U718" s="101">
        <f t="shared" si="200"/>
        <v>78</v>
      </c>
      <c r="V718" s="4">
        <f t="shared" si="201"/>
        <v>39</v>
      </c>
      <c r="W718" s="4">
        <f t="shared" si="202"/>
        <v>39</v>
      </c>
      <c r="X718" s="4">
        <f t="shared" si="203"/>
        <v>41</v>
      </c>
      <c r="Y718" s="4">
        <f t="shared" si="204"/>
        <v>78</v>
      </c>
      <c r="Z718" s="4">
        <f t="shared" si="205"/>
        <v>78</v>
      </c>
      <c r="AA718" s="102">
        <f t="shared" si="206"/>
        <v>78</v>
      </c>
      <c r="AC718" s="100">
        <f t="shared" si="207"/>
        <v>0.99616619416920094</v>
      </c>
    </row>
    <row r="719" spans="4:29" x14ac:dyDescent="0.35">
      <c r="D719">
        <f t="shared" si="208"/>
        <v>715</v>
      </c>
      <c r="E719" s="101">
        <v>6</v>
      </c>
      <c r="F719" s="4">
        <v>6</v>
      </c>
      <c r="G719" s="4">
        <v>7</v>
      </c>
      <c r="H719" s="4">
        <v>4</v>
      </c>
      <c r="I719" s="4">
        <v>1</v>
      </c>
      <c r="J719" s="4">
        <v>6</v>
      </c>
      <c r="K719" s="102">
        <v>1</v>
      </c>
      <c r="M719" s="101">
        <f t="shared" si="193"/>
        <v>45</v>
      </c>
      <c r="N719" s="4">
        <f t="shared" si="194"/>
        <v>45</v>
      </c>
      <c r="O719" s="4">
        <f t="shared" si="195"/>
        <v>29</v>
      </c>
      <c r="P719" s="4">
        <f t="shared" si="196"/>
        <v>12</v>
      </c>
      <c r="Q719" s="4">
        <f t="shared" si="197"/>
        <v>34</v>
      </c>
      <c r="R719" s="4">
        <f t="shared" si="198"/>
        <v>45</v>
      </c>
      <c r="S719" s="102">
        <f t="shared" si="199"/>
        <v>34</v>
      </c>
      <c r="U719" s="101">
        <f t="shared" si="200"/>
        <v>71</v>
      </c>
      <c r="V719" s="4">
        <f t="shared" si="201"/>
        <v>71</v>
      </c>
      <c r="W719" s="4">
        <f t="shared" si="202"/>
        <v>41</v>
      </c>
      <c r="X719" s="4">
        <f t="shared" si="203"/>
        <v>9</v>
      </c>
      <c r="Y719" s="4">
        <f t="shared" si="204"/>
        <v>46</v>
      </c>
      <c r="Z719" s="4">
        <f t="shared" si="205"/>
        <v>71</v>
      </c>
      <c r="AA719" s="102">
        <f t="shared" si="206"/>
        <v>46</v>
      </c>
      <c r="AC719" s="100">
        <f t="shared" si="207"/>
        <v>0.9956672614919464</v>
      </c>
    </row>
    <row r="720" spans="4:29" x14ac:dyDescent="0.35">
      <c r="D720">
        <f t="shared" si="208"/>
        <v>716</v>
      </c>
      <c r="E720" s="101">
        <v>6</v>
      </c>
      <c r="F720" s="4">
        <v>7</v>
      </c>
      <c r="G720" s="4">
        <v>6</v>
      </c>
      <c r="H720" s="4">
        <v>2</v>
      </c>
      <c r="I720" s="4">
        <v>7</v>
      </c>
      <c r="J720" s="4">
        <v>2</v>
      </c>
      <c r="K720" s="102">
        <v>6</v>
      </c>
      <c r="M720" s="101">
        <f t="shared" si="193"/>
        <v>45</v>
      </c>
      <c r="N720" s="4">
        <f t="shared" si="194"/>
        <v>29</v>
      </c>
      <c r="O720" s="4">
        <f t="shared" si="195"/>
        <v>45</v>
      </c>
      <c r="P720" s="4">
        <f t="shared" si="196"/>
        <v>56</v>
      </c>
      <c r="Q720" s="4">
        <f t="shared" si="197"/>
        <v>29</v>
      </c>
      <c r="R720" s="4">
        <f t="shared" si="198"/>
        <v>56</v>
      </c>
      <c r="S720" s="102">
        <f t="shared" si="199"/>
        <v>45</v>
      </c>
      <c r="U720" s="101">
        <f t="shared" si="200"/>
        <v>71</v>
      </c>
      <c r="V720" s="4">
        <f t="shared" si="201"/>
        <v>41</v>
      </c>
      <c r="W720" s="4">
        <f t="shared" si="202"/>
        <v>71</v>
      </c>
      <c r="X720" s="4">
        <f t="shared" si="203"/>
        <v>78</v>
      </c>
      <c r="Y720" s="4">
        <f t="shared" si="204"/>
        <v>41</v>
      </c>
      <c r="Z720" s="4">
        <f t="shared" si="205"/>
        <v>78</v>
      </c>
      <c r="AA720" s="102">
        <f t="shared" si="206"/>
        <v>71</v>
      </c>
      <c r="AC720" s="100">
        <f t="shared" si="207"/>
        <v>0.96487287577211567</v>
      </c>
    </row>
    <row r="721" spans="4:29" x14ac:dyDescent="0.35">
      <c r="D721">
        <f t="shared" si="208"/>
        <v>717</v>
      </c>
      <c r="E721" s="101">
        <v>7</v>
      </c>
      <c r="F721" s="4">
        <v>1</v>
      </c>
      <c r="G721" s="4">
        <v>5</v>
      </c>
      <c r="H721" s="4">
        <v>2</v>
      </c>
      <c r="I721" s="4">
        <v>2</v>
      </c>
      <c r="J721" s="4">
        <v>2</v>
      </c>
      <c r="K721" s="102">
        <v>7</v>
      </c>
      <c r="M721" s="101">
        <f t="shared" si="193"/>
        <v>29</v>
      </c>
      <c r="N721" s="4">
        <f t="shared" si="194"/>
        <v>34</v>
      </c>
      <c r="O721" s="4">
        <f t="shared" si="195"/>
        <v>30</v>
      </c>
      <c r="P721" s="4">
        <f t="shared" si="196"/>
        <v>56</v>
      </c>
      <c r="Q721" s="4">
        <f t="shared" si="197"/>
        <v>56</v>
      </c>
      <c r="R721" s="4">
        <f t="shared" si="198"/>
        <v>56</v>
      </c>
      <c r="S721" s="102">
        <f t="shared" si="199"/>
        <v>29</v>
      </c>
      <c r="U721" s="101">
        <f t="shared" si="200"/>
        <v>41</v>
      </c>
      <c r="V721" s="4">
        <f t="shared" si="201"/>
        <v>46</v>
      </c>
      <c r="W721" s="4">
        <f t="shared" si="202"/>
        <v>39</v>
      </c>
      <c r="X721" s="4">
        <f t="shared" si="203"/>
        <v>78</v>
      </c>
      <c r="Y721" s="4">
        <f t="shared" si="204"/>
        <v>78</v>
      </c>
      <c r="Z721" s="4">
        <f t="shared" si="205"/>
        <v>78</v>
      </c>
      <c r="AA721" s="102">
        <f t="shared" si="206"/>
        <v>41</v>
      </c>
      <c r="AC721" s="100">
        <f t="shared" si="207"/>
        <v>0.99813855534839302</v>
      </c>
    </row>
    <row r="722" spans="4:29" x14ac:dyDescent="0.35">
      <c r="D722">
        <f t="shared" si="208"/>
        <v>718</v>
      </c>
      <c r="E722" s="101">
        <v>1</v>
      </c>
      <c r="F722" s="4">
        <v>4</v>
      </c>
      <c r="G722" s="4">
        <v>4</v>
      </c>
      <c r="H722" s="4">
        <v>6</v>
      </c>
      <c r="I722" s="4">
        <v>5</v>
      </c>
      <c r="J722" s="4">
        <v>5</v>
      </c>
      <c r="K722" s="102">
        <v>3</v>
      </c>
      <c r="M722" s="101">
        <f t="shared" si="193"/>
        <v>34</v>
      </c>
      <c r="N722" s="4">
        <f t="shared" si="194"/>
        <v>12</v>
      </c>
      <c r="O722" s="4">
        <f t="shared" si="195"/>
        <v>12</v>
      </c>
      <c r="P722" s="4">
        <f t="shared" si="196"/>
        <v>45</v>
      </c>
      <c r="Q722" s="4">
        <f t="shared" si="197"/>
        <v>30</v>
      </c>
      <c r="R722" s="4">
        <f t="shared" si="198"/>
        <v>30</v>
      </c>
      <c r="S722" s="102">
        <f t="shared" si="199"/>
        <v>23</v>
      </c>
      <c r="U722" s="101">
        <f t="shared" si="200"/>
        <v>46</v>
      </c>
      <c r="V722" s="4">
        <f t="shared" si="201"/>
        <v>9</v>
      </c>
      <c r="W722" s="4">
        <f t="shared" si="202"/>
        <v>9</v>
      </c>
      <c r="X722" s="4">
        <f t="shared" si="203"/>
        <v>71</v>
      </c>
      <c r="Y722" s="4">
        <f t="shared" si="204"/>
        <v>39</v>
      </c>
      <c r="Z722" s="4">
        <f t="shared" si="205"/>
        <v>39</v>
      </c>
      <c r="AA722" s="102">
        <f t="shared" si="206"/>
        <v>39</v>
      </c>
      <c r="AC722" s="100">
        <f t="shared" si="207"/>
        <v>0.9776460505182174</v>
      </c>
    </row>
    <row r="723" spans="4:29" x14ac:dyDescent="0.35">
      <c r="D723">
        <f t="shared" si="208"/>
        <v>719</v>
      </c>
      <c r="E723" s="101">
        <v>6</v>
      </c>
      <c r="F723" s="4">
        <v>2</v>
      </c>
      <c r="G723" s="4">
        <v>2</v>
      </c>
      <c r="H723" s="4">
        <v>1</v>
      </c>
      <c r="I723" s="4">
        <v>5</v>
      </c>
      <c r="J723" s="4">
        <v>6</v>
      </c>
      <c r="K723" s="102">
        <v>1</v>
      </c>
      <c r="M723" s="101">
        <f t="shared" si="193"/>
        <v>45</v>
      </c>
      <c r="N723" s="4">
        <f t="shared" si="194"/>
        <v>56</v>
      </c>
      <c r="O723" s="4">
        <f t="shared" si="195"/>
        <v>56</v>
      </c>
      <c r="P723" s="4">
        <f t="shared" si="196"/>
        <v>34</v>
      </c>
      <c r="Q723" s="4">
        <f t="shared" si="197"/>
        <v>30</v>
      </c>
      <c r="R723" s="4">
        <f t="shared" si="198"/>
        <v>45</v>
      </c>
      <c r="S723" s="102">
        <f t="shared" si="199"/>
        <v>34</v>
      </c>
      <c r="U723" s="101">
        <f t="shared" si="200"/>
        <v>71</v>
      </c>
      <c r="V723" s="4">
        <f t="shared" si="201"/>
        <v>78</v>
      </c>
      <c r="W723" s="4">
        <f t="shared" si="202"/>
        <v>78</v>
      </c>
      <c r="X723" s="4">
        <f t="shared" si="203"/>
        <v>46</v>
      </c>
      <c r="Y723" s="4">
        <f t="shared" si="204"/>
        <v>39</v>
      </c>
      <c r="Z723" s="4">
        <f t="shared" si="205"/>
        <v>71</v>
      </c>
      <c r="AA723" s="102">
        <f t="shared" si="206"/>
        <v>46</v>
      </c>
      <c r="AC723" s="100">
        <f t="shared" si="207"/>
        <v>0.96469267614850185</v>
      </c>
    </row>
    <row r="724" spans="4:29" x14ac:dyDescent="0.35">
      <c r="D724">
        <f t="shared" si="208"/>
        <v>720</v>
      </c>
      <c r="E724" s="101">
        <v>3</v>
      </c>
      <c r="F724" s="4">
        <v>5</v>
      </c>
      <c r="G724" s="4">
        <v>1</v>
      </c>
      <c r="H724" s="4">
        <v>6</v>
      </c>
      <c r="I724" s="4">
        <v>6</v>
      </c>
      <c r="J724" s="4">
        <v>3</v>
      </c>
      <c r="K724" s="102">
        <v>3</v>
      </c>
      <c r="M724" s="101">
        <f t="shared" si="193"/>
        <v>23</v>
      </c>
      <c r="N724" s="4">
        <f t="shared" si="194"/>
        <v>30</v>
      </c>
      <c r="O724" s="4">
        <f t="shared" si="195"/>
        <v>34</v>
      </c>
      <c r="P724" s="4">
        <f t="shared" si="196"/>
        <v>45</v>
      </c>
      <c r="Q724" s="4">
        <f t="shared" si="197"/>
        <v>45</v>
      </c>
      <c r="R724" s="4">
        <f t="shared" si="198"/>
        <v>23</v>
      </c>
      <c r="S724" s="102">
        <f t="shared" si="199"/>
        <v>23</v>
      </c>
      <c r="U724" s="101">
        <f t="shared" si="200"/>
        <v>39</v>
      </c>
      <c r="V724" s="4">
        <f t="shared" si="201"/>
        <v>39</v>
      </c>
      <c r="W724" s="4">
        <f t="shared" si="202"/>
        <v>46</v>
      </c>
      <c r="X724" s="4">
        <f t="shared" si="203"/>
        <v>71</v>
      </c>
      <c r="Y724" s="4">
        <f t="shared" si="204"/>
        <v>71</v>
      </c>
      <c r="Z724" s="4">
        <f t="shared" si="205"/>
        <v>39</v>
      </c>
      <c r="AA724" s="102">
        <f t="shared" si="206"/>
        <v>39</v>
      </c>
      <c r="AC724" s="100">
        <f t="shared" si="207"/>
        <v>0.95081674813670403</v>
      </c>
    </row>
    <row r="725" spans="4:29" x14ac:dyDescent="0.35">
      <c r="D725">
        <f t="shared" si="208"/>
        <v>721</v>
      </c>
      <c r="E725" s="101">
        <v>4</v>
      </c>
      <c r="F725" s="4">
        <v>7</v>
      </c>
      <c r="G725" s="4">
        <v>1</v>
      </c>
      <c r="H725" s="4">
        <v>2</v>
      </c>
      <c r="I725" s="4">
        <v>5</v>
      </c>
      <c r="J725" s="4">
        <v>2</v>
      </c>
      <c r="K725" s="102">
        <v>4</v>
      </c>
      <c r="M725" s="101">
        <f t="shared" si="193"/>
        <v>12</v>
      </c>
      <c r="N725" s="4">
        <f t="shared" si="194"/>
        <v>29</v>
      </c>
      <c r="O725" s="4">
        <f t="shared" si="195"/>
        <v>34</v>
      </c>
      <c r="P725" s="4">
        <f t="shared" si="196"/>
        <v>56</v>
      </c>
      <c r="Q725" s="4">
        <f t="shared" si="197"/>
        <v>30</v>
      </c>
      <c r="R725" s="4">
        <f t="shared" si="198"/>
        <v>56</v>
      </c>
      <c r="S725" s="102">
        <f t="shared" si="199"/>
        <v>12</v>
      </c>
      <c r="U725" s="101">
        <f t="shared" si="200"/>
        <v>9</v>
      </c>
      <c r="V725" s="4">
        <f t="shared" si="201"/>
        <v>41</v>
      </c>
      <c r="W725" s="4">
        <f t="shared" si="202"/>
        <v>46</v>
      </c>
      <c r="X725" s="4">
        <f t="shared" si="203"/>
        <v>78</v>
      </c>
      <c r="Y725" s="4">
        <f t="shared" si="204"/>
        <v>39</v>
      </c>
      <c r="Z725" s="4">
        <f t="shared" si="205"/>
        <v>78</v>
      </c>
      <c r="AA725" s="102">
        <f t="shared" si="206"/>
        <v>9</v>
      </c>
      <c r="AC725" s="100">
        <f t="shared" si="207"/>
        <v>0.99744176146644026</v>
      </c>
    </row>
    <row r="726" spans="4:29" x14ac:dyDescent="0.35">
      <c r="D726">
        <f t="shared" si="208"/>
        <v>722</v>
      </c>
      <c r="E726" s="101">
        <v>4</v>
      </c>
      <c r="F726" s="4">
        <v>3</v>
      </c>
      <c r="G726" s="4">
        <v>6</v>
      </c>
      <c r="H726" s="4">
        <v>7</v>
      </c>
      <c r="I726" s="4">
        <v>7</v>
      </c>
      <c r="J726" s="4">
        <v>5</v>
      </c>
      <c r="K726" s="102">
        <v>5</v>
      </c>
      <c r="M726" s="101">
        <f t="shared" si="193"/>
        <v>12</v>
      </c>
      <c r="N726" s="4">
        <f t="shared" si="194"/>
        <v>23</v>
      </c>
      <c r="O726" s="4">
        <f t="shared" si="195"/>
        <v>45</v>
      </c>
      <c r="P726" s="4">
        <f t="shared" si="196"/>
        <v>29</v>
      </c>
      <c r="Q726" s="4">
        <f t="shared" si="197"/>
        <v>29</v>
      </c>
      <c r="R726" s="4">
        <f t="shared" si="198"/>
        <v>30</v>
      </c>
      <c r="S726" s="102">
        <f t="shared" si="199"/>
        <v>30</v>
      </c>
      <c r="U726" s="101">
        <f t="shared" si="200"/>
        <v>9</v>
      </c>
      <c r="V726" s="4">
        <f t="shared" si="201"/>
        <v>39</v>
      </c>
      <c r="W726" s="4">
        <f t="shared" si="202"/>
        <v>71</v>
      </c>
      <c r="X726" s="4">
        <f t="shared" si="203"/>
        <v>41</v>
      </c>
      <c r="Y726" s="4">
        <f t="shared" si="204"/>
        <v>41</v>
      </c>
      <c r="Z726" s="4">
        <f t="shared" si="205"/>
        <v>39</v>
      </c>
      <c r="AA726" s="102">
        <f t="shared" si="206"/>
        <v>39</v>
      </c>
      <c r="AC726" s="100">
        <f t="shared" si="207"/>
        <v>0.97127804478825375</v>
      </c>
    </row>
    <row r="727" spans="4:29" x14ac:dyDescent="0.35">
      <c r="D727">
        <f t="shared" si="208"/>
        <v>723</v>
      </c>
      <c r="E727" s="101">
        <v>1</v>
      </c>
      <c r="F727" s="4">
        <v>3</v>
      </c>
      <c r="G727" s="4">
        <v>4</v>
      </c>
      <c r="H727" s="4">
        <v>3</v>
      </c>
      <c r="I727" s="4">
        <v>7</v>
      </c>
      <c r="J727" s="4">
        <v>6</v>
      </c>
      <c r="K727" s="102">
        <v>4</v>
      </c>
      <c r="M727" s="101">
        <f t="shared" si="193"/>
        <v>34</v>
      </c>
      <c r="N727" s="4">
        <f t="shared" si="194"/>
        <v>23</v>
      </c>
      <c r="O727" s="4">
        <f t="shared" si="195"/>
        <v>12</v>
      </c>
      <c r="P727" s="4">
        <f t="shared" si="196"/>
        <v>23</v>
      </c>
      <c r="Q727" s="4">
        <f t="shared" si="197"/>
        <v>29</v>
      </c>
      <c r="R727" s="4">
        <f t="shared" si="198"/>
        <v>45</v>
      </c>
      <c r="S727" s="102">
        <f t="shared" si="199"/>
        <v>12</v>
      </c>
      <c r="U727" s="101">
        <f t="shared" si="200"/>
        <v>46</v>
      </c>
      <c r="V727" s="4">
        <f t="shared" si="201"/>
        <v>39</v>
      </c>
      <c r="W727" s="4">
        <f t="shared" si="202"/>
        <v>9</v>
      </c>
      <c r="X727" s="4">
        <f t="shared" si="203"/>
        <v>39</v>
      </c>
      <c r="Y727" s="4">
        <f t="shared" si="204"/>
        <v>41</v>
      </c>
      <c r="Z727" s="4">
        <f t="shared" si="205"/>
        <v>71</v>
      </c>
      <c r="AA727" s="102">
        <f t="shared" si="206"/>
        <v>9</v>
      </c>
      <c r="AC727" s="100">
        <f t="shared" si="207"/>
        <v>0.97211692508447511</v>
      </c>
    </row>
    <row r="728" spans="4:29" x14ac:dyDescent="0.35">
      <c r="D728">
        <f t="shared" si="208"/>
        <v>724</v>
      </c>
      <c r="E728" s="101">
        <v>5</v>
      </c>
      <c r="F728" s="4">
        <v>2</v>
      </c>
      <c r="G728" s="4">
        <v>2</v>
      </c>
      <c r="H728" s="4">
        <v>5</v>
      </c>
      <c r="I728" s="4">
        <v>1</v>
      </c>
      <c r="J728" s="4">
        <v>2</v>
      </c>
      <c r="K728" s="102">
        <v>4</v>
      </c>
      <c r="M728" s="101">
        <f t="shared" si="193"/>
        <v>30</v>
      </c>
      <c r="N728" s="4">
        <f t="shared" si="194"/>
        <v>56</v>
      </c>
      <c r="O728" s="4">
        <f t="shared" si="195"/>
        <v>56</v>
      </c>
      <c r="P728" s="4">
        <f t="shared" si="196"/>
        <v>30</v>
      </c>
      <c r="Q728" s="4">
        <f t="shared" si="197"/>
        <v>34</v>
      </c>
      <c r="R728" s="4">
        <f t="shared" si="198"/>
        <v>56</v>
      </c>
      <c r="S728" s="102">
        <f t="shared" si="199"/>
        <v>12</v>
      </c>
      <c r="U728" s="101">
        <f t="shared" si="200"/>
        <v>39</v>
      </c>
      <c r="V728" s="4">
        <f t="shared" si="201"/>
        <v>78</v>
      </c>
      <c r="W728" s="4">
        <f t="shared" si="202"/>
        <v>78</v>
      </c>
      <c r="X728" s="4">
        <f t="shared" si="203"/>
        <v>39</v>
      </c>
      <c r="Y728" s="4">
        <f t="shared" si="204"/>
        <v>46</v>
      </c>
      <c r="Z728" s="4">
        <f t="shared" si="205"/>
        <v>78</v>
      </c>
      <c r="AA728" s="102">
        <f t="shared" si="206"/>
        <v>9</v>
      </c>
      <c r="AC728" s="100">
        <f t="shared" si="207"/>
        <v>0.99927446179482904</v>
      </c>
    </row>
    <row r="729" spans="4:29" x14ac:dyDescent="0.35">
      <c r="D729">
        <f t="shared" si="208"/>
        <v>725</v>
      </c>
      <c r="E729" s="101">
        <v>3</v>
      </c>
      <c r="F729" s="4">
        <v>2</v>
      </c>
      <c r="G729" s="4">
        <v>2</v>
      </c>
      <c r="H729" s="4">
        <v>2</v>
      </c>
      <c r="I729" s="4">
        <v>2</v>
      </c>
      <c r="J729" s="4">
        <v>6</v>
      </c>
      <c r="K729" s="102">
        <v>4</v>
      </c>
      <c r="M729" s="101">
        <f t="shared" si="193"/>
        <v>23</v>
      </c>
      <c r="N729" s="4">
        <f t="shared" si="194"/>
        <v>56</v>
      </c>
      <c r="O729" s="4">
        <f t="shared" si="195"/>
        <v>56</v>
      </c>
      <c r="P729" s="4">
        <f t="shared" si="196"/>
        <v>56</v>
      </c>
      <c r="Q729" s="4">
        <f t="shared" si="197"/>
        <v>56</v>
      </c>
      <c r="R729" s="4">
        <f t="shared" si="198"/>
        <v>45</v>
      </c>
      <c r="S729" s="102">
        <f t="shared" si="199"/>
        <v>12</v>
      </c>
      <c r="U729" s="101">
        <f t="shared" si="200"/>
        <v>39</v>
      </c>
      <c r="V729" s="4">
        <f t="shared" si="201"/>
        <v>78</v>
      </c>
      <c r="W729" s="4">
        <f t="shared" si="202"/>
        <v>78</v>
      </c>
      <c r="X729" s="4">
        <f t="shared" si="203"/>
        <v>78</v>
      </c>
      <c r="Y729" s="4">
        <f t="shared" si="204"/>
        <v>78</v>
      </c>
      <c r="Z729" s="4">
        <f t="shared" si="205"/>
        <v>71</v>
      </c>
      <c r="AA729" s="102">
        <f t="shared" si="206"/>
        <v>9</v>
      </c>
      <c r="AC729" s="100">
        <f t="shared" si="207"/>
        <v>0.98150499946134939</v>
      </c>
    </row>
    <row r="730" spans="4:29" x14ac:dyDescent="0.35">
      <c r="D730">
        <f t="shared" si="208"/>
        <v>726</v>
      </c>
      <c r="E730" s="101">
        <v>2</v>
      </c>
      <c r="F730" s="4">
        <v>7</v>
      </c>
      <c r="G730" s="4">
        <v>6</v>
      </c>
      <c r="H730" s="4">
        <v>6</v>
      </c>
      <c r="I730" s="4">
        <v>4</v>
      </c>
      <c r="J730" s="4">
        <v>5</v>
      </c>
      <c r="K730" s="102">
        <v>6</v>
      </c>
      <c r="M730" s="101">
        <f t="shared" si="193"/>
        <v>56</v>
      </c>
      <c r="N730" s="4">
        <f t="shared" si="194"/>
        <v>29</v>
      </c>
      <c r="O730" s="4">
        <f t="shared" si="195"/>
        <v>45</v>
      </c>
      <c r="P730" s="4">
        <f t="shared" si="196"/>
        <v>45</v>
      </c>
      <c r="Q730" s="4">
        <f t="shared" si="197"/>
        <v>12</v>
      </c>
      <c r="R730" s="4">
        <f t="shared" si="198"/>
        <v>30</v>
      </c>
      <c r="S730" s="102">
        <f t="shared" si="199"/>
        <v>45</v>
      </c>
      <c r="U730" s="101">
        <f t="shared" si="200"/>
        <v>78</v>
      </c>
      <c r="V730" s="4">
        <f t="shared" si="201"/>
        <v>41</v>
      </c>
      <c r="W730" s="4">
        <f t="shared" si="202"/>
        <v>71</v>
      </c>
      <c r="X730" s="4">
        <f t="shared" si="203"/>
        <v>71</v>
      </c>
      <c r="Y730" s="4">
        <f t="shared" si="204"/>
        <v>9</v>
      </c>
      <c r="Z730" s="4">
        <f t="shared" si="205"/>
        <v>39</v>
      </c>
      <c r="AA730" s="102">
        <f t="shared" si="206"/>
        <v>71</v>
      </c>
      <c r="AC730" s="100">
        <f t="shared" si="207"/>
        <v>0.984549457952832</v>
      </c>
    </row>
    <row r="731" spans="4:29" x14ac:dyDescent="0.35">
      <c r="D731">
        <f t="shared" si="208"/>
        <v>727</v>
      </c>
      <c r="E731" s="101">
        <v>7</v>
      </c>
      <c r="F731" s="4">
        <v>1</v>
      </c>
      <c r="G731" s="4">
        <v>7</v>
      </c>
      <c r="H731" s="4">
        <v>5</v>
      </c>
      <c r="I731" s="4">
        <v>7</v>
      </c>
      <c r="J731" s="4">
        <v>3</v>
      </c>
      <c r="K731" s="102">
        <v>6</v>
      </c>
      <c r="M731" s="101">
        <f t="shared" si="193"/>
        <v>29</v>
      </c>
      <c r="N731" s="4">
        <f t="shared" si="194"/>
        <v>34</v>
      </c>
      <c r="O731" s="4">
        <f t="shared" si="195"/>
        <v>29</v>
      </c>
      <c r="P731" s="4">
        <f t="shared" si="196"/>
        <v>30</v>
      </c>
      <c r="Q731" s="4">
        <f t="shared" si="197"/>
        <v>29</v>
      </c>
      <c r="R731" s="4">
        <f t="shared" si="198"/>
        <v>23</v>
      </c>
      <c r="S731" s="102">
        <f t="shared" si="199"/>
        <v>45</v>
      </c>
      <c r="U731" s="101">
        <f t="shared" si="200"/>
        <v>41</v>
      </c>
      <c r="V731" s="4">
        <f t="shared" si="201"/>
        <v>46</v>
      </c>
      <c r="W731" s="4">
        <f t="shared" si="202"/>
        <v>41</v>
      </c>
      <c r="X731" s="4">
        <f t="shared" si="203"/>
        <v>39</v>
      </c>
      <c r="Y731" s="4">
        <f t="shared" si="204"/>
        <v>41</v>
      </c>
      <c r="Z731" s="4">
        <f t="shared" si="205"/>
        <v>39</v>
      </c>
      <c r="AA731" s="102">
        <f t="shared" si="206"/>
        <v>71</v>
      </c>
      <c r="AC731" s="100">
        <f t="shared" si="207"/>
        <v>0.93855561311053559</v>
      </c>
    </row>
    <row r="732" spans="4:29" x14ac:dyDescent="0.35">
      <c r="D732">
        <f t="shared" si="208"/>
        <v>728</v>
      </c>
      <c r="E732" s="101">
        <v>3</v>
      </c>
      <c r="F732" s="4">
        <v>4</v>
      </c>
      <c r="G732" s="4">
        <v>2</v>
      </c>
      <c r="H732" s="4">
        <v>1</v>
      </c>
      <c r="I732" s="4">
        <v>6</v>
      </c>
      <c r="J732" s="4">
        <v>3</v>
      </c>
      <c r="K732" s="102">
        <v>3</v>
      </c>
      <c r="M732" s="101">
        <f t="shared" si="193"/>
        <v>23</v>
      </c>
      <c r="N732" s="4">
        <f t="shared" si="194"/>
        <v>12</v>
      </c>
      <c r="O732" s="4">
        <f t="shared" si="195"/>
        <v>56</v>
      </c>
      <c r="P732" s="4">
        <f t="shared" si="196"/>
        <v>34</v>
      </c>
      <c r="Q732" s="4">
        <f t="shared" si="197"/>
        <v>45</v>
      </c>
      <c r="R732" s="4">
        <f t="shared" si="198"/>
        <v>23</v>
      </c>
      <c r="S732" s="102">
        <f t="shared" si="199"/>
        <v>23</v>
      </c>
      <c r="U732" s="101">
        <f t="shared" si="200"/>
        <v>39</v>
      </c>
      <c r="V732" s="4">
        <f t="shared" si="201"/>
        <v>9</v>
      </c>
      <c r="W732" s="4">
        <f t="shared" si="202"/>
        <v>78</v>
      </c>
      <c r="X732" s="4">
        <f t="shared" si="203"/>
        <v>46</v>
      </c>
      <c r="Y732" s="4">
        <f t="shared" si="204"/>
        <v>71</v>
      </c>
      <c r="Z732" s="4">
        <f t="shared" si="205"/>
        <v>39</v>
      </c>
      <c r="AA732" s="102">
        <f t="shared" si="206"/>
        <v>39</v>
      </c>
      <c r="AC732" s="100">
        <f t="shared" si="207"/>
        <v>0.96598392511303266</v>
      </c>
    </row>
    <row r="733" spans="4:29" x14ac:dyDescent="0.35">
      <c r="D733">
        <f t="shared" si="208"/>
        <v>729</v>
      </c>
      <c r="E733" s="101">
        <v>2</v>
      </c>
      <c r="F733" s="4">
        <v>4</v>
      </c>
      <c r="G733" s="4">
        <v>7</v>
      </c>
      <c r="H733" s="4">
        <v>5</v>
      </c>
      <c r="I733" s="4">
        <v>4</v>
      </c>
      <c r="J733" s="4">
        <v>3</v>
      </c>
      <c r="K733" s="102">
        <v>2</v>
      </c>
      <c r="M733" s="101">
        <f t="shared" si="193"/>
        <v>56</v>
      </c>
      <c r="N733" s="4">
        <f t="shared" si="194"/>
        <v>12</v>
      </c>
      <c r="O733" s="4">
        <f t="shared" si="195"/>
        <v>29</v>
      </c>
      <c r="P733" s="4">
        <f t="shared" si="196"/>
        <v>30</v>
      </c>
      <c r="Q733" s="4">
        <f t="shared" si="197"/>
        <v>12</v>
      </c>
      <c r="R733" s="4">
        <f t="shared" si="198"/>
        <v>23</v>
      </c>
      <c r="S733" s="102">
        <f t="shared" si="199"/>
        <v>56</v>
      </c>
      <c r="U733" s="101">
        <f t="shared" si="200"/>
        <v>78</v>
      </c>
      <c r="V733" s="4">
        <f t="shared" si="201"/>
        <v>9</v>
      </c>
      <c r="W733" s="4">
        <f t="shared" si="202"/>
        <v>41</v>
      </c>
      <c r="X733" s="4">
        <f t="shared" si="203"/>
        <v>39</v>
      </c>
      <c r="Y733" s="4">
        <f t="shared" si="204"/>
        <v>9</v>
      </c>
      <c r="Z733" s="4">
        <f t="shared" si="205"/>
        <v>39</v>
      </c>
      <c r="AA733" s="102">
        <f t="shared" si="206"/>
        <v>78</v>
      </c>
      <c r="AC733" s="100">
        <f t="shared" si="207"/>
        <v>0.98621454745940018</v>
      </c>
    </row>
    <row r="734" spans="4:29" x14ac:dyDescent="0.35">
      <c r="D734">
        <f t="shared" si="208"/>
        <v>730</v>
      </c>
      <c r="E734" s="101">
        <v>4</v>
      </c>
      <c r="F734" s="4">
        <v>4</v>
      </c>
      <c r="G734" s="4">
        <v>2</v>
      </c>
      <c r="H734" s="4">
        <v>7</v>
      </c>
      <c r="I734" s="4">
        <v>6</v>
      </c>
      <c r="J734" s="4">
        <v>3</v>
      </c>
      <c r="K734" s="102">
        <v>7</v>
      </c>
      <c r="M734" s="101">
        <f t="shared" si="193"/>
        <v>12</v>
      </c>
      <c r="N734" s="4">
        <f t="shared" si="194"/>
        <v>12</v>
      </c>
      <c r="O734" s="4">
        <f t="shared" si="195"/>
        <v>56</v>
      </c>
      <c r="P734" s="4">
        <f t="shared" si="196"/>
        <v>29</v>
      </c>
      <c r="Q734" s="4">
        <f t="shared" si="197"/>
        <v>45</v>
      </c>
      <c r="R734" s="4">
        <f t="shared" si="198"/>
        <v>23</v>
      </c>
      <c r="S734" s="102">
        <f t="shared" si="199"/>
        <v>29</v>
      </c>
      <c r="U734" s="101">
        <f t="shared" si="200"/>
        <v>9</v>
      </c>
      <c r="V734" s="4">
        <f t="shared" si="201"/>
        <v>9</v>
      </c>
      <c r="W734" s="4">
        <f t="shared" si="202"/>
        <v>78</v>
      </c>
      <c r="X734" s="4">
        <f t="shared" si="203"/>
        <v>41</v>
      </c>
      <c r="Y734" s="4">
        <f t="shared" si="204"/>
        <v>71</v>
      </c>
      <c r="Z734" s="4">
        <f t="shared" si="205"/>
        <v>39</v>
      </c>
      <c r="AA734" s="102">
        <f t="shared" si="206"/>
        <v>41</v>
      </c>
      <c r="AC734" s="100">
        <f t="shared" si="207"/>
        <v>0.98139683518169418</v>
      </c>
    </row>
    <row r="735" spans="4:29" x14ac:dyDescent="0.35">
      <c r="D735">
        <f t="shared" si="208"/>
        <v>731</v>
      </c>
      <c r="E735" s="101">
        <v>3</v>
      </c>
      <c r="F735" s="4">
        <v>4</v>
      </c>
      <c r="G735" s="4">
        <v>1</v>
      </c>
      <c r="H735" s="4">
        <v>3</v>
      </c>
      <c r="I735" s="4">
        <v>3</v>
      </c>
      <c r="J735" s="4">
        <v>3</v>
      </c>
      <c r="K735" s="102">
        <v>4</v>
      </c>
      <c r="M735" s="101">
        <f t="shared" si="193"/>
        <v>23</v>
      </c>
      <c r="N735" s="4">
        <f t="shared" si="194"/>
        <v>12</v>
      </c>
      <c r="O735" s="4">
        <f t="shared" si="195"/>
        <v>34</v>
      </c>
      <c r="P735" s="4">
        <f t="shared" si="196"/>
        <v>23</v>
      </c>
      <c r="Q735" s="4">
        <f t="shared" si="197"/>
        <v>23</v>
      </c>
      <c r="R735" s="4">
        <f t="shared" si="198"/>
        <v>23</v>
      </c>
      <c r="S735" s="102">
        <f t="shared" si="199"/>
        <v>12</v>
      </c>
      <c r="U735" s="101">
        <f t="shared" si="200"/>
        <v>39</v>
      </c>
      <c r="V735" s="4">
        <f t="shared" si="201"/>
        <v>9</v>
      </c>
      <c r="W735" s="4">
        <f t="shared" si="202"/>
        <v>46</v>
      </c>
      <c r="X735" s="4">
        <f t="shared" si="203"/>
        <v>39</v>
      </c>
      <c r="Y735" s="4">
        <f t="shared" si="204"/>
        <v>39</v>
      </c>
      <c r="Z735" s="4">
        <f t="shared" si="205"/>
        <v>39</v>
      </c>
      <c r="AA735" s="102">
        <f t="shared" si="206"/>
        <v>9</v>
      </c>
      <c r="AC735" s="100">
        <f t="shared" si="207"/>
        <v>0.92403385395364046</v>
      </c>
    </row>
    <row r="736" spans="4:29" x14ac:dyDescent="0.35">
      <c r="D736">
        <f t="shared" si="208"/>
        <v>732</v>
      </c>
      <c r="E736" s="101">
        <v>2</v>
      </c>
      <c r="F736" s="4">
        <v>5</v>
      </c>
      <c r="G736" s="4">
        <v>3</v>
      </c>
      <c r="H736" s="4">
        <v>3</v>
      </c>
      <c r="I736" s="4">
        <v>5</v>
      </c>
      <c r="J736" s="4">
        <v>3</v>
      </c>
      <c r="K736" s="102">
        <v>2</v>
      </c>
      <c r="M736" s="101">
        <f t="shared" si="193"/>
        <v>56</v>
      </c>
      <c r="N736" s="4">
        <f t="shared" si="194"/>
        <v>30</v>
      </c>
      <c r="O736" s="4">
        <f t="shared" si="195"/>
        <v>23</v>
      </c>
      <c r="P736" s="4">
        <f t="shared" si="196"/>
        <v>23</v>
      </c>
      <c r="Q736" s="4">
        <f t="shared" si="197"/>
        <v>30</v>
      </c>
      <c r="R736" s="4">
        <f t="shared" si="198"/>
        <v>23</v>
      </c>
      <c r="S736" s="102">
        <f t="shared" si="199"/>
        <v>56</v>
      </c>
      <c r="U736" s="101">
        <f t="shared" si="200"/>
        <v>78</v>
      </c>
      <c r="V736" s="4">
        <f t="shared" si="201"/>
        <v>39</v>
      </c>
      <c r="W736" s="4">
        <f t="shared" si="202"/>
        <v>39</v>
      </c>
      <c r="X736" s="4">
        <f t="shared" si="203"/>
        <v>39</v>
      </c>
      <c r="Y736" s="4">
        <f t="shared" si="204"/>
        <v>39</v>
      </c>
      <c r="Z736" s="4">
        <f t="shared" si="205"/>
        <v>39</v>
      </c>
      <c r="AA736" s="102">
        <f t="shared" si="206"/>
        <v>78</v>
      </c>
      <c r="AC736" s="100">
        <f t="shared" si="207"/>
        <v>0.97817132218412162</v>
      </c>
    </row>
    <row r="737" spans="4:29" x14ac:dyDescent="0.35">
      <c r="D737">
        <f t="shared" si="208"/>
        <v>733</v>
      </c>
      <c r="E737" s="101">
        <v>4</v>
      </c>
      <c r="F737" s="4">
        <v>6</v>
      </c>
      <c r="G737" s="4">
        <v>7</v>
      </c>
      <c r="H737" s="4">
        <v>4</v>
      </c>
      <c r="I737" s="4">
        <v>5</v>
      </c>
      <c r="J737" s="4">
        <v>7</v>
      </c>
      <c r="K737" s="102">
        <v>4</v>
      </c>
      <c r="M737" s="101">
        <f t="shared" si="193"/>
        <v>12</v>
      </c>
      <c r="N737" s="4">
        <f t="shared" si="194"/>
        <v>45</v>
      </c>
      <c r="O737" s="4">
        <f t="shared" si="195"/>
        <v>29</v>
      </c>
      <c r="P737" s="4">
        <f t="shared" si="196"/>
        <v>12</v>
      </c>
      <c r="Q737" s="4">
        <f t="shared" si="197"/>
        <v>30</v>
      </c>
      <c r="R737" s="4">
        <f t="shared" si="198"/>
        <v>29</v>
      </c>
      <c r="S737" s="102">
        <f t="shared" si="199"/>
        <v>12</v>
      </c>
      <c r="U737" s="101">
        <f t="shared" si="200"/>
        <v>9</v>
      </c>
      <c r="V737" s="4">
        <f t="shared" si="201"/>
        <v>71</v>
      </c>
      <c r="W737" s="4">
        <f t="shared" si="202"/>
        <v>41</v>
      </c>
      <c r="X737" s="4">
        <f t="shared" si="203"/>
        <v>9</v>
      </c>
      <c r="Y737" s="4">
        <f t="shared" si="204"/>
        <v>39</v>
      </c>
      <c r="Z737" s="4">
        <f t="shared" si="205"/>
        <v>41</v>
      </c>
      <c r="AA737" s="102">
        <f t="shared" si="206"/>
        <v>9</v>
      </c>
      <c r="AC737" s="100">
        <f t="shared" si="207"/>
        <v>0.99816765962906595</v>
      </c>
    </row>
    <row r="738" spans="4:29" x14ac:dyDescent="0.35">
      <c r="D738">
        <f t="shared" si="208"/>
        <v>734</v>
      </c>
      <c r="E738" s="101">
        <v>3</v>
      </c>
      <c r="F738" s="4">
        <v>2</v>
      </c>
      <c r="G738" s="4">
        <v>5</v>
      </c>
      <c r="H738" s="4">
        <v>2</v>
      </c>
      <c r="I738" s="4">
        <v>6</v>
      </c>
      <c r="J738" s="4">
        <v>3</v>
      </c>
      <c r="K738" s="102">
        <v>6</v>
      </c>
      <c r="M738" s="101">
        <f t="shared" si="193"/>
        <v>23</v>
      </c>
      <c r="N738" s="4">
        <f t="shared" si="194"/>
        <v>56</v>
      </c>
      <c r="O738" s="4">
        <f t="shared" si="195"/>
        <v>30</v>
      </c>
      <c r="P738" s="4">
        <f t="shared" si="196"/>
        <v>56</v>
      </c>
      <c r="Q738" s="4">
        <f t="shared" si="197"/>
        <v>45</v>
      </c>
      <c r="R738" s="4">
        <f t="shared" si="198"/>
        <v>23</v>
      </c>
      <c r="S738" s="102">
        <f t="shared" si="199"/>
        <v>45</v>
      </c>
      <c r="U738" s="101">
        <f t="shared" si="200"/>
        <v>39</v>
      </c>
      <c r="V738" s="4">
        <f t="shared" si="201"/>
        <v>78</v>
      </c>
      <c r="W738" s="4">
        <f t="shared" si="202"/>
        <v>39</v>
      </c>
      <c r="X738" s="4">
        <f t="shared" si="203"/>
        <v>78</v>
      </c>
      <c r="Y738" s="4">
        <f t="shared" si="204"/>
        <v>71</v>
      </c>
      <c r="Z738" s="4">
        <f t="shared" si="205"/>
        <v>39</v>
      </c>
      <c r="AA738" s="102">
        <f t="shared" si="206"/>
        <v>71</v>
      </c>
      <c r="AC738" s="100">
        <f t="shared" si="207"/>
        <v>0.97205226356812868</v>
      </c>
    </row>
    <row r="739" spans="4:29" x14ac:dyDescent="0.35">
      <c r="D739">
        <f t="shared" si="208"/>
        <v>735</v>
      </c>
      <c r="E739" s="101">
        <v>1</v>
      </c>
      <c r="F739" s="4">
        <v>7</v>
      </c>
      <c r="G739" s="4">
        <v>1</v>
      </c>
      <c r="H739" s="4">
        <v>6</v>
      </c>
      <c r="I739" s="4">
        <v>4</v>
      </c>
      <c r="J739" s="4">
        <v>2</v>
      </c>
      <c r="K739" s="102">
        <v>6</v>
      </c>
      <c r="M739" s="101">
        <f t="shared" si="193"/>
        <v>34</v>
      </c>
      <c r="N739" s="4">
        <f t="shared" si="194"/>
        <v>29</v>
      </c>
      <c r="O739" s="4">
        <f t="shared" si="195"/>
        <v>34</v>
      </c>
      <c r="P739" s="4">
        <f t="shared" si="196"/>
        <v>45</v>
      </c>
      <c r="Q739" s="4">
        <f t="shared" si="197"/>
        <v>12</v>
      </c>
      <c r="R739" s="4">
        <f t="shared" si="198"/>
        <v>56</v>
      </c>
      <c r="S739" s="102">
        <f t="shared" si="199"/>
        <v>45</v>
      </c>
      <c r="U739" s="101">
        <f t="shared" si="200"/>
        <v>46</v>
      </c>
      <c r="V739" s="4">
        <f t="shared" si="201"/>
        <v>41</v>
      </c>
      <c r="W739" s="4">
        <f t="shared" si="202"/>
        <v>46</v>
      </c>
      <c r="X739" s="4">
        <f t="shared" si="203"/>
        <v>71</v>
      </c>
      <c r="Y739" s="4">
        <f t="shared" si="204"/>
        <v>9</v>
      </c>
      <c r="Z739" s="4">
        <f t="shared" si="205"/>
        <v>78</v>
      </c>
      <c r="AA739" s="102">
        <f t="shared" si="206"/>
        <v>71</v>
      </c>
      <c r="AC739" s="100">
        <f t="shared" si="207"/>
        <v>0.98499972596168728</v>
      </c>
    </row>
    <row r="740" spans="4:29" x14ac:dyDescent="0.35">
      <c r="D740">
        <f t="shared" si="208"/>
        <v>736</v>
      </c>
      <c r="E740" s="101">
        <v>2</v>
      </c>
      <c r="F740" s="4">
        <v>5</v>
      </c>
      <c r="G740" s="4">
        <v>2</v>
      </c>
      <c r="H740" s="4">
        <v>5</v>
      </c>
      <c r="I740" s="4">
        <v>2</v>
      </c>
      <c r="J740" s="4">
        <v>1</v>
      </c>
      <c r="K740" s="102">
        <v>4</v>
      </c>
      <c r="M740" s="101">
        <f t="shared" si="193"/>
        <v>56</v>
      </c>
      <c r="N740" s="4">
        <f t="shared" si="194"/>
        <v>30</v>
      </c>
      <c r="O740" s="4">
        <f t="shared" si="195"/>
        <v>56</v>
      </c>
      <c r="P740" s="4">
        <f t="shared" si="196"/>
        <v>30</v>
      </c>
      <c r="Q740" s="4">
        <f t="shared" si="197"/>
        <v>56</v>
      </c>
      <c r="R740" s="4">
        <f t="shared" si="198"/>
        <v>34</v>
      </c>
      <c r="S740" s="102">
        <f t="shared" si="199"/>
        <v>12</v>
      </c>
      <c r="U740" s="101">
        <f t="shared" si="200"/>
        <v>78</v>
      </c>
      <c r="V740" s="4">
        <f t="shared" si="201"/>
        <v>39</v>
      </c>
      <c r="W740" s="4">
        <f t="shared" si="202"/>
        <v>78</v>
      </c>
      <c r="X740" s="4">
        <f t="shared" si="203"/>
        <v>39</v>
      </c>
      <c r="Y740" s="4">
        <f t="shared" si="204"/>
        <v>78</v>
      </c>
      <c r="Z740" s="4">
        <f t="shared" si="205"/>
        <v>46</v>
      </c>
      <c r="AA740" s="102">
        <f t="shared" si="206"/>
        <v>9</v>
      </c>
      <c r="AC740" s="100">
        <f t="shared" si="207"/>
        <v>0.99927446179482893</v>
      </c>
    </row>
    <row r="741" spans="4:29" x14ac:dyDescent="0.35">
      <c r="D741">
        <f t="shared" si="208"/>
        <v>737</v>
      </c>
      <c r="E741" s="101">
        <v>4</v>
      </c>
      <c r="F741" s="4">
        <v>2</v>
      </c>
      <c r="G741" s="4">
        <v>7</v>
      </c>
      <c r="H741" s="4">
        <v>1</v>
      </c>
      <c r="I741" s="4">
        <v>1</v>
      </c>
      <c r="J741" s="4">
        <v>4</v>
      </c>
      <c r="K741" s="102">
        <v>3</v>
      </c>
      <c r="M741" s="101">
        <f t="shared" si="193"/>
        <v>12</v>
      </c>
      <c r="N741" s="4">
        <f t="shared" si="194"/>
        <v>56</v>
      </c>
      <c r="O741" s="4">
        <f t="shared" si="195"/>
        <v>29</v>
      </c>
      <c r="P741" s="4">
        <f t="shared" si="196"/>
        <v>34</v>
      </c>
      <c r="Q741" s="4">
        <f t="shared" si="197"/>
        <v>34</v>
      </c>
      <c r="R741" s="4">
        <f t="shared" si="198"/>
        <v>12</v>
      </c>
      <c r="S741" s="102">
        <f t="shared" si="199"/>
        <v>23</v>
      </c>
      <c r="U741" s="101">
        <f t="shared" si="200"/>
        <v>9</v>
      </c>
      <c r="V741" s="4">
        <f t="shared" si="201"/>
        <v>78</v>
      </c>
      <c r="W741" s="4">
        <f t="shared" si="202"/>
        <v>41</v>
      </c>
      <c r="X741" s="4">
        <f t="shared" si="203"/>
        <v>46</v>
      </c>
      <c r="Y741" s="4">
        <f t="shared" si="204"/>
        <v>46</v>
      </c>
      <c r="Z741" s="4">
        <f t="shared" si="205"/>
        <v>9</v>
      </c>
      <c r="AA741" s="102">
        <f t="shared" si="206"/>
        <v>39</v>
      </c>
      <c r="AC741" s="100">
        <f t="shared" si="207"/>
        <v>0.98137700477219703</v>
      </c>
    </row>
    <row r="742" spans="4:29" x14ac:dyDescent="0.35">
      <c r="D742">
        <f t="shared" si="208"/>
        <v>738</v>
      </c>
      <c r="E742" s="101">
        <v>7</v>
      </c>
      <c r="F742" s="4">
        <v>6</v>
      </c>
      <c r="G742" s="4">
        <v>1</v>
      </c>
      <c r="H742" s="4">
        <v>4</v>
      </c>
      <c r="I742" s="4">
        <v>7</v>
      </c>
      <c r="J742" s="4">
        <v>1</v>
      </c>
      <c r="K742" s="102">
        <v>7</v>
      </c>
      <c r="M742" s="101">
        <f t="shared" si="193"/>
        <v>29</v>
      </c>
      <c r="N742" s="4">
        <f t="shared" si="194"/>
        <v>45</v>
      </c>
      <c r="O742" s="4">
        <f t="shared" si="195"/>
        <v>34</v>
      </c>
      <c r="P742" s="4">
        <f t="shared" si="196"/>
        <v>12</v>
      </c>
      <c r="Q742" s="4">
        <f t="shared" si="197"/>
        <v>29</v>
      </c>
      <c r="R742" s="4">
        <f t="shared" si="198"/>
        <v>34</v>
      </c>
      <c r="S742" s="102">
        <f t="shared" si="199"/>
        <v>29</v>
      </c>
      <c r="U742" s="101">
        <f t="shared" si="200"/>
        <v>41</v>
      </c>
      <c r="V742" s="4">
        <f t="shared" si="201"/>
        <v>71</v>
      </c>
      <c r="W742" s="4">
        <f t="shared" si="202"/>
        <v>46</v>
      </c>
      <c r="X742" s="4">
        <f t="shared" si="203"/>
        <v>9</v>
      </c>
      <c r="Y742" s="4">
        <f t="shared" si="204"/>
        <v>41</v>
      </c>
      <c r="Z742" s="4">
        <f t="shared" si="205"/>
        <v>46</v>
      </c>
      <c r="AA742" s="102">
        <f t="shared" si="206"/>
        <v>41</v>
      </c>
      <c r="AC742" s="100">
        <f t="shared" si="207"/>
        <v>0.99349493002423006</v>
      </c>
    </row>
    <row r="743" spans="4:29" x14ac:dyDescent="0.35">
      <c r="D743">
        <f t="shared" si="208"/>
        <v>739</v>
      </c>
      <c r="E743" s="101">
        <v>2</v>
      </c>
      <c r="F743" s="4">
        <v>4</v>
      </c>
      <c r="G743" s="4">
        <v>7</v>
      </c>
      <c r="H743" s="4">
        <v>7</v>
      </c>
      <c r="I743" s="4">
        <v>5</v>
      </c>
      <c r="J743" s="4">
        <v>4</v>
      </c>
      <c r="K743" s="102">
        <v>5</v>
      </c>
      <c r="M743" s="101">
        <f t="shared" si="193"/>
        <v>56</v>
      </c>
      <c r="N743" s="4">
        <f t="shared" si="194"/>
        <v>12</v>
      </c>
      <c r="O743" s="4">
        <f t="shared" si="195"/>
        <v>29</v>
      </c>
      <c r="P743" s="4">
        <f t="shared" si="196"/>
        <v>29</v>
      </c>
      <c r="Q743" s="4">
        <f t="shared" si="197"/>
        <v>30</v>
      </c>
      <c r="R743" s="4">
        <f t="shared" si="198"/>
        <v>12</v>
      </c>
      <c r="S743" s="102">
        <f t="shared" si="199"/>
        <v>30</v>
      </c>
      <c r="U743" s="101">
        <f t="shared" si="200"/>
        <v>78</v>
      </c>
      <c r="V743" s="4">
        <f t="shared" si="201"/>
        <v>9</v>
      </c>
      <c r="W743" s="4">
        <f t="shared" si="202"/>
        <v>41</v>
      </c>
      <c r="X743" s="4">
        <f t="shared" si="203"/>
        <v>41</v>
      </c>
      <c r="Y743" s="4">
        <f t="shared" si="204"/>
        <v>39</v>
      </c>
      <c r="Z743" s="4">
        <f t="shared" si="205"/>
        <v>9</v>
      </c>
      <c r="AA743" s="102">
        <f t="shared" si="206"/>
        <v>39</v>
      </c>
      <c r="AC743" s="100">
        <f t="shared" si="207"/>
        <v>0.99477370416565492</v>
      </c>
    </row>
    <row r="744" spans="4:29" x14ac:dyDescent="0.35">
      <c r="D744">
        <f t="shared" si="208"/>
        <v>740</v>
      </c>
      <c r="E744" s="101">
        <v>3</v>
      </c>
      <c r="F744" s="4">
        <v>4</v>
      </c>
      <c r="G744" s="4">
        <v>4</v>
      </c>
      <c r="H744" s="4">
        <v>5</v>
      </c>
      <c r="I744" s="4">
        <v>2</v>
      </c>
      <c r="J744" s="4">
        <v>6</v>
      </c>
      <c r="K744" s="102">
        <v>4</v>
      </c>
      <c r="M744" s="101">
        <f t="shared" si="193"/>
        <v>23</v>
      </c>
      <c r="N744" s="4">
        <f t="shared" si="194"/>
        <v>12</v>
      </c>
      <c r="O744" s="4">
        <f t="shared" si="195"/>
        <v>12</v>
      </c>
      <c r="P744" s="4">
        <f t="shared" si="196"/>
        <v>30</v>
      </c>
      <c r="Q744" s="4">
        <f t="shared" si="197"/>
        <v>56</v>
      </c>
      <c r="R744" s="4">
        <f t="shared" si="198"/>
        <v>45</v>
      </c>
      <c r="S744" s="102">
        <f t="shared" si="199"/>
        <v>12</v>
      </c>
      <c r="U744" s="101">
        <f t="shared" si="200"/>
        <v>39</v>
      </c>
      <c r="V744" s="4">
        <f t="shared" si="201"/>
        <v>9</v>
      </c>
      <c r="W744" s="4">
        <f t="shared" si="202"/>
        <v>9</v>
      </c>
      <c r="X744" s="4">
        <f t="shared" si="203"/>
        <v>39</v>
      </c>
      <c r="Y744" s="4">
        <f t="shared" si="204"/>
        <v>78</v>
      </c>
      <c r="Z744" s="4">
        <f t="shared" si="205"/>
        <v>71</v>
      </c>
      <c r="AA744" s="102">
        <f t="shared" si="206"/>
        <v>9</v>
      </c>
      <c r="AC744" s="100">
        <f t="shared" si="207"/>
        <v>0.98317541146557941</v>
      </c>
    </row>
    <row r="745" spans="4:29" x14ac:dyDescent="0.35">
      <c r="D745">
        <f t="shared" si="208"/>
        <v>741</v>
      </c>
      <c r="E745" s="101">
        <v>5</v>
      </c>
      <c r="F745" s="4">
        <v>7</v>
      </c>
      <c r="G745" s="4">
        <v>3</v>
      </c>
      <c r="H745" s="4">
        <v>4</v>
      </c>
      <c r="I745" s="4">
        <v>7</v>
      </c>
      <c r="J745" s="4">
        <v>6</v>
      </c>
      <c r="K745" s="102">
        <v>4</v>
      </c>
      <c r="M745" s="101">
        <f t="shared" si="193"/>
        <v>30</v>
      </c>
      <c r="N745" s="4">
        <f t="shared" si="194"/>
        <v>29</v>
      </c>
      <c r="O745" s="4">
        <f t="shared" si="195"/>
        <v>23</v>
      </c>
      <c r="P745" s="4">
        <f t="shared" si="196"/>
        <v>12</v>
      </c>
      <c r="Q745" s="4">
        <f t="shared" si="197"/>
        <v>29</v>
      </c>
      <c r="R745" s="4">
        <f t="shared" si="198"/>
        <v>45</v>
      </c>
      <c r="S745" s="102">
        <f t="shared" si="199"/>
        <v>12</v>
      </c>
      <c r="U745" s="101">
        <f t="shared" si="200"/>
        <v>39</v>
      </c>
      <c r="V745" s="4">
        <f t="shared" si="201"/>
        <v>41</v>
      </c>
      <c r="W745" s="4">
        <f t="shared" si="202"/>
        <v>39</v>
      </c>
      <c r="X745" s="4">
        <f t="shared" si="203"/>
        <v>9</v>
      </c>
      <c r="Y745" s="4">
        <f t="shared" si="204"/>
        <v>41</v>
      </c>
      <c r="Z745" s="4">
        <f t="shared" si="205"/>
        <v>71</v>
      </c>
      <c r="AA745" s="102">
        <f t="shared" si="206"/>
        <v>9</v>
      </c>
      <c r="AC745" s="100">
        <f t="shared" si="207"/>
        <v>0.98257098000103782</v>
      </c>
    </row>
    <row r="746" spans="4:29" x14ac:dyDescent="0.35">
      <c r="D746">
        <f t="shared" si="208"/>
        <v>742</v>
      </c>
      <c r="E746" s="101">
        <v>1</v>
      </c>
      <c r="F746" s="4">
        <v>3</v>
      </c>
      <c r="G746" s="4">
        <v>4</v>
      </c>
      <c r="H746" s="4">
        <v>3</v>
      </c>
      <c r="I746" s="4">
        <v>7</v>
      </c>
      <c r="J746" s="4">
        <v>4</v>
      </c>
      <c r="K746" s="102">
        <v>2</v>
      </c>
      <c r="M746" s="101">
        <f t="shared" si="193"/>
        <v>34</v>
      </c>
      <c r="N746" s="4">
        <f t="shared" si="194"/>
        <v>23</v>
      </c>
      <c r="O746" s="4">
        <f t="shared" si="195"/>
        <v>12</v>
      </c>
      <c r="P746" s="4">
        <f t="shared" si="196"/>
        <v>23</v>
      </c>
      <c r="Q746" s="4">
        <f t="shared" si="197"/>
        <v>29</v>
      </c>
      <c r="R746" s="4">
        <f t="shared" si="198"/>
        <v>12</v>
      </c>
      <c r="S746" s="102">
        <f t="shared" si="199"/>
        <v>56</v>
      </c>
      <c r="U746" s="101">
        <f t="shared" si="200"/>
        <v>46</v>
      </c>
      <c r="V746" s="4">
        <f t="shared" si="201"/>
        <v>39</v>
      </c>
      <c r="W746" s="4">
        <f t="shared" si="202"/>
        <v>9</v>
      </c>
      <c r="X746" s="4">
        <f t="shared" si="203"/>
        <v>39</v>
      </c>
      <c r="Y746" s="4">
        <f t="shared" si="204"/>
        <v>41</v>
      </c>
      <c r="Z746" s="4">
        <f t="shared" si="205"/>
        <v>9</v>
      </c>
      <c r="AA746" s="102">
        <f t="shared" si="206"/>
        <v>78</v>
      </c>
      <c r="AC746" s="100">
        <f t="shared" si="207"/>
        <v>0.97016134702718893</v>
      </c>
    </row>
    <row r="747" spans="4:29" x14ac:dyDescent="0.35">
      <c r="D747">
        <f t="shared" si="208"/>
        <v>743</v>
      </c>
      <c r="E747" s="101">
        <v>7</v>
      </c>
      <c r="F747" s="4">
        <v>1</v>
      </c>
      <c r="G747" s="4">
        <v>3</v>
      </c>
      <c r="H747" s="4">
        <v>2</v>
      </c>
      <c r="I747" s="4">
        <v>4</v>
      </c>
      <c r="J747" s="4">
        <v>2</v>
      </c>
      <c r="K747" s="102">
        <v>6</v>
      </c>
      <c r="M747" s="101">
        <f t="shared" si="193"/>
        <v>29</v>
      </c>
      <c r="N747" s="4">
        <f t="shared" si="194"/>
        <v>34</v>
      </c>
      <c r="O747" s="4">
        <f t="shared" si="195"/>
        <v>23</v>
      </c>
      <c r="P747" s="4">
        <f t="shared" si="196"/>
        <v>56</v>
      </c>
      <c r="Q747" s="4">
        <f t="shared" si="197"/>
        <v>12</v>
      </c>
      <c r="R747" s="4">
        <f t="shared" si="198"/>
        <v>56</v>
      </c>
      <c r="S747" s="102">
        <f t="shared" si="199"/>
        <v>45</v>
      </c>
      <c r="U747" s="101">
        <f t="shared" si="200"/>
        <v>41</v>
      </c>
      <c r="V747" s="4">
        <f t="shared" si="201"/>
        <v>46</v>
      </c>
      <c r="W747" s="4">
        <f t="shared" si="202"/>
        <v>39</v>
      </c>
      <c r="X747" s="4">
        <f t="shared" si="203"/>
        <v>78</v>
      </c>
      <c r="Y747" s="4">
        <f t="shared" si="204"/>
        <v>9</v>
      </c>
      <c r="Z747" s="4">
        <f t="shared" si="205"/>
        <v>78</v>
      </c>
      <c r="AA747" s="102">
        <f t="shared" si="206"/>
        <v>71</v>
      </c>
      <c r="AC747" s="100">
        <f t="shared" si="207"/>
        <v>0.97965305071165631</v>
      </c>
    </row>
    <row r="748" spans="4:29" x14ac:dyDescent="0.35">
      <c r="D748">
        <f t="shared" si="208"/>
        <v>744</v>
      </c>
      <c r="E748" s="101">
        <v>5</v>
      </c>
      <c r="F748" s="4">
        <v>4</v>
      </c>
      <c r="G748" s="4">
        <v>6</v>
      </c>
      <c r="H748" s="4">
        <v>6</v>
      </c>
      <c r="I748" s="4">
        <v>4</v>
      </c>
      <c r="J748" s="4">
        <v>1</v>
      </c>
      <c r="K748" s="102">
        <v>6</v>
      </c>
      <c r="M748" s="101">
        <f t="shared" si="193"/>
        <v>30</v>
      </c>
      <c r="N748" s="4">
        <f t="shared" si="194"/>
        <v>12</v>
      </c>
      <c r="O748" s="4">
        <f t="shared" si="195"/>
        <v>45</v>
      </c>
      <c r="P748" s="4">
        <f t="shared" si="196"/>
        <v>45</v>
      </c>
      <c r="Q748" s="4">
        <f t="shared" si="197"/>
        <v>12</v>
      </c>
      <c r="R748" s="4">
        <f t="shared" si="198"/>
        <v>34</v>
      </c>
      <c r="S748" s="102">
        <f t="shared" si="199"/>
        <v>45</v>
      </c>
      <c r="U748" s="101">
        <f t="shared" si="200"/>
        <v>39</v>
      </c>
      <c r="V748" s="4">
        <f t="shared" si="201"/>
        <v>9</v>
      </c>
      <c r="W748" s="4">
        <f t="shared" si="202"/>
        <v>71</v>
      </c>
      <c r="X748" s="4">
        <f t="shared" si="203"/>
        <v>71</v>
      </c>
      <c r="Y748" s="4">
        <f t="shared" si="204"/>
        <v>9</v>
      </c>
      <c r="Z748" s="4">
        <f t="shared" si="205"/>
        <v>46</v>
      </c>
      <c r="AA748" s="102">
        <f t="shared" si="206"/>
        <v>71</v>
      </c>
      <c r="AC748" s="100">
        <f t="shared" si="207"/>
        <v>0.99743487826899646</v>
      </c>
    </row>
    <row r="749" spans="4:29" x14ac:dyDescent="0.35">
      <c r="D749">
        <f t="shared" si="208"/>
        <v>745</v>
      </c>
      <c r="E749" s="101">
        <v>3</v>
      </c>
      <c r="F749" s="4">
        <v>3</v>
      </c>
      <c r="G749" s="4">
        <v>4</v>
      </c>
      <c r="H749" s="4">
        <v>1</v>
      </c>
      <c r="I749" s="4">
        <v>5</v>
      </c>
      <c r="J749" s="4">
        <v>3</v>
      </c>
      <c r="K749" s="102">
        <v>4</v>
      </c>
      <c r="M749" s="101">
        <f t="shared" si="193"/>
        <v>23</v>
      </c>
      <c r="N749" s="4">
        <f t="shared" si="194"/>
        <v>23</v>
      </c>
      <c r="O749" s="4">
        <f t="shared" si="195"/>
        <v>12</v>
      </c>
      <c r="P749" s="4">
        <f t="shared" si="196"/>
        <v>34</v>
      </c>
      <c r="Q749" s="4">
        <f t="shared" si="197"/>
        <v>30</v>
      </c>
      <c r="R749" s="4">
        <f t="shared" si="198"/>
        <v>23</v>
      </c>
      <c r="S749" s="102">
        <f t="shared" si="199"/>
        <v>12</v>
      </c>
      <c r="U749" s="101">
        <f t="shared" si="200"/>
        <v>39</v>
      </c>
      <c r="V749" s="4">
        <f t="shared" si="201"/>
        <v>39</v>
      </c>
      <c r="W749" s="4">
        <f t="shared" si="202"/>
        <v>9</v>
      </c>
      <c r="X749" s="4">
        <f t="shared" si="203"/>
        <v>46</v>
      </c>
      <c r="Y749" s="4">
        <f t="shared" si="204"/>
        <v>39</v>
      </c>
      <c r="Z749" s="4">
        <f t="shared" si="205"/>
        <v>39</v>
      </c>
      <c r="AA749" s="102">
        <f t="shared" si="206"/>
        <v>9</v>
      </c>
      <c r="AC749" s="100">
        <f t="shared" si="207"/>
        <v>0.91761792137740705</v>
      </c>
    </row>
    <row r="750" spans="4:29" x14ac:dyDescent="0.35">
      <c r="D750">
        <f t="shared" si="208"/>
        <v>746</v>
      </c>
      <c r="E750" s="101">
        <v>3</v>
      </c>
      <c r="F750" s="4">
        <v>6</v>
      </c>
      <c r="G750" s="4">
        <v>2</v>
      </c>
      <c r="H750" s="4">
        <v>4</v>
      </c>
      <c r="I750" s="4">
        <v>7</v>
      </c>
      <c r="J750" s="4">
        <v>4</v>
      </c>
      <c r="K750" s="102">
        <v>2</v>
      </c>
      <c r="M750" s="101">
        <f t="shared" si="193"/>
        <v>23</v>
      </c>
      <c r="N750" s="4">
        <f t="shared" si="194"/>
        <v>45</v>
      </c>
      <c r="O750" s="4">
        <f t="shared" si="195"/>
        <v>56</v>
      </c>
      <c r="P750" s="4">
        <f t="shared" si="196"/>
        <v>12</v>
      </c>
      <c r="Q750" s="4">
        <f t="shared" si="197"/>
        <v>29</v>
      </c>
      <c r="R750" s="4">
        <f t="shared" si="198"/>
        <v>12</v>
      </c>
      <c r="S750" s="102">
        <f t="shared" si="199"/>
        <v>56</v>
      </c>
      <c r="U750" s="101">
        <f t="shared" si="200"/>
        <v>39</v>
      </c>
      <c r="V750" s="4">
        <f t="shared" si="201"/>
        <v>71</v>
      </c>
      <c r="W750" s="4">
        <f t="shared" si="202"/>
        <v>78</v>
      </c>
      <c r="X750" s="4">
        <f t="shared" si="203"/>
        <v>9</v>
      </c>
      <c r="Y750" s="4">
        <f t="shared" si="204"/>
        <v>41</v>
      </c>
      <c r="Z750" s="4">
        <f t="shared" si="205"/>
        <v>9</v>
      </c>
      <c r="AA750" s="102">
        <f t="shared" si="206"/>
        <v>78</v>
      </c>
      <c r="AC750" s="100">
        <f t="shared" si="207"/>
        <v>0.98336904783197421</v>
      </c>
    </row>
    <row r="751" spans="4:29" x14ac:dyDescent="0.35">
      <c r="D751">
        <f t="shared" si="208"/>
        <v>747</v>
      </c>
      <c r="E751" s="101">
        <v>3</v>
      </c>
      <c r="F751" s="4">
        <v>4</v>
      </c>
      <c r="G751" s="4">
        <v>5</v>
      </c>
      <c r="H751" s="4">
        <v>5</v>
      </c>
      <c r="I751" s="4">
        <v>4</v>
      </c>
      <c r="J751" s="4">
        <v>5</v>
      </c>
      <c r="K751" s="102">
        <v>6</v>
      </c>
      <c r="M751" s="101">
        <f t="shared" si="193"/>
        <v>23</v>
      </c>
      <c r="N751" s="4">
        <f t="shared" si="194"/>
        <v>12</v>
      </c>
      <c r="O751" s="4">
        <f t="shared" si="195"/>
        <v>30</v>
      </c>
      <c r="P751" s="4">
        <f t="shared" si="196"/>
        <v>30</v>
      </c>
      <c r="Q751" s="4">
        <f t="shared" si="197"/>
        <v>12</v>
      </c>
      <c r="R751" s="4">
        <f t="shared" si="198"/>
        <v>30</v>
      </c>
      <c r="S751" s="102">
        <f t="shared" si="199"/>
        <v>45</v>
      </c>
      <c r="U751" s="101">
        <f t="shared" si="200"/>
        <v>39</v>
      </c>
      <c r="V751" s="4">
        <f t="shared" si="201"/>
        <v>9</v>
      </c>
      <c r="W751" s="4">
        <f t="shared" si="202"/>
        <v>39</v>
      </c>
      <c r="X751" s="4">
        <f t="shared" si="203"/>
        <v>39</v>
      </c>
      <c r="Y751" s="4">
        <f t="shared" si="204"/>
        <v>9</v>
      </c>
      <c r="Z751" s="4">
        <f t="shared" si="205"/>
        <v>39</v>
      </c>
      <c r="AA751" s="102">
        <f t="shared" si="206"/>
        <v>71</v>
      </c>
      <c r="AC751" s="100">
        <f t="shared" si="207"/>
        <v>0.97696995919848995</v>
      </c>
    </row>
    <row r="752" spans="4:29" x14ac:dyDescent="0.35">
      <c r="D752">
        <f t="shared" si="208"/>
        <v>748</v>
      </c>
      <c r="E752" s="101">
        <v>3</v>
      </c>
      <c r="F752" s="4">
        <v>2</v>
      </c>
      <c r="G752" s="4">
        <v>4</v>
      </c>
      <c r="H752" s="4">
        <v>6</v>
      </c>
      <c r="I752" s="4">
        <v>3</v>
      </c>
      <c r="J752" s="4">
        <v>6</v>
      </c>
      <c r="K752" s="102">
        <v>5</v>
      </c>
      <c r="M752" s="101">
        <f t="shared" si="193"/>
        <v>23</v>
      </c>
      <c r="N752" s="4">
        <f t="shared" si="194"/>
        <v>56</v>
      </c>
      <c r="O752" s="4">
        <f t="shared" si="195"/>
        <v>12</v>
      </c>
      <c r="P752" s="4">
        <f t="shared" si="196"/>
        <v>45</v>
      </c>
      <c r="Q752" s="4">
        <f t="shared" si="197"/>
        <v>23</v>
      </c>
      <c r="R752" s="4">
        <f t="shared" si="198"/>
        <v>45</v>
      </c>
      <c r="S752" s="102">
        <f t="shared" si="199"/>
        <v>30</v>
      </c>
      <c r="U752" s="101">
        <f t="shared" si="200"/>
        <v>39</v>
      </c>
      <c r="V752" s="4">
        <f t="shared" si="201"/>
        <v>78</v>
      </c>
      <c r="W752" s="4">
        <f t="shared" si="202"/>
        <v>9</v>
      </c>
      <c r="X752" s="4">
        <f t="shared" si="203"/>
        <v>71</v>
      </c>
      <c r="Y752" s="4">
        <f t="shared" si="204"/>
        <v>39</v>
      </c>
      <c r="Z752" s="4">
        <f t="shared" si="205"/>
        <v>71</v>
      </c>
      <c r="AA752" s="102">
        <f t="shared" si="206"/>
        <v>39</v>
      </c>
      <c r="AC752" s="100">
        <f t="shared" si="207"/>
        <v>0.97105498268871882</v>
      </c>
    </row>
    <row r="753" spans="4:29" x14ac:dyDescent="0.35">
      <c r="D753">
        <f t="shared" si="208"/>
        <v>749</v>
      </c>
      <c r="E753" s="101">
        <v>2</v>
      </c>
      <c r="F753" s="4">
        <v>6</v>
      </c>
      <c r="G753" s="4">
        <v>7</v>
      </c>
      <c r="H753" s="4">
        <v>5</v>
      </c>
      <c r="I753" s="4">
        <v>1</v>
      </c>
      <c r="J753" s="4">
        <v>3</v>
      </c>
      <c r="K753" s="102">
        <v>6</v>
      </c>
      <c r="M753" s="101">
        <f t="shared" si="193"/>
        <v>56</v>
      </c>
      <c r="N753" s="4">
        <f t="shared" si="194"/>
        <v>45</v>
      </c>
      <c r="O753" s="4">
        <f t="shared" si="195"/>
        <v>29</v>
      </c>
      <c r="P753" s="4">
        <f t="shared" si="196"/>
        <v>30</v>
      </c>
      <c r="Q753" s="4">
        <f t="shared" si="197"/>
        <v>34</v>
      </c>
      <c r="R753" s="4">
        <f t="shared" si="198"/>
        <v>23</v>
      </c>
      <c r="S753" s="102">
        <f t="shared" si="199"/>
        <v>45</v>
      </c>
      <c r="U753" s="101">
        <f t="shared" si="200"/>
        <v>78</v>
      </c>
      <c r="V753" s="4">
        <f t="shared" si="201"/>
        <v>71</v>
      </c>
      <c r="W753" s="4">
        <f t="shared" si="202"/>
        <v>41</v>
      </c>
      <c r="X753" s="4">
        <f t="shared" si="203"/>
        <v>39</v>
      </c>
      <c r="Y753" s="4">
        <f t="shared" si="204"/>
        <v>46</v>
      </c>
      <c r="Z753" s="4">
        <f t="shared" si="205"/>
        <v>39</v>
      </c>
      <c r="AA753" s="102">
        <f t="shared" si="206"/>
        <v>71</v>
      </c>
      <c r="AC753" s="100">
        <f t="shared" si="207"/>
        <v>0.96189300371852327</v>
      </c>
    </row>
    <row r="754" spans="4:29" x14ac:dyDescent="0.35">
      <c r="D754">
        <f t="shared" si="208"/>
        <v>750</v>
      </c>
      <c r="E754" s="101">
        <v>4</v>
      </c>
      <c r="F754" s="4">
        <v>5</v>
      </c>
      <c r="G754" s="4">
        <v>7</v>
      </c>
      <c r="H754" s="4">
        <v>2</v>
      </c>
      <c r="I754" s="4">
        <v>7</v>
      </c>
      <c r="J754" s="4">
        <v>2</v>
      </c>
      <c r="K754" s="102">
        <v>6</v>
      </c>
      <c r="M754" s="101">
        <f t="shared" si="193"/>
        <v>12</v>
      </c>
      <c r="N754" s="4">
        <f t="shared" si="194"/>
        <v>30</v>
      </c>
      <c r="O754" s="4">
        <f t="shared" si="195"/>
        <v>29</v>
      </c>
      <c r="P754" s="4">
        <f t="shared" si="196"/>
        <v>56</v>
      </c>
      <c r="Q754" s="4">
        <f t="shared" si="197"/>
        <v>29</v>
      </c>
      <c r="R754" s="4">
        <f t="shared" si="198"/>
        <v>56</v>
      </c>
      <c r="S754" s="102">
        <f t="shared" si="199"/>
        <v>45</v>
      </c>
      <c r="U754" s="101">
        <f t="shared" si="200"/>
        <v>9</v>
      </c>
      <c r="V754" s="4">
        <f t="shared" si="201"/>
        <v>39</v>
      </c>
      <c r="W754" s="4">
        <f t="shared" si="202"/>
        <v>41</v>
      </c>
      <c r="X754" s="4">
        <f t="shared" si="203"/>
        <v>78</v>
      </c>
      <c r="Y754" s="4">
        <f t="shared" si="204"/>
        <v>41</v>
      </c>
      <c r="Z754" s="4">
        <f t="shared" si="205"/>
        <v>78</v>
      </c>
      <c r="AA754" s="102">
        <f t="shared" si="206"/>
        <v>71</v>
      </c>
      <c r="AC754" s="100">
        <f t="shared" si="207"/>
        <v>0.98838974223778464</v>
      </c>
    </row>
    <row r="755" spans="4:29" x14ac:dyDescent="0.35">
      <c r="D755">
        <f t="shared" si="208"/>
        <v>751</v>
      </c>
      <c r="E755" s="101">
        <v>1</v>
      </c>
      <c r="F755" s="4">
        <v>5</v>
      </c>
      <c r="G755" s="4">
        <v>2</v>
      </c>
      <c r="H755" s="4">
        <v>3</v>
      </c>
      <c r="I755" s="4">
        <v>2</v>
      </c>
      <c r="J755" s="4">
        <v>6</v>
      </c>
      <c r="K755" s="102">
        <v>2</v>
      </c>
      <c r="M755" s="101">
        <f t="shared" si="193"/>
        <v>34</v>
      </c>
      <c r="N755" s="4">
        <f t="shared" si="194"/>
        <v>30</v>
      </c>
      <c r="O755" s="4">
        <f t="shared" si="195"/>
        <v>56</v>
      </c>
      <c r="P755" s="4">
        <f t="shared" si="196"/>
        <v>23</v>
      </c>
      <c r="Q755" s="4">
        <f t="shared" si="197"/>
        <v>56</v>
      </c>
      <c r="R755" s="4">
        <f t="shared" si="198"/>
        <v>45</v>
      </c>
      <c r="S755" s="102">
        <f t="shared" si="199"/>
        <v>56</v>
      </c>
      <c r="U755" s="101">
        <f t="shared" si="200"/>
        <v>46</v>
      </c>
      <c r="V755" s="4">
        <f t="shared" si="201"/>
        <v>39</v>
      </c>
      <c r="W755" s="4">
        <f t="shared" si="202"/>
        <v>78</v>
      </c>
      <c r="X755" s="4">
        <f t="shared" si="203"/>
        <v>39</v>
      </c>
      <c r="Y755" s="4">
        <f t="shared" si="204"/>
        <v>78</v>
      </c>
      <c r="Z755" s="4">
        <f t="shared" si="205"/>
        <v>71</v>
      </c>
      <c r="AA755" s="102">
        <f t="shared" si="206"/>
        <v>78</v>
      </c>
      <c r="AC755" s="100">
        <f t="shared" si="207"/>
        <v>0.97536876412562667</v>
      </c>
    </row>
    <row r="756" spans="4:29" x14ac:dyDescent="0.35">
      <c r="D756">
        <f t="shared" si="208"/>
        <v>752</v>
      </c>
      <c r="E756" s="101">
        <v>6</v>
      </c>
      <c r="F756" s="4">
        <v>5</v>
      </c>
      <c r="G756" s="4">
        <v>3</v>
      </c>
      <c r="H756" s="4">
        <v>3</v>
      </c>
      <c r="I756" s="4">
        <v>1</v>
      </c>
      <c r="J756" s="4">
        <v>7</v>
      </c>
      <c r="K756" s="102">
        <v>7</v>
      </c>
      <c r="M756" s="101">
        <f t="shared" si="193"/>
        <v>45</v>
      </c>
      <c r="N756" s="4">
        <f t="shared" si="194"/>
        <v>30</v>
      </c>
      <c r="O756" s="4">
        <f t="shared" si="195"/>
        <v>23</v>
      </c>
      <c r="P756" s="4">
        <f t="shared" si="196"/>
        <v>23</v>
      </c>
      <c r="Q756" s="4">
        <f t="shared" si="197"/>
        <v>34</v>
      </c>
      <c r="R756" s="4">
        <f t="shared" si="198"/>
        <v>29</v>
      </c>
      <c r="S756" s="102">
        <f t="shared" si="199"/>
        <v>29</v>
      </c>
      <c r="U756" s="101">
        <f t="shared" si="200"/>
        <v>71</v>
      </c>
      <c r="V756" s="4">
        <f t="shared" si="201"/>
        <v>39</v>
      </c>
      <c r="W756" s="4">
        <f t="shared" si="202"/>
        <v>39</v>
      </c>
      <c r="X756" s="4">
        <f t="shared" si="203"/>
        <v>39</v>
      </c>
      <c r="Y756" s="4">
        <f t="shared" si="204"/>
        <v>46</v>
      </c>
      <c r="Z756" s="4">
        <f t="shared" si="205"/>
        <v>41</v>
      </c>
      <c r="AA756" s="102">
        <f t="shared" si="206"/>
        <v>41</v>
      </c>
      <c r="AC756" s="100">
        <f t="shared" si="207"/>
        <v>0.92177126178929381</v>
      </c>
    </row>
    <row r="757" spans="4:29" x14ac:dyDescent="0.35">
      <c r="D757">
        <f t="shared" si="208"/>
        <v>753</v>
      </c>
      <c r="E757" s="101">
        <v>2</v>
      </c>
      <c r="F757" s="4">
        <v>5</v>
      </c>
      <c r="G757" s="4">
        <v>6</v>
      </c>
      <c r="H757" s="4">
        <v>4</v>
      </c>
      <c r="I757" s="4">
        <v>1</v>
      </c>
      <c r="J757" s="4">
        <v>4</v>
      </c>
      <c r="K757" s="102">
        <v>4</v>
      </c>
      <c r="M757" s="101">
        <f t="shared" si="193"/>
        <v>56</v>
      </c>
      <c r="N757" s="4">
        <f t="shared" si="194"/>
        <v>30</v>
      </c>
      <c r="O757" s="4">
        <f t="shared" si="195"/>
        <v>45</v>
      </c>
      <c r="P757" s="4">
        <f t="shared" si="196"/>
        <v>12</v>
      </c>
      <c r="Q757" s="4">
        <f t="shared" si="197"/>
        <v>34</v>
      </c>
      <c r="R757" s="4">
        <f t="shared" si="198"/>
        <v>12</v>
      </c>
      <c r="S757" s="102">
        <f t="shared" si="199"/>
        <v>12</v>
      </c>
      <c r="U757" s="101">
        <f t="shared" si="200"/>
        <v>78</v>
      </c>
      <c r="V757" s="4">
        <f t="shared" si="201"/>
        <v>39</v>
      </c>
      <c r="W757" s="4">
        <f t="shared" si="202"/>
        <v>71</v>
      </c>
      <c r="X757" s="4">
        <f t="shared" si="203"/>
        <v>9</v>
      </c>
      <c r="Y757" s="4">
        <f t="shared" si="204"/>
        <v>46</v>
      </c>
      <c r="Z757" s="4">
        <f t="shared" si="205"/>
        <v>9</v>
      </c>
      <c r="AA757" s="102">
        <f t="shared" si="206"/>
        <v>9</v>
      </c>
      <c r="AC757" s="100">
        <f t="shared" si="207"/>
        <v>0.99366526687753365</v>
      </c>
    </row>
    <row r="758" spans="4:29" x14ac:dyDescent="0.35">
      <c r="D758">
        <f t="shared" si="208"/>
        <v>754</v>
      </c>
      <c r="E758" s="101">
        <v>2</v>
      </c>
      <c r="F758" s="4">
        <v>7</v>
      </c>
      <c r="G758" s="4">
        <v>2</v>
      </c>
      <c r="H758" s="4">
        <v>5</v>
      </c>
      <c r="I758" s="4">
        <v>4</v>
      </c>
      <c r="J758" s="4">
        <v>5</v>
      </c>
      <c r="K758" s="102">
        <v>4</v>
      </c>
      <c r="M758" s="101">
        <f t="shared" si="193"/>
        <v>56</v>
      </c>
      <c r="N758" s="4">
        <f t="shared" si="194"/>
        <v>29</v>
      </c>
      <c r="O758" s="4">
        <f t="shared" si="195"/>
        <v>56</v>
      </c>
      <c r="P758" s="4">
        <f t="shared" si="196"/>
        <v>30</v>
      </c>
      <c r="Q758" s="4">
        <f t="shared" si="197"/>
        <v>12</v>
      </c>
      <c r="R758" s="4">
        <f t="shared" si="198"/>
        <v>30</v>
      </c>
      <c r="S758" s="102">
        <f t="shared" si="199"/>
        <v>12</v>
      </c>
      <c r="U758" s="101">
        <f t="shared" si="200"/>
        <v>78</v>
      </c>
      <c r="V758" s="4">
        <f t="shared" si="201"/>
        <v>41</v>
      </c>
      <c r="W758" s="4">
        <f t="shared" si="202"/>
        <v>78</v>
      </c>
      <c r="X758" s="4">
        <f t="shared" si="203"/>
        <v>39</v>
      </c>
      <c r="Y758" s="4">
        <f t="shared" si="204"/>
        <v>9</v>
      </c>
      <c r="Z758" s="4">
        <f t="shared" si="205"/>
        <v>39</v>
      </c>
      <c r="AA758" s="102">
        <f t="shared" si="206"/>
        <v>9</v>
      </c>
      <c r="AC758" s="100">
        <f t="shared" si="207"/>
        <v>0.9975719017250777</v>
      </c>
    </row>
    <row r="759" spans="4:29" x14ac:dyDescent="0.35">
      <c r="D759">
        <f t="shared" si="208"/>
        <v>755</v>
      </c>
      <c r="E759" s="101">
        <v>2</v>
      </c>
      <c r="F759" s="4">
        <v>4</v>
      </c>
      <c r="G759" s="4">
        <v>5</v>
      </c>
      <c r="H759" s="4">
        <v>1</v>
      </c>
      <c r="I759" s="4">
        <v>6</v>
      </c>
      <c r="J759" s="4">
        <v>3</v>
      </c>
      <c r="K759" s="102">
        <v>6</v>
      </c>
      <c r="M759" s="101">
        <f t="shared" si="193"/>
        <v>56</v>
      </c>
      <c r="N759" s="4">
        <f t="shared" si="194"/>
        <v>12</v>
      </c>
      <c r="O759" s="4">
        <f t="shared" si="195"/>
        <v>30</v>
      </c>
      <c r="P759" s="4">
        <f t="shared" si="196"/>
        <v>34</v>
      </c>
      <c r="Q759" s="4">
        <f t="shared" si="197"/>
        <v>45</v>
      </c>
      <c r="R759" s="4">
        <f t="shared" si="198"/>
        <v>23</v>
      </c>
      <c r="S759" s="102">
        <f t="shared" si="199"/>
        <v>45</v>
      </c>
      <c r="U759" s="101">
        <f t="shared" si="200"/>
        <v>78</v>
      </c>
      <c r="V759" s="4">
        <f t="shared" si="201"/>
        <v>9</v>
      </c>
      <c r="W759" s="4">
        <f t="shared" si="202"/>
        <v>39</v>
      </c>
      <c r="X759" s="4">
        <f t="shared" si="203"/>
        <v>46</v>
      </c>
      <c r="Y759" s="4">
        <f t="shared" si="204"/>
        <v>71</v>
      </c>
      <c r="Z759" s="4">
        <f t="shared" si="205"/>
        <v>39</v>
      </c>
      <c r="AA759" s="102">
        <f t="shared" si="206"/>
        <v>71</v>
      </c>
      <c r="AC759" s="100">
        <f t="shared" si="207"/>
        <v>0.97474696498290037</v>
      </c>
    </row>
    <row r="760" spans="4:29" x14ac:dyDescent="0.35">
      <c r="D760">
        <f t="shared" si="208"/>
        <v>756</v>
      </c>
      <c r="E760" s="101">
        <v>2</v>
      </c>
      <c r="F760" s="4">
        <v>6</v>
      </c>
      <c r="G760" s="4">
        <v>5</v>
      </c>
      <c r="H760" s="4">
        <v>2</v>
      </c>
      <c r="I760" s="4">
        <v>4</v>
      </c>
      <c r="J760" s="4">
        <v>3</v>
      </c>
      <c r="K760" s="102">
        <v>4</v>
      </c>
      <c r="M760" s="101">
        <f t="shared" si="193"/>
        <v>56</v>
      </c>
      <c r="N760" s="4">
        <f t="shared" si="194"/>
        <v>45</v>
      </c>
      <c r="O760" s="4">
        <f t="shared" si="195"/>
        <v>30</v>
      </c>
      <c r="P760" s="4">
        <f t="shared" si="196"/>
        <v>56</v>
      </c>
      <c r="Q760" s="4">
        <f t="shared" si="197"/>
        <v>12</v>
      </c>
      <c r="R760" s="4">
        <f t="shared" si="198"/>
        <v>23</v>
      </c>
      <c r="S760" s="102">
        <f t="shared" si="199"/>
        <v>12</v>
      </c>
      <c r="U760" s="101">
        <f t="shared" si="200"/>
        <v>78</v>
      </c>
      <c r="V760" s="4">
        <f t="shared" si="201"/>
        <v>71</v>
      </c>
      <c r="W760" s="4">
        <f t="shared" si="202"/>
        <v>39</v>
      </c>
      <c r="X760" s="4">
        <f t="shared" si="203"/>
        <v>78</v>
      </c>
      <c r="Y760" s="4">
        <f t="shared" si="204"/>
        <v>9</v>
      </c>
      <c r="Z760" s="4">
        <f t="shared" si="205"/>
        <v>39</v>
      </c>
      <c r="AA760" s="102">
        <f t="shared" si="206"/>
        <v>9</v>
      </c>
      <c r="AC760" s="100">
        <f t="shared" si="207"/>
        <v>0.98325866061399214</v>
      </c>
    </row>
    <row r="761" spans="4:29" x14ac:dyDescent="0.35">
      <c r="D761">
        <f t="shared" si="208"/>
        <v>757</v>
      </c>
      <c r="E761" s="101">
        <v>5</v>
      </c>
      <c r="F761" s="4">
        <v>4</v>
      </c>
      <c r="G761" s="4">
        <v>5</v>
      </c>
      <c r="H761" s="4">
        <v>7</v>
      </c>
      <c r="I761" s="4">
        <v>3</v>
      </c>
      <c r="J761" s="4">
        <v>2</v>
      </c>
      <c r="K761" s="102">
        <v>3</v>
      </c>
      <c r="M761" s="101">
        <f t="shared" si="193"/>
        <v>30</v>
      </c>
      <c r="N761" s="4">
        <f t="shared" si="194"/>
        <v>12</v>
      </c>
      <c r="O761" s="4">
        <f t="shared" si="195"/>
        <v>30</v>
      </c>
      <c r="P761" s="4">
        <f t="shared" si="196"/>
        <v>29</v>
      </c>
      <c r="Q761" s="4">
        <f t="shared" si="197"/>
        <v>23</v>
      </c>
      <c r="R761" s="4">
        <f t="shared" si="198"/>
        <v>56</v>
      </c>
      <c r="S761" s="102">
        <f t="shared" si="199"/>
        <v>23</v>
      </c>
      <c r="U761" s="101">
        <f t="shared" si="200"/>
        <v>39</v>
      </c>
      <c r="V761" s="4">
        <f t="shared" si="201"/>
        <v>9</v>
      </c>
      <c r="W761" s="4">
        <f t="shared" si="202"/>
        <v>39</v>
      </c>
      <c r="X761" s="4">
        <f t="shared" si="203"/>
        <v>41</v>
      </c>
      <c r="Y761" s="4">
        <f t="shared" si="204"/>
        <v>39</v>
      </c>
      <c r="Z761" s="4">
        <f t="shared" si="205"/>
        <v>78</v>
      </c>
      <c r="AA761" s="102">
        <f t="shared" si="206"/>
        <v>39</v>
      </c>
      <c r="AC761" s="100">
        <f t="shared" si="207"/>
        <v>0.96392930572635738</v>
      </c>
    </row>
    <row r="762" spans="4:29" x14ac:dyDescent="0.35">
      <c r="D762">
        <f t="shared" si="208"/>
        <v>758</v>
      </c>
      <c r="E762" s="101">
        <v>6</v>
      </c>
      <c r="F762" s="4">
        <v>2</v>
      </c>
      <c r="G762" s="4">
        <v>3</v>
      </c>
      <c r="H762" s="4">
        <v>1</v>
      </c>
      <c r="I762" s="4">
        <v>1</v>
      </c>
      <c r="J762" s="4">
        <v>7</v>
      </c>
      <c r="K762" s="102">
        <v>6</v>
      </c>
      <c r="M762" s="101">
        <f t="shared" si="193"/>
        <v>45</v>
      </c>
      <c r="N762" s="4">
        <f t="shared" si="194"/>
        <v>56</v>
      </c>
      <c r="O762" s="4">
        <f t="shared" si="195"/>
        <v>23</v>
      </c>
      <c r="P762" s="4">
        <f t="shared" si="196"/>
        <v>34</v>
      </c>
      <c r="Q762" s="4">
        <f t="shared" si="197"/>
        <v>34</v>
      </c>
      <c r="R762" s="4">
        <f t="shared" si="198"/>
        <v>29</v>
      </c>
      <c r="S762" s="102">
        <f t="shared" si="199"/>
        <v>45</v>
      </c>
      <c r="U762" s="101">
        <f t="shared" si="200"/>
        <v>71</v>
      </c>
      <c r="V762" s="4">
        <f t="shared" si="201"/>
        <v>78</v>
      </c>
      <c r="W762" s="4">
        <f t="shared" si="202"/>
        <v>39</v>
      </c>
      <c r="X762" s="4">
        <f t="shared" si="203"/>
        <v>46</v>
      </c>
      <c r="Y762" s="4">
        <f t="shared" si="204"/>
        <v>46</v>
      </c>
      <c r="Z762" s="4">
        <f t="shared" si="205"/>
        <v>41</v>
      </c>
      <c r="AA762" s="102">
        <f t="shared" si="206"/>
        <v>71</v>
      </c>
      <c r="AC762" s="100">
        <f t="shared" si="207"/>
        <v>0.96145037134318745</v>
      </c>
    </row>
    <row r="763" spans="4:29" x14ac:dyDescent="0.35">
      <c r="D763">
        <f t="shared" si="208"/>
        <v>759</v>
      </c>
      <c r="E763" s="101">
        <v>3</v>
      </c>
      <c r="F763" s="4">
        <v>5</v>
      </c>
      <c r="G763" s="4">
        <v>3</v>
      </c>
      <c r="H763" s="4">
        <v>7</v>
      </c>
      <c r="I763" s="4">
        <v>3</v>
      </c>
      <c r="J763" s="4">
        <v>6</v>
      </c>
      <c r="K763" s="102">
        <v>6</v>
      </c>
      <c r="M763" s="101">
        <f t="shared" si="193"/>
        <v>23</v>
      </c>
      <c r="N763" s="4">
        <f t="shared" si="194"/>
        <v>30</v>
      </c>
      <c r="O763" s="4">
        <f t="shared" si="195"/>
        <v>23</v>
      </c>
      <c r="P763" s="4">
        <f t="shared" si="196"/>
        <v>29</v>
      </c>
      <c r="Q763" s="4">
        <f t="shared" si="197"/>
        <v>23</v>
      </c>
      <c r="R763" s="4">
        <f t="shared" si="198"/>
        <v>45</v>
      </c>
      <c r="S763" s="102">
        <f t="shared" si="199"/>
        <v>45</v>
      </c>
      <c r="U763" s="101">
        <f t="shared" si="200"/>
        <v>39</v>
      </c>
      <c r="V763" s="4">
        <f t="shared" si="201"/>
        <v>39</v>
      </c>
      <c r="W763" s="4">
        <f t="shared" si="202"/>
        <v>39</v>
      </c>
      <c r="X763" s="4">
        <f t="shared" si="203"/>
        <v>41</v>
      </c>
      <c r="Y763" s="4">
        <f t="shared" si="204"/>
        <v>39</v>
      </c>
      <c r="Z763" s="4">
        <f t="shared" si="205"/>
        <v>71</v>
      </c>
      <c r="AA763" s="102">
        <f t="shared" si="206"/>
        <v>71</v>
      </c>
      <c r="AC763" s="100">
        <f t="shared" si="207"/>
        <v>0.96187859844742229</v>
      </c>
    </row>
    <row r="764" spans="4:29" x14ac:dyDescent="0.35">
      <c r="D764">
        <f t="shared" si="208"/>
        <v>760</v>
      </c>
      <c r="E764" s="101">
        <v>5</v>
      </c>
      <c r="F764" s="4">
        <v>3</v>
      </c>
      <c r="G764" s="4">
        <v>3</v>
      </c>
      <c r="H764" s="4">
        <v>7</v>
      </c>
      <c r="I764" s="4">
        <v>2</v>
      </c>
      <c r="J764" s="4">
        <v>4</v>
      </c>
      <c r="K764" s="102">
        <v>7</v>
      </c>
      <c r="M764" s="101">
        <f t="shared" si="193"/>
        <v>30</v>
      </c>
      <c r="N764" s="4">
        <f t="shared" si="194"/>
        <v>23</v>
      </c>
      <c r="O764" s="4">
        <f t="shared" si="195"/>
        <v>23</v>
      </c>
      <c r="P764" s="4">
        <f t="shared" si="196"/>
        <v>29</v>
      </c>
      <c r="Q764" s="4">
        <f t="shared" si="197"/>
        <v>56</v>
      </c>
      <c r="R764" s="4">
        <f t="shared" si="198"/>
        <v>12</v>
      </c>
      <c r="S764" s="102">
        <f t="shared" si="199"/>
        <v>29</v>
      </c>
      <c r="U764" s="101">
        <f t="shared" si="200"/>
        <v>39</v>
      </c>
      <c r="V764" s="4">
        <f t="shared" si="201"/>
        <v>39</v>
      </c>
      <c r="W764" s="4">
        <f t="shared" si="202"/>
        <v>39</v>
      </c>
      <c r="X764" s="4">
        <f t="shared" si="203"/>
        <v>41</v>
      </c>
      <c r="Y764" s="4">
        <f t="shared" si="204"/>
        <v>78</v>
      </c>
      <c r="Z764" s="4">
        <f t="shared" si="205"/>
        <v>9</v>
      </c>
      <c r="AA764" s="102">
        <f t="shared" si="206"/>
        <v>41</v>
      </c>
      <c r="AC764" s="100">
        <f t="shared" si="207"/>
        <v>0.9661534639981163</v>
      </c>
    </row>
    <row r="765" spans="4:29" x14ac:dyDescent="0.35">
      <c r="D765">
        <f t="shared" si="208"/>
        <v>761</v>
      </c>
      <c r="E765" s="101">
        <v>4</v>
      </c>
      <c r="F765" s="4">
        <v>6</v>
      </c>
      <c r="G765" s="4">
        <v>5</v>
      </c>
      <c r="H765" s="4">
        <v>1</v>
      </c>
      <c r="I765" s="4">
        <v>1</v>
      </c>
      <c r="J765" s="4">
        <v>5</v>
      </c>
      <c r="K765" s="102">
        <v>2</v>
      </c>
      <c r="M765" s="101">
        <f t="shared" si="193"/>
        <v>12</v>
      </c>
      <c r="N765" s="4">
        <f t="shared" si="194"/>
        <v>45</v>
      </c>
      <c r="O765" s="4">
        <f t="shared" si="195"/>
        <v>30</v>
      </c>
      <c r="P765" s="4">
        <f t="shared" si="196"/>
        <v>34</v>
      </c>
      <c r="Q765" s="4">
        <f t="shared" si="197"/>
        <v>34</v>
      </c>
      <c r="R765" s="4">
        <f t="shared" si="198"/>
        <v>30</v>
      </c>
      <c r="S765" s="102">
        <f t="shared" si="199"/>
        <v>56</v>
      </c>
      <c r="U765" s="101">
        <f t="shared" si="200"/>
        <v>9</v>
      </c>
      <c r="V765" s="4">
        <f t="shared" si="201"/>
        <v>71</v>
      </c>
      <c r="W765" s="4">
        <f t="shared" si="202"/>
        <v>39</v>
      </c>
      <c r="X765" s="4">
        <f t="shared" si="203"/>
        <v>46</v>
      </c>
      <c r="Y765" s="4">
        <f t="shared" si="204"/>
        <v>46</v>
      </c>
      <c r="Z765" s="4">
        <f t="shared" si="205"/>
        <v>39</v>
      </c>
      <c r="AA765" s="102">
        <f t="shared" si="206"/>
        <v>78</v>
      </c>
      <c r="AC765" s="100">
        <f t="shared" si="207"/>
        <v>0.98932473696845624</v>
      </c>
    </row>
    <row r="766" spans="4:29" x14ac:dyDescent="0.35">
      <c r="D766">
        <f t="shared" si="208"/>
        <v>762</v>
      </c>
      <c r="E766" s="101">
        <v>2</v>
      </c>
      <c r="F766" s="4">
        <v>5</v>
      </c>
      <c r="G766" s="4">
        <v>2</v>
      </c>
      <c r="H766" s="4">
        <v>4</v>
      </c>
      <c r="I766" s="4">
        <v>6</v>
      </c>
      <c r="J766" s="4">
        <v>5</v>
      </c>
      <c r="K766" s="102">
        <v>7</v>
      </c>
      <c r="M766" s="101">
        <f t="shared" si="193"/>
        <v>56</v>
      </c>
      <c r="N766" s="4">
        <f t="shared" si="194"/>
        <v>30</v>
      </c>
      <c r="O766" s="4">
        <f t="shared" si="195"/>
        <v>56</v>
      </c>
      <c r="P766" s="4">
        <f t="shared" si="196"/>
        <v>12</v>
      </c>
      <c r="Q766" s="4">
        <f t="shared" si="197"/>
        <v>45</v>
      </c>
      <c r="R766" s="4">
        <f t="shared" si="198"/>
        <v>30</v>
      </c>
      <c r="S766" s="102">
        <f t="shared" si="199"/>
        <v>29</v>
      </c>
      <c r="U766" s="101">
        <f t="shared" si="200"/>
        <v>78</v>
      </c>
      <c r="V766" s="4">
        <f t="shared" si="201"/>
        <v>39</v>
      </c>
      <c r="W766" s="4">
        <f t="shared" si="202"/>
        <v>78</v>
      </c>
      <c r="X766" s="4">
        <f t="shared" si="203"/>
        <v>9</v>
      </c>
      <c r="Y766" s="4">
        <f t="shared" si="204"/>
        <v>71</v>
      </c>
      <c r="Z766" s="4">
        <f t="shared" si="205"/>
        <v>39</v>
      </c>
      <c r="AA766" s="102">
        <f t="shared" si="206"/>
        <v>41</v>
      </c>
      <c r="AC766" s="100">
        <f t="shared" si="207"/>
        <v>0.98904432499094996</v>
      </c>
    </row>
    <row r="767" spans="4:29" x14ac:dyDescent="0.35">
      <c r="D767">
        <f t="shared" si="208"/>
        <v>763</v>
      </c>
      <c r="E767" s="101">
        <v>3</v>
      </c>
      <c r="F767" s="4">
        <v>5</v>
      </c>
      <c r="G767" s="4">
        <v>1</v>
      </c>
      <c r="H767" s="4">
        <v>1</v>
      </c>
      <c r="I767" s="4">
        <v>5</v>
      </c>
      <c r="J767" s="4">
        <v>7</v>
      </c>
      <c r="K767" s="102">
        <v>7</v>
      </c>
      <c r="M767" s="101">
        <f t="shared" si="193"/>
        <v>23</v>
      </c>
      <c r="N767" s="4">
        <f t="shared" si="194"/>
        <v>30</v>
      </c>
      <c r="O767" s="4">
        <f t="shared" si="195"/>
        <v>34</v>
      </c>
      <c r="P767" s="4">
        <f t="shared" si="196"/>
        <v>34</v>
      </c>
      <c r="Q767" s="4">
        <f t="shared" si="197"/>
        <v>30</v>
      </c>
      <c r="R767" s="4">
        <f t="shared" si="198"/>
        <v>29</v>
      </c>
      <c r="S767" s="102">
        <f t="shared" si="199"/>
        <v>29</v>
      </c>
      <c r="U767" s="101">
        <f t="shared" si="200"/>
        <v>39</v>
      </c>
      <c r="V767" s="4">
        <f t="shared" si="201"/>
        <v>39</v>
      </c>
      <c r="W767" s="4">
        <f t="shared" si="202"/>
        <v>46</v>
      </c>
      <c r="X767" s="4">
        <f t="shared" si="203"/>
        <v>46</v>
      </c>
      <c r="Y767" s="4">
        <f t="shared" si="204"/>
        <v>39</v>
      </c>
      <c r="Z767" s="4">
        <f t="shared" si="205"/>
        <v>41</v>
      </c>
      <c r="AA767" s="102">
        <f t="shared" si="206"/>
        <v>41</v>
      </c>
      <c r="AC767" s="100">
        <f t="shared" si="207"/>
        <v>0.7758204538876996</v>
      </c>
    </row>
    <row r="768" spans="4:29" x14ac:dyDescent="0.35">
      <c r="D768">
        <f t="shared" si="208"/>
        <v>764</v>
      </c>
      <c r="E768" s="101">
        <v>6</v>
      </c>
      <c r="F768" s="4">
        <v>4</v>
      </c>
      <c r="G768" s="4">
        <v>3</v>
      </c>
      <c r="H768" s="4">
        <v>7</v>
      </c>
      <c r="I768" s="4">
        <v>7</v>
      </c>
      <c r="J768" s="4">
        <v>6</v>
      </c>
      <c r="K768" s="102">
        <v>7</v>
      </c>
      <c r="M768" s="101">
        <f t="shared" si="193"/>
        <v>45</v>
      </c>
      <c r="N768" s="4">
        <f t="shared" si="194"/>
        <v>12</v>
      </c>
      <c r="O768" s="4">
        <f t="shared" si="195"/>
        <v>23</v>
      </c>
      <c r="P768" s="4">
        <f t="shared" si="196"/>
        <v>29</v>
      </c>
      <c r="Q768" s="4">
        <f t="shared" si="197"/>
        <v>29</v>
      </c>
      <c r="R768" s="4">
        <f t="shared" si="198"/>
        <v>45</v>
      </c>
      <c r="S768" s="102">
        <f t="shared" si="199"/>
        <v>29</v>
      </c>
      <c r="U768" s="101">
        <f t="shared" si="200"/>
        <v>71</v>
      </c>
      <c r="V768" s="4">
        <f t="shared" si="201"/>
        <v>9</v>
      </c>
      <c r="W768" s="4">
        <f t="shared" si="202"/>
        <v>39</v>
      </c>
      <c r="X768" s="4">
        <f t="shared" si="203"/>
        <v>41</v>
      </c>
      <c r="Y768" s="4">
        <f t="shared" si="204"/>
        <v>41</v>
      </c>
      <c r="Z768" s="4">
        <f t="shared" si="205"/>
        <v>71</v>
      </c>
      <c r="AA768" s="102">
        <f t="shared" si="206"/>
        <v>41</v>
      </c>
      <c r="AC768" s="100">
        <f t="shared" si="207"/>
        <v>0.98737233271811109</v>
      </c>
    </row>
    <row r="769" spans="4:29" x14ac:dyDescent="0.35">
      <c r="D769">
        <f t="shared" si="208"/>
        <v>765</v>
      </c>
      <c r="E769" s="101">
        <v>6</v>
      </c>
      <c r="F769" s="4">
        <v>4</v>
      </c>
      <c r="G769" s="4">
        <v>4</v>
      </c>
      <c r="H769" s="4">
        <v>5</v>
      </c>
      <c r="I769" s="4">
        <v>7</v>
      </c>
      <c r="J769" s="4">
        <v>2</v>
      </c>
      <c r="K769" s="102">
        <v>3</v>
      </c>
      <c r="M769" s="101">
        <f t="shared" si="193"/>
        <v>45</v>
      </c>
      <c r="N769" s="4">
        <f t="shared" si="194"/>
        <v>12</v>
      </c>
      <c r="O769" s="4">
        <f t="shared" si="195"/>
        <v>12</v>
      </c>
      <c r="P769" s="4">
        <f t="shared" si="196"/>
        <v>30</v>
      </c>
      <c r="Q769" s="4">
        <f t="shared" si="197"/>
        <v>29</v>
      </c>
      <c r="R769" s="4">
        <f t="shared" si="198"/>
        <v>56</v>
      </c>
      <c r="S769" s="102">
        <f t="shared" si="199"/>
        <v>23</v>
      </c>
      <c r="U769" s="101">
        <f t="shared" si="200"/>
        <v>71</v>
      </c>
      <c r="V769" s="4">
        <f t="shared" si="201"/>
        <v>9</v>
      </c>
      <c r="W769" s="4">
        <f t="shared" si="202"/>
        <v>9</v>
      </c>
      <c r="X769" s="4">
        <f t="shared" si="203"/>
        <v>39</v>
      </c>
      <c r="Y769" s="4">
        <f t="shared" si="204"/>
        <v>41</v>
      </c>
      <c r="Z769" s="4">
        <f t="shared" si="205"/>
        <v>78</v>
      </c>
      <c r="AA769" s="102">
        <f t="shared" si="206"/>
        <v>39</v>
      </c>
      <c r="AC769" s="100">
        <f t="shared" si="207"/>
        <v>0.9805624690134509</v>
      </c>
    </row>
    <row r="770" spans="4:29" x14ac:dyDescent="0.35">
      <c r="D770">
        <f t="shared" si="208"/>
        <v>766</v>
      </c>
      <c r="E770" s="101">
        <v>2</v>
      </c>
      <c r="F770" s="4">
        <v>5</v>
      </c>
      <c r="G770" s="4">
        <v>1</v>
      </c>
      <c r="H770" s="4">
        <v>6</v>
      </c>
      <c r="I770" s="4">
        <v>1</v>
      </c>
      <c r="J770" s="4">
        <v>5</v>
      </c>
      <c r="K770" s="102">
        <v>6</v>
      </c>
      <c r="M770" s="101">
        <f t="shared" si="193"/>
        <v>56</v>
      </c>
      <c r="N770" s="4">
        <f t="shared" si="194"/>
        <v>30</v>
      </c>
      <c r="O770" s="4">
        <f t="shared" si="195"/>
        <v>34</v>
      </c>
      <c r="P770" s="4">
        <f t="shared" si="196"/>
        <v>45</v>
      </c>
      <c r="Q770" s="4">
        <f t="shared" si="197"/>
        <v>34</v>
      </c>
      <c r="R770" s="4">
        <f t="shared" si="198"/>
        <v>30</v>
      </c>
      <c r="S770" s="102">
        <f t="shared" si="199"/>
        <v>45</v>
      </c>
      <c r="U770" s="101">
        <f t="shared" si="200"/>
        <v>78</v>
      </c>
      <c r="V770" s="4">
        <f t="shared" si="201"/>
        <v>39</v>
      </c>
      <c r="W770" s="4">
        <f t="shared" si="202"/>
        <v>46</v>
      </c>
      <c r="X770" s="4">
        <f t="shared" si="203"/>
        <v>71</v>
      </c>
      <c r="Y770" s="4">
        <f t="shared" si="204"/>
        <v>46</v>
      </c>
      <c r="Z770" s="4">
        <f t="shared" si="205"/>
        <v>39</v>
      </c>
      <c r="AA770" s="102">
        <f t="shared" si="206"/>
        <v>71</v>
      </c>
      <c r="AC770" s="100">
        <f t="shared" si="207"/>
        <v>0.96983513320363401</v>
      </c>
    </row>
    <row r="771" spans="4:29" x14ac:dyDescent="0.35">
      <c r="D771">
        <f t="shared" si="208"/>
        <v>767</v>
      </c>
      <c r="E771" s="101">
        <v>7</v>
      </c>
      <c r="F771" s="4">
        <v>2</v>
      </c>
      <c r="G771" s="4">
        <v>3</v>
      </c>
      <c r="H771" s="4">
        <v>1</v>
      </c>
      <c r="I771" s="4">
        <v>3</v>
      </c>
      <c r="J771" s="4">
        <v>4</v>
      </c>
      <c r="K771" s="102">
        <v>1</v>
      </c>
      <c r="M771" s="101">
        <f t="shared" si="193"/>
        <v>29</v>
      </c>
      <c r="N771" s="4">
        <f t="shared" si="194"/>
        <v>56</v>
      </c>
      <c r="O771" s="4">
        <f t="shared" si="195"/>
        <v>23</v>
      </c>
      <c r="P771" s="4">
        <f t="shared" si="196"/>
        <v>34</v>
      </c>
      <c r="Q771" s="4">
        <f t="shared" si="197"/>
        <v>23</v>
      </c>
      <c r="R771" s="4">
        <f t="shared" si="198"/>
        <v>12</v>
      </c>
      <c r="S771" s="102">
        <f t="shared" si="199"/>
        <v>34</v>
      </c>
      <c r="U771" s="101">
        <f t="shared" si="200"/>
        <v>41</v>
      </c>
      <c r="V771" s="4">
        <f t="shared" si="201"/>
        <v>78</v>
      </c>
      <c r="W771" s="4">
        <f t="shared" si="202"/>
        <v>39</v>
      </c>
      <c r="X771" s="4">
        <f t="shared" si="203"/>
        <v>46</v>
      </c>
      <c r="Y771" s="4">
        <f t="shared" si="204"/>
        <v>39</v>
      </c>
      <c r="Z771" s="4">
        <f t="shared" si="205"/>
        <v>9</v>
      </c>
      <c r="AA771" s="102">
        <f t="shared" si="206"/>
        <v>46</v>
      </c>
      <c r="AC771" s="100">
        <f t="shared" si="207"/>
        <v>0.96712301564797276</v>
      </c>
    </row>
    <row r="772" spans="4:29" x14ac:dyDescent="0.35">
      <c r="D772">
        <f t="shared" si="208"/>
        <v>768</v>
      </c>
      <c r="E772" s="101">
        <v>1</v>
      </c>
      <c r="F772" s="4">
        <v>4</v>
      </c>
      <c r="G772" s="4">
        <v>2</v>
      </c>
      <c r="H772" s="4">
        <v>2</v>
      </c>
      <c r="I772" s="4">
        <v>7</v>
      </c>
      <c r="J772" s="4">
        <v>6</v>
      </c>
      <c r="K772" s="102">
        <v>7</v>
      </c>
      <c r="M772" s="101">
        <f t="shared" si="193"/>
        <v>34</v>
      </c>
      <c r="N772" s="4">
        <f t="shared" si="194"/>
        <v>12</v>
      </c>
      <c r="O772" s="4">
        <f t="shared" si="195"/>
        <v>56</v>
      </c>
      <c r="P772" s="4">
        <f t="shared" si="196"/>
        <v>56</v>
      </c>
      <c r="Q772" s="4">
        <f t="shared" si="197"/>
        <v>29</v>
      </c>
      <c r="R772" s="4">
        <f t="shared" si="198"/>
        <v>45</v>
      </c>
      <c r="S772" s="102">
        <f t="shared" si="199"/>
        <v>29</v>
      </c>
      <c r="U772" s="101">
        <f t="shared" si="200"/>
        <v>46</v>
      </c>
      <c r="V772" s="4">
        <f t="shared" si="201"/>
        <v>9</v>
      </c>
      <c r="W772" s="4">
        <f t="shared" si="202"/>
        <v>78</v>
      </c>
      <c r="X772" s="4">
        <f t="shared" si="203"/>
        <v>78</v>
      </c>
      <c r="Y772" s="4">
        <f t="shared" si="204"/>
        <v>41</v>
      </c>
      <c r="Z772" s="4">
        <f t="shared" si="205"/>
        <v>71</v>
      </c>
      <c r="AA772" s="102">
        <f t="shared" si="206"/>
        <v>41</v>
      </c>
      <c r="AC772" s="100">
        <f t="shared" si="207"/>
        <v>0.98824785903869883</v>
      </c>
    </row>
    <row r="773" spans="4:29" x14ac:dyDescent="0.35">
      <c r="D773">
        <f t="shared" si="208"/>
        <v>769</v>
      </c>
      <c r="E773" s="101">
        <v>5</v>
      </c>
      <c r="F773" s="4">
        <v>4</v>
      </c>
      <c r="G773" s="4">
        <v>5</v>
      </c>
      <c r="H773" s="4">
        <v>7</v>
      </c>
      <c r="I773" s="4">
        <v>2</v>
      </c>
      <c r="J773" s="4">
        <v>3</v>
      </c>
      <c r="K773" s="102">
        <v>3</v>
      </c>
      <c r="M773" s="101">
        <f t="shared" si="193"/>
        <v>30</v>
      </c>
      <c r="N773" s="4">
        <f t="shared" si="194"/>
        <v>12</v>
      </c>
      <c r="O773" s="4">
        <f t="shared" si="195"/>
        <v>30</v>
      </c>
      <c r="P773" s="4">
        <f t="shared" si="196"/>
        <v>29</v>
      </c>
      <c r="Q773" s="4">
        <f t="shared" si="197"/>
        <v>56</v>
      </c>
      <c r="R773" s="4">
        <f t="shared" si="198"/>
        <v>23</v>
      </c>
      <c r="S773" s="102">
        <f t="shared" si="199"/>
        <v>23</v>
      </c>
      <c r="U773" s="101">
        <f t="shared" si="200"/>
        <v>39</v>
      </c>
      <c r="V773" s="4">
        <f t="shared" si="201"/>
        <v>9</v>
      </c>
      <c r="W773" s="4">
        <f t="shared" si="202"/>
        <v>39</v>
      </c>
      <c r="X773" s="4">
        <f t="shared" si="203"/>
        <v>41</v>
      </c>
      <c r="Y773" s="4">
        <f t="shared" si="204"/>
        <v>78</v>
      </c>
      <c r="Z773" s="4">
        <f t="shared" si="205"/>
        <v>39</v>
      </c>
      <c r="AA773" s="102">
        <f t="shared" si="206"/>
        <v>39</v>
      </c>
      <c r="AC773" s="100">
        <f t="shared" si="207"/>
        <v>0.96392930572635716</v>
      </c>
    </row>
    <row r="774" spans="4:29" x14ac:dyDescent="0.35">
      <c r="D774">
        <f t="shared" si="208"/>
        <v>770</v>
      </c>
      <c r="E774" s="101">
        <v>5</v>
      </c>
      <c r="F774" s="4">
        <v>1</v>
      </c>
      <c r="G774" s="4">
        <v>1</v>
      </c>
      <c r="H774" s="4">
        <v>7</v>
      </c>
      <c r="I774" s="4">
        <v>4</v>
      </c>
      <c r="J774" s="4">
        <v>2</v>
      </c>
      <c r="K774" s="102">
        <v>5</v>
      </c>
      <c r="M774" s="101">
        <f t="shared" ref="M774:M837" si="209">INDEX($A$5:$A$11,E774)</f>
        <v>30</v>
      </c>
      <c r="N774" s="4">
        <f t="shared" ref="N774:N837" si="210">INDEX($A$5:$A$11,F774)</f>
        <v>34</v>
      </c>
      <c r="O774" s="4">
        <f t="shared" ref="O774:O837" si="211">INDEX($A$5:$A$11,G774)</f>
        <v>34</v>
      </c>
      <c r="P774" s="4">
        <f t="shared" ref="P774:P837" si="212">INDEX($A$5:$A$11,H774)</f>
        <v>29</v>
      </c>
      <c r="Q774" s="4">
        <f t="shared" ref="Q774:Q837" si="213">INDEX($A$5:$A$11,I774)</f>
        <v>12</v>
      </c>
      <c r="R774" s="4">
        <f t="shared" ref="R774:R837" si="214">INDEX($A$5:$A$11,J774)</f>
        <v>56</v>
      </c>
      <c r="S774" s="102">
        <f t="shared" ref="S774:S837" si="215">INDEX($A$5:$A$11,K774)</f>
        <v>30</v>
      </c>
      <c r="U774" s="101">
        <f t="shared" ref="U774:U837" si="216">INDEX($B$5:$B$11,E774)</f>
        <v>39</v>
      </c>
      <c r="V774" s="4">
        <f t="shared" ref="V774:V837" si="217">INDEX($B$5:$B$11,F774)</f>
        <v>46</v>
      </c>
      <c r="W774" s="4">
        <f t="shared" ref="W774:W837" si="218">INDEX($B$5:$B$11,G774)</f>
        <v>46</v>
      </c>
      <c r="X774" s="4">
        <f t="shared" ref="X774:X837" si="219">INDEX($B$5:$B$11,H774)</f>
        <v>41</v>
      </c>
      <c r="Y774" s="4">
        <f t="shared" ref="Y774:Y837" si="220">INDEX($B$5:$B$11,I774)</f>
        <v>9</v>
      </c>
      <c r="Z774" s="4">
        <f t="shared" ref="Z774:Z837" si="221">INDEX($B$5:$B$11,J774)</f>
        <v>78</v>
      </c>
      <c r="AA774" s="102">
        <f t="shared" ref="AA774:AA837" si="222">INDEX($B$5:$B$11,K774)</f>
        <v>39</v>
      </c>
      <c r="AC774" s="100">
        <f t="shared" ref="AC774:AC837" si="223">CORREL(M774:S774,U774:AA774)</f>
        <v>0.99597841885430138</v>
      </c>
    </row>
    <row r="775" spans="4:29" x14ac:dyDescent="0.35">
      <c r="D775">
        <f t="shared" ref="D775:D838" si="224">D774+1</f>
        <v>771</v>
      </c>
      <c r="E775" s="101">
        <v>7</v>
      </c>
      <c r="F775" s="4">
        <v>3</v>
      </c>
      <c r="G775" s="4">
        <v>4</v>
      </c>
      <c r="H775" s="4">
        <v>3</v>
      </c>
      <c r="I775" s="4">
        <v>5</v>
      </c>
      <c r="J775" s="4">
        <v>1</v>
      </c>
      <c r="K775" s="102">
        <v>2</v>
      </c>
      <c r="M775" s="101">
        <f t="shared" si="209"/>
        <v>29</v>
      </c>
      <c r="N775" s="4">
        <f t="shared" si="210"/>
        <v>23</v>
      </c>
      <c r="O775" s="4">
        <f t="shared" si="211"/>
        <v>12</v>
      </c>
      <c r="P775" s="4">
        <f t="shared" si="212"/>
        <v>23</v>
      </c>
      <c r="Q775" s="4">
        <f t="shared" si="213"/>
        <v>30</v>
      </c>
      <c r="R775" s="4">
        <f t="shared" si="214"/>
        <v>34</v>
      </c>
      <c r="S775" s="102">
        <f t="shared" si="215"/>
        <v>56</v>
      </c>
      <c r="U775" s="101">
        <f t="shared" si="216"/>
        <v>41</v>
      </c>
      <c r="V775" s="4">
        <f t="shared" si="217"/>
        <v>39</v>
      </c>
      <c r="W775" s="4">
        <f t="shared" si="218"/>
        <v>9</v>
      </c>
      <c r="X775" s="4">
        <f t="shared" si="219"/>
        <v>39</v>
      </c>
      <c r="Y775" s="4">
        <f t="shared" si="220"/>
        <v>39</v>
      </c>
      <c r="Z775" s="4">
        <f t="shared" si="221"/>
        <v>46</v>
      </c>
      <c r="AA775" s="102">
        <f t="shared" si="222"/>
        <v>78</v>
      </c>
      <c r="AC775" s="100">
        <f t="shared" si="223"/>
        <v>0.96557646180086343</v>
      </c>
    </row>
    <row r="776" spans="4:29" x14ac:dyDescent="0.35">
      <c r="D776">
        <f t="shared" si="224"/>
        <v>772</v>
      </c>
      <c r="E776" s="101">
        <v>3</v>
      </c>
      <c r="F776" s="4">
        <v>4</v>
      </c>
      <c r="G776" s="4">
        <v>7</v>
      </c>
      <c r="H776" s="4">
        <v>7</v>
      </c>
      <c r="I776" s="4">
        <v>4</v>
      </c>
      <c r="J776" s="4">
        <v>6</v>
      </c>
      <c r="K776" s="102">
        <v>6</v>
      </c>
      <c r="M776" s="101">
        <f t="shared" si="209"/>
        <v>23</v>
      </c>
      <c r="N776" s="4">
        <f t="shared" si="210"/>
        <v>12</v>
      </c>
      <c r="O776" s="4">
        <f t="shared" si="211"/>
        <v>29</v>
      </c>
      <c r="P776" s="4">
        <f t="shared" si="212"/>
        <v>29</v>
      </c>
      <c r="Q776" s="4">
        <f t="shared" si="213"/>
        <v>12</v>
      </c>
      <c r="R776" s="4">
        <f t="shared" si="214"/>
        <v>45</v>
      </c>
      <c r="S776" s="102">
        <f t="shared" si="215"/>
        <v>45</v>
      </c>
      <c r="U776" s="101">
        <f t="shared" si="216"/>
        <v>39</v>
      </c>
      <c r="V776" s="4">
        <f t="shared" si="217"/>
        <v>9</v>
      </c>
      <c r="W776" s="4">
        <f t="shared" si="218"/>
        <v>41</v>
      </c>
      <c r="X776" s="4">
        <f t="shared" si="219"/>
        <v>41</v>
      </c>
      <c r="Y776" s="4">
        <f t="shared" si="220"/>
        <v>9</v>
      </c>
      <c r="Z776" s="4">
        <f t="shared" si="221"/>
        <v>71</v>
      </c>
      <c r="AA776" s="102">
        <f t="shared" si="222"/>
        <v>71</v>
      </c>
      <c r="AC776" s="100">
        <f t="shared" si="223"/>
        <v>0.99052929911151477</v>
      </c>
    </row>
    <row r="777" spans="4:29" x14ac:dyDescent="0.35">
      <c r="D777">
        <f t="shared" si="224"/>
        <v>773</v>
      </c>
      <c r="E777" s="101">
        <v>5</v>
      </c>
      <c r="F777" s="4">
        <v>6</v>
      </c>
      <c r="G777" s="4">
        <v>7</v>
      </c>
      <c r="H777" s="4">
        <v>6</v>
      </c>
      <c r="I777" s="4">
        <v>4</v>
      </c>
      <c r="J777" s="4">
        <v>3</v>
      </c>
      <c r="K777" s="102">
        <v>2</v>
      </c>
      <c r="M777" s="101">
        <f t="shared" si="209"/>
        <v>30</v>
      </c>
      <c r="N777" s="4">
        <f t="shared" si="210"/>
        <v>45</v>
      </c>
      <c r="O777" s="4">
        <f t="shared" si="211"/>
        <v>29</v>
      </c>
      <c r="P777" s="4">
        <f t="shared" si="212"/>
        <v>45</v>
      </c>
      <c r="Q777" s="4">
        <f t="shared" si="213"/>
        <v>12</v>
      </c>
      <c r="R777" s="4">
        <f t="shared" si="214"/>
        <v>23</v>
      </c>
      <c r="S777" s="102">
        <f t="shared" si="215"/>
        <v>56</v>
      </c>
      <c r="U777" s="101">
        <f t="shared" si="216"/>
        <v>39</v>
      </c>
      <c r="V777" s="4">
        <f t="shared" si="217"/>
        <v>71</v>
      </c>
      <c r="W777" s="4">
        <f t="shared" si="218"/>
        <v>41</v>
      </c>
      <c r="X777" s="4">
        <f t="shared" si="219"/>
        <v>71</v>
      </c>
      <c r="Y777" s="4">
        <f t="shared" si="220"/>
        <v>9</v>
      </c>
      <c r="Z777" s="4">
        <f t="shared" si="221"/>
        <v>39</v>
      </c>
      <c r="AA777" s="102">
        <f t="shared" si="222"/>
        <v>78</v>
      </c>
      <c r="AC777" s="100">
        <f t="shared" si="223"/>
        <v>0.97649855123616347</v>
      </c>
    </row>
    <row r="778" spans="4:29" x14ac:dyDescent="0.35">
      <c r="D778">
        <f t="shared" si="224"/>
        <v>774</v>
      </c>
      <c r="E778" s="101">
        <v>4</v>
      </c>
      <c r="F778" s="4">
        <v>6</v>
      </c>
      <c r="G778" s="4">
        <v>6</v>
      </c>
      <c r="H778" s="4">
        <v>3</v>
      </c>
      <c r="I778" s="4">
        <v>3</v>
      </c>
      <c r="J778" s="4">
        <v>5</v>
      </c>
      <c r="K778" s="102">
        <v>4</v>
      </c>
      <c r="M778" s="101">
        <f t="shared" si="209"/>
        <v>12</v>
      </c>
      <c r="N778" s="4">
        <f t="shared" si="210"/>
        <v>45</v>
      </c>
      <c r="O778" s="4">
        <f t="shared" si="211"/>
        <v>45</v>
      </c>
      <c r="P778" s="4">
        <f t="shared" si="212"/>
        <v>23</v>
      </c>
      <c r="Q778" s="4">
        <f t="shared" si="213"/>
        <v>23</v>
      </c>
      <c r="R778" s="4">
        <f t="shared" si="214"/>
        <v>30</v>
      </c>
      <c r="S778" s="102">
        <f t="shared" si="215"/>
        <v>12</v>
      </c>
      <c r="U778" s="101">
        <f t="shared" si="216"/>
        <v>9</v>
      </c>
      <c r="V778" s="4">
        <f t="shared" si="217"/>
        <v>71</v>
      </c>
      <c r="W778" s="4">
        <f t="shared" si="218"/>
        <v>71</v>
      </c>
      <c r="X778" s="4">
        <f t="shared" si="219"/>
        <v>39</v>
      </c>
      <c r="Y778" s="4">
        <f t="shared" si="220"/>
        <v>39</v>
      </c>
      <c r="Z778" s="4">
        <f t="shared" si="221"/>
        <v>39</v>
      </c>
      <c r="AA778" s="102">
        <f t="shared" si="222"/>
        <v>9</v>
      </c>
      <c r="AC778" s="100">
        <f t="shared" si="223"/>
        <v>0.98024191087925461</v>
      </c>
    </row>
    <row r="779" spans="4:29" x14ac:dyDescent="0.35">
      <c r="D779">
        <f t="shared" si="224"/>
        <v>775</v>
      </c>
      <c r="E779" s="101">
        <v>5</v>
      </c>
      <c r="F779" s="4">
        <v>7</v>
      </c>
      <c r="G779" s="4">
        <v>3</v>
      </c>
      <c r="H779" s="4">
        <v>5</v>
      </c>
      <c r="I779" s="4">
        <v>7</v>
      </c>
      <c r="J779" s="4">
        <v>5</v>
      </c>
      <c r="K779" s="102">
        <v>3</v>
      </c>
      <c r="M779" s="101">
        <f t="shared" si="209"/>
        <v>30</v>
      </c>
      <c r="N779" s="4">
        <f t="shared" si="210"/>
        <v>29</v>
      </c>
      <c r="O779" s="4">
        <f t="shared" si="211"/>
        <v>23</v>
      </c>
      <c r="P779" s="4">
        <f t="shared" si="212"/>
        <v>30</v>
      </c>
      <c r="Q779" s="4">
        <f t="shared" si="213"/>
        <v>29</v>
      </c>
      <c r="R779" s="4">
        <f t="shared" si="214"/>
        <v>30</v>
      </c>
      <c r="S779" s="102">
        <f t="shared" si="215"/>
        <v>23</v>
      </c>
      <c r="U779" s="101">
        <f t="shared" si="216"/>
        <v>39</v>
      </c>
      <c r="V779" s="4">
        <f t="shared" si="217"/>
        <v>41</v>
      </c>
      <c r="W779" s="4">
        <f t="shared" si="218"/>
        <v>39</v>
      </c>
      <c r="X779" s="4">
        <f t="shared" si="219"/>
        <v>39</v>
      </c>
      <c r="Y779" s="4">
        <f t="shared" si="220"/>
        <v>41</v>
      </c>
      <c r="Z779" s="4">
        <f t="shared" si="221"/>
        <v>39</v>
      </c>
      <c r="AA779" s="102">
        <f t="shared" si="222"/>
        <v>39</v>
      </c>
      <c r="AC779" s="100">
        <f t="shared" si="223"/>
        <v>0.27013510133444885</v>
      </c>
    </row>
    <row r="780" spans="4:29" x14ac:dyDescent="0.35">
      <c r="D780">
        <f t="shared" si="224"/>
        <v>776</v>
      </c>
      <c r="E780" s="101">
        <v>1</v>
      </c>
      <c r="F780" s="4">
        <v>7</v>
      </c>
      <c r="G780" s="4">
        <v>5</v>
      </c>
      <c r="H780" s="4">
        <v>6</v>
      </c>
      <c r="I780" s="4">
        <v>6</v>
      </c>
      <c r="J780" s="4">
        <v>1</v>
      </c>
      <c r="K780" s="102">
        <v>7</v>
      </c>
      <c r="M780" s="101">
        <f t="shared" si="209"/>
        <v>34</v>
      </c>
      <c r="N780" s="4">
        <f t="shared" si="210"/>
        <v>29</v>
      </c>
      <c r="O780" s="4">
        <f t="shared" si="211"/>
        <v>30</v>
      </c>
      <c r="P780" s="4">
        <f t="shared" si="212"/>
        <v>45</v>
      </c>
      <c r="Q780" s="4">
        <f t="shared" si="213"/>
        <v>45</v>
      </c>
      <c r="R780" s="4">
        <f t="shared" si="214"/>
        <v>34</v>
      </c>
      <c r="S780" s="102">
        <f t="shared" si="215"/>
        <v>29</v>
      </c>
      <c r="U780" s="101">
        <f t="shared" si="216"/>
        <v>46</v>
      </c>
      <c r="V780" s="4">
        <f t="shared" si="217"/>
        <v>41</v>
      </c>
      <c r="W780" s="4">
        <f t="shared" si="218"/>
        <v>39</v>
      </c>
      <c r="X780" s="4">
        <f t="shared" si="219"/>
        <v>71</v>
      </c>
      <c r="Y780" s="4">
        <f t="shared" si="220"/>
        <v>71</v>
      </c>
      <c r="Z780" s="4">
        <f t="shared" si="221"/>
        <v>46</v>
      </c>
      <c r="AA780" s="102">
        <f t="shared" si="222"/>
        <v>41</v>
      </c>
      <c r="AC780" s="100">
        <f t="shared" si="223"/>
        <v>0.98839886332705762</v>
      </c>
    </row>
    <row r="781" spans="4:29" x14ac:dyDescent="0.35">
      <c r="D781">
        <f t="shared" si="224"/>
        <v>777</v>
      </c>
      <c r="E781" s="101">
        <v>5</v>
      </c>
      <c r="F781" s="4">
        <v>5</v>
      </c>
      <c r="G781" s="4">
        <v>6</v>
      </c>
      <c r="H781" s="4">
        <v>2</v>
      </c>
      <c r="I781" s="4">
        <v>2</v>
      </c>
      <c r="J781" s="4">
        <v>1</v>
      </c>
      <c r="K781" s="102">
        <v>7</v>
      </c>
      <c r="M781" s="101">
        <f t="shared" si="209"/>
        <v>30</v>
      </c>
      <c r="N781" s="4">
        <f t="shared" si="210"/>
        <v>30</v>
      </c>
      <c r="O781" s="4">
        <f t="shared" si="211"/>
        <v>45</v>
      </c>
      <c r="P781" s="4">
        <f t="shared" si="212"/>
        <v>56</v>
      </c>
      <c r="Q781" s="4">
        <f t="shared" si="213"/>
        <v>56</v>
      </c>
      <c r="R781" s="4">
        <f t="shared" si="214"/>
        <v>34</v>
      </c>
      <c r="S781" s="102">
        <f t="shared" si="215"/>
        <v>29</v>
      </c>
      <c r="U781" s="101">
        <f t="shared" si="216"/>
        <v>39</v>
      </c>
      <c r="V781" s="4">
        <f t="shared" si="217"/>
        <v>39</v>
      </c>
      <c r="W781" s="4">
        <f t="shared" si="218"/>
        <v>71</v>
      </c>
      <c r="X781" s="4">
        <f t="shared" si="219"/>
        <v>78</v>
      </c>
      <c r="Y781" s="4">
        <f t="shared" si="220"/>
        <v>78</v>
      </c>
      <c r="Z781" s="4">
        <f t="shared" si="221"/>
        <v>46</v>
      </c>
      <c r="AA781" s="102">
        <f t="shared" si="222"/>
        <v>41</v>
      </c>
      <c r="AC781" s="100">
        <f t="shared" si="223"/>
        <v>0.98182677221902925</v>
      </c>
    </row>
    <row r="782" spans="4:29" x14ac:dyDescent="0.35">
      <c r="D782">
        <f t="shared" si="224"/>
        <v>778</v>
      </c>
      <c r="E782" s="101">
        <v>4</v>
      </c>
      <c r="F782" s="4">
        <v>1</v>
      </c>
      <c r="G782" s="4">
        <v>7</v>
      </c>
      <c r="H782" s="4">
        <v>4</v>
      </c>
      <c r="I782" s="4">
        <v>3</v>
      </c>
      <c r="J782" s="4">
        <v>4</v>
      </c>
      <c r="K782" s="102">
        <v>4</v>
      </c>
      <c r="M782" s="101">
        <f t="shared" si="209"/>
        <v>12</v>
      </c>
      <c r="N782" s="4">
        <f t="shared" si="210"/>
        <v>34</v>
      </c>
      <c r="O782" s="4">
        <f t="shared" si="211"/>
        <v>29</v>
      </c>
      <c r="P782" s="4">
        <f t="shared" si="212"/>
        <v>12</v>
      </c>
      <c r="Q782" s="4">
        <f t="shared" si="213"/>
        <v>23</v>
      </c>
      <c r="R782" s="4">
        <f t="shared" si="214"/>
        <v>12</v>
      </c>
      <c r="S782" s="102">
        <f t="shared" si="215"/>
        <v>12</v>
      </c>
      <c r="U782" s="101">
        <f t="shared" si="216"/>
        <v>9</v>
      </c>
      <c r="V782" s="4">
        <f t="shared" si="217"/>
        <v>46</v>
      </c>
      <c r="W782" s="4">
        <f t="shared" si="218"/>
        <v>41</v>
      </c>
      <c r="X782" s="4">
        <f t="shared" si="219"/>
        <v>9</v>
      </c>
      <c r="Y782" s="4">
        <f t="shared" si="220"/>
        <v>39</v>
      </c>
      <c r="Z782" s="4">
        <f t="shared" si="221"/>
        <v>9</v>
      </c>
      <c r="AA782" s="102">
        <f t="shared" si="222"/>
        <v>9</v>
      </c>
      <c r="AC782" s="100">
        <f t="shared" si="223"/>
        <v>0.97301037721698014</v>
      </c>
    </row>
    <row r="783" spans="4:29" x14ac:dyDescent="0.35">
      <c r="D783">
        <f t="shared" si="224"/>
        <v>779</v>
      </c>
      <c r="E783" s="101">
        <v>4</v>
      </c>
      <c r="F783" s="4">
        <v>1</v>
      </c>
      <c r="G783" s="4">
        <v>7</v>
      </c>
      <c r="H783" s="4">
        <v>4</v>
      </c>
      <c r="I783" s="4">
        <v>1</v>
      </c>
      <c r="J783" s="4">
        <v>1</v>
      </c>
      <c r="K783" s="102">
        <v>7</v>
      </c>
      <c r="M783" s="101">
        <f t="shared" si="209"/>
        <v>12</v>
      </c>
      <c r="N783" s="4">
        <f t="shared" si="210"/>
        <v>34</v>
      </c>
      <c r="O783" s="4">
        <f t="shared" si="211"/>
        <v>29</v>
      </c>
      <c r="P783" s="4">
        <f t="shared" si="212"/>
        <v>12</v>
      </c>
      <c r="Q783" s="4">
        <f t="shared" si="213"/>
        <v>34</v>
      </c>
      <c r="R783" s="4">
        <f t="shared" si="214"/>
        <v>34</v>
      </c>
      <c r="S783" s="102">
        <f t="shared" si="215"/>
        <v>29</v>
      </c>
      <c r="U783" s="101">
        <f t="shared" si="216"/>
        <v>9</v>
      </c>
      <c r="V783" s="4">
        <f t="shared" si="217"/>
        <v>46</v>
      </c>
      <c r="W783" s="4">
        <f t="shared" si="218"/>
        <v>41</v>
      </c>
      <c r="X783" s="4">
        <f t="shared" si="219"/>
        <v>9</v>
      </c>
      <c r="Y783" s="4">
        <f t="shared" si="220"/>
        <v>46</v>
      </c>
      <c r="Z783" s="4">
        <f t="shared" si="221"/>
        <v>46</v>
      </c>
      <c r="AA783" s="102">
        <f t="shared" si="222"/>
        <v>41</v>
      </c>
      <c r="AC783" s="100">
        <f t="shared" si="223"/>
        <v>0.99548608922702242</v>
      </c>
    </row>
    <row r="784" spans="4:29" x14ac:dyDescent="0.35">
      <c r="D784">
        <f t="shared" si="224"/>
        <v>780</v>
      </c>
      <c r="E784" s="101">
        <v>2</v>
      </c>
      <c r="F784" s="4">
        <v>7</v>
      </c>
      <c r="G784" s="4">
        <v>7</v>
      </c>
      <c r="H784" s="4">
        <v>4</v>
      </c>
      <c r="I784" s="4">
        <v>1</v>
      </c>
      <c r="J784" s="4">
        <v>7</v>
      </c>
      <c r="K784" s="102">
        <v>6</v>
      </c>
      <c r="M784" s="101">
        <f t="shared" si="209"/>
        <v>56</v>
      </c>
      <c r="N784" s="4">
        <f t="shared" si="210"/>
        <v>29</v>
      </c>
      <c r="O784" s="4">
        <f t="shared" si="211"/>
        <v>29</v>
      </c>
      <c r="P784" s="4">
        <f t="shared" si="212"/>
        <v>12</v>
      </c>
      <c r="Q784" s="4">
        <f t="shared" si="213"/>
        <v>34</v>
      </c>
      <c r="R784" s="4">
        <f t="shared" si="214"/>
        <v>29</v>
      </c>
      <c r="S784" s="102">
        <f t="shared" si="215"/>
        <v>45</v>
      </c>
      <c r="U784" s="101">
        <f t="shared" si="216"/>
        <v>78</v>
      </c>
      <c r="V784" s="4">
        <f t="shared" si="217"/>
        <v>41</v>
      </c>
      <c r="W784" s="4">
        <f t="shared" si="218"/>
        <v>41</v>
      </c>
      <c r="X784" s="4">
        <f t="shared" si="219"/>
        <v>9</v>
      </c>
      <c r="Y784" s="4">
        <f t="shared" si="220"/>
        <v>46</v>
      </c>
      <c r="Z784" s="4">
        <f t="shared" si="221"/>
        <v>41</v>
      </c>
      <c r="AA784" s="102">
        <f t="shared" si="222"/>
        <v>71</v>
      </c>
      <c r="AC784" s="100">
        <f t="shared" si="223"/>
        <v>0.98753360236352683</v>
      </c>
    </row>
    <row r="785" spans="4:29" x14ac:dyDescent="0.35">
      <c r="D785">
        <f t="shared" si="224"/>
        <v>781</v>
      </c>
      <c r="E785" s="101">
        <v>5</v>
      </c>
      <c r="F785" s="4">
        <v>2</v>
      </c>
      <c r="G785" s="4">
        <v>7</v>
      </c>
      <c r="H785" s="4">
        <v>4</v>
      </c>
      <c r="I785" s="4">
        <v>5</v>
      </c>
      <c r="J785" s="4">
        <v>3</v>
      </c>
      <c r="K785" s="102">
        <v>7</v>
      </c>
      <c r="M785" s="101">
        <f t="shared" si="209"/>
        <v>30</v>
      </c>
      <c r="N785" s="4">
        <f t="shared" si="210"/>
        <v>56</v>
      </c>
      <c r="O785" s="4">
        <f t="shared" si="211"/>
        <v>29</v>
      </c>
      <c r="P785" s="4">
        <f t="shared" si="212"/>
        <v>12</v>
      </c>
      <c r="Q785" s="4">
        <f t="shared" si="213"/>
        <v>30</v>
      </c>
      <c r="R785" s="4">
        <f t="shared" si="214"/>
        <v>23</v>
      </c>
      <c r="S785" s="102">
        <f t="shared" si="215"/>
        <v>29</v>
      </c>
      <c r="U785" s="101">
        <f t="shared" si="216"/>
        <v>39</v>
      </c>
      <c r="V785" s="4">
        <f t="shared" si="217"/>
        <v>78</v>
      </c>
      <c r="W785" s="4">
        <f t="shared" si="218"/>
        <v>41</v>
      </c>
      <c r="X785" s="4">
        <f t="shared" si="219"/>
        <v>9</v>
      </c>
      <c r="Y785" s="4">
        <f t="shared" si="220"/>
        <v>39</v>
      </c>
      <c r="Z785" s="4">
        <f t="shared" si="221"/>
        <v>39</v>
      </c>
      <c r="AA785" s="102">
        <f t="shared" si="222"/>
        <v>41</v>
      </c>
      <c r="AC785" s="100">
        <f t="shared" si="223"/>
        <v>0.97619203054558845</v>
      </c>
    </row>
    <row r="786" spans="4:29" x14ac:dyDescent="0.35">
      <c r="D786">
        <f t="shared" si="224"/>
        <v>782</v>
      </c>
      <c r="E786" s="101">
        <v>4</v>
      </c>
      <c r="F786" s="4">
        <v>1</v>
      </c>
      <c r="G786" s="4">
        <v>7</v>
      </c>
      <c r="H786" s="4">
        <v>6</v>
      </c>
      <c r="I786" s="4">
        <v>2</v>
      </c>
      <c r="J786" s="4">
        <v>2</v>
      </c>
      <c r="K786" s="102">
        <v>4</v>
      </c>
      <c r="M786" s="101">
        <f t="shared" si="209"/>
        <v>12</v>
      </c>
      <c r="N786" s="4">
        <f t="shared" si="210"/>
        <v>34</v>
      </c>
      <c r="O786" s="4">
        <f t="shared" si="211"/>
        <v>29</v>
      </c>
      <c r="P786" s="4">
        <f t="shared" si="212"/>
        <v>45</v>
      </c>
      <c r="Q786" s="4">
        <f t="shared" si="213"/>
        <v>56</v>
      </c>
      <c r="R786" s="4">
        <f t="shared" si="214"/>
        <v>56</v>
      </c>
      <c r="S786" s="102">
        <f t="shared" si="215"/>
        <v>12</v>
      </c>
      <c r="U786" s="101">
        <f t="shared" si="216"/>
        <v>9</v>
      </c>
      <c r="V786" s="4">
        <f t="shared" si="217"/>
        <v>46</v>
      </c>
      <c r="W786" s="4">
        <f t="shared" si="218"/>
        <v>41</v>
      </c>
      <c r="X786" s="4">
        <f t="shared" si="219"/>
        <v>71</v>
      </c>
      <c r="Y786" s="4">
        <f t="shared" si="220"/>
        <v>78</v>
      </c>
      <c r="Z786" s="4">
        <f t="shared" si="221"/>
        <v>78</v>
      </c>
      <c r="AA786" s="102">
        <f t="shared" si="222"/>
        <v>9</v>
      </c>
      <c r="AC786" s="100">
        <f t="shared" si="223"/>
        <v>0.99160136402321364</v>
      </c>
    </row>
    <row r="787" spans="4:29" x14ac:dyDescent="0.35">
      <c r="D787">
        <f t="shared" si="224"/>
        <v>783</v>
      </c>
      <c r="E787" s="101">
        <v>5</v>
      </c>
      <c r="F787" s="4">
        <v>7</v>
      </c>
      <c r="G787" s="4">
        <v>5</v>
      </c>
      <c r="H787" s="4">
        <v>5</v>
      </c>
      <c r="I787" s="4">
        <v>1</v>
      </c>
      <c r="J787" s="4">
        <v>1</v>
      </c>
      <c r="K787" s="102">
        <v>6</v>
      </c>
      <c r="M787" s="101">
        <f t="shared" si="209"/>
        <v>30</v>
      </c>
      <c r="N787" s="4">
        <f t="shared" si="210"/>
        <v>29</v>
      </c>
      <c r="O787" s="4">
        <f t="shared" si="211"/>
        <v>30</v>
      </c>
      <c r="P787" s="4">
        <f t="shared" si="212"/>
        <v>30</v>
      </c>
      <c r="Q787" s="4">
        <f t="shared" si="213"/>
        <v>34</v>
      </c>
      <c r="R787" s="4">
        <f t="shared" si="214"/>
        <v>34</v>
      </c>
      <c r="S787" s="102">
        <f t="shared" si="215"/>
        <v>45</v>
      </c>
      <c r="U787" s="101">
        <f t="shared" si="216"/>
        <v>39</v>
      </c>
      <c r="V787" s="4">
        <f t="shared" si="217"/>
        <v>41</v>
      </c>
      <c r="W787" s="4">
        <f t="shared" si="218"/>
        <v>39</v>
      </c>
      <c r="X787" s="4">
        <f t="shared" si="219"/>
        <v>39</v>
      </c>
      <c r="Y787" s="4">
        <f t="shared" si="220"/>
        <v>46</v>
      </c>
      <c r="Z787" s="4">
        <f t="shared" si="221"/>
        <v>46</v>
      </c>
      <c r="AA787" s="102">
        <f t="shared" si="222"/>
        <v>71</v>
      </c>
      <c r="AC787" s="100">
        <f t="shared" si="223"/>
        <v>0.9876516439943912</v>
      </c>
    </row>
    <row r="788" spans="4:29" x14ac:dyDescent="0.35">
      <c r="D788">
        <f t="shared" si="224"/>
        <v>784</v>
      </c>
      <c r="E788" s="101">
        <v>5</v>
      </c>
      <c r="F788" s="4">
        <v>6</v>
      </c>
      <c r="G788" s="4">
        <v>2</v>
      </c>
      <c r="H788" s="4">
        <v>6</v>
      </c>
      <c r="I788" s="4">
        <v>5</v>
      </c>
      <c r="J788" s="4">
        <v>1</v>
      </c>
      <c r="K788" s="102">
        <v>3</v>
      </c>
      <c r="M788" s="101">
        <f t="shared" si="209"/>
        <v>30</v>
      </c>
      <c r="N788" s="4">
        <f t="shared" si="210"/>
        <v>45</v>
      </c>
      <c r="O788" s="4">
        <f t="shared" si="211"/>
        <v>56</v>
      </c>
      <c r="P788" s="4">
        <f t="shared" si="212"/>
        <v>45</v>
      </c>
      <c r="Q788" s="4">
        <f t="shared" si="213"/>
        <v>30</v>
      </c>
      <c r="R788" s="4">
        <f t="shared" si="214"/>
        <v>34</v>
      </c>
      <c r="S788" s="102">
        <f t="shared" si="215"/>
        <v>23</v>
      </c>
      <c r="U788" s="101">
        <f t="shared" si="216"/>
        <v>39</v>
      </c>
      <c r="V788" s="4">
        <f t="shared" si="217"/>
        <v>71</v>
      </c>
      <c r="W788" s="4">
        <f t="shared" si="218"/>
        <v>78</v>
      </c>
      <c r="X788" s="4">
        <f t="shared" si="219"/>
        <v>71</v>
      </c>
      <c r="Y788" s="4">
        <f t="shared" si="220"/>
        <v>39</v>
      </c>
      <c r="Z788" s="4">
        <f t="shared" si="221"/>
        <v>46</v>
      </c>
      <c r="AA788" s="102">
        <f t="shared" si="222"/>
        <v>39</v>
      </c>
      <c r="AC788" s="100">
        <f t="shared" si="223"/>
        <v>0.95712210024035227</v>
      </c>
    </row>
    <row r="789" spans="4:29" x14ac:dyDescent="0.35">
      <c r="D789">
        <f t="shared" si="224"/>
        <v>785</v>
      </c>
      <c r="E789" s="101">
        <v>5</v>
      </c>
      <c r="F789" s="4">
        <v>6</v>
      </c>
      <c r="G789" s="4">
        <v>7</v>
      </c>
      <c r="H789" s="4">
        <v>1</v>
      </c>
      <c r="I789" s="4">
        <v>1</v>
      </c>
      <c r="J789" s="4">
        <v>5</v>
      </c>
      <c r="K789" s="102">
        <v>1</v>
      </c>
      <c r="M789" s="101">
        <f t="shared" si="209"/>
        <v>30</v>
      </c>
      <c r="N789" s="4">
        <f t="shared" si="210"/>
        <v>45</v>
      </c>
      <c r="O789" s="4">
        <f t="shared" si="211"/>
        <v>29</v>
      </c>
      <c r="P789" s="4">
        <f t="shared" si="212"/>
        <v>34</v>
      </c>
      <c r="Q789" s="4">
        <f t="shared" si="213"/>
        <v>34</v>
      </c>
      <c r="R789" s="4">
        <f t="shared" si="214"/>
        <v>30</v>
      </c>
      <c r="S789" s="102">
        <f t="shared" si="215"/>
        <v>34</v>
      </c>
      <c r="U789" s="101">
        <f t="shared" si="216"/>
        <v>39</v>
      </c>
      <c r="V789" s="4">
        <f t="shared" si="217"/>
        <v>71</v>
      </c>
      <c r="W789" s="4">
        <f t="shared" si="218"/>
        <v>41</v>
      </c>
      <c r="X789" s="4">
        <f t="shared" si="219"/>
        <v>46</v>
      </c>
      <c r="Y789" s="4">
        <f t="shared" si="220"/>
        <v>46</v>
      </c>
      <c r="Z789" s="4">
        <f t="shared" si="221"/>
        <v>39</v>
      </c>
      <c r="AA789" s="102">
        <f t="shared" si="222"/>
        <v>46</v>
      </c>
      <c r="AC789" s="100">
        <f t="shared" si="223"/>
        <v>0.98530765023609468</v>
      </c>
    </row>
    <row r="790" spans="4:29" x14ac:dyDescent="0.35">
      <c r="D790">
        <f t="shared" si="224"/>
        <v>786</v>
      </c>
      <c r="E790" s="101">
        <v>4</v>
      </c>
      <c r="F790" s="4">
        <v>2</v>
      </c>
      <c r="G790" s="4">
        <v>4</v>
      </c>
      <c r="H790" s="4">
        <v>7</v>
      </c>
      <c r="I790" s="4">
        <v>6</v>
      </c>
      <c r="J790" s="4">
        <v>7</v>
      </c>
      <c r="K790" s="102">
        <v>4</v>
      </c>
      <c r="M790" s="101">
        <f t="shared" si="209"/>
        <v>12</v>
      </c>
      <c r="N790" s="4">
        <f t="shared" si="210"/>
        <v>56</v>
      </c>
      <c r="O790" s="4">
        <f t="shared" si="211"/>
        <v>12</v>
      </c>
      <c r="P790" s="4">
        <f t="shared" si="212"/>
        <v>29</v>
      </c>
      <c r="Q790" s="4">
        <f t="shared" si="213"/>
        <v>45</v>
      </c>
      <c r="R790" s="4">
        <f t="shared" si="214"/>
        <v>29</v>
      </c>
      <c r="S790" s="102">
        <f t="shared" si="215"/>
        <v>12</v>
      </c>
      <c r="U790" s="101">
        <f t="shared" si="216"/>
        <v>9</v>
      </c>
      <c r="V790" s="4">
        <f t="shared" si="217"/>
        <v>78</v>
      </c>
      <c r="W790" s="4">
        <f t="shared" si="218"/>
        <v>9</v>
      </c>
      <c r="X790" s="4">
        <f t="shared" si="219"/>
        <v>41</v>
      </c>
      <c r="Y790" s="4">
        <f t="shared" si="220"/>
        <v>71</v>
      </c>
      <c r="Z790" s="4">
        <f t="shared" si="221"/>
        <v>41</v>
      </c>
      <c r="AA790" s="102">
        <f t="shared" si="222"/>
        <v>9</v>
      </c>
      <c r="AC790" s="100">
        <f t="shared" si="223"/>
        <v>0.99227424310864998</v>
      </c>
    </row>
    <row r="791" spans="4:29" x14ac:dyDescent="0.35">
      <c r="D791">
        <f t="shared" si="224"/>
        <v>787</v>
      </c>
      <c r="E791" s="101">
        <v>6</v>
      </c>
      <c r="F791" s="4">
        <v>7</v>
      </c>
      <c r="G791" s="4">
        <v>7</v>
      </c>
      <c r="H791" s="4">
        <v>4</v>
      </c>
      <c r="I791" s="4">
        <v>1</v>
      </c>
      <c r="J791" s="4">
        <v>7</v>
      </c>
      <c r="K791" s="102">
        <v>2</v>
      </c>
      <c r="M791" s="101">
        <f t="shared" si="209"/>
        <v>45</v>
      </c>
      <c r="N791" s="4">
        <f t="shared" si="210"/>
        <v>29</v>
      </c>
      <c r="O791" s="4">
        <f t="shared" si="211"/>
        <v>29</v>
      </c>
      <c r="P791" s="4">
        <f t="shared" si="212"/>
        <v>12</v>
      </c>
      <c r="Q791" s="4">
        <f t="shared" si="213"/>
        <v>34</v>
      </c>
      <c r="R791" s="4">
        <f t="shared" si="214"/>
        <v>29</v>
      </c>
      <c r="S791" s="102">
        <f t="shared" si="215"/>
        <v>56</v>
      </c>
      <c r="U791" s="101">
        <f t="shared" si="216"/>
        <v>71</v>
      </c>
      <c r="V791" s="4">
        <f t="shared" si="217"/>
        <v>41</v>
      </c>
      <c r="W791" s="4">
        <f t="shared" si="218"/>
        <v>41</v>
      </c>
      <c r="X791" s="4">
        <f t="shared" si="219"/>
        <v>9</v>
      </c>
      <c r="Y791" s="4">
        <f t="shared" si="220"/>
        <v>46</v>
      </c>
      <c r="Z791" s="4">
        <f t="shared" si="221"/>
        <v>41</v>
      </c>
      <c r="AA791" s="102">
        <f t="shared" si="222"/>
        <v>78</v>
      </c>
      <c r="AC791" s="100">
        <f t="shared" si="223"/>
        <v>0.98753360236352672</v>
      </c>
    </row>
    <row r="792" spans="4:29" x14ac:dyDescent="0.35">
      <c r="D792">
        <f t="shared" si="224"/>
        <v>788</v>
      </c>
      <c r="E792" s="101">
        <v>3</v>
      </c>
      <c r="F792" s="4">
        <v>2</v>
      </c>
      <c r="G792" s="4">
        <v>5</v>
      </c>
      <c r="H792" s="4">
        <v>3</v>
      </c>
      <c r="I792" s="4">
        <v>3</v>
      </c>
      <c r="J792" s="4">
        <v>2</v>
      </c>
      <c r="K792" s="102">
        <v>4</v>
      </c>
      <c r="M792" s="101">
        <f t="shared" si="209"/>
        <v>23</v>
      </c>
      <c r="N792" s="4">
        <f t="shared" si="210"/>
        <v>56</v>
      </c>
      <c r="O792" s="4">
        <f t="shared" si="211"/>
        <v>30</v>
      </c>
      <c r="P792" s="4">
        <f t="shared" si="212"/>
        <v>23</v>
      </c>
      <c r="Q792" s="4">
        <f t="shared" si="213"/>
        <v>23</v>
      </c>
      <c r="R792" s="4">
        <f t="shared" si="214"/>
        <v>56</v>
      </c>
      <c r="S792" s="102">
        <f t="shared" si="215"/>
        <v>12</v>
      </c>
      <c r="U792" s="101">
        <f t="shared" si="216"/>
        <v>39</v>
      </c>
      <c r="V792" s="4">
        <f t="shared" si="217"/>
        <v>78</v>
      </c>
      <c r="W792" s="4">
        <f t="shared" si="218"/>
        <v>39</v>
      </c>
      <c r="X792" s="4">
        <f t="shared" si="219"/>
        <v>39</v>
      </c>
      <c r="Y792" s="4">
        <f t="shared" si="220"/>
        <v>39</v>
      </c>
      <c r="Z792" s="4">
        <f t="shared" si="221"/>
        <v>78</v>
      </c>
      <c r="AA792" s="102">
        <f t="shared" si="222"/>
        <v>9</v>
      </c>
      <c r="AC792" s="100">
        <f t="shared" si="223"/>
        <v>0.97236152667214482</v>
      </c>
    </row>
    <row r="793" spans="4:29" x14ac:dyDescent="0.35">
      <c r="D793">
        <f t="shared" si="224"/>
        <v>789</v>
      </c>
      <c r="E793" s="101">
        <v>4</v>
      </c>
      <c r="F793" s="4">
        <v>4</v>
      </c>
      <c r="G793" s="4">
        <v>2</v>
      </c>
      <c r="H793" s="4">
        <v>3</v>
      </c>
      <c r="I793" s="4">
        <v>2</v>
      </c>
      <c r="J793" s="4">
        <v>3</v>
      </c>
      <c r="K793" s="102">
        <v>2</v>
      </c>
      <c r="M793" s="101">
        <f t="shared" si="209"/>
        <v>12</v>
      </c>
      <c r="N793" s="4">
        <f t="shared" si="210"/>
        <v>12</v>
      </c>
      <c r="O793" s="4">
        <f t="shared" si="211"/>
        <v>56</v>
      </c>
      <c r="P793" s="4">
        <f t="shared" si="212"/>
        <v>23</v>
      </c>
      <c r="Q793" s="4">
        <f t="shared" si="213"/>
        <v>56</v>
      </c>
      <c r="R793" s="4">
        <f t="shared" si="214"/>
        <v>23</v>
      </c>
      <c r="S793" s="102">
        <f t="shared" si="215"/>
        <v>56</v>
      </c>
      <c r="U793" s="101">
        <f t="shared" si="216"/>
        <v>9</v>
      </c>
      <c r="V793" s="4">
        <f t="shared" si="217"/>
        <v>9</v>
      </c>
      <c r="W793" s="4">
        <f t="shared" si="218"/>
        <v>78</v>
      </c>
      <c r="X793" s="4">
        <f t="shared" si="219"/>
        <v>39</v>
      </c>
      <c r="Y793" s="4">
        <f t="shared" si="220"/>
        <v>78</v>
      </c>
      <c r="Z793" s="4">
        <f t="shared" si="221"/>
        <v>39</v>
      </c>
      <c r="AA793" s="102">
        <f t="shared" si="222"/>
        <v>78</v>
      </c>
      <c r="AC793" s="100">
        <f t="shared" si="223"/>
        <v>0.98267064404807192</v>
      </c>
    </row>
    <row r="794" spans="4:29" x14ac:dyDescent="0.35">
      <c r="D794">
        <f t="shared" si="224"/>
        <v>790</v>
      </c>
      <c r="E794" s="101">
        <v>5</v>
      </c>
      <c r="F794" s="4">
        <v>5</v>
      </c>
      <c r="G794" s="4">
        <v>3</v>
      </c>
      <c r="H794" s="4">
        <v>6</v>
      </c>
      <c r="I794" s="4">
        <v>6</v>
      </c>
      <c r="J794" s="4">
        <v>5</v>
      </c>
      <c r="K794" s="102">
        <v>5</v>
      </c>
      <c r="M794" s="101">
        <f t="shared" si="209"/>
        <v>30</v>
      </c>
      <c r="N794" s="4">
        <f t="shared" si="210"/>
        <v>30</v>
      </c>
      <c r="O794" s="4">
        <f t="shared" si="211"/>
        <v>23</v>
      </c>
      <c r="P794" s="4">
        <f t="shared" si="212"/>
        <v>45</v>
      </c>
      <c r="Q794" s="4">
        <f t="shared" si="213"/>
        <v>45</v>
      </c>
      <c r="R794" s="4">
        <f t="shared" si="214"/>
        <v>30</v>
      </c>
      <c r="S794" s="102">
        <f t="shared" si="215"/>
        <v>30</v>
      </c>
      <c r="U794" s="101">
        <f t="shared" si="216"/>
        <v>39</v>
      </c>
      <c r="V794" s="4">
        <f t="shared" si="217"/>
        <v>39</v>
      </c>
      <c r="W794" s="4">
        <f t="shared" si="218"/>
        <v>39</v>
      </c>
      <c r="X794" s="4">
        <f t="shared" si="219"/>
        <v>71</v>
      </c>
      <c r="Y794" s="4">
        <f t="shared" si="220"/>
        <v>71</v>
      </c>
      <c r="Z794" s="4">
        <f t="shared" si="221"/>
        <v>39</v>
      </c>
      <c r="AA794" s="102">
        <f t="shared" si="222"/>
        <v>39</v>
      </c>
      <c r="AC794" s="100">
        <f t="shared" si="223"/>
        <v>0.95258721498834131</v>
      </c>
    </row>
    <row r="795" spans="4:29" x14ac:dyDescent="0.35">
      <c r="D795">
        <f t="shared" si="224"/>
        <v>791</v>
      </c>
      <c r="E795" s="101">
        <v>2</v>
      </c>
      <c r="F795" s="4">
        <v>2</v>
      </c>
      <c r="G795" s="4">
        <v>3</v>
      </c>
      <c r="H795" s="4">
        <v>2</v>
      </c>
      <c r="I795" s="4">
        <v>4</v>
      </c>
      <c r="J795" s="4">
        <v>1</v>
      </c>
      <c r="K795" s="102">
        <v>6</v>
      </c>
      <c r="M795" s="101">
        <f t="shared" si="209"/>
        <v>56</v>
      </c>
      <c r="N795" s="4">
        <f t="shared" si="210"/>
        <v>56</v>
      </c>
      <c r="O795" s="4">
        <f t="shared" si="211"/>
        <v>23</v>
      </c>
      <c r="P795" s="4">
        <f t="shared" si="212"/>
        <v>56</v>
      </c>
      <c r="Q795" s="4">
        <f t="shared" si="213"/>
        <v>12</v>
      </c>
      <c r="R795" s="4">
        <f t="shared" si="214"/>
        <v>34</v>
      </c>
      <c r="S795" s="102">
        <f t="shared" si="215"/>
        <v>45</v>
      </c>
      <c r="U795" s="101">
        <f t="shared" si="216"/>
        <v>78</v>
      </c>
      <c r="V795" s="4">
        <f t="shared" si="217"/>
        <v>78</v>
      </c>
      <c r="W795" s="4">
        <f t="shared" si="218"/>
        <v>39</v>
      </c>
      <c r="X795" s="4">
        <f t="shared" si="219"/>
        <v>78</v>
      </c>
      <c r="Y795" s="4">
        <f t="shared" si="220"/>
        <v>9</v>
      </c>
      <c r="Z795" s="4">
        <f t="shared" si="221"/>
        <v>46</v>
      </c>
      <c r="AA795" s="102">
        <f t="shared" si="222"/>
        <v>71</v>
      </c>
      <c r="AC795" s="100">
        <f t="shared" si="223"/>
        <v>0.98078584346972442</v>
      </c>
    </row>
    <row r="796" spans="4:29" x14ac:dyDescent="0.35">
      <c r="D796">
        <f t="shared" si="224"/>
        <v>792</v>
      </c>
      <c r="E796" s="101">
        <v>1</v>
      </c>
      <c r="F796" s="4">
        <v>3</v>
      </c>
      <c r="G796" s="4">
        <v>3</v>
      </c>
      <c r="H796" s="4">
        <v>5</v>
      </c>
      <c r="I796" s="4">
        <v>3</v>
      </c>
      <c r="J796" s="4">
        <v>5</v>
      </c>
      <c r="K796" s="102">
        <v>1</v>
      </c>
      <c r="M796" s="101">
        <f t="shared" si="209"/>
        <v>34</v>
      </c>
      <c r="N796" s="4">
        <f t="shared" si="210"/>
        <v>23</v>
      </c>
      <c r="O796" s="4">
        <f t="shared" si="211"/>
        <v>23</v>
      </c>
      <c r="P796" s="4">
        <f t="shared" si="212"/>
        <v>30</v>
      </c>
      <c r="Q796" s="4">
        <f t="shared" si="213"/>
        <v>23</v>
      </c>
      <c r="R796" s="4">
        <f t="shared" si="214"/>
        <v>30</v>
      </c>
      <c r="S796" s="102">
        <f t="shared" si="215"/>
        <v>34</v>
      </c>
      <c r="U796" s="101">
        <f t="shared" si="216"/>
        <v>46</v>
      </c>
      <c r="V796" s="4">
        <f t="shared" si="217"/>
        <v>39</v>
      </c>
      <c r="W796" s="4">
        <f t="shared" si="218"/>
        <v>39</v>
      </c>
      <c r="X796" s="4">
        <f t="shared" si="219"/>
        <v>39</v>
      </c>
      <c r="Y796" s="4">
        <f t="shared" si="220"/>
        <v>39</v>
      </c>
      <c r="Z796" s="4">
        <f t="shared" si="221"/>
        <v>39</v>
      </c>
      <c r="AA796" s="102">
        <f t="shared" si="222"/>
        <v>46</v>
      </c>
      <c r="AC796" s="100">
        <f t="shared" si="223"/>
        <v>0.78758821915518085</v>
      </c>
    </row>
    <row r="797" spans="4:29" x14ac:dyDescent="0.35">
      <c r="D797">
        <f t="shared" si="224"/>
        <v>793</v>
      </c>
      <c r="E797" s="101">
        <v>5</v>
      </c>
      <c r="F797" s="4">
        <v>4</v>
      </c>
      <c r="G797" s="4">
        <v>7</v>
      </c>
      <c r="H797" s="4">
        <v>7</v>
      </c>
      <c r="I797" s="4">
        <v>4</v>
      </c>
      <c r="J797" s="4">
        <v>5</v>
      </c>
      <c r="K797" s="102">
        <v>7</v>
      </c>
      <c r="M797" s="101">
        <f t="shared" si="209"/>
        <v>30</v>
      </c>
      <c r="N797" s="4">
        <f t="shared" si="210"/>
        <v>12</v>
      </c>
      <c r="O797" s="4">
        <f t="shared" si="211"/>
        <v>29</v>
      </c>
      <c r="P797" s="4">
        <f t="shared" si="212"/>
        <v>29</v>
      </c>
      <c r="Q797" s="4">
        <f t="shared" si="213"/>
        <v>12</v>
      </c>
      <c r="R797" s="4">
        <f t="shared" si="214"/>
        <v>30</v>
      </c>
      <c r="S797" s="102">
        <f t="shared" si="215"/>
        <v>29</v>
      </c>
      <c r="U797" s="101">
        <f t="shared" si="216"/>
        <v>39</v>
      </c>
      <c r="V797" s="4">
        <f t="shared" si="217"/>
        <v>9</v>
      </c>
      <c r="W797" s="4">
        <f t="shared" si="218"/>
        <v>41</v>
      </c>
      <c r="X797" s="4">
        <f t="shared" si="219"/>
        <v>41</v>
      </c>
      <c r="Y797" s="4">
        <f t="shared" si="220"/>
        <v>9</v>
      </c>
      <c r="Z797" s="4">
        <f t="shared" si="221"/>
        <v>39</v>
      </c>
      <c r="AA797" s="102">
        <f t="shared" si="222"/>
        <v>41</v>
      </c>
      <c r="AC797" s="100">
        <f t="shared" si="223"/>
        <v>0.99381163940562522</v>
      </c>
    </row>
    <row r="798" spans="4:29" x14ac:dyDescent="0.35">
      <c r="D798">
        <f t="shared" si="224"/>
        <v>794</v>
      </c>
      <c r="E798" s="101">
        <v>4</v>
      </c>
      <c r="F798" s="4">
        <v>6</v>
      </c>
      <c r="G798" s="4">
        <v>4</v>
      </c>
      <c r="H798" s="4">
        <v>2</v>
      </c>
      <c r="I798" s="4">
        <v>7</v>
      </c>
      <c r="J798" s="4">
        <v>6</v>
      </c>
      <c r="K798" s="102">
        <v>3</v>
      </c>
      <c r="M798" s="101">
        <f t="shared" si="209"/>
        <v>12</v>
      </c>
      <c r="N798" s="4">
        <f t="shared" si="210"/>
        <v>45</v>
      </c>
      <c r="O798" s="4">
        <f t="shared" si="211"/>
        <v>12</v>
      </c>
      <c r="P798" s="4">
        <f t="shared" si="212"/>
        <v>56</v>
      </c>
      <c r="Q798" s="4">
        <f t="shared" si="213"/>
        <v>29</v>
      </c>
      <c r="R798" s="4">
        <f t="shared" si="214"/>
        <v>45</v>
      </c>
      <c r="S798" s="102">
        <f t="shared" si="215"/>
        <v>23</v>
      </c>
      <c r="U798" s="101">
        <f t="shared" si="216"/>
        <v>9</v>
      </c>
      <c r="V798" s="4">
        <f t="shared" si="217"/>
        <v>71</v>
      </c>
      <c r="W798" s="4">
        <f t="shared" si="218"/>
        <v>9</v>
      </c>
      <c r="X798" s="4">
        <f t="shared" si="219"/>
        <v>78</v>
      </c>
      <c r="Y798" s="4">
        <f t="shared" si="220"/>
        <v>41</v>
      </c>
      <c r="Z798" s="4">
        <f t="shared" si="221"/>
        <v>71</v>
      </c>
      <c r="AA798" s="102">
        <f t="shared" si="222"/>
        <v>39</v>
      </c>
      <c r="AC798" s="100">
        <f t="shared" si="223"/>
        <v>0.98248533122426163</v>
      </c>
    </row>
    <row r="799" spans="4:29" x14ac:dyDescent="0.35">
      <c r="D799">
        <f t="shared" si="224"/>
        <v>795</v>
      </c>
      <c r="E799" s="101">
        <v>5</v>
      </c>
      <c r="F799" s="4">
        <v>4</v>
      </c>
      <c r="G799" s="4">
        <v>1</v>
      </c>
      <c r="H799" s="4">
        <v>7</v>
      </c>
      <c r="I799" s="4">
        <v>6</v>
      </c>
      <c r="J799" s="4">
        <v>5</v>
      </c>
      <c r="K799" s="102">
        <v>6</v>
      </c>
      <c r="M799" s="101">
        <f t="shared" si="209"/>
        <v>30</v>
      </c>
      <c r="N799" s="4">
        <f t="shared" si="210"/>
        <v>12</v>
      </c>
      <c r="O799" s="4">
        <f t="shared" si="211"/>
        <v>34</v>
      </c>
      <c r="P799" s="4">
        <f t="shared" si="212"/>
        <v>29</v>
      </c>
      <c r="Q799" s="4">
        <f t="shared" si="213"/>
        <v>45</v>
      </c>
      <c r="R799" s="4">
        <f t="shared" si="214"/>
        <v>30</v>
      </c>
      <c r="S799" s="102">
        <f t="shared" si="215"/>
        <v>45</v>
      </c>
      <c r="U799" s="101">
        <f t="shared" si="216"/>
        <v>39</v>
      </c>
      <c r="V799" s="4">
        <f t="shared" si="217"/>
        <v>9</v>
      </c>
      <c r="W799" s="4">
        <f t="shared" si="218"/>
        <v>46</v>
      </c>
      <c r="X799" s="4">
        <f t="shared" si="219"/>
        <v>41</v>
      </c>
      <c r="Y799" s="4">
        <f t="shared" si="220"/>
        <v>71</v>
      </c>
      <c r="Z799" s="4">
        <f t="shared" si="221"/>
        <v>39</v>
      </c>
      <c r="AA799" s="102">
        <f t="shared" si="222"/>
        <v>71</v>
      </c>
      <c r="AC799" s="100">
        <f t="shared" si="223"/>
        <v>0.9949466784711396</v>
      </c>
    </row>
    <row r="800" spans="4:29" x14ac:dyDescent="0.35">
      <c r="D800">
        <f t="shared" si="224"/>
        <v>796</v>
      </c>
      <c r="E800" s="101">
        <v>6</v>
      </c>
      <c r="F800" s="4">
        <v>2</v>
      </c>
      <c r="G800" s="4">
        <v>3</v>
      </c>
      <c r="H800" s="4">
        <v>6</v>
      </c>
      <c r="I800" s="4">
        <v>7</v>
      </c>
      <c r="J800" s="4">
        <v>1</v>
      </c>
      <c r="K800" s="102">
        <v>7</v>
      </c>
      <c r="M800" s="101">
        <f t="shared" si="209"/>
        <v>45</v>
      </c>
      <c r="N800" s="4">
        <f t="shared" si="210"/>
        <v>56</v>
      </c>
      <c r="O800" s="4">
        <f t="shared" si="211"/>
        <v>23</v>
      </c>
      <c r="P800" s="4">
        <f t="shared" si="212"/>
        <v>45</v>
      </c>
      <c r="Q800" s="4">
        <f t="shared" si="213"/>
        <v>29</v>
      </c>
      <c r="R800" s="4">
        <f t="shared" si="214"/>
        <v>34</v>
      </c>
      <c r="S800" s="102">
        <f t="shared" si="215"/>
        <v>29</v>
      </c>
      <c r="U800" s="101">
        <f t="shared" si="216"/>
        <v>71</v>
      </c>
      <c r="V800" s="4">
        <f t="shared" si="217"/>
        <v>78</v>
      </c>
      <c r="W800" s="4">
        <f t="shared" si="218"/>
        <v>39</v>
      </c>
      <c r="X800" s="4">
        <f t="shared" si="219"/>
        <v>71</v>
      </c>
      <c r="Y800" s="4">
        <f t="shared" si="220"/>
        <v>41</v>
      </c>
      <c r="Z800" s="4">
        <f t="shared" si="221"/>
        <v>46</v>
      </c>
      <c r="AA800" s="102">
        <f t="shared" si="222"/>
        <v>41</v>
      </c>
      <c r="AC800" s="100">
        <f t="shared" si="223"/>
        <v>0.96834228722097015</v>
      </c>
    </row>
    <row r="801" spans="4:29" x14ac:dyDescent="0.35">
      <c r="D801">
        <f t="shared" si="224"/>
        <v>797</v>
      </c>
      <c r="E801" s="101">
        <v>7</v>
      </c>
      <c r="F801" s="4">
        <v>7</v>
      </c>
      <c r="G801" s="4">
        <v>3</v>
      </c>
      <c r="H801" s="4">
        <v>3</v>
      </c>
      <c r="I801" s="4">
        <v>4</v>
      </c>
      <c r="J801" s="4">
        <v>2</v>
      </c>
      <c r="K801" s="102">
        <v>4</v>
      </c>
      <c r="M801" s="101">
        <f t="shared" si="209"/>
        <v>29</v>
      </c>
      <c r="N801" s="4">
        <f t="shared" si="210"/>
        <v>29</v>
      </c>
      <c r="O801" s="4">
        <f t="shared" si="211"/>
        <v>23</v>
      </c>
      <c r="P801" s="4">
        <f t="shared" si="212"/>
        <v>23</v>
      </c>
      <c r="Q801" s="4">
        <f t="shared" si="213"/>
        <v>12</v>
      </c>
      <c r="R801" s="4">
        <f t="shared" si="214"/>
        <v>56</v>
      </c>
      <c r="S801" s="102">
        <f t="shared" si="215"/>
        <v>12</v>
      </c>
      <c r="U801" s="101">
        <f t="shared" si="216"/>
        <v>41</v>
      </c>
      <c r="V801" s="4">
        <f t="shared" si="217"/>
        <v>41</v>
      </c>
      <c r="W801" s="4">
        <f t="shared" si="218"/>
        <v>39</v>
      </c>
      <c r="X801" s="4">
        <f t="shared" si="219"/>
        <v>39</v>
      </c>
      <c r="Y801" s="4">
        <f t="shared" si="220"/>
        <v>9</v>
      </c>
      <c r="Z801" s="4">
        <f t="shared" si="221"/>
        <v>78</v>
      </c>
      <c r="AA801" s="102">
        <f t="shared" si="222"/>
        <v>9</v>
      </c>
      <c r="AC801" s="100">
        <f t="shared" si="223"/>
        <v>0.97022067462701789</v>
      </c>
    </row>
    <row r="802" spans="4:29" x14ac:dyDescent="0.35">
      <c r="D802">
        <f t="shared" si="224"/>
        <v>798</v>
      </c>
      <c r="E802" s="101">
        <v>1</v>
      </c>
      <c r="F802" s="4">
        <v>3</v>
      </c>
      <c r="G802" s="4">
        <v>6</v>
      </c>
      <c r="H802" s="4">
        <v>1</v>
      </c>
      <c r="I802" s="4">
        <v>1</v>
      </c>
      <c r="J802" s="4">
        <v>7</v>
      </c>
      <c r="K802" s="102">
        <v>7</v>
      </c>
      <c r="M802" s="101">
        <f t="shared" si="209"/>
        <v>34</v>
      </c>
      <c r="N802" s="4">
        <f t="shared" si="210"/>
        <v>23</v>
      </c>
      <c r="O802" s="4">
        <f t="shared" si="211"/>
        <v>45</v>
      </c>
      <c r="P802" s="4">
        <f t="shared" si="212"/>
        <v>34</v>
      </c>
      <c r="Q802" s="4">
        <f t="shared" si="213"/>
        <v>34</v>
      </c>
      <c r="R802" s="4">
        <f t="shared" si="214"/>
        <v>29</v>
      </c>
      <c r="S802" s="102">
        <f t="shared" si="215"/>
        <v>29</v>
      </c>
      <c r="U802" s="101">
        <f t="shared" si="216"/>
        <v>46</v>
      </c>
      <c r="V802" s="4">
        <f t="shared" si="217"/>
        <v>39</v>
      </c>
      <c r="W802" s="4">
        <f t="shared" si="218"/>
        <v>71</v>
      </c>
      <c r="X802" s="4">
        <f t="shared" si="219"/>
        <v>46</v>
      </c>
      <c r="Y802" s="4">
        <f t="shared" si="220"/>
        <v>46</v>
      </c>
      <c r="Z802" s="4">
        <f t="shared" si="221"/>
        <v>41</v>
      </c>
      <c r="AA802" s="102">
        <f t="shared" si="222"/>
        <v>41</v>
      </c>
      <c r="AC802" s="100">
        <f t="shared" si="223"/>
        <v>0.92787985505578674</v>
      </c>
    </row>
    <row r="803" spans="4:29" x14ac:dyDescent="0.35">
      <c r="D803">
        <f t="shared" si="224"/>
        <v>799</v>
      </c>
      <c r="E803" s="101">
        <v>3</v>
      </c>
      <c r="F803" s="4">
        <v>3</v>
      </c>
      <c r="G803" s="4">
        <v>3</v>
      </c>
      <c r="H803" s="4">
        <v>3</v>
      </c>
      <c r="I803" s="4">
        <v>5</v>
      </c>
      <c r="J803" s="4">
        <v>3</v>
      </c>
      <c r="K803" s="102">
        <v>3</v>
      </c>
      <c r="M803" s="101">
        <f t="shared" si="209"/>
        <v>23</v>
      </c>
      <c r="N803" s="4">
        <f t="shared" si="210"/>
        <v>23</v>
      </c>
      <c r="O803" s="4">
        <f t="shared" si="211"/>
        <v>23</v>
      </c>
      <c r="P803" s="4">
        <f t="shared" si="212"/>
        <v>23</v>
      </c>
      <c r="Q803" s="4">
        <f t="shared" si="213"/>
        <v>30</v>
      </c>
      <c r="R803" s="4">
        <f t="shared" si="214"/>
        <v>23</v>
      </c>
      <c r="S803" s="102">
        <f t="shared" si="215"/>
        <v>23</v>
      </c>
      <c r="U803" s="101">
        <f t="shared" si="216"/>
        <v>39</v>
      </c>
      <c r="V803" s="4">
        <f t="shared" si="217"/>
        <v>39</v>
      </c>
      <c r="W803" s="4">
        <f t="shared" si="218"/>
        <v>39</v>
      </c>
      <c r="X803" s="4">
        <f t="shared" si="219"/>
        <v>39</v>
      </c>
      <c r="Y803" s="4">
        <f t="shared" si="220"/>
        <v>39</v>
      </c>
      <c r="Z803" s="4">
        <f t="shared" si="221"/>
        <v>39</v>
      </c>
      <c r="AA803" s="102">
        <f t="shared" si="222"/>
        <v>39</v>
      </c>
      <c r="AC803" s="100" t="e">
        <f t="shared" si="223"/>
        <v>#DIV/0!</v>
      </c>
    </row>
    <row r="804" spans="4:29" x14ac:dyDescent="0.35">
      <c r="D804">
        <f t="shared" si="224"/>
        <v>800</v>
      </c>
      <c r="E804" s="101">
        <v>3</v>
      </c>
      <c r="F804" s="4">
        <v>3</v>
      </c>
      <c r="G804" s="4">
        <v>3</v>
      </c>
      <c r="H804" s="4">
        <v>4</v>
      </c>
      <c r="I804" s="4">
        <v>1</v>
      </c>
      <c r="J804" s="4">
        <v>3</v>
      </c>
      <c r="K804" s="102">
        <v>5</v>
      </c>
      <c r="M804" s="101">
        <f t="shared" si="209"/>
        <v>23</v>
      </c>
      <c r="N804" s="4">
        <f t="shared" si="210"/>
        <v>23</v>
      </c>
      <c r="O804" s="4">
        <f t="shared" si="211"/>
        <v>23</v>
      </c>
      <c r="P804" s="4">
        <f t="shared" si="212"/>
        <v>12</v>
      </c>
      <c r="Q804" s="4">
        <f t="shared" si="213"/>
        <v>34</v>
      </c>
      <c r="R804" s="4">
        <f t="shared" si="214"/>
        <v>23</v>
      </c>
      <c r="S804" s="102">
        <f t="shared" si="215"/>
        <v>30</v>
      </c>
      <c r="U804" s="101">
        <f t="shared" si="216"/>
        <v>39</v>
      </c>
      <c r="V804" s="4">
        <f t="shared" si="217"/>
        <v>39</v>
      </c>
      <c r="W804" s="4">
        <f t="shared" si="218"/>
        <v>39</v>
      </c>
      <c r="X804" s="4">
        <f t="shared" si="219"/>
        <v>9</v>
      </c>
      <c r="Y804" s="4">
        <f t="shared" si="220"/>
        <v>46</v>
      </c>
      <c r="Z804" s="4">
        <f t="shared" si="221"/>
        <v>39</v>
      </c>
      <c r="AA804" s="102">
        <f t="shared" si="222"/>
        <v>39</v>
      </c>
      <c r="AC804" s="100">
        <f t="shared" si="223"/>
        <v>0.8633672853318487</v>
      </c>
    </row>
    <row r="805" spans="4:29" x14ac:dyDescent="0.35">
      <c r="D805">
        <f t="shared" si="224"/>
        <v>801</v>
      </c>
      <c r="E805" s="101">
        <v>7</v>
      </c>
      <c r="F805" s="4">
        <v>3</v>
      </c>
      <c r="G805" s="4">
        <v>2</v>
      </c>
      <c r="H805" s="4">
        <v>7</v>
      </c>
      <c r="I805" s="4">
        <v>7</v>
      </c>
      <c r="J805" s="4">
        <v>2</v>
      </c>
      <c r="K805" s="102">
        <v>3</v>
      </c>
      <c r="M805" s="101">
        <f t="shared" si="209"/>
        <v>29</v>
      </c>
      <c r="N805" s="4">
        <f t="shared" si="210"/>
        <v>23</v>
      </c>
      <c r="O805" s="4">
        <f t="shared" si="211"/>
        <v>56</v>
      </c>
      <c r="P805" s="4">
        <f t="shared" si="212"/>
        <v>29</v>
      </c>
      <c r="Q805" s="4">
        <f t="shared" si="213"/>
        <v>29</v>
      </c>
      <c r="R805" s="4">
        <f t="shared" si="214"/>
        <v>56</v>
      </c>
      <c r="S805" s="102">
        <f t="shared" si="215"/>
        <v>23</v>
      </c>
      <c r="U805" s="101">
        <f t="shared" si="216"/>
        <v>41</v>
      </c>
      <c r="V805" s="4">
        <f t="shared" si="217"/>
        <v>39</v>
      </c>
      <c r="W805" s="4">
        <f t="shared" si="218"/>
        <v>78</v>
      </c>
      <c r="X805" s="4">
        <f t="shared" si="219"/>
        <v>41</v>
      </c>
      <c r="Y805" s="4">
        <f t="shared" si="220"/>
        <v>41</v>
      </c>
      <c r="Z805" s="4">
        <f t="shared" si="221"/>
        <v>78</v>
      </c>
      <c r="AA805" s="102">
        <f t="shared" si="222"/>
        <v>39</v>
      </c>
      <c r="AC805" s="100">
        <f t="shared" si="223"/>
        <v>0.9907048067958576</v>
      </c>
    </row>
    <row r="806" spans="4:29" x14ac:dyDescent="0.35">
      <c r="D806">
        <f t="shared" si="224"/>
        <v>802</v>
      </c>
      <c r="E806" s="101">
        <v>3</v>
      </c>
      <c r="F806" s="4">
        <v>5</v>
      </c>
      <c r="G806" s="4">
        <v>5</v>
      </c>
      <c r="H806" s="4">
        <v>7</v>
      </c>
      <c r="I806" s="4">
        <v>3</v>
      </c>
      <c r="J806" s="4">
        <v>6</v>
      </c>
      <c r="K806" s="102">
        <v>1</v>
      </c>
      <c r="M806" s="101">
        <f t="shared" si="209"/>
        <v>23</v>
      </c>
      <c r="N806" s="4">
        <f t="shared" si="210"/>
        <v>30</v>
      </c>
      <c r="O806" s="4">
        <f t="shared" si="211"/>
        <v>30</v>
      </c>
      <c r="P806" s="4">
        <f t="shared" si="212"/>
        <v>29</v>
      </c>
      <c r="Q806" s="4">
        <f t="shared" si="213"/>
        <v>23</v>
      </c>
      <c r="R806" s="4">
        <f t="shared" si="214"/>
        <v>45</v>
      </c>
      <c r="S806" s="102">
        <f t="shared" si="215"/>
        <v>34</v>
      </c>
      <c r="U806" s="101">
        <f t="shared" si="216"/>
        <v>39</v>
      </c>
      <c r="V806" s="4">
        <f t="shared" si="217"/>
        <v>39</v>
      </c>
      <c r="W806" s="4">
        <f t="shared" si="218"/>
        <v>39</v>
      </c>
      <c r="X806" s="4">
        <f t="shared" si="219"/>
        <v>41</v>
      </c>
      <c r="Y806" s="4">
        <f t="shared" si="220"/>
        <v>39</v>
      </c>
      <c r="Z806" s="4">
        <f t="shared" si="221"/>
        <v>71</v>
      </c>
      <c r="AA806" s="102">
        <f t="shared" si="222"/>
        <v>46</v>
      </c>
      <c r="AC806" s="100">
        <f t="shared" si="223"/>
        <v>0.90773948205119259</v>
      </c>
    </row>
    <row r="807" spans="4:29" x14ac:dyDescent="0.35">
      <c r="D807">
        <f t="shared" si="224"/>
        <v>803</v>
      </c>
      <c r="E807" s="101">
        <v>4</v>
      </c>
      <c r="F807" s="4">
        <v>7</v>
      </c>
      <c r="G807" s="4">
        <v>6</v>
      </c>
      <c r="H807" s="4">
        <v>3</v>
      </c>
      <c r="I807" s="4">
        <v>6</v>
      </c>
      <c r="J807" s="4">
        <v>7</v>
      </c>
      <c r="K807" s="102">
        <v>5</v>
      </c>
      <c r="M807" s="101">
        <f t="shared" si="209"/>
        <v>12</v>
      </c>
      <c r="N807" s="4">
        <f t="shared" si="210"/>
        <v>29</v>
      </c>
      <c r="O807" s="4">
        <f t="shared" si="211"/>
        <v>45</v>
      </c>
      <c r="P807" s="4">
        <f t="shared" si="212"/>
        <v>23</v>
      </c>
      <c r="Q807" s="4">
        <f t="shared" si="213"/>
        <v>45</v>
      </c>
      <c r="R807" s="4">
        <f t="shared" si="214"/>
        <v>29</v>
      </c>
      <c r="S807" s="102">
        <f t="shared" si="215"/>
        <v>30</v>
      </c>
      <c r="U807" s="101">
        <f t="shared" si="216"/>
        <v>9</v>
      </c>
      <c r="V807" s="4">
        <f t="shared" si="217"/>
        <v>41</v>
      </c>
      <c r="W807" s="4">
        <f t="shared" si="218"/>
        <v>71</v>
      </c>
      <c r="X807" s="4">
        <f t="shared" si="219"/>
        <v>39</v>
      </c>
      <c r="Y807" s="4">
        <f t="shared" si="220"/>
        <v>71</v>
      </c>
      <c r="Z807" s="4">
        <f t="shared" si="221"/>
        <v>41</v>
      </c>
      <c r="AA807" s="102">
        <f t="shared" si="222"/>
        <v>39</v>
      </c>
      <c r="AC807" s="100">
        <f t="shared" si="223"/>
        <v>0.98320885818791848</v>
      </c>
    </row>
    <row r="808" spans="4:29" x14ac:dyDescent="0.35">
      <c r="D808">
        <f t="shared" si="224"/>
        <v>804</v>
      </c>
      <c r="E808" s="101">
        <v>3</v>
      </c>
      <c r="F808" s="4">
        <v>2</v>
      </c>
      <c r="G808" s="4">
        <v>6</v>
      </c>
      <c r="H808" s="4">
        <v>7</v>
      </c>
      <c r="I808" s="4">
        <v>6</v>
      </c>
      <c r="J808" s="4">
        <v>4</v>
      </c>
      <c r="K808" s="102">
        <v>5</v>
      </c>
      <c r="M808" s="101">
        <f t="shared" si="209"/>
        <v>23</v>
      </c>
      <c r="N808" s="4">
        <f t="shared" si="210"/>
        <v>56</v>
      </c>
      <c r="O808" s="4">
        <f t="shared" si="211"/>
        <v>45</v>
      </c>
      <c r="P808" s="4">
        <f t="shared" si="212"/>
        <v>29</v>
      </c>
      <c r="Q808" s="4">
        <f t="shared" si="213"/>
        <v>45</v>
      </c>
      <c r="R808" s="4">
        <f t="shared" si="214"/>
        <v>12</v>
      </c>
      <c r="S808" s="102">
        <f t="shared" si="215"/>
        <v>30</v>
      </c>
      <c r="U808" s="101">
        <f t="shared" si="216"/>
        <v>39</v>
      </c>
      <c r="V808" s="4">
        <f t="shared" si="217"/>
        <v>78</v>
      </c>
      <c r="W808" s="4">
        <f t="shared" si="218"/>
        <v>71</v>
      </c>
      <c r="X808" s="4">
        <f t="shared" si="219"/>
        <v>41</v>
      </c>
      <c r="Y808" s="4">
        <f t="shared" si="220"/>
        <v>71</v>
      </c>
      <c r="Z808" s="4">
        <f t="shared" si="221"/>
        <v>9</v>
      </c>
      <c r="AA808" s="102">
        <f t="shared" si="222"/>
        <v>39</v>
      </c>
      <c r="AC808" s="100">
        <f t="shared" si="223"/>
        <v>0.97649855123616347</v>
      </c>
    </row>
    <row r="809" spans="4:29" x14ac:dyDescent="0.35">
      <c r="D809">
        <f t="shared" si="224"/>
        <v>805</v>
      </c>
      <c r="E809" s="101">
        <v>5</v>
      </c>
      <c r="F809" s="4">
        <v>1</v>
      </c>
      <c r="G809" s="4">
        <v>6</v>
      </c>
      <c r="H809" s="4">
        <v>4</v>
      </c>
      <c r="I809" s="4">
        <v>5</v>
      </c>
      <c r="J809" s="4">
        <v>6</v>
      </c>
      <c r="K809" s="102">
        <v>7</v>
      </c>
      <c r="M809" s="101">
        <f t="shared" si="209"/>
        <v>30</v>
      </c>
      <c r="N809" s="4">
        <f t="shared" si="210"/>
        <v>34</v>
      </c>
      <c r="O809" s="4">
        <f t="shared" si="211"/>
        <v>45</v>
      </c>
      <c r="P809" s="4">
        <f t="shared" si="212"/>
        <v>12</v>
      </c>
      <c r="Q809" s="4">
        <f t="shared" si="213"/>
        <v>30</v>
      </c>
      <c r="R809" s="4">
        <f t="shared" si="214"/>
        <v>45</v>
      </c>
      <c r="S809" s="102">
        <f t="shared" si="215"/>
        <v>29</v>
      </c>
      <c r="U809" s="101">
        <f t="shared" si="216"/>
        <v>39</v>
      </c>
      <c r="V809" s="4">
        <f t="shared" si="217"/>
        <v>46</v>
      </c>
      <c r="W809" s="4">
        <f t="shared" si="218"/>
        <v>71</v>
      </c>
      <c r="X809" s="4">
        <f t="shared" si="219"/>
        <v>9</v>
      </c>
      <c r="Y809" s="4">
        <f t="shared" si="220"/>
        <v>39</v>
      </c>
      <c r="Z809" s="4">
        <f t="shared" si="221"/>
        <v>71</v>
      </c>
      <c r="AA809" s="102">
        <f t="shared" si="222"/>
        <v>41</v>
      </c>
      <c r="AC809" s="100">
        <f t="shared" si="223"/>
        <v>0.99494667847113982</v>
      </c>
    </row>
    <row r="810" spans="4:29" x14ac:dyDescent="0.35">
      <c r="D810">
        <f t="shared" si="224"/>
        <v>806</v>
      </c>
      <c r="E810" s="101">
        <v>1</v>
      </c>
      <c r="F810" s="4">
        <v>7</v>
      </c>
      <c r="G810" s="4">
        <v>2</v>
      </c>
      <c r="H810" s="4">
        <v>2</v>
      </c>
      <c r="I810" s="4">
        <v>2</v>
      </c>
      <c r="J810" s="4">
        <v>1</v>
      </c>
      <c r="K810" s="102">
        <v>5</v>
      </c>
      <c r="M810" s="101">
        <f t="shared" si="209"/>
        <v>34</v>
      </c>
      <c r="N810" s="4">
        <f t="shared" si="210"/>
        <v>29</v>
      </c>
      <c r="O810" s="4">
        <f t="shared" si="211"/>
        <v>56</v>
      </c>
      <c r="P810" s="4">
        <f t="shared" si="212"/>
        <v>56</v>
      </c>
      <c r="Q810" s="4">
        <f t="shared" si="213"/>
        <v>56</v>
      </c>
      <c r="R810" s="4">
        <f t="shared" si="214"/>
        <v>34</v>
      </c>
      <c r="S810" s="102">
        <f t="shared" si="215"/>
        <v>30</v>
      </c>
      <c r="U810" s="101">
        <f t="shared" si="216"/>
        <v>46</v>
      </c>
      <c r="V810" s="4">
        <f t="shared" si="217"/>
        <v>41</v>
      </c>
      <c r="W810" s="4">
        <f t="shared" si="218"/>
        <v>78</v>
      </c>
      <c r="X810" s="4">
        <f t="shared" si="219"/>
        <v>78</v>
      </c>
      <c r="Y810" s="4">
        <f t="shared" si="220"/>
        <v>78</v>
      </c>
      <c r="Z810" s="4">
        <f t="shared" si="221"/>
        <v>46</v>
      </c>
      <c r="AA810" s="102">
        <f t="shared" si="222"/>
        <v>39</v>
      </c>
      <c r="AC810" s="100">
        <f t="shared" si="223"/>
        <v>0.99855886033908381</v>
      </c>
    </row>
    <row r="811" spans="4:29" x14ac:dyDescent="0.35">
      <c r="D811">
        <f t="shared" si="224"/>
        <v>807</v>
      </c>
      <c r="E811" s="101">
        <v>5</v>
      </c>
      <c r="F811" s="4">
        <v>4</v>
      </c>
      <c r="G811" s="4">
        <v>3</v>
      </c>
      <c r="H811" s="4">
        <v>1</v>
      </c>
      <c r="I811" s="4">
        <v>4</v>
      </c>
      <c r="J811" s="4">
        <v>1</v>
      </c>
      <c r="K811" s="102">
        <v>5</v>
      </c>
      <c r="M811" s="101">
        <f t="shared" si="209"/>
        <v>30</v>
      </c>
      <c r="N811" s="4">
        <f t="shared" si="210"/>
        <v>12</v>
      </c>
      <c r="O811" s="4">
        <f t="shared" si="211"/>
        <v>23</v>
      </c>
      <c r="P811" s="4">
        <f t="shared" si="212"/>
        <v>34</v>
      </c>
      <c r="Q811" s="4">
        <f t="shared" si="213"/>
        <v>12</v>
      </c>
      <c r="R811" s="4">
        <f t="shared" si="214"/>
        <v>34</v>
      </c>
      <c r="S811" s="102">
        <f t="shared" si="215"/>
        <v>30</v>
      </c>
      <c r="U811" s="101">
        <f t="shared" si="216"/>
        <v>39</v>
      </c>
      <c r="V811" s="4">
        <f t="shared" si="217"/>
        <v>9</v>
      </c>
      <c r="W811" s="4">
        <f t="shared" si="218"/>
        <v>39</v>
      </c>
      <c r="X811" s="4">
        <f t="shared" si="219"/>
        <v>46</v>
      </c>
      <c r="Y811" s="4">
        <f t="shared" si="220"/>
        <v>9</v>
      </c>
      <c r="Z811" s="4">
        <f t="shared" si="221"/>
        <v>46</v>
      </c>
      <c r="AA811" s="102">
        <f t="shared" si="222"/>
        <v>39</v>
      </c>
      <c r="AC811" s="100">
        <f t="shared" si="223"/>
        <v>0.96359768679116087</v>
      </c>
    </row>
    <row r="812" spans="4:29" x14ac:dyDescent="0.35">
      <c r="D812">
        <f t="shared" si="224"/>
        <v>808</v>
      </c>
      <c r="E812" s="101">
        <v>3</v>
      </c>
      <c r="F812" s="4">
        <v>2</v>
      </c>
      <c r="G812" s="4">
        <v>3</v>
      </c>
      <c r="H812" s="4">
        <v>4</v>
      </c>
      <c r="I812" s="4">
        <v>1</v>
      </c>
      <c r="J812" s="4">
        <v>1</v>
      </c>
      <c r="K812" s="102">
        <v>6</v>
      </c>
      <c r="M812" s="101">
        <f t="shared" si="209"/>
        <v>23</v>
      </c>
      <c r="N812" s="4">
        <f t="shared" si="210"/>
        <v>56</v>
      </c>
      <c r="O812" s="4">
        <f t="shared" si="211"/>
        <v>23</v>
      </c>
      <c r="P812" s="4">
        <f t="shared" si="212"/>
        <v>12</v>
      </c>
      <c r="Q812" s="4">
        <f t="shared" si="213"/>
        <v>34</v>
      </c>
      <c r="R812" s="4">
        <f t="shared" si="214"/>
        <v>34</v>
      </c>
      <c r="S812" s="102">
        <f t="shared" si="215"/>
        <v>45</v>
      </c>
      <c r="U812" s="101">
        <f t="shared" si="216"/>
        <v>39</v>
      </c>
      <c r="V812" s="4">
        <f t="shared" si="217"/>
        <v>78</v>
      </c>
      <c r="W812" s="4">
        <f t="shared" si="218"/>
        <v>39</v>
      </c>
      <c r="X812" s="4">
        <f t="shared" si="219"/>
        <v>9</v>
      </c>
      <c r="Y812" s="4">
        <f t="shared" si="220"/>
        <v>46</v>
      </c>
      <c r="Z812" s="4">
        <f t="shared" si="221"/>
        <v>46</v>
      </c>
      <c r="AA812" s="102">
        <f t="shared" si="222"/>
        <v>71</v>
      </c>
      <c r="AC812" s="100">
        <f t="shared" si="223"/>
        <v>0.96777299965954111</v>
      </c>
    </row>
    <row r="813" spans="4:29" x14ac:dyDescent="0.35">
      <c r="D813">
        <f t="shared" si="224"/>
        <v>809</v>
      </c>
      <c r="E813" s="101">
        <v>6</v>
      </c>
      <c r="F813" s="4">
        <v>2</v>
      </c>
      <c r="G813" s="4">
        <v>4</v>
      </c>
      <c r="H813" s="4">
        <v>6</v>
      </c>
      <c r="I813" s="4">
        <v>1</v>
      </c>
      <c r="J813" s="4">
        <v>3</v>
      </c>
      <c r="K813" s="102">
        <v>7</v>
      </c>
      <c r="M813" s="101">
        <f t="shared" si="209"/>
        <v>45</v>
      </c>
      <c r="N813" s="4">
        <f t="shared" si="210"/>
        <v>56</v>
      </c>
      <c r="O813" s="4">
        <f t="shared" si="211"/>
        <v>12</v>
      </c>
      <c r="P813" s="4">
        <f t="shared" si="212"/>
        <v>45</v>
      </c>
      <c r="Q813" s="4">
        <f t="shared" si="213"/>
        <v>34</v>
      </c>
      <c r="R813" s="4">
        <f t="shared" si="214"/>
        <v>23</v>
      </c>
      <c r="S813" s="102">
        <f t="shared" si="215"/>
        <v>29</v>
      </c>
      <c r="U813" s="101">
        <f t="shared" si="216"/>
        <v>71</v>
      </c>
      <c r="V813" s="4">
        <f t="shared" si="217"/>
        <v>78</v>
      </c>
      <c r="W813" s="4">
        <f t="shared" si="218"/>
        <v>9</v>
      </c>
      <c r="X813" s="4">
        <f t="shared" si="219"/>
        <v>71</v>
      </c>
      <c r="Y813" s="4">
        <f t="shared" si="220"/>
        <v>46</v>
      </c>
      <c r="Z813" s="4">
        <f t="shared" si="221"/>
        <v>39</v>
      </c>
      <c r="AA813" s="102">
        <f t="shared" si="222"/>
        <v>41</v>
      </c>
      <c r="AC813" s="100">
        <f t="shared" si="223"/>
        <v>0.97643806751196394</v>
      </c>
    </row>
    <row r="814" spans="4:29" x14ac:dyDescent="0.35">
      <c r="D814">
        <f t="shared" si="224"/>
        <v>810</v>
      </c>
      <c r="E814" s="101">
        <v>2</v>
      </c>
      <c r="F814" s="4">
        <v>1</v>
      </c>
      <c r="G814" s="4">
        <v>3</v>
      </c>
      <c r="H814" s="4">
        <v>2</v>
      </c>
      <c r="I814" s="4">
        <v>5</v>
      </c>
      <c r="J814" s="4">
        <v>5</v>
      </c>
      <c r="K814" s="102">
        <v>2</v>
      </c>
      <c r="M814" s="101">
        <f t="shared" si="209"/>
        <v>56</v>
      </c>
      <c r="N814" s="4">
        <f t="shared" si="210"/>
        <v>34</v>
      </c>
      <c r="O814" s="4">
        <f t="shared" si="211"/>
        <v>23</v>
      </c>
      <c r="P814" s="4">
        <f t="shared" si="212"/>
        <v>56</v>
      </c>
      <c r="Q814" s="4">
        <f t="shared" si="213"/>
        <v>30</v>
      </c>
      <c r="R814" s="4">
        <f t="shared" si="214"/>
        <v>30</v>
      </c>
      <c r="S814" s="102">
        <f t="shared" si="215"/>
        <v>56</v>
      </c>
      <c r="U814" s="101">
        <f t="shared" si="216"/>
        <v>78</v>
      </c>
      <c r="V814" s="4">
        <f t="shared" si="217"/>
        <v>46</v>
      </c>
      <c r="W814" s="4">
        <f t="shared" si="218"/>
        <v>39</v>
      </c>
      <c r="X814" s="4">
        <f t="shared" si="219"/>
        <v>78</v>
      </c>
      <c r="Y814" s="4">
        <f t="shared" si="220"/>
        <v>39</v>
      </c>
      <c r="Z814" s="4">
        <f t="shared" si="221"/>
        <v>39</v>
      </c>
      <c r="AA814" s="102">
        <f t="shared" si="222"/>
        <v>78</v>
      </c>
      <c r="AC814" s="100">
        <f t="shared" si="223"/>
        <v>0.98675633088761383</v>
      </c>
    </row>
    <row r="815" spans="4:29" x14ac:dyDescent="0.35">
      <c r="D815">
        <f t="shared" si="224"/>
        <v>811</v>
      </c>
      <c r="E815" s="101">
        <v>5</v>
      </c>
      <c r="F815" s="4">
        <v>5</v>
      </c>
      <c r="G815" s="4">
        <v>5</v>
      </c>
      <c r="H815" s="4">
        <v>7</v>
      </c>
      <c r="I815" s="4">
        <v>5</v>
      </c>
      <c r="J815" s="4">
        <v>1</v>
      </c>
      <c r="K815" s="102">
        <v>4</v>
      </c>
      <c r="M815" s="101">
        <f t="shared" si="209"/>
        <v>30</v>
      </c>
      <c r="N815" s="4">
        <f t="shared" si="210"/>
        <v>30</v>
      </c>
      <c r="O815" s="4">
        <f t="shared" si="211"/>
        <v>30</v>
      </c>
      <c r="P815" s="4">
        <f t="shared" si="212"/>
        <v>29</v>
      </c>
      <c r="Q815" s="4">
        <f t="shared" si="213"/>
        <v>30</v>
      </c>
      <c r="R815" s="4">
        <f t="shared" si="214"/>
        <v>34</v>
      </c>
      <c r="S815" s="102">
        <f t="shared" si="215"/>
        <v>12</v>
      </c>
      <c r="U815" s="101">
        <f t="shared" si="216"/>
        <v>39</v>
      </c>
      <c r="V815" s="4">
        <f t="shared" si="217"/>
        <v>39</v>
      </c>
      <c r="W815" s="4">
        <f t="shared" si="218"/>
        <v>39</v>
      </c>
      <c r="X815" s="4">
        <f t="shared" si="219"/>
        <v>41</v>
      </c>
      <c r="Y815" s="4">
        <f t="shared" si="220"/>
        <v>39</v>
      </c>
      <c r="Z815" s="4">
        <f t="shared" si="221"/>
        <v>46</v>
      </c>
      <c r="AA815" s="102">
        <f t="shared" si="222"/>
        <v>9</v>
      </c>
      <c r="AC815" s="100">
        <f t="shared" si="223"/>
        <v>0.9937196899264984</v>
      </c>
    </row>
    <row r="816" spans="4:29" x14ac:dyDescent="0.35">
      <c r="D816">
        <f t="shared" si="224"/>
        <v>812</v>
      </c>
      <c r="E816" s="101">
        <v>7</v>
      </c>
      <c r="F816" s="4">
        <v>5</v>
      </c>
      <c r="G816" s="4">
        <v>1</v>
      </c>
      <c r="H816" s="4">
        <v>6</v>
      </c>
      <c r="I816" s="4">
        <v>3</v>
      </c>
      <c r="J816" s="4">
        <v>1</v>
      </c>
      <c r="K816" s="102">
        <v>2</v>
      </c>
      <c r="M816" s="101">
        <f t="shared" si="209"/>
        <v>29</v>
      </c>
      <c r="N816" s="4">
        <f t="shared" si="210"/>
        <v>30</v>
      </c>
      <c r="O816" s="4">
        <f t="shared" si="211"/>
        <v>34</v>
      </c>
      <c r="P816" s="4">
        <f t="shared" si="212"/>
        <v>45</v>
      </c>
      <c r="Q816" s="4">
        <f t="shared" si="213"/>
        <v>23</v>
      </c>
      <c r="R816" s="4">
        <f t="shared" si="214"/>
        <v>34</v>
      </c>
      <c r="S816" s="102">
        <f t="shared" si="215"/>
        <v>56</v>
      </c>
      <c r="U816" s="101">
        <f t="shared" si="216"/>
        <v>41</v>
      </c>
      <c r="V816" s="4">
        <f t="shared" si="217"/>
        <v>39</v>
      </c>
      <c r="W816" s="4">
        <f t="shared" si="218"/>
        <v>46</v>
      </c>
      <c r="X816" s="4">
        <f t="shared" si="219"/>
        <v>71</v>
      </c>
      <c r="Y816" s="4">
        <f t="shared" si="220"/>
        <v>39</v>
      </c>
      <c r="Z816" s="4">
        <f t="shared" si="221"/>
        <v>46</v>
      </c>
      <c r="AA816" s="102">
        <f t="shared" si="222"/>
        <v>78</v>
      </c>
      <c r="AC816" s="100">
        <f t="shared" si="223"/>
        <v>0.96287014255618342</v>
      </c>
    </row>
    <row r="817" spans="4:29" x14ac:dyDescent="0.35">
      <c r="D817">
        <f t="shared" si="224"/>
        <v>813</v>
      </c>
      <c r="E817" s="101">
        <v>7</v>
      </c>
      <c r="F817" s="4">
        <v>5</v>
      </c>
      <c r="G817" s="4">
        <v>3</v>
      </c>
      <c r="H817" s="4">
        <v>5</v>
      </c>
      <c r="I817" s="4">
        <v>3</v>
      </c>
      <c r="J817" s="4">
        <v>4</v>
      </c>
      <c r="K817" s="102">
        <v>2</v>
      </c>
      <c r="M817" s="101">
        <f t="shared" si="209"/>
        <v>29</v>
      </c>
      <c r="N817" s="4">
        <f t="shared" si="210"/>
        <v>30</v>
      </c>
      <c r="O817" s="4">
        <f t="shared" si="211"/>
        <v>23</v>
      </c>
      <c r="P817" s="4">
        <f t="shared" si="212"/>
        <v>30</v>
      </c>
      <c r="Q817" s="4">
        <f t="shared" si="213"/>
        <v>23</v>
      </c>
      <c r="R817" s="4">
        <f t="shared" si="214"/>
        <v>12</v>
      </c>
      <c r="S817" s="102">
        <f t="shared" si="215"/>
        <v>56</v>
      </c>
      <c r="U817" s="101">
        <f t="shared" si="216"/>
        <v>41</v>
      </c>
      <c r="V817" s="4">
        <f t="shared" si="217"/>
        <v>39</v>
      </c>
      <c r="W817" s="4">
        <f t="shared" si="218"/>
        <v>39</v>
      </c>
      <c r="X817" s="4">
        <f t="shared" si="219"/>
        <v>39</v>
      </c>
      <c r="Y817" s="4">
        <f t="shared" si="220"/>
        <v>39</v>
      </c>
      <c r="Z817" s="4">
        <f t="shared" si="221"/>
        <v>9</v>
      </c>
      <c r="AA817" s="102">
        <f t="shared" si="222"/>
        <v>78</v>
      </c>
      <c r="AC817" s="100">
        <f t="shared" si="223"/>
        <v>0.96392930572635738</v>
      </c>
    </row>
    <row r="818" spans="4:29" x14ac:dyDescent="0.35">
      <c r="D818">
        <f t="shared" si="224"/>
        <v>814</v>
      </c>
      <c r="E818" s="101">
        <v>2</v>
      </c>
      <c r="F818" s="4">
        <v>7</v>
      </c>
      <c r="G818" s="4">
        <v>1</v>
      </c>
      <c r="H818" s="4">
        <v>2</v>
      </c>
      <c r="I818" s="4">
        <v>6</v>
      </c>
      <c r="J818" s="4">
        <v>1</v>
      </c>
      <c r="K818" s="102">
        <v>2</v>
      </c>
      <c r="M818" s="101">
        <f t="shared" si="209"/>
        <v>56</v>
      </c>
      <c r="N818" s="4">
        <f t="shared" si="210"/>
        <v>29</v>
      </c>
      <c r="O818" s="4">
        <f t="shared" si="211"/>
        <v>34</v>
      </c>
      <c r="P818" s="4">
        <f t="shared" si="212"/>
        <v>56</v>
      </c>
      <c r="Q818" s="4">
        <f t="shared" si="213"/>
        <v>45</v>
      </c>
      <c r="R818" s="4">
        <f t="shared" si="214"/>
        <v>34</v>
      </c>
      <c r="S818" s="102">
        <f t="shared" si="215"/>
        <v>56</v>
      </c>
      <c r="U818" s="101">
        <f t="shared" si="216"/>
        <v>78</v>
      </c>
      <c r="V818" s="4">
        <f t="shared" si="217"/>
        <v>41</v>
      </c>
      <c r="W818" s="4">
        <f t="shared" si="218"/>
        <v>46</v>
      </c>
      <c r="X818" s="4">
        <f t="shared" si="219"/>
        <v>78</v>
      </c>
      <c r="Y818" s="4">
        <f t="shared" si="220"/>
        <v>71</v>
      </c>
      <c r="Z818" s="4">
        <f t="shared" si="221"/>
        <v>46</v>
      </c>
      <c r="AA818" s="102">
        <f t="shared" si="222"/>
        <v>78</v>
      </c>
      <c r="AC818" s="100">
        <f t="shared" si="223"/>
        <v>0.98118759584411541</v>
      </c>
    </row>
    <row r="819" spans="4:29" x14ac:dyDescent="0.35">
      <c r="D819">
        <f t="shared" si="224"/>
        <v>815</v>
      </c>
      <c r="E819" s="101">
        <v>2</v>
      </c>
      <c r="F819" s="4">
        <v>4</v>
      </c>
      <c r="G819" s="4">
        <v>3</v>
      </c>
      <c r="H819" s="4">
        <v>2</v>
      </c>
      <c r="I819" s="4">
        <v>1</v>
      </c>
      <c r="J819" s="4">
        <v>7</v>
      </c>
      <c r="K819" s="102">
        <v>4</v>
      </c>
      <c r="M819" s="101">
        <f t="shared" si="209"/>
        <v>56</v>
      </c>
      <c r="N819" s="4">
        <f t="shared" si="210"/>
        <v>12</v>
      </c>
      <c r="O819" s="4">
        <f t="shared" si="211"/>
        <v>23</v>
      </c>
      <c r="P819" s="4">
        <f t="shared" si="212"/>
        <v>56</v>
      </c>
      <c r="Q819" s="4">
        <f t="shared" si="213"/>
        <v>34</v>
      </c>
      <c r="R819" s="4">
        <f t="shared" si="214"/>
        <v>29</v>
      </c>
      <c r="S819" s="102">
        <f t="shared" si="215"/>
        <v>12</v>
      </c>
      <c r="U819" s="101">
        <f t="shared" si="216"/>
        <v>78</v>
      </c>
      <c r="V819" s="4">
        <f t="shared" si="217"/>
        <v>9</v>
      </c>
      <c r="W819" s="4">
        <f t="shared" si="218"/>
        <v>39</v>
      </c>
      <c r="X819" s="4">
        <f t="shared" si="219"/>
        <v>78</v>
      </c>
      <c r="Y819" s="4">
        <f t="shared" si="220"/>
        <v>46</v>
      </c>
      <c r="Z819" s="4">
        <f t="shared" si="221"/>
        <v>41</v>
      </c>
      <c r="AA819" s="102">
        <f t="shared" si="222"/>
        <v>9</v>
      </c>
      <c r="AC819" s="100">
        <f t="shared" si="223"/>
        <v>0.98636655389013406</v>
      </c>
    </row>
    <row r="820" spans="4:29" x14ac:dyDescent="0.35">
      <c r="D820">
        <f t="shared" si="224"/>
        <v>816</v>
      </c>
      <c r="E820" s="101">
        <v>7</v>
      </c>
      <c r="F820" s="4">
        <v>1</v>
      </c>
      <c r="G820" s="4">
        <v>6</v>
      </c>
      <c r="H820" s="4">
        <v>6</v>
      </c>
      <c r="I820" s="4">
        <v>3</v>
      </c>
      <c r="J820" s="4">
        <v>5</v>
      </c>
      <c r="K820" s="102">
        <v>4</v>
      </c>
      <c r="M820" s="101">
        <f t="shared" si="209"/>
        <v>29</v>
      </c>
      <c r="N820" s="4">
        <f t="shared" si="210"/>
        <v>34</v>
      </c>
      <c r="O820" s="4">
        <f t="shared" si="211"/>
        <v>45</v>
      </c>
      <c r="P820" s="4">
        <f t="shared" si="212"/>
        <v>45</v>
      </c>
      <c r="Q820" s="4">
        <f t="shared" si="213"/>
        <v>23</v>
      </c>
      <c r="R820" s="4">
        <f t="shared" si="214"/>
        <v>30</v>
      </c>
      <c r="S820" s="102">
        <f t="shared" si="215"/>
        <v>12</v>
      </c>
      <c r="U820" s="101">
        <f t="shared" si="216"/>
        <v>41</v>
      </c>
      <c r="V820" s="4">
        <f t="shared" si="217"/>
        <v>46</v>
      </c>
      <c r="W820" s="4">
        <f t="shared" si="218"/>
        <v>71</v>
      </c>
      <c r="X820" s="4">
        <f t="shared" si="219"/>
        <v>71</v>
      </c>
      <c r="Y820" s="4">
        <f t="shared" si="220"/>
        <v>39</v>
      </c>
      <c r="Z820" s="4">
        <f t="shared" si="221"/>
        <v>39</v>
      </c>
      <c r="AA820" s="102">
        <f t="shared" si="222"/>
        <v>9</v>
      </c>
      <c r="AC820" s="100">
        <f t="shared" si="223"/>
        <v>0.97937552009697737</v>
      </c>
    </row>
    <row r="821" spans="4:29" x14ac:dyDescent="0.35">
      <c r="D821">
        <f t="shared" si="224"/>
        <v>817</v>
      </c>
      <c r="E821" s="101">
        <v>5</v>
      </c>
      <c r="F821" s="4">
        <v>4</v>
      </c>
      <c r="G821" s="4">
        <v>6</v>
      </c>
      <c r="H821" s="4">
        <v>1</v>
      </c>
      <c r="I821" s="4">
        <v>6</v>
      </c>
      <c r="J821" s="4">
        <v>4</v>
      </c>
      <c r="K821" s="102">
        <v>2</v>
      </c>
      <c r="M821" s="101">
        <f t="shared" si="209"/>
        <v>30</v>
      </c>
      <c r="N821" s="4">
        <f t="shared" si="210"/>
        <v>12</v>
      </c>
      <c r="O821" s="4">
        <f t="shared" si="211"/>
        <v>45</v>
      </c>
      <c r="P821" s="4">
        <f t="shared" si="212"/>
        <v>34</v>
      </c>
      <c r="Q821" s="4">
        <f t="shared" si="213"/>
        <v>45</v>
      </c>
      <c r="R821" s="4">
        <f t="shared" si="214"/>
        <v>12</v>
      </c>
      <c r="S821" s="102">
        <f t="shared" si="215"/>
        <v>56</v>
      </c>
      <c r="U821" s="101">
        <f t="shared" si="216"/>
        <v>39</v>
      </c>
      <c r="V821" s="4">
        <f t="shared" si="217"/>
        <v>9</v>
      </c>
      <c r="W821" s="4">
        <f t="shared" si="218"/>
        <v>71</v>
      </c>
      <c r="X821" s="4">
        <f t="shared" si="219"/>
        <v>46</v>
      </c>
      <c r="Y821" s="4">
        <f t="shared" si="220"/>
        <v>71</v>
      </c>
      <c r="Z821" s="4">
        <f t="shared" si="221"/>
        <v>9</v>
      </c>
      <c r="AA821" s="102">
        <f t="shared" si="222"/>
        <v>78</v>
      </c>
      <c r="AC821" s="100">
        <f t="shared" si="223"/>
        <v>0.99005339402589887</v>
      </c>
    </row>
    <row r="822" spans="4:29" x14ac:dyDescent="0.35">
      <c r="D822">
        <f t="shared" si="224"/>
        <v>818</v>
      </c>
      <c r="E822" s="101">
        <v>3</v>
      </c>
      <c r="F822" s="4">
        <v>7</v>
      </c>
      <c r="G822" s="4">
        <v>6</v>
      </c>
      <c r="H822" s="4">
        <v>5</v>
      </c>
      <c r="I822" s="4">
        <v>3</v>
      </c>
      <c r="J822" s="4">
        <v>3</v>
      </c>
      <c r="K822" s="102">
        <v>4</v>
      </c>
      <c r="M822" s="101">
        <f t="shared" si="209"/>
        <v>23</v>
      </c>
      <c r="N822" s="4">
        <f t="shared" si="210"/>
        <v>29</v>
      </c>
      <c r="O822" s="4">
        <f t="shared" si="211"/>
        <v>45</v>
      </c>
      <c r="P822" s="4">
        <f t="shared" si="212"/>
        <v>30</v>
      </c>
      <c r="Q822" s="4">
        <f t="shared" si="213"/>
        <v>23</v>
      </c>
      <c r="R822" s="4">
        <f t="shared" si="214"/>
        <v>23</v>
      </c>
      <c r="S822" s="102">
        <f t="shared" si="215"/>
        <v>12</v>
      </c>
      <c r="U822" s="101">
        <f t="shared" si="216"/>
        <v>39</v>
      </c>
      <c r="V822" s="4">
        <f t="shared" si="217"/>
        <v>41</v>
      </c>
      <c r="W822" s="4">
        <f t="shared" si="218"/>
        <v>71</v>
      </c>
      <c r="X822" s="4">
        <f t="shared" si="219"/>
        <v>39</v>
      </c>
      <c r="Y822" s="4">
        <f t="shared" si="220"/>
        <v>39</v>
      </c>
      <c r="Z822" s="4">
        <f t="shared" si="221"/>
        <v>39</v>
      </c>
      <c r="AA822" s="102">
        <f t="shared" si="222"/>
        <v>9</v>
      </c>
      <c r="AC822" s="100">
        <f t="shared" si="223"/>
        <v>0.95423264134951469</v>
      </c>
    </row>
    <row r="823" spans="4:29" x14ac:dyDescent="0.35">
      <c r="D823">
        <f t="shared" si="224"/>
        <v>819</v>
      </c>
      <c r="E823" s="101">
        <v>6</v>
      </c>
      <c r="F823" s="4">
        <v>2</v>
      </c>
      <c r="G823" s="4">
        <v>7</v>
      </c>
      <c r="H823" s="4">
        <v>3</v>
      </c>
      <c r="I823" s="4">
        <v>3</v>
      </c>
      <c r="J823" s="4">
        <v>2</v>
      </c>
      <c r="K823" s="102">
        <v>4</v>
      </c>
      <c r="M823" s="101">
        <f t="shared" si="209"/>
        <v>45</v>
      </c>
      <c r="N823" s="4">
        <f t="shared" si="210"/>
        <v>56</v>
      </c>
      <c r="O823" s="4">
        <f t="shared" si="211"/>
        <v>29</v>
      </c>
      <c r="P823" s="4">
        <f t="shared" si="212"/>
        <v>23</v>
      </c>
      <c r="Q823" s="4">
        <f t="shared" si="213"/>
        <v>23</v>
      </c>
      <c r="R823" s="4">
        <f t="shared" si="214"/>
        <v>56</v>
      </c>
      <c r="S823" s="102">
        <f t="shared" si="215"/>
        <v>12</v>
      </c>
      <c r="U823" s="101">
        <f t="shared" si="216"/>
        <v>71</v>
      </c>
      <c r="V823" s="4">
        <f t="shared" si="217"/>
        <v>78</v>
      </c>
      <c r="W823" s="4">
        <f t="shared" si="218"/>
        <v>41</v>
      </c>
      <c r="X823" s="4">
        <f t="shared" si="219"/>
        <v>39</v>
      </c>
      <c r="Y823" s="4">
        <f t="shared" si="220"/>
        <v>39</v>
      </c>
      <c r="Z823" s="4">
        <f t="shared" si="221"/>
        <v>78</v>
      </c>
      <c r="AA823" s="102">
        <f t="shared" si="222"/>
        <v>9</v>
      </c>
      <c r="AC823" s="100">
        <f t="shared" si="223"/>
        <v>0.9761774021252565</v>
      </c>
    </row>
    <row r="824" spans="4:29" x14ac:dyDescent="0.35">
      <c r="D824">
        <f t="shared" si="224"/>
        <v>820</v>
      </c>
      <c r="E824" s="101">
        <v>6</v>
      </c>
      <c r="F824" s="4">
        <v>4</v>
      </c>
      <c r="G824" s="4">
        <v>6</v>
      </c>
      <c r="H824" s="4">
        <v>2</v>
      </c>
      <c r="I824" s="4">
        <v>7</v>
      </c>
      <c r="J824" s="4">
        <v>6</v>
      </c>
      <c r="K824" s="102">
        <v>7</v>
      </c>
      <c r="M824" s="101">
        <f t="shared" si="209"/>
        <v>45</v>
      </c>
      <c r="N824" s="4">
        <f t="shared" si="210"/>
        <v>12</v>
      </c>
      <c r="O824" s="4">
        <f t="shared" si="211"/>
        <v>45</v>
      </c>
      <c r="P824" s="4">
        <f t="shared" si="212"/>
        <v>56</v>
      </c>
      <c r="Q824" s="4">
        <f t="shared" si="213"/>
        <v>29</v>
      </c>
      <c r="R824" s="4">
        <f t="shared" si="214"/>
        <v>45</v>
      </c>
      <c r="S824" s="102">
        <f t="shared" si="215"/>
        <v>29</v>
      </c>
      <c r="U824" s="101">
        <f t="shared" si="216"/>
        <v>71</v>
      </c>
      <c r="V824" s="4">
        <f t="shared" si="217"/>
        <v>9</v>
      </c>
      <c r="W824" s="4">
        <f t="shared" si="218"/>
        <v>71</v>
      </c>
      <c r="X824" s="4">
        <f t="shared" si="219"/>
        <v>78</v>
      </c>
      <c r="Y824" s="4">
        <f t="shared" si="220"/>
        <v>41</v>
      </c>
      <c r="Z824" s="4">
        <f t="shared" si="221"/>
        <v>71</v>
      </c>
      <c r="AA824" s="102">
        <f t="shared" si="222"/>
        <v>41</v>
      </c>
      <c r="AC824" s="100">
        <f t="shared" si="223"/>
        <v>0.98542501325744869</v>
      </c>
    </row>
    <row r="825" spans="4:29" x14ac:dyDescent="0.35">
      <c r="D825">
        <f t="shared" si="224"/>
        <v>821</v>
      </c>
      <c r="E825" s="101">
        <v>2</v>
      </c>
      <c r="F825" s="4">
        <v>4</v>
      </c>
      <c r="G825" s="4">
        <v>3</v>
      </c>
      <c r="H825" s="4">
        <v>2</v>
      </c>
      <c r="I825" s="4">
        <v>6</v>
      </c>
      <c r="J825" s="4">
        <v>1</v>
      </c>
      <c r="K825" s="102">
        <v>1</v>
      </c>
      <c r="M825" s="101">
        <f t="shared" si="209"/>
        <v>56</v>
      </c>
      <c r="N825" s="4">
        <f t="shared" si="210"/>
        <v>12</v>
      </c>
      <c r="O825" s="4">
        <f t="shared" si="211"/>
        <v>23</v>
      </c>
      <c r="P825" s="4">
        <f t="shared" si="212"/>
        <v>56</v>
      </c>
      <c r="Q825" s="4">
        <f t="shared" si="213"/>
        <v>45</v>
      </c>
      <c r="R825" s="4">
        <f t="shared" si="214"/>
        <v>34</v>
      </c>
      <c r="S825" s="102">
        <f t="shared" si="215"/>
        <v>34</v>
      </c>
      <c r="U825" s="101">
        <f t="shared" si="216"/>
        <v>78</v>
      </c>
      <c r="V825" s="4">
        <f t="shared" si="217"/>
        <v>9</v>
      </c>
      <c r="W825" s="4">
        <f t="shared" si="218"/>
        <v>39</v>
      </c>
      <c r="X825" s="4">
        <f t="shared" si="219"/>
        <v>78</v>
      </c>
      <c r="Y825" s="4">
        <f t="shared" si="220"/>
        <v>71</v>
      </c>
      <c r="Z825" s="4">
        <f t="shared" si="221"/>
        <v>46</v>
      </c>
      <c r="AA825" s="102">
        <f t="shared" si="222"/>
        <v>46</v>
      </c>
      <c r="AC825" s="100">
        <f t="shared" si="223"/>
        <v>0.97874210568969822</v>
      </c>
    </row>
    <row r="826" spans="4:29" x14ac:dyDescent="0.35">
      <c r="D826">
        <f t="shared" si="224"/>
        <v>822</v>
      </c>
      <c r="E826" s="101">
        <v>4</v>
      </c>
      <c r="F826" s="4">
        <v>1</v>
      </c>
      <c r="G826" s="4">
        <v>5</v>
      </c>
      <c r="H826" s="4">
        <v>2</v>
      </c>
      <c r="I826" s="4">
        <v>6</v>
      </c>
      <c r="J826" s="4">
        <v>7</v>
      </c>
      <c r="K826" s="102">
        <v>6</v>
      </c>
      <c r="M826" s="101">
        <f t="shared" si="209"/>
        <v>12</v>
      </c>
      <c r="N826" s="4">
        <f t="shared" si="210"/>
        <v>34</v>
      </c>
      <c r="O826" s="4">
        <f t="shared" si="211"/>
        <v>30</v>
      </c>
      <c r="P826" s="4">
        <f t="shared" si="212"/>
        <v>56</v>
      </c>
      <c r="Q826" s="4">
        <f t="shared" si="213"/>
        <v>45</v>
      </c>
      <c r="R826" s="4">
        <f t="shared" si="214"/>
        <v>29</v>
      </c>
      <c r="S826" s="102">
        <f t="shared" si="215"/>
        <v>45</v>
      </c>
      <c r="U826" s="101">
        <f t="shared" si="216"/>
        <v>9</v>
      </c>
      <c r="V826" s="4">
        <f t="shared" si="217"/>
        <v>46</v>
      </c>
      <c r="W826" s="4">
        <f t="shared" si="218"/>
        <v>39</v>
      </c>
      <c r="X826" s="4">
        <f t="shared" si="219"/>
        <v>78</v>
      </c>
      <c r="Y826" s="4">
        <f t="shared" si="220"/>
        <v>71</v>
      </c>
      <c r="Z826" s="4">
        <f t="shared" si="221"/>
        <v>41</v>
      </c>
      <c r="AA826" s="102">
        <f t="shared" si="222"/>
        <v>71</v>
      </c>
      <c r="AC826" s="100">
        <f t="shared" si="223"/>
        <v>0.98536666061791645</v>
      </c>
    </row>
    <row r="827" spans="4:29" x14ac:dyDescent="0.35">
      <c r="D827">
        <f t="shared" si="224"/>
        <v>823</v>
      </c>
      <c r="E827" s="101">
        <v>5</v>
      </c>
      <c r="F827" s="4">
        <v>5</v>
      </c>
      <c r="G827" s="4">
        <v>7</v>
      </c>
      <c r="H827" s="4">
        <v>7</v>
      </c>
      <c r="I827" s="4">
        <v>3</v>
      </c>
      <c r="J827" s="4">
        <v>2</v>
      </c>
      <c r="K827" s="102">
        <v>2</v>
      </c>
      <c r="M827" s="101">
        <f t="shared" si="209"/>
        <v>30</v>
      </c>
      <c r="N827" s="4">
        <f t="shared" si="210"/>
        <v>30</v>
      </c>
      <c r="O827" s="4">
        <f t="shared" si="211"/>
        <v>29</v>
      </c>
      <c r="P827" s="4">
        <f t="shared" si="212"/>
        <v>29</v>
      </c>
      <c r="Q827" s="4">
        <f t="shared" si="213"/>
        <v>23</v>
      </c>
      <c r="R827" s="4">
        <f t="shared" si="214"/>
        <v>56</v>
      </c>
      <c r="S827" s="102">
        <f t="shared" si="215"/>
        <v>56</v>
      </c>
      <c r="U827" s="101">
        <f t="shared" si="216"/>
        <v>39</v>
      </c>
      <c r="V827" s="4">
        <f t="shared" si="217"/>
        <v>39</v>
      </c>
      <c r="W827" s="4">
        <f t="shared" si="218"/>
        <v>41</v>
      </c>
      <c r="X827" s="4">
        <f t="shared" si="219"/>
        <v>41</v>
      </c>
      <c r="Y827" s="4">
        <f t="shared" si="220"/>
        <v>39</v>
      </c>
      <c r="Z827" s="4">
        <f t="shared" si="221"/>
        <v>78</v>
      </c>
      <c r="AA827" s="102">
        <f t="shared" si="222"/>
        <v>78</v>
      </c>
      <c r="AC827" s="100">
        <f t="shared" si="223"/>
        <v>0.98554583072205626</v>
      </c>
    </row>
    <row r="828" spans="4:29" x14ac:dyDescent="0.35">
      <c r="D828">
        <f t="shared" si="224"/>
        <v>824</v>
      </c>
      <c r="E828" s="101">
        <v>5</v>
      </c>
      <c r="F828" s="4">
        <v>6</v>
      </c>
      <c r="G828" s="4">
        <v>1</v>
      </c>
      <c r="H828" s="4">
        <v>3</v>
      </c>
      <c r="I828" s="4">
        <v>3</v>
      </c>
      <c r="J828" s="4">
        <v>7</v>
      </c>
      <c r="K828" s="102">
        <v>2</v>
      </c>
      <c r="M828" s="101">
        <f t="shared" si="209"/>
        <v>30</v>
      </c>
      <c r="N828" s="4">
        <f t="shared" si="210"/>
        <v>45</v>
      </c>
      <c r="O828" s="4">
        <f t="shared" si="211"/>
        <v>34</v>
      </c>
      <c r="P828" s="4">
        <f t="shared" si="212"/>
        <v>23</v>
      </c>
      <c r="Q828" s="4">
        <f t="shared" si="213"/>
        <v>23</v>
      </c>
      <c r="R828" s="4">
        <f t="shared" si="214"/>
        <v>29</v>
      </c>
      <c r="S828" s="102">
        <f t="shared" si="215"/>
        <v>56</v>
      </c>
      <c r="U828" s="101">
        <f t="shared" si="216"/>
        <v>39</v>
      </c>
      <c r="V828" s="4">
        <f t="shared" si="217"/>
        <v>71</v>
      </c>
      <c r="W828" s="4">
        <f t="shared" si="218"/>
        <v>46</v>
      </c>
      <c r="X828" s="4">
        <f t="shared" si="219"/>
        <v>39</v>
      </c>
      <c r="Y828" s="4">
        <f t="shared" si="220"/>
        <v>39</v>
      </c>
      <c r="Z828" s="4">
        <f t="shared" si="221"/>
        <v>41</v>
      </c>
      <c r="AA828" s="102">
        <f t="shared" si="222"/>
        <v>78</v>
      </c>
      <c r="AC828" s="100">
        <f t="shared" si="223"/>
        <v>0.96300439634993629</v>
      </c>
    </row>
    <row r="829" spans="4:29" x14ac:dyDescent="0.35">
      <c r="D829">
        <f t="shared" si="224"/>
        <v>825</v>
      </c>
      <c r="E829" s="101">
        <v>1</v>
      </c>
      <c r="F829" s="4">
        <v>1</v>
      </c>
      <c r="G829" s="4">
        <v>1</v>
      </c>
      <c r="H829" s="4">
        <v>3</v>
      </c>
      <c r="I829" s="4">
        <v>7</v>
      </c>
      <c r="J829" s="4">
        <v>5</v>
      </c>
      <c r="K829" s="102">
        <v>5</v>
      </c>
      <c r="M829" s="101">
        <f t="shared" si="209"/>
        <v>34</v>
      </c>
      <c r="N829" s="4">
        <f t="shared" si="210"/>
        <v>34</v>
      </c>
      <c r="O829" s="4">
        <f t="shared" si="211"/>
        <v>34</v>
      </c>
      <c r="P829" s="4">
        <f t="shared" si="212"/>
        <v>23</v>
      </c>
      <c r="Q829" s="4">
        <f t="shared" si="213"/>
        <v>29</v>
      </c>
      <c r="R829" s="4">
        <f t="shared" si="214"/>
        <v>30</v>
      </c>
      <c r="S829" s="102">
        <f t="shared" si="215"/>
        <v>30</v>
      </c>
      <c r="U829" s="101">
        <f t="shared" si="216"/>
        <v>46</v>
      </c>
      <c r="V829" s="4">
        <f t="shared" si="217"/>
        <v>46</v>
      </c>
      <c r="W829" s="4">
        <f t="shared" si="218"/>
        <v>46</v>
      </c>
      <c r="X829" s="4">
        <f t="shared" si="219"/>
        <v>39</v>
      </c>
      <c r="Y829" s="4">
        <f t="shared" si="220"/>
        <v>41</v>
      </c>
      <c r="Z829" s="4">
        <f t="shared" si="221"/>
        <v>39</v>
      </c>
      <c r="AA829" s="102">
        <f t="shared" si="222"/>
        <v>39</v>
      </c>
      <c r="AC829" s="100">
        <f t="shared" si="223"/>
        <v>0.81038739193752696</v>
      </c>
    </row>
    <row r="830" spans="4:29" x14ac:dyDescent="0.35">
      <c r="D830">
        <f t="shared" si="224"/>
        <v>826</v>
      </c>
      <c r="E830" s="101">
        <v>6</v>
      </c>
      <c r="F830" s="4">
        <v>6</v>
      </c>
      <c r="G830" s="4">
        <v>5</v>
      </c>
      <c r="H830" s="4">
        <v>7</v>
      </c>
      <c r="I830" s="4">
        <v>6</v>
      </c>
      <c r="J830" s="4">
        <v>7</v>
      </c>
      <c r="K830" s="102">
        <v>2</v>
      </c>
      <c r="M830" s="101">
        <f t="shared" si="209"/>
        <v>45</v>
      </c>
      <c r="N830" s="4">
        <f t="shared" si="210"/>
        <v>45</v>
      </c>
      <c r="O830" s="4">
        <f t="shared" si="211"/>
        <v>30</v>
      </c>
      <c r="P830" s="4">
        <f t="shared" si="212"/>
        <v>29</v>
      </c>
      <c r="Q830" s="4">
        <f t="shared" si="213"/>
        <v>45</v>
      </c>
      <c r="R830" s="4">
        <f t="shared" si="214"/>
        <v>29</v>
      </c>
      <c r="S830" s="102">
        <f t="shared" si="215"/>
        <v>56</v>
      </c>
      <c r="U830" s="101">
        <f t="shared" si="216"/>
        <v>71</v>
      </c>
      <c r="V830" s="4">
        <f t="shared" si="217"/>
        <v>71</v>
      </c>
      <c r="W830" s="4">
        <f t="shared" si="218"/>
        <v>39</v>
      </c>
      <c r="X830" s="4">
        <f t="shared" si="219"/>
        <v>41</v>
      </c>
      <c r="Y830" s="4">
        <f t="shared" si="220"/>
        <v>71</v>
      </c>
      <c r="Z830" s="4">
        <f t="shared" si="221"/>
        <v>41</v>
      </c>
      <c r="AA830" s="102">
        <f t="shared" si="222"/>
        <v>78</v>
      </c>
      <c r="AC830" s="100">
        <f t="shared" si="223"/>
        <v>0.97027497035587995</v>
      </c>
    </row>
    <row r="831" spans="4:29" x14ac:dyDescent="0.35">
      <c r="D831">
        <f t="shared" si="224"/>
        <v>827</v>
      </c>
      <c r="E831" s="101">
        <v>1</v>
      </c>
      <c r="F831" s="4">
        <v>6</v>
      </c>
      <c r="G831" s="4">
        <v>1</v>
      </c>
      <c r="H831" s="4">
        <v>6</v>
      </c>
      <c r="I831" s="4">
        <v>6</v>
      </c>
      <c r="J831" s="4">
        <v>1</v>
      </c>
      <c r="K831" s="102">
        <v>4</v>
      </c>
      <c r="M831" s="101">
        <f t="shared" si="209"/>
        <v>34</v>
      </c>
      <c r="N831" s="4">
        <f t="shared" si="210"/>
        <v>45</v>
      </c>
      <c r="O831" s="4">
        <f t="shared" si="211"/>
        <v>34</v>
      </c>
      <c r="P831" s="4">
        <f t="shared" si="212"/>
        <v>45</v>
      </c>
      <c r="Q831" s="4">
        <f t="shared" si="213"/>
        <v>45</v>
      </c>
      <c r="R831" s="4">
        <f t="shared" si="214"/>
        <v>34</v>
      </c>
      <c r="S831" s="102">
        <f t="shared" si="215"/>
        <v>12</v>
      </c>
      <c r="U831" s="101">
        <f t="shared" si="216"/>
        <v>46</v>
      </c>
      <c r="V831" s="4">
        <f t="shared" si="217"/>
        <v>71</v>
      </c>
      <c r="W831" s="4">
        <f t="shared" si="218"/>
        <v>46</v>
      </c>
      <c r="X831" s="4">
        <f t="shared" si="219"/>
        <v>71</v>
      </c>
      <c r="Y831" s="4">
        <f t="shared" si="220"/>
        <v>71</v>
      </c>
      <c r="Z831" s="4">
        <f t="shared" si="221"/>
        <v>46</v>
      </c>
      <c r="AA831" s="102">
        <f t="shared" si="222"/>
        <v>9</v>
      </c>
      <c r="AC831" s="100">
        <f t="shared" si="223"/>
        <v>0.99477064549230798</v>
      </c>
    </row>
    <row r="832" spans="4:29" x14ac:dyDescent="0.35">
      <c r="D832">
        <f t="shared" si="224"/>
        <v>828</v>
      </c>
      <c r="E832" s="101">
        <v>3</v>
      </c>
      <c r="F832" s="4">
        <v>1</v>
      </c>
      <c r="G832" s="4">
        <v>6</v>
      </c>
      <c r="H832" s="4">
        <v>3</v>
      </c>
      <c r="I832" s="4">
        <v>3</v>
      </c>
      <c r="J832" s="4">
        <v>3</v>
      </c>
      <c r="K832" s="102">
        <v>6</v>
      </c>
      <c r="M832" s="101">
        <f t="shared" si="209"/>
        <v>23</v>
      </c>
      <c r="N832" s="4">
        <f t="shared" si="210"/>
        <v>34</v>
      </c>
      <c r="O832" s="4">
        <f t="shared" si="211"/>
        <v>45</v>
      </c>
      <c r="P832" s="4">
        <f t="shared" si="212"/>
        <v>23</v>
      </c>
      <c r="Q832" s="4">
        <f t="shared" si="213"/>
        <v>23</v>
      </c>
      <c r="R832" s="4">
        <f t="shared" si="214"/>
        <v>23</v>
      </c>
      <c r="S832" s="102">
        <f t="shared" si="215"/>
        <v>45</v>
      </c>
      <c r="U832" s="101">
        <f t="shared" si="216"/>
        <v>39</v>
      </c>
      <c r="V832" s="4">
        <f t="shared" si="217"/>
        <v>46</v>
      </c>
      <c r="W832" s="4">
        <f t="shared" si="218"/>
        <v>71</v>
      </c>
      <c r="X832" s="4">
        <f t="shared" si="219"/>
        <v>39</v>
      </c>
      <c r="Y832" s="4">
        <f t="shared" si="220"/>
        <v>39</v>
      </c>
      <c r="Z832" s="4">
        <f t="shared" si="221"/>
        <v>39</v>
      </c>
      <c r="AA832" s="102">
        <f t="shared" si="222"/>
        <v>71</v>
      </c>
      <c r="AC832" s="100">
        <f t="shared" si="223"/>
        <v>0.97491499971557327</v>
      </c>
    </row>
    <row r="833" spans="4:29" x14ac:dyDescent="0.35">
      <c r="D833">
        <f t="shared" si="224"/>
        <v>829</v>
      </c>
      <c r="E833" s="101">
        <v>6</v>
      </c>
      <c r="F833" s="4">
        <v>6</v>
      </c>
      <c r="G833" s="4">
        <v>2</v>
      </c>
      <c r="H833" s="4">
        <v>4</v>
      </c>
      <c r="I833" s="4">
        <v>7</v>
      </c>
      <c r="J833" s="4">
        <v>3</v>
      </c>
      <c r="K833" s="102">
        <v>7</v>
      </c>
      <c r="M833" s="101">
        <f t="shared" si="209"/>
        <v>45</v>
      </c>
      <c r="N833" s="4">
        <f t="shared" si="210"/>
        <v>45</v>
      </c>
      <c r="O833" s="4">
        <f t="shared" si="211"/>
        <v>56</v>
      </c>
      <c r="P833" s="4">
        <f t="shared" si="212"/>
        <v>12</v>
      </c>
      <c r="Q833" s="4">
        <f t="shared" si="213"/>
        <v>29</v>
      </c>
      <c r="R833" s="4">
        <f t="shared" si="214"/>
        <v>23</v>
      </c>
      <c r="S833" s="102">
        <f t="shared" si="215"/>
        <v>29</v>
      </c>
      <c r="U833" s="101">
        <f t="shared" si="216"/>
        <v>71</v>
      </c>
      <c r="V833" s="4">
        <f t="shared" si="217"/>
        <v>71</v>
      </c>
      <c r="W833" s="4">
        <f t="shared" si="218"/>
        <v>78</v>
      </c>
      <c r="X833" s="4">
        <f t="shared" si="219"/>
        <v>9</v>
      </c>
      <c r="Y833" s="4">
        <f t="shared" si="220"/>
        <v>41</v>
      </c>
      <c r="Z833" s="4">
        <f t="shared" si="221"/>
        <v>39</v>
      </c>
      <c r="AA833" s="102">
        <f t="shared" si="222"/>
        <v>41</v>
      </c>
      <c r="AC833" s="100">
        <f t="shared" si="223"/>
        <v>0.97862135760878055</v>
      </c>
    </row>
    <row r="834" spans="4:29" x14ac:dyDescent="0.35">
      <c r="D834">
        <f t="shared" si="224"/>
        <v>830</v>
      </c>
      <c r="E834" s="101">
        <v>2</v>
      </c>
      <c r="F834" s="4">
        <v>1</v>
      </c>
      <c r="G834" s="4">
        <v>1</v>
      </c>
      <c r="H834" s="4">
        <v>7</v>
      </c>
      <c r="I834" s="4">
        <v>6</v>
      </c>
      <c r="J834" s="4">
        <v>3</v>
      </c>
      <c r="K834" s="102">
        <v>7</v>
      </c>
      <c r="M834" s="101">
        <f t="shared" si="209"/>
        <v>56</v>
      </c>
      <c r="N834" s="4">
        <f t="shared" si="210"/>
        <v>34</v>
      </c>
      <c r="O834" s="4">
        <f t="shared" si="211"/>
        <v>34</v>
      </c>
      <c r="P834" s="4">
        <f t="shared" si="212"/>
        <v>29</v>
      </c>
      <c r="Q834" s="4">
        <f t="shared" si="213"/>
        <v>45</v>
      </c>
      <c r="R834" s="4">
        <f t="shared" si="214"/>
        <v>23</v>
      </c>
      <c r="S834" s="102">
        <f t="shared" si="215"/>
        <v>29</v>
      </c>
      <c r="U834" s="101">
        <f t="shared" si="216"/>
        <v>78</v>
      </c>
      <c r="V834" s="4">
        <f t="shared" si="217"/>
        <v>46</v>
      </c>
      <c r="W834" s="4">
        <f t="shared" si="218"/>
        <v>46</v>
      </c>
      <c r="X834" s="4">
        <f t="shared" si="219"/>
        <v>41</v>
      </c>
      <c r="Y834" s="4">
        <f t="shared" si="220"/>
        <v>71</v>
      </c>
      <c r="Z834" s="4">
        <f t="shared" si="221"/>
        <v>39</v>
      </c>
      <c r="AA834" s="102">
        <f t="shared" si="222"/>
        <v>41</v>
      </c>
      <c r="AC834" s="100">
        <f t="shared" si="223"/>
        <v>0.96832547378247202</v>
      </c>
    </row>
    <row r="835" spans="4:29" x14ac:dyDescent="0.35">
      <c r="D835">
        <f t="shared" si="224"/>
        <v>831</v>
      </c>
      <c r="E835" s="101">
        <v>4</v>
      </c>
      <c r="F835" s="4">
        <v>5</v>
      </c>
      <c r="G835" s="4">
        <v>4</v>
      </c>
      <c r="H835" s="4">
        <v>2</v>
      </c>
      <c r="I835" s="4">
        <v>2</v>
      </c>
      <c r="J835" s="4">
        <v>3</v>
      </c>
      <c r="K835" s="102">
        <v>4</v>
      </c>
      <c r="M835" s="101">
        <f t="shared" si="209"/>
        <v>12</v>
      </c>
      <c r="N835" s="4">
        <f t="shared" si="210"/>
        <v>30</v>
      </c>
      <c r="O835" s="4">
        <f t="shared" si="211"/>
        <v>12</v>
      </c>
      <c r="P835" s="4">
        <f t="shared" si="212"/>
        <v>56</v>
      </c>
      <c r="Q835" s="4">
        <f t="shared" si="213"/>
        <v>56</v>
      </c>
      <c r="R835" s="4">
        <f t="shared" si="214"/>
        <v>23</v>
      </c>
      <c r="S835" s="102">
        <f t="shared" si="215"/>
        <v>12</v>
      </c>
      <c r="U835" s="101">
        <f t="shared" si="216"/>
        <v>9</v>
      </c>
      <c r="V835" s="4">
        <f t="shared" si="217"/>
        <v>39</v>
      </c>
      <c r="W835" s="4">
        <f t="shared" si="218"/>
        <v>9</v>
      </c>
      <c r="X835" s="4">
        <f t="shared" si="219"/>
        <v>78</v>
      </c>
      <c r="Y835" s="4">
        <f t="shared" si="220"/>
        <v>78</v>
      </c>
      <c r="Z835" s="4">
        <f t="shared" si="221"/>
        <v>39</v>
      </c>
      <c r="AA835" s="102">
        <f t="shared" si="222"/>
        <v>9</v>
      </c>
      <c r="AC835" s="100">
        <f t="shared" si="223"/>
        <v>0.98826750523072149</v>
      </c>
    </row>
    <row r="836" spans="4:29" x14ac:dyDescent="0.35">
      <c r="D836">
        <f t="shared" si="224"/>
        <v>832</v>
      </c>
      <c r="E836" s="101">
        <v>3</v>
      </c>
      <c r="F836" s="4">
        <v>5</v>
      </c>
      <c r="G836" s="4">
        <v>1</v>
      </c>
      <c r="H836" s="4">
        <v>6</v>
      </c>
      <c r="I836" s="4">
        <v>7</v>
      </c>
      <c r="J836" s="4">
        <v>6</v>
      </c>
      <c r="K836" s="102">
        <v>1</v>
      </c>
      <c r="M836" s="101">
        <f t="shared" si="209"/>
        <v>23</v>
      </c>
      <c r="N836" s="4">
        <f t="shared" si="210"/>
        <v>30</v>
      </c>
      <c r="O836" s="4">
        <f t="shared" si="211"/>
        <v>34</v>
      </c>
      <c r="P836" s="4">
        <f t="shared" si="212"/>
        <v>45</v>
      </c>
      <c r="Q836" s="4">
        <f t="shared" si="213"/>
        <v>29</v>
      </c>
      <c r="R836" s="4">
        <f t="shared" si="214"/>
        <v>45</v>
      </c>
      <c r="S836" s="102">
        <f t="shared" si="215"/>
        <v>34</v>
      </c>
      <c r="U836" s="101">
        <f t="shared" si="216"/>
        <v>39</v>
      </c>
      <c r="V836" s="4">
        <f t="shared" si="217"/>
        <v>39</v>
      </c>
      <c r="W836" s="4">
        <f t="shared" si="218"/>
        <v>46</v>
      </c>
      <c r="X836" s="4">
        <f t="shared" si="219"/>
        <v>71</v>
      </c>
      <c r="Y836" s="4">
        <f t="shared" si="220"/>
        <v>41</v>
      </c>
      <c r="Z836" s="4">
        <f t="shared" si="221"/>
        <v>71</v>
      </c>
      <c r="AA836" s="102">
        <f t="shared" si="222"/>
        <v>46</v>
      </c>
      <c r="AC836" s="100">
        <f t="shared" si="223"/>
        <v>0.95054484850236975</v>
      </c>
    </row>
    <row r="837" spans="4:29" x14ac:dyDescent="0.35">
      <c r="D837">
        <f t="shared" si="224"/>
        <v>833</v>
      </c>
      <c r="E837" s="101">
        <v>6</v>
      </c>
      <c r="F837" s="4">
        <v>2</v>
      </c>
      <c r="G837" s="4">
        <v>1</v>
      </c>
      <c r="H837" s="4">
        <v>2</v>
      </c>
      <c r="I837" s="4">
        <v>7</v>
      </c>
      <c r="J837" s="4">
        <v>5</v>
      </c>
      <c r="K837" s="102">
        <v>3</v>
      </c>
      <c r="M837" s="101">
        <f t="shared" si="209"/>
        <v>45</v>
      </c>
      <c r="N837" s="4">
        <f t="shared" si="210"/>
        <v>56</v>
      </c>
      <c r="O837" s="4">
        <f t="shared" si="211"/>
        <v>34</v>
      </c>
      <c r="P837" s="4">
        <f t="shared" si="212"/>
        <v>56</v>
      </c>
      <c r="Q837" s="4">
        <f t="shared" si="213"/>
        <v>29</v>
      </c>
      <c r="R837" s="4">
        <f t="shared" si="214"/>
        <v>30</v>
      </c>
      <c r="S837" s="102">
        <f t="shared" si="215"/>
        <v>23</v>
      </c>
      <c r="U837" s="101">
        <f t="shared" si="216"/>
        <v>71</v>
      </c>
      <c r="V837" s="4">
        <f t="shared" si="217"/>
        <v>78</v>
      </c>
      <c r="W837" s="4">
        <f t="shared" si="218"/>
        <v>46</v>
      </c>
      <c r="X837" s="4">
        <f t="shared" si="219"/>
        <v>78</v>
      </c>
      <c r="Y837" s="4">
        <f t="shared" si="220"/>
        <v>41</v>
      </c>
      <c r="Z837" s="4">
        <f t="shared" si="221"/>
        <v>39</v>
      </c>
      <c r="AA837" s="102">
        <f t="shared" si="222"/>
        <v>39</v>
      </c>
      <c r="AC837" s="100">
        <f t="shared" si="223"/>
        <v>0.9741874967575731</v>
      </c>
    </row>
    <row r="838" spans="4:29" x14ac:dyDescent="0.35">
      <c r="D838">
        <f t="shared" si="224"/>
        <v>834</v>
      </c>
      <c r="E838" s="101">
        <v>3</v>
      </c>
      <c r="F838" s="4">
        <v>6</v>
      </c>
      <c r="G838" s="4">
        <v>5</v>
      </c>
      <c r="H838" s="4">
        <v>6</v>
      </c>
      <c r="I838" s="4">
        <v>1</v>
      </c>
      <c r="J838" s="4">
        <v>1</v>
      </c>
      <c r="K838" s="102">
        <v>7</v>
      </c>
      <c r="M838" s="101">
        <f t="shared" ref="M838:M901" si="225">INDEX($A$5:$A$11,E838)</f>
        <v>23</v>
      </c>
      <c r="N838" s="4">
        <f t="shared" ref="N838:N901" si="226">INDEX($A$5:$A$11,F838)</f>
        <v>45</v>
      </c>
      <c r="O838" s="4">
        <f t="shared" ref="O838:O901" si="227">INDEX($A$5:$A$11,G838)</f>
        <v>30</v>
      </c>
      <c r="P838" s="4">
        <f t="shared" ref="P838:P901" si="228">INDEX($A$5:$A$11,H838)</f>
        <v>45</v>
      </c>
      <c r="Q838" s="4">
        <f t="shared" ref="Q838:Q901" si="229">INDEX($A$5:$A$11,I838)</f>
        <v>34</v>
      </c>
      <c r="R838" s="4">
        <f t="shared" ref="R838:R901" si="230">INDEX($A$5:$A$11,J838)</f>
        <v>34</v>
      </c>
      <c r="S838" s="102">
        <f t="shared" ref="S838:S901" si="231">INDEX($A$5:$A$11,K838)</f>
        <v>29</v>
      </c>
      <c r="U838" s="101">
        <f t="shared" ref="U838:U901" si="232">INDEX($B$5:$B$11,E838)</f>
        <v>39</v>
      </c>
      <c r="V838" s="4">
        <f t="shared" ref="V838:V901" si="233">INDEX($B$5:$B$11,F838)</f>
        <v>71</v>
      </c>
      <c r="W838" s="4">
        <f t="shared" ref="W838:W901" si="234">INDEX($B$5:$B$11,G838)</f>
        <v>39</v>
      </c>
      <c r="X838" s="4">
        <f t="shared" ref="X838:X901" si="235">INDEX($B$5:$B$11,H838)</f>
        <v>71</v>
      </c>
      <c r="Y838" s="4">
        <f t="shared" ref="Y838:Y901" si="236">INDEX($B$5:$B$11,I838)</f>
        <v>46</v>
      </c>
      <c r="Z838" s="4">
        <f t="shared" ref="Z838:Z901" si="237">INDEX($B$5:$B$11,J838)</f>
        <v>46</v>
      </c>
      <c r="AA838" s="102">
        <f t="shared" ref="AA838:AA901" si="238">INDEX($B$5:$B$11,K838)</f>
        <v>41</v>
      </c>
      <c r="AC838" s="100">
        <f t="shared" ref="AC838:AC901" si="239">CORREL(M838:S838,U838:AA838)</f>
        <v>0.95054484850236998</v>
      </c>
    </row>
    <row r="839" spans="4:29" x14ac:dyDescent="0.35">
      <c r="D839">
        <f t="shared" ref="D839:D902" si="240">D838+1</f>
        <v>835</v>
      </c>
      <c r="E839" s="101">
        <v>3</v>
      </c>
      <c r="F839" s="4">
        <v>2</v>
      </c>
      <c r="G839" s="4">
        <v>5</v>
      </c>
      <c r="H839" s="4">
        <v>6</v>
      </c>
      <c r="I839" s="4">
        <v>1</v>
      </c>
      <c r="J839" s="4">
        <v>6</v>
      </c>
      <c r="K839" s="102">
        <v>2</v>
      </c>
      <c r="M839" s="101">
        <f t="shared" si="225"/>
        <v>23</v>
      </c>
      <c r="N839" s="4">
        <f t="shared" si="226"/>
        <v>56</v>
      </c>
      <c r="O839" s="4">
        <f t="shared" si="227"/>
        <v>30</v>
      </c>
      <c r="P839" s="4">
        <f t="shared" si="228"/>
        <v>45</v>
      </c>
      <c r="Q839" s="4">
        <f t="shared" si="229"/>
        <v>34</v>
      </c>
      <c r="R839" s="4">
        <f t="shared" si="230"/>
        <v>45</v>
      </c>
      <c r="S839" s="102">
        <f t="shared" si="231"/>
        <v>56</v>
      </c>
      <c r="U839" s="101">
        <f t="shared" si="232"/>
        <v>39</v>
      </c>
      <c r="V839" s="4">
        <f t="shared" si="233"/>
        <v>78</v>
      </c>
      <c r="W839" s="4">
        <f t="shared" si="234"/>
        <v>39</v>
      </c>
      <c r="X839" s="4">
        <f t="shared" si="235"/>
        <v>71</v>
      </c>
      <c r="Y839" s="4">
        <f t="shared" si="236"/>
        <v>46</v>
      </c>
      <c r="Z839" s="4">
        <f t="shared" si="237"/>
        <v>71</v>
      </c>
      <c r="AA839" s="102">
        <f t="shared" si="238"/>
        <v>78</v>
      </c>
      <c r="AC839" s="100">
        <f t="shared" si="239"/>
        <v>0.96327016407967792</v>
      </c>
    </row>
    <row r="840" spans="4:29" x14ac:dyDescent="0.35">
      <c r="D840">
        <f t="shared" si="240"/>
        <v>836</v>
      </c>
      <c r="E840" s="101">
        <v>1</v>
      </c>
      <c r="F840" s="4">
        <v>5</v>
      </c>
      <c r="G840" s="4">
        <v>3</v>
      </c>
      <c r="H840" s="4">
        <v>5</v>
      </c>
      <c r="I840" s="4">
        <v>4</v>
      </c>
      <c r="J840" s="4">
        <v>4</v>
      </c>
      <c r="K840" s="102">
        <v>1</v>
      </c>
      <c r="M840" s="101">
        <f t="shared" si="225"/>
        <v>34</v>
      </c>
      <c r="N840" s="4">
        <f t="shared" si="226"/>
        <v>30</v>
      </c>
      <c r="O840" s="4">
        <f t="shared" si="227"/>
        <v>23</v>
      </c>
      <c r="P840" s="4">
        <f t="shared" si="228"/>
        <v>30</v>
      </c>
      <c r="Q840" s="4">
        <f t="shared" si="229"/>
        <v>12</v>
      </c>
      <c r="R840" s="4">
        <f t="shared" si="230"/>
        <v>12</v>
      </c>
      <c r="S840" s="102">
        <f t="shared" si="231"/>
        <v>34</v>
      </c>
      <c r="U840" s="101">
        <f t="shared" si="232"/>
        <v>46</v>
      </c>
      <c r="V840" s="4">
        <f t="shared" si="233"/>
        <v>39</v>
      </c>
      <c r="W840" s="4">
        <f t="shared" si="234"/>
        <v>39</v>
      </c>
      <c r="X840" s="4">
        <f t="shared" si="235"/>
        <v>39</v>
      </c>
      <c r="Y840" s="4">
        <f t="shared" si="236"/>
        <v>9</v>
      </c>
      <c r="Z840" s="4">
        <f t="shared" si="237"/>
        <v>9</v>
      </c>
      <c r="AA840" s="102">
        <f t="shared" si="238"/>
        <v>46</v>
      </c>
      <c r="AC840" s="100">
        <f t="shared" si="239"/>
        <v>0.96359768679116087</v>
      </c>
    </row>
    <row r="841" spans="4:29" x14ac:dyDescent="0.35">
      <c r="D841">
        <f t="shared" si="240"/>
        <v>837</v>
      </c>
      <c r="E841" s="101">
        <v>2</v>
      </c>
      <c r="F841" s="4">
        <v>7</v>
      </c>
      <c r="G841" s="4">
        <v>3</v>
      </c>
      <c r="H841" s="4">
        <v>5</v>
      </c>
      <c r="I841" s="4">
        <v>1</v>
      </c>
      <c r="J841" s="4">
        <v>6</v>
      </c>
      <c r="K841" s="102">
        <v>4</v>
      </c>
      <c r="M841" s="101">
        <f t="shared" si="225"/>
        <v>56</v>
      </c>
      <c r="N841" s="4">
        <f t="shared" si="226"/>
        <v>29</v>
      </c>
      <c r="O841" s="4">
        <f t="shared" si="227"/>
        <v>23</v>
      </c>
      <c r="P841" s="4">
        <f t="shared" si="228"/>
        <v>30</v>
      </c>
      <c r="Q841" s="4">
        <f t="shared" si="229"/>
        <v>34</v>
      </c>
      <c r="R841" s="4">
        <f t="shared" si="230"/>
        <v>45</v>
      </c>
      <c r="S841" s="102">
        <f t="shared" si="231"/>
        <v>12</v>
      </c>
      <c r="U841" s="101">
        <f t="shared" si="232"/>
        <v>78</v>
      </c>
      <c r="V841" s="4">
        <f t="shared" si="233"/>
        <v>41</v>
      </c>
      <c r="W841" s="4">
        <f t="shared" si="234"/>
        <v>39</v>
      </c>
      <c r="X841" s="4">
        <f t="shared" si="235"/>
        <v>39</v>
      </c>
      <c r="Y841" s="4">
        <f t="shared" si="236"/>
        <v>46</v>
      </c>
      <c r="Z841" s="4">
        <f t="shared" si="237"/>
        <v>71</v>
      </c>
      <c r="AA841" s="102">
        <f t="shared" si="238"/>
        <v>9</v>
      </c>
      <c r="AC841" s="100">
        <f t="shared" si="239"/>
        <v>0.97529211313754416</v>
      </c>
    </row>
    <row r="842" spans="4:29" x14ac:dyDescent="0.35">
      <c r="D842">
        <f t="shared" si="240"/>
        <v>838</v>
      </c>
      <c r="E842" s="101">
        <v>3</v>
      </c>
      <c r="F842" s="4">
        <v>7</v>
      </c>
      <c r="G842" s="4">
        <v>6</v>
      </c>
      <c r="H842" s="4">
        <v>3</v>
      </c>
      <c r="I842" s="4">
        <v>2</v>
      </c>
      <c r="J842" s="4">
        <v>6</v>
      </c>
      <c r="K842" s="102">
        <v>7</v>
      </c>
      <c r="M842" s="101">
        <f t="shared" si="225"/>
        <v>23</v>
      </c>
      <c r="N842" s="4">
        <f t="shared" si="226"/>
        <v>29</v>
      </c>
      <c r="O842" s="4">
        <f t="shared" si="227"/>
        <v>45</v>
      </c>
      <c r="P842" s="4">
        <f t="shared" si="228"/>
        <v>23</v>
      </c>
      <c r="Q842" s="4">
        <f t="shared" si="229"/>
        <v>56</v>
      </c>
      <c r="R842" s="4">
        <f t="shared" si="230"/>
        <v>45</v>
      </c>
      <c r="S842" s="102">
        <f t="shared" si="231"/>
        <v>29</v>
      </c>
      <c r="U842" s="101">
        <f t="shared" si="232"/>
        <v>39</v>
      </c>
      <c r="V842" s="4">
        <f t="shared" si="233"/>
        <v>41</v>
      </c>
      <c r="W842" s="4">
        <f t="shared" si="234"/>
        <v>71</v>
      </c>
      <c r="X842" s="4">
        <f t="shared" si="235"/>
        <v>39</v>
      </c>
      <c r="Y842" s="4">
        <f t="shared" si="236"/>
        <v>78</v>
      </c>
      <c r="Z842" s="4">
        <f t="shared" si="237"/>
        <v>71</v>
      </c>
      <c r="AA842" s="102">
        <f t="shared" si="238"/>
        <v>41</v>
      </c>
      <c r="AC842" s="100">
        <f t="shared" si="239"/>
        <v>0.97629455312508506</v>
      </c>
    </row>
    <row r="843" spans="4:29" x14ac:dyDescent="0.35">
      <c r="D843">
        <f t="shared" si="240"/>
        <v>839</v>
      </c>
      <c r="E843" s="101">
        <v>3</v>
      </c>
      <c r="F843" s="4">
        <v>1</v>
      </c>
      <c r="G843" s="4">
        <v>6</v>
      </c>
      <c r="H843" s="4">
        <v>7</v>
      </c>
      <c r="I843" s="4">
        <v>7</v>
      </c>
      <c r="J843" s="4">
        <v>2</v>
      </c>
      <c r="K843" s="102">
        <v>2</v>
      </c>
      <c r="M843" s="101">
        <f t="shared" si="225"/>
        <v>23</v>
      </c>
      <c r="N843" s="4">
        <f t="shared" si="226"/>
        <v>34</v>
      </c>
      <c r="O843" s="4">
        <f t="shared" si="227"/>
        <v>45</v>
      </c>
      <c r="P843" s="4">
        <f t="shared" si="228"/>
        <v>29</v>
      </c>
      <c r="Q843" s="4">
        <f t="shared" si="229"/>
        <v>29</v>
      </c>
      <c r="R843" s="4">
        <f t="shared" si="230"/>
        <v>56</v>
      </c>
      <c r="S843" s="102">
        <f t="shared" si="231"/>
        <v>56</v>
      </c>
      <c r="U843" s="101">
        <f t="shared" si="232"/>
        <v>39</v>
      </c>
      <c r="V843" s="4">
        <f t="shared" si="233"/>
        <v>46</v>
      </c>
      <c r="W843" s="4">
        <f t="shared" si="234"/>
        <v>71</v>
      </c>
      <c r="X843" s="4">
        <f t="shared" si="235"/>
        <v>41</v>
      </c>
      <c r="Y843" s="4">
        <f t="shared" si="236"/>
        <v>41</v>
      </c>
      <c r="Z843" s="4">
        <f t="shared" si="237"/>
        <v>78</v>
      </c>
      <c r="AA843" s="102">
        <f t="shared" si="238"/>
        <v>78</v>
      </c>
      <c r="AC843" s="100">
        <f t="shared" si="239"/>
        <v>0.97917052167505481</v>
      </c>
    </row>
    <row r="844" spans="4:29" x14ac:dyDescent="0.35">
      <c r="D844">
        <f t="shared" si="240"/>
        <v>840</v>
      </c>
      <c r="E844" s="101">
        <v>6</v>
      </c>
      <c r="F844" s="4">
        <v>2</v>
      </c>
      <c r="G844" s="4">
        <v>6</v>
      </c>
      <c r="H844" s="4">
        <v>3</v>
      </c>
      <c r="I844" s="4">
        <v>2</v>
      </c>
      <c r="J844" s="4">
        <v>5</v>
      </c>
      <c r="K844" s="102">
        <v>2</v>
      </c>
      <c r="M844" s="101">
        <f t="shared" si="225"/>
        <v>45</v>
      </c>
      <c r="N844" s="4">
        <f t="shared" si="226"/>
        <v>56</v>
      </c>
      <c r="O844" s="4">
        <f t="shared" si="227"/>
        <v>45</v>
      </c>
      <c r="P844" s="4">
        <f t="shared" si="228"/>
        <v>23</v>
      </c>
      <c r="Q844" s="4">
        <f t="shared" si="229"/>
        <v>56</v>
      </c>
      <c r="R844" s="4">
        <f t="shared" si="230"/>
        <v>30</v>
      </c>
      <c r="S844" s="102">
        <f t="shared" si="231"/>
        <v>56</v>
      </c>
      <c r="U844" s="101">
        <f t="shared" si="232"/>
        <v>71</v>
      </c>
      <c r="V844" s="4">
        <f t="shared" si="233"/>
        <v>78</v>
      </c>
      <c r="W844" s="4">
        <f t="shared" si="234"/>
        <v>71</v>
      </c>
      <c r="X844" s="4">
        <f t="shared" si="235"/>
        <v>39</v>
      </c>
      <c r="Y844" s="4">
        <f t="shared" si="236"/>
        <v>78</v>
      </c>
      <c r="Z844" s="4">
        <f t="shared" si="237"/>
        <v>39</v>
      </c>
      <c r="AA844" s="102">
        <f t="shared" si="238"/>
        <v>78</v>
      </c>
      <c r="AC844" s="100">
        <f t="shared" si="239"/>
        <v>0.96747491644501638</v>
      </c>
    </row>
    <row r="845" spans="4:29" x14ac:dyDescent="0.35">
      <c r="D845">
        <f t="shared" si="240"/>
        <v>841</v>
      </c>
      <c r="E845" s="101">
        <v>4</v>
      </c>
      <c r="F845" s="4">
        <v>2</v>
      </c>
      <c r="G845" s="4">
        <v>5</v>
      </c>
      <c r="H845" s="4">
        <v>4</v>
      </c>
      <c r="I845" s="4">
        <v>5</v>
      </c>
      <c r="J845" s="4">
        <v>7</v>
      </c>
      <c r="K845" s="102">
        <v>3</v>
      </c>
      <c r="M845" s="101">
        <f t="shared" si="225"/>
        <v>12</v>
      </c>
      <c r="N845" s="4">
        <f t="shared" si="226"/>
        <v>56</v>
      </c>
      <c r="O845" s="4">
        <f t="shared" si="227"/>
        <v>30</v>
      </c>
      <c r="P845" s="4">
        <f t="shared" si="228"/>
        <v>12</v>
      </c>
      <c r="Q845" s="4">
        <f t="shared" si="229"/>
        <v>30</v>
      </c>
      <c r="R845" s="4">
        <f t="shared" si="230"/>
        <v>29</v>
      </c>
      <c r="S845" s="102">
        <f t="shared" si="231"/>
        <v>23</v>
      </c>
      <c r="U845" s="101">
        <f t="shared" si="232"/>
        <v>9</v>
      </c>
      <c r="V845" s="4">
        <f t="shared" si="233"/>
        <v>78</v>
      </c>
      <c r="W845" s="4">
        <f t="shared" si="234"/>
        <v>39</v>
      </c>
      <c r="X845" s="4">
        <f t="shared" si="235"/>
        <v>9</v>
      </c>
      <c r="Y845" s="4">
        <f t="shared" si="236"/>
        <v>39</v>
      </c>
      <c r="Z845" s="4">
        <f t="shared" si="237"/>
        <v>41</v>
      </c>
      <c r="AA845" s="102">
        <f t="shared" si="238"/>
        <v>39</v>
      </c>
      <c r="AC845" s="100">
        <f t="shared" si="239"/>
        <v>0.98004267098804021</v>
      </c>
    </row>
    <row r="846" spans="4:29" x14ac:dyDescent="0.35">
      <c r="D846">
        <f t="shared" si="240"/>
        <v>842</v>
      </c>
      <c r="E846" s="101">
        <v>3</v>
      </c>
      <c r="F846" s="4">
        <v>1</v>
      </c>
      <c r="G846" s="4">
        <v>6</v>
      </c>
      <c r="H846" s="4">
        <v>5</v>
      </c>
      <c r="I846" s="4">
        <v>7</v>
      </c>
      <c r="J846" s="4">
        <v>5</v>
      </c>
      <c r="K846" s="102">
        <v>3</v>
      </c>
      <c r="M846" s="101">
        <f t="shared" si="225"/>
        <v>23</v>
      </c>
      <c r="N846" s="4">
        <f t="shared" si="226"/>
        <v>34</v>
      </c>
      <c r="O846" s="4">
        <f t="shared" si="227"/>
        <v>45</v>
      </c>
      <c r="P846" s="4">
        <f t="shared" si="228"/>
        <v>30</v>
      </c>
      <c r="Q846" s="4">
        <f t="shared" si="229"/>
        <v>29</v>
      </c>
      <c r="R846" s="4">
        <f t="shared" si="230"/>
        <v>30</v>
      </c>
      <c r="S846" s="102">
        <f t="shared" si="231"/>
        <v>23</v>
      </c>
      <c r="U846" s="101">
        <f t="shared" si="232"/>
        <v>39</v>
      </c>
      <c r="V846" s="4">
        <f t="shared" si="233"/>
        <v>46</v>
      </c>
      <c r="W846" s="4">
        <f t="shared" si="234"/>
        <v>71</v>
      </c>
      <c r="X846" s="4">
        <f t="shared" si="235"/>
        <v>39</v>
      </c>
      <c r="Y846" s="4">
        <f t="shared" si="236"/>
        <v>41</v>
      </c>
      <c r="Z846" s="4">
        <f t="shared" si="237"/>
        <v>39</v>
      </c>
      <c r="AA846" s="102">
        <f t="shared" si="238"/>
        <v>39</v>
      </c>
      <c r="AC846" s="100">
        <f t="shared" si="239"/>
        <v>0.90773948205119281</v>
      </c>
    </row>
    <row r="847" spans="4:29" x14ac:dyDescent="0.35">
      <c r="D847">
        <f t="shared" si="240"/>
        <v>843</v>
      </c>
      <c r="E847" s="101">
        <v>3</v>
      </c>
      <c r="F847" s="4">
        <v>7</v>
      </c>
      <c r="G847" s="4">
        <v>1</v>
      </c>
      <c r="H847" s="4">
        <v>3</v>
      </c>
      <c r="I847" s="4">
        <v>5</v>
      </c>
      <c r="J847" s="4">
        <v>2</v>
      </c>
      <c r="K847" s="102">
        <v>2</v>
      </c>
      <c r="M847" s="101">
        <f t="shared" si="225"/>
        <v>23</v>
      </c>
      <c r="N847" s="4">
        <f t="shared" si="226"/>
        <v>29</v>
      </c>
      <c r="O847" s="4">
        <f t="shared" si="227"/>
        <v>34</v>
      </c>
      <c r="P847" s="4">
        <f t="shared" si="228"/>
        <v>23</v>
      </c>
      <c r="Q847" s="4">
        <f t="shared" si="229"/>
        <v>30</v>
      </c>
      <c r="R847" s="4">
        <f t="shared" si="230"/>
        <v>56</v>
      </c>
      <c r="S847" s="102">
        <f t="shared" si="231"/>
        <v>56</v>
      </c>
      <c r="U847" s="101">
        <f t="shared" si="232"/>
        <v>39</v>
      </c>
      <c r="V847" s="4">
        <f t="shared" si="233"/>
        <v>41</v>
      </c>
      <c r="W847" s="4">
        <f t="shared" si="234"/>
        <v>46</v>
      </c>
      <c r="X847" s="4">
        <f t="shared" si="235"/>
        <v>39</v>
      </c>
      <c r="Y847" s="4">
        <f t="shared" si="236"/>
        <v>39</v>
      </c>
      <c r="Z847" s="4">
        <f t="shared" si="237"/>
        <v>78</v>
      </c>
      <c r="AA847" s="102">
        <f t="shared" si="238"/>
        <v>78</v>
      </c>
      <c r="AC847" s="100">
        <f t="shared" si="239"/>
        <v>0.98258901356468142</v>
      </c>
    </row>
    <row r="848" spans="4:29" x14ac:dyDescent="0.35">
      <c r="D848">
        <f t="shared" si="240"/>
        <v>844</v>
      </c>
      <c r="E848" s="101">
        <v>7</v>
      </c>
      <c r="F848" s="4">
        <v>6</v>
      </c>
      <c r="G848" s="4">
        <v>2</v>
      </c>
      <c r="H848" s="4">
        <v>5</v>
      </c>
      <c r="I848" s="4">
        <v>4</v>
      </c>
      <c r="J848" s="4">
        <v>2</v>
      </c>
      <c r="K848" s="102">
        <v>4</v>
      </c>
      <c r="M848" s="101">
        <f t="shared" si="225"/>
        <v>29</v>
      </c>
      <c r="N848" s="4">
        <f t="shared" si="226"/>
        <v>45</v>
      </c>
      <c r="O848" s="4">
        <f t="shared" si="227"/>
        <v>56</v>
      </c>
      <c r="P848" s="4">
        <f t="shared" si="228"/>
        <v>30</v>
      </c>
      <c r="Q848" s="4">
        <f t="shared" si="229"/>
        <v>12</v>
      </c>
      <c r="R848" s="4">
        <f t="shared" si="230"/>
        <v>56</v>
      </c>
      <c r="S848" s="102">
        <f t="shared" si="231"/>
        <v>12</v>
      </c>
      <c r="U848" s="101">
        <f t="shared" si="232"/>
        <v>41</v>
      </c>
      <c r="V848" s="4">
        <f t="shared" si="233"/>
        <v>71</v>
      </c>
      <c r="W848" s="4">
        <f t="shared" si="234"/>
        <v>78</v>
      </c>
      <c r="X848" s="4">
        <f t="shared" si="235"/>
        <v>39</v>
      </c>
      <c r="Y848" s="4">
        <f t="shared" si="236"/>
        <v>9</v>
      </c>
      <c r="Z848" s="4">
        <f t="shared" si="237"/>
        <v>78</v>
      </c>
      <c r="AA848" s="102">
        <f t="shared" si="238"/>
        <v>9</v>
      </c>
      <c r="AC848" s="100">
        <f t="shared" si="239"/>
        <v>0.99166347144710953</v>
      </c>
    </row>
    <row r="849" spans="4:29" x14ac:dyDescent="0.35">
      <c r="D849">
        <f t="shared" si="240"/>
        <v>845</v>
      </c>
      <c r="E849" s="101">
        <v>3</v>
      </c>
      <c r="F849" s="4">
        <v>5</v>
      </c>
      <c r="G849" s="4">
        <v>5</v>
      </c>
      <c r="H849" s="4">
        <v>6</v>
      </c>
      <c r="I849" s="4">
        <v>6</v>
      </c>
      <c r="J849" s="4">
        <v>7</v>
      </c>
      <c r="K849" s="102">
        <v>5</v>
      </c>
      <c r="M849" s="101">
        <f t="shared" si="225"/>
        <v>23</v>
      </c>
      <c r="N849" s="4">
        <f t="shared" si="226"/>
        <v>30</v>
      </c>
      <c r="O849" s="4">
        <f t="shared" si="227"/>
        <v>30</v>
      </c>
      <c r="P849" s="4">
        <f t="shared" si="228"/>
        <v>45</v>
      </c>
      <c r="Q849" s="4">
        <f t="shared" si="229"/>
        <v>45</v>
      </c>
      <c r="R849" s="4">
        <f t="shared" si="230"/>
        <v>29</v>
      </c>
      <c r="S849" s="102">
        <f t="shared" si="231"/>
        <v>30</v>
      </c>
      <c r="U849" s="101">
        <f t="shared" si="232"/>
        <v>39</v>
      </c>
      <c r="V849" s="4">
        <f t="shared" si="233"/>
        <v>39</v>
      </c>
      <c r="W849" s="4">
        <f t="shared" si="234"/>
        <v>39</v>
      </c>
      <c r="X849" s="4">
        <f t="shared" si="235"/>
        <v>71</v>
      </c>
      <c r="Y849" s="4">
        <f t="shared" si="236"/>
        <v>71</v>
      </c>
      <c r="Z849" s="4">
        <f t="shared" si="237"/>
        <v>41</v>
      </c>
      <c r="AA849" s="102">
        <f t="shared" si="238"/>
        <v>39</v>
      </c>
      <c r="AC849" s="100">
        <f t="shared" si="239"/>
        <v>0.95631452366295355</v>
      </c>
    </row>
    <row r="850" spans="4:29" x14ac:dyDescent="0.35">
      <c r="D850">
        <f t="shared" si="240"/>
        <v>846</v>
      </c>
      <c r="E850" s="101">
        <v>4</v>
      </c>
      <c r="F850" s="4">
        <v>6</v>
      </c>
      <c r="G850" s="4">
        <v>4</v>
      </c>
      <c r="H850" s="4">
        <v>3</v>
      </c>
      <c r="I850" s="4">
        <v>1</v>
      </c>
      <c r="J850" s="4">
        <v>2</v>
      </c>
      <c r="K850" s="102">
        <v>7</v>
      </c>
      <c r="M850" s="101">
        <f t="shared" si="225"/>
        <v>12</v>
      </c>
      <c r="N850" s="4">
        <f t="shared" si="226"/>
        <v>45</v>
      </c>
      <c r="O850" s="4">
        <f t="shared" si="227"/>
        <v>12</v>
      </c>
      <c r="P850" s="4">
        <f t="shared" si="228"/>
        <v>23</v>
      </c>
      <c r="Q850" s="4">
        <f t="shared" si="229"/>
        <v>34</v>
      </c>
      <c r="R850" s="4">
        <f t="shared" si="230"/>
        <v>56</v>
      </c>
      <c r="S850" s="102">
        <f t="shared" si="231"/>
        <v>29</v>
      </c>
      <c r="U850" s="101">
        <f t="shared" si="232"/>
        <v>9</v>
      </c>
      <c r="V850" s="4">
        <f t="shared" si="233"/>
        <v>71</v>
      </c>
      <c r="W850" s="4">
        <f t="shared" si="234"/>
        <v>9</v>
      </c>
      <c r="X850" s="4">
        <f t="shared" si="235"/>
        <v>39</v>
      </c>
      <c r="Y850" s="4">
        <f t="shared" si="236"/>
        <v>46</v>
      </c>
      <c r="Z850" s="4">
        <f t="shared" si="237"/>
        <v>78</v>
      </c>
      <c r="AA850" s="102">
        <f t="shared" si="238"/>
        <v>41</v>
      </c>
      <c r="AC850" s="100">
        <f t="shared" si="239"/>
        <v>0.98093682314678277</v>
      </c>
    </row>
    <row r="851" spans="4:29" x14ac:dyDescent="0.35">
      <c r="D851">
        <f t="shared" si="240"/>
        <v>847</v>
      </c>
      <c r="E851" s="101">
        <v>4</v>
      </c>
      <c r="F851" s="4">
        <v>4</v>
      </c>
      <c r="G851" s="4">
        <v>1</v>
      </c>
      <c r="H851" s="4">
        <v>2</v>
      </c>
      <c r="I851" s="4">
        <v>5</v>
      </c>
      <c r="J851" s="4">
        <v>4</v>
      </c>
      <c r="K851" s="102">
        <v>5</v>
      </c>
      <c r="M851" s="101">
        <f t="shared" si="225"/>
        <v>12</v>
      </c>
      <c r="N851" s="4">
        <f t="shared" si="226"/>
        <v>12</v>
      </c>
      <c r="O851" s="4">
        <f t="shared" si="227"/>
        <v>34</v>
      </c>
      <c r="P851" s="4">
        <f t="shared" si="228"/>
        <v>56</v>
      </c>
      <c r="Q851" s="4">
        <f t="shared" si="229"/>
        <v>30</v>
      </c>
      <c r="R851" s="4">
        <f t="shared" si="230"/>
        <v>12</v>
      </c>
      <c r="S851" s="102">
        <f t="shared" si="231"/>
        <v>30</v>
      </c>
      <c r="U851" s="101">
        <f t="shared" si="232"/>
        <v>9</v>
      </c>
      <c r="V851" s="4">
        <f t="shared" si="233"/>
        <v>9</v>
      </c>
      <c r="W851" s="4">
        <f t="shared" si="234"/>
        <v>46</v>
      </c>
      <c r="X851" s="4">
        <f t="shared" si="235"/>
        <v>78</v>
      </c>
      <c r="Y851" s="4">
        <f t="shared" si="236"/>
        <v>39</v>
      </c>
      <c r="Z851" s="4">
        <f t="shared" si="237"/>
        <v>9</v>
      </c>
      <c r="AA851" s="102">
        <f t="shared" si="238"/>
        <v>39</v>
      </c>
      <c r="AC851" s="100">
        <f t="shared" si="239"/>
        <v>0.99915862382903575</v>
      </c>
    </row>
    <row r="852" spans="4:29" x14ac:dyDescent="0.35">
      <c r="D852">
        <f t="shared" si="240"/>
        <v>848</v>
      </c>
      <c r="E852" s="101">
        <v>7</v>
      </c>
      <c r="F852" s="4">
        <v>7</v>
      </c>
      <c r="G852" s="4">
        <v>3</v>
      </c>
      <c r="H852" s="4">
        <v>1</v>
      </c>
      <c r="I852" s="4">
        <v>3</v>
      </c>
      <c r="J852" s="4">
        <v>7</v>
      </c>
      <c r="K852" s="102">
        <v>1</v>
      </c>
      <c r="M852" s="101">
        <f t="shared" si="225"/>
        <v>29</v>
      </c>
      <c r="N852" s="4">
        <f t="shared" si="226"/>
        <v>29</v>
      </c>
      <c r="O852" s="4">
        <f t="shared" si="227"/>
        <v>23</v>
      </c>
      <c r="P852" s="4">
        <f t="shared" si="228"/>
        <v>34</v>
      </c>
      <c r="Q852" s="4">
        <f t="shared" si="229"/>
        <v>23</v>
      </c>
      <c r="R852" s="4">
        <f t="shared" si="230"/>
        <v>29</v>
      </c>
      <c r="S852" s="102">
        <f t="shared" si="231"/>
        <v>34</v>
      </c>
      <c r="U852" s="101">
        <f t="shared" si="232"/>
        <v>41</v>
      </c>
      <c r="V852" s="4">
        <f t="shared" si="233"/>
        <v>41</v>
      </c>
      <c r="W852" s="4">
        <f t="shared" si="234"/>
        <v>39</v>
      </c>
      <c r="X852" s="4">
        <f t="shared" si="235"/>
        <v>46</v>
      </c>
      <c r="Y852" s="4">
        <f t="shared" si="236"/>
        <v>39</v>
      </c>
      <c r="Z852" s="4">
        <f t="shared" si="237"/>
        <v>41</v>
      </c>
      <c r="AA852" s="102">
        <f t="shared" si="238"/>
        <v>46</v>
      </c>
      <c r="AC852" s="100">
        <f t="shared" si="239"/>
        <v>0.94507341089847685</v>
      </c>
    </row>
    <row r="853" spans="4:29" x14ac:dyDescent="0.35">
      <c r="D853">
        <f t="shared" si="240"/>
        <v>849</v>
      </c>
      <c r="E853" s="101">
        <v>7</v>
      </c>
      <c r="F853" s="4">
        <v>4</v>
      </c>
      <c r="G853" s="4">
        <v>1</v>
      </c>
      <c r="H853" s="4">
        <v>2</v>
      </c>
      <c r="I853" s="4">
        <v>5</v>
      </c>
      <c r="J853" s="4">
        <v>2</v>
      </c>
      <c r="K853" s="102">
        <v>2</v>
      </c>
      <c r="M853" s="101">
        <f t="shared" si="225"/>
        <v>29</v>
      </c>
      <c r="N853" s="4">
        <f t="shared" si="226"/>
        <v>12</v>
      </c>
      <c r="O853" s="4">
        <f t="shared" si="227"/>
        <v>34</v>
      </c>
      <c r="P853" s="4">
        <f t="shared" si="228"/>
        <v>56</v>
      </c>
      <c r="Q853" s="4">
        <f t="shared" si="229"/>
        <v>30</v>
      </c>
      <c r="R853" s="4">
        <f t="shared" si="230"/>
        <v>56</v>
      </c>
      <c r="S853" s="102">
        <f t="shared" si="231"/>
        <v>56</v>
      </c>
      <c r="U853" s="101">
        <f t="shared" si="232"/>
        <v>41</v>
      </c>
      <c r="V853" s="4">
        <f t="shared" si="233"/>
        <v>9</v>
      </c>
      <c r="W853" s="4">
        <f t="shared" si="234"/>
        <v>46</v>
      </c>
      <c r="X853" s="4">
        <f t="shared" si="235"/>
        <v>78</v>
      </c>
      <c r="Y853" s="4">
        <f t="shared" si="236"/>
        <v>39</v>
      </c>
      <c r="Z853" s="4">
        <f t="shared" si="237"/>
        <v>78</v>
      </c>
      <c r="AA853" s="102">
        <f t="shared" si="238"/>
        <v>78</v>
      </c>
      <c r="AC853" s="100">
        <f t="shared" si="239"/>
        <v>0.99749703711322124</v>
      </c>
    </row>
    <row r="854" spans="4:29" x14ac:dyDescent="0.35">
      <c r="D854">
        <f t="shared" si="240"/>
        <v>850</v>
      </c>
      <c r="E854" s="101">
        <v>4</v>
      </c>
      <c r="F854" s="4">
        <v>2</v>
      </c>
      <c r="G854" s="4">
        <v>4</v>
      </c>
      <c r="H854" s="4">
        <v>4</v>
      </c>
      <c r="I854" s="4">
        <v>2</v>
      </c>
      <c r="J854" s="4">
        <v>6</v>
      </c>
      <c r="K854" s="102">
        <v>1</v>
      </c>
      <c r="M854" s="101">
        <f t="shared" si="225"/>
        <v>12</v>
      </c>
      <c r="N854" s="4">
        <f t="shared" si="226"/>
        <v>56</v>
      </c>
      <c r="O854" s="4">
        <f t="shared" si="227"/>
        <v>12</v>
      </c>
      <c r="P854" s="4">
        <f t="shared" si="228"/>
        <v>12</v>
      </c>
      <c r="Q854" s="4">
        <f t="shared" si="229"/>
        <v>56</v>
      </c>
      <c r="R854" s="4">
        <f t="shared" si="230"/>
        <v>45</v>
      </c>
      <c r="S854" s="102">
        <f t="shared" si="231"/>
        <v>34</v>
      </c>
      <c r="U854" s="101">
        <f t="shared" si="232"/>
        <v>9</v>
      </c>
      <c r="V854" s="4">
        <f t="shared" si="233"/>
        <v>78</v>
      </c>
      <c r="W854" s="4">
        <f t="shared" si="234"/>
        <v>9</v>
      </c>
      <c r="X854" s="4">
        <f t="shared" si="235"/>
        <v>9</v>
      </c>
      <c r="Y854" s="4">
        <f t="shared" si="236"/>
        <v>78</v>
      </c>
      <c r="Z854" s="4">
        <f t="shared" si="237"/>
        <v>71</v>
      </c>
      <c r="AA854" s="102">
        <f t="shared" si="238"/>
        <v>46</v>
      </c>
      <c r="AC854" s="100">
        <f t="shared" si="239"/>
        <v>0.99393898068898534</v>
      </c>
    </row>
    <row r="855" spans="4:29" x14ac:dyDescent="0.35">
      <c r="D855">
        <f t="shared" si="240"/>
        <v>851</v>
      </c>
      <c r="E855" s="101">
        <v>7</v>
      </c>
      <c r="F855" s="4">
        <v>7</v>
      </c>
      <c r="G855" s="4">
        <v>1</v>
      </c>
      <c r="H855" s="4">
        <v>6</v>
      </c>
      <c r="I855" s="4">
        <v>5</v>
      </c>
      <c r="J855" s="4">
        <v>2</v>
      </c>
      <c r="K855" s="102">
        <v>6</v>
      </c>
      <c r="M855" s="101">
        <f t="shared" si="225"/>
        <v>29</v>
      </c>
      <c r="N855" s="4">
        <f t="shared" si="226"/>
        <v>29</v>
      </c>
      <c r="O855" s="4">
        <f t="shared" si="227"/>
        <v>34</v>
      </c>
      <c r="P855" s="4">
        <f t="shared" si="228"/>
        <v>45</v>
      </c>
      <c r="Q855" s="4">
        <f t="shared" si="229"/>
        <v>30</v>
      </c>
      <c r="R855" s="4">
        <f t="shared" si="230"/>
        <v>56</v>
      </c>
      <c r="S855" s="102">
        <f t="shared" si="231"/>
        <v>45</v>
      </c>
      <c r="U855" s="101">
        <f t="shared" si="232"/>
        <v>41</v>
      </c>
      <c r="V855" s="4">
        <f t="shared" si="233"/>
        <v>41</v>
      </c>
      <c r="W855" s="4">
        <f t="shared" si="234"/>
        <v>46</v>
      </c>
      <c r="X855" s="4">
        <f t="shared" si="235"/>
        <v>71</v>
      </c>
      <c r="Y855" s="4">
        <f t="shared" si="236"/>
        <v>39</v>
      </c>
      <c r="Z855" s="4">
        <f t="shared" si="237"/>
        <v>78</v>
      </c>
      <c r="AA855" s="102">
        <f t="shared" si="238"/>
        <v>71</v>
      </c>
      <c r="AC855" s="100">
        <f t="shared" si="239"/>
        <v>0.97228030801569976</v>
      </c>
    </row>
    <row r="856" spans="4:29" x14ac:dyDescent="0.35">
      <c r="D856">
        <f t="shared" si="240"/>
        <v>852</v>
      </c>
      <c r="E856" s="101">
        <v>2</v>
      </c>
      <c r="F856" s="4">
        <v>7</v>
      </c>
      <c r="G856" s="4">
        <v>4</v>
      </c>
      <c r="H856" s="4">
        <v>4</v>
      </c>
      <c r="I856" s="4">
        <v>3</v>
      </c>
      <c r="J856" s="4">
        <v>5</v>
      </c>
      <c r="K856" s="102">
        <v>4</v>
      </c>
      <c r="M856" s="101">
        <f t="shared" si="225"/>
        <v>56</v>
      </c>
      <c r="N856" s="4">
        <f t="shared" si="226"/>
        <v>29</v>
      </c>
      <c r="O856" s="4">
        <f t="shared" si="227"/>
        <v>12</v>
      </c>
      <c r="P856" s="4">
        <f t="shared" si="228"/>
        <v>12</v>
      </c>
      <c r="Q856" s="4">
        <f t="shared" si="229"/>
        <v>23</v>
      </c>
      <c r="R856" s="4">
        <f t="shared" si="230"/>
        <v>30</v>
      </c>
      <c r="S856" s="102">
        <f t="shared" si="231"/>
        <v>12</v>
      </c>
      <c r="U856" s="101">
        <f t="shared" si="232"/>
        <v>78</v>
      </c>
      <c r="V856" s="4">
        <f t="shared" si="233"/>
        <v>41</v>
      </c>
      <c r="W856" s="4">
        <f t="shared" si="234"/>
        <v>9</v>
      </c>
      <c r="X856" s="4">
        <f t="shared" si="235"/>
        <v>9</v>
      </c>
      <c r="Y856" s="4">
        <f t="shared" si="236"/>
        <v>39</v>
      </c>
      <c r="Z856" s="4">
        <f t="shared" si="237"/>
        <v>39</v>
      </c>
      <c r="AA856" s="102">
        <f t="shared" si="238"/>
        <v>9</v>
      </c>
      <c r="AC856" s="100">
        <f t="shared" si="239"/>
        <v>0.98208760877454904</v>
      </c>
    </row>
    <row r="857" spans="4:29" x14ac:dyDescent="0.35">
      <c r="D857">
        <f t="shared" si="240"/>
        <v>853</v>
      </c>
      <c r="E857" s="101">
        <v>1</v>
      </c>
      <c r="F857" s="4">
        <v>5</v>
      </c>
      <c r="G857" s="4">
        <v>4</v>
      </c>
      <c r="H857" s="4">
        <v>3</v>
      </c>
      <c r="I857" s="4">
        <v>7</v>
      </c>
      <c r="J857" s="4">
        <v>3</v>
      </c>
      <c r="K857" s="102">
        <v>7</v>
      </c>
      <c r="M857" s="101">
        <f t="shared" si="225"/>
        <v>34</v>
      </c>
      <c r="N857" s="4">
        <f t="shared" si="226"/>
        <v>30</v>
      </c>
      <c r="O857" s="4">
        <f t="shared" si="227"/>
        <v>12</v>
      </c>
      <c r="P857" s="4">
        <f t="shared" si="228"/>
        <v>23</v>
      </c>
      <c r="Q857" s="4">
        <f t="shared" si="229"/>
        <v>29</v>
      </c>
      <c r="R857" s="4">
        <f t="shared" si="230"/>
        <v>23</v>
      </c>
      <c r="S857" s="102">
        <f t="shared" si="231"/>
        <v>29</v>
      </c>
      <c r="U857" s="101">
        <f t="shared" si="232"/>
        <v>46</v>
      </c>
      <c r="V857" s="4">
        <f t="shared" si="233"/>
        <v>39</v>
      </c>
      <c r="W857" s="4">
        <f t="shared" si="234"/>
        <v>9</v>
      </c>
      <c r="X857" s="4">
        <f t="shared" si="235"/>
        <v>39</v>
      </c>
      <c r="Y857" s="4">
        <f t="shared" si="236"/>
        <v>41</v>
      </c>
      <c r="Z857" s="4">
        <f t="shared" si="237"/>
        <v>39</v>
      </c>
      <c r="AA857" s="102">
        <f t="shared" si="238"/>
        <v>41</v>
      </c>
      <c r="AC857" s="100">
        <f t="shared" si="239"/>
        <v>0.90877271856610753</v>
      </c>
    </row>
    <row r="858" spans="4:29" x14ac:dyDescent="0.35">
      <c r="D858">
        <f t="shared" si="240"/>
        <v>854</v>
      </c>
      <c r="E858" s="101">
        <v>4</v>
      </c>
      <c r="F858" s="4">
        <v>3</v>
      </c>
      <c r="G858" s="4">
        <v>5</v>
      </c>
      <c r="H858" s="4">
        <v>5</v>
      </c>
      <c r="I858" s="4">
        <v>5</v>
      </c>
      <c r="J858" s="4">
        <v>1</v>
      </c>
      <c r="K858" s="102">
        <v>1</v>
      </c>
      <c r="M858" s="101">
        <f t="shared" si="225"/>
        <v>12</v>
      </c>
      <c r="N858" s="4">
        <f t="shared" si="226"/>
        <v>23</v>
      </c>
      <c r="O858" s="4">
        <f t="shared" si="227"/>
        <v>30</v>
      </c>
      <c r="P858" s="4">
        <f t="shared" si="228"/>
        <v>30</v>
      </c>
      <c r="Q858" s="4">
        <f t="shared" si="229"/>
        <v>30</v>
      </c>
      <c r="R858" s="4">
        <f t="shared" si="230"/>
        <v>34</v>
      </c>
      <c r="S858" s="102">
        <f t="shared" si="231"/>
        <v>34</v>
      </c>
      <c r="U858" s="101">
        <f t="shared" si="232"/>
        <v>9</v>
      </c>
      <c r="V858" s="4">
        <f t="shared" si="233"/>
        <v>39</v>
      </c>
      <c r="W858" s="4">
        <f t="shared" si="234"/>
        <v>39</v>
      </c>
      <c r="X858" s="4">
        <f t="shared" si="235"/>
        <v>39</v>
      </c>
      <c r="Y858" s="4">
        <f t="shared" si="236"/>
        <v>39</v>
      </c>
      <c r="Z858" s="4">
        <f t="shared" si="237"/>
        <v>46</v>
      </c>
      <c r="AA858" s="102">
        <f t="shared" si="238"/>
        <v>46</v>
      </c>
      <c r="AC858" s="100">
        <f t="shared" si="239"/>
        <v>0.94216697077416256</v>
      </c>
    </row>
    <row r="859" spans="4:29" x14ac:dyDescent="0.35">
      <c r="D859">
        <f t="shared" si="240"/>
        <v>855</v>
      </c>
      <c r="E859" s="101">
        <v>3</v>
      </c>
      <c r="F859" s="4">
        <v>6</v>
      </c>
      <c r="G859" s="4">
        <v>2</v>
      </c>
      <c r="H859" s="4">
        <v>4</v>
      </c>
      <c r="I859" s="4">
        <v>1</v>
      </c>
      <c r="J859" s="4">
        <v>1</v>
      </c>
      <c r="K859" s="102">
        <v>3</v>
      </c>
      <c r="M859" s="101">
        <f t="shared" si="225"/>
        <v>23</v>
      </c>
      <c r="N859" s="4">
        <f t="shared" si="226"/>
        <v>45</v>
      </c>
      <c r="O859" s="4">
        <f t="shared" si="227"/>
        <v>56</v>
      </c>
      <c r="P859" s="4">
        <f t="shared" si="228"/>
        <v>12</v>
      </c>
      <c r="Q859" s="4">
        <f t="shared" si="229"/>
        <v>34</v>
      </c>
      <c r="R859" s="4">
        <f t="shared" si="230"/>
        <v>34</v>
      </c>
      <c r="S859" s="102">
        <f t="shared" si="231"/>
        <v>23</v>
      </c>
      <c r="U859" s="101">
        <f t="shared" si="232"/>
        <v>39</v>
      </c>
      <c r="V859" s="4">
        <f t="shared" si="233"/>
        <v>71</v>
      </c>
      <c r="W859" s="4">
        <f t="shared" si="234"/>
        <v>78</v>
      </c>
      <c r="X859" s="4">
        <f t="shared" si="235"/>
        <v>9</v>
      </c>
      <c r="Y859" s="4">
        <f t="shared" si="236"/>
        <v>46</v>
      </c>
      <c r="Z859" s="4">
        <f t="shared" si="237"/>
        <v>46</v>
      </c>
      <c r="AA859" s="102">
        <f t="shared" si="238"/>
        <v>39</v>
      </c>
      <c r="AC859" s="100">
        <f t="shared" si="239"/>
        <v>0.96777299965954111</v>
      </c>
    </row>
    <row r="860" spans="4:29" x14ac:dyDescent="0.35">
      <c r="D860">
        <f t="shared" si="240"/>
        <v>856</v>
      </c>
      <c r="E860" s="101">
        <v>6</v>
      </c>
      <c r="F860" s="4">
        <v>3</v>
      </c>
      <c r="G860" s="4">
        <v>2</v>
      </c>
      <c r="H860" s="4">
        <v>4</v>
      </c>
      <c r="I860" s="4">
        <v>1</v>
      </c>
      <c r="J860" s="4">
        <v>3</v>
      </c>
      <c r="K860" s="102">
        <v>4</v>
      </c>
      <c r="M860" s="101">
        <f t="shared" si="225"/>
        <v>45</v>
      </c>
      <c r="N860" s="4">
        <f t="shared" si="226"/>
        <v>23</v>
      </c>
      <c r="O860" s="4">
        <f t="shared" si="227"/>
        <v>56</v>
      </c>
      <c r="P860" s="4">
        <f t="shared" si="228"/>
        <v>12</v>
      </c>
      <c r="Q860" s="4">
        <f t="shared" si="229"/>
        <v>34</v>
      </c>
      <c r="R860" s="4">
        <f t="shared" si="230"/>
        <v>23</v>
      </c>
      <c r="S860" s="102">
        <f t="shared" si="231"/>
        <v>12</v>
      </c>
      <c r="U860" s="101">
        <f t="shared" si="232"/>
        <v>71</v>
      </c>
      <c r="V860" s="4">
        <f t="shared" si="233"/>
        <v>39</v>
      </c>
      <c r="W860" s="4">
        <f t="shared" si="234"/>
        <v>78</v>
      </c>
      <c r="X860" s="4">
        <f t="shared" si="235"/>
        <v>9</v>
      </c>
      <c r="Y860" s="4">
        <f t="shared" si="236"/>
        <v>46</v>
      </c>
      <c r="Z860" s="4">
        <f t="shared" si="237"/>
        <v>39</v>
      </c>
      <c r="AA860" s="102">
        <f t="shared" si="238"/>
        <v>9</v>
      </c>
      <c r="AC860" s="100">
        <f t="shared" si="239"/>
        <v>0.97350500193089595</v>
      </c>
    </row>
    <row r="861" spans="4:29" x14ac:dyDescent="0.35">
      <c r="D861">
        <f t="shared" si="240"/>
        <v>857</v>
      </c>
      <c r="E861" s="101">
        <v>6</v>
      </c>
      <c r="F861" s="4">
        <v>4</v>
      </c>
      <c r="G861" s="4">
        <v>3</v>
      </c>
      <c r="H861" s="4">
        <v>1</v>
      </c>
      <c r="I861" s="4">
        <v>4</v>
      </c>
      <c r="J861" s="4">
        <v>7</v>
      </c>
      <c r="K861" s="102">
        <v>7</v>
      </c>
      <c r="M861" s="101">
        <f t="shared" si="225"/>
        <v>45</v>
      </c>
      <c r="N861" s="4">
        <f t="shared" si="226"/>
        <v>12</v>
      </c>
      <c r="O861" s="4">
        <f t="shared" si="227"/>
        <v>23</v>
      </c>
      <c r="P861" s="4">
        <f t="shared" si="228"/>
        <v>34</v>
      </c>
      <c r="Q861" s="4">
        <f t="shared" si="229"/>
        <v>12</v>
      </c>
      <c r="R861" s="4">
        <f t="shared" si="230"/>
        <v>29</v>
      </c>
      <c r="S861" s="102">
        <f t="shared" si="231"/>
        <v>29</v>
      </c>
      <c r="U861" s="101">
        <f t="shared" si="232"/>
        <v>71</v>
      </c>
      <c r="V861" s="4">
        <f t="shared" si="233"/>
        <v>9</v>
      </c>
      <c r="W861" s="4">
        <f t="shared" si="234"/>
        <v>39</v>
      </c>
      <c r="X861" s="4">
        <f t="shared" si="235"/>
        <v>46</v>
      </c>
      <c r="Y861" s="4">
        <f t="shared" si="236"/>
        <v>9</v>
      </c>
      <c r="Z861" s="4">
        <f t="shared" si="237"/>
        <v>41</v>
      </c>
      <c r="AA861" s="102">
        <f t="shared" si="238"/>
        <v>41</v>
      </c>
      <c r="AC861" s="100">
        <f t="shared" si="239"/>
        <v>0.98271354999569305</v>
      </c>
    </row>
    <row r="862" spans="4:29" x14ac:dyDescent="0.35">
      <c r="D862">
        <f t="shared" si="240"/>
        <v>858</v>
      </c>
      <c r="E862" s="101">
        <v>6</v>
      </c>
      <c r="F862" s="4">
        <v>4</v>
      </c>
      <c r="G862" s="4">
        <v>5</v>
      </c>
      <c r="H862" s="4">
        <v>5</v>
      </c>
      <c r="I862" s="4">
        <v>2</v>
      </c>
      <c r="J862" s="4">
        <v>6</v>
      </c>
      <c r="K862" s="102">
        <v>5</v>
      </c>
      <c r="M862" s="101">
        <f t="shared" si="225"/>
        <v>45</v>
      </c>
      <c r="N862" s="4">
        <f t="shared" si="226"/>
        <v>12</v>
      </c>
      <c r="O862" s="4">
        <f t="shared" si="227"/>
        <v>30</v>
      </c>
      <c r="P862" s="4">
        <f t="shared" si="228"/>
        <v>30</v>
      </c>
      <c r="Q862" s="4">
        <f t="shared" si="229"/>
        <v>56</v>
      </c>
      <c r="R862" s="4">
        <f t="shared" si="230"/>
        <v>45</v>
      </c>
      <c r="S862" s="102">
        <f t="shared" si="231"/>
        <v>30</v>
      </c>
      <c r="U862" s="101">
        <f t="shared" si="232"/>
        <v>71</v>
      </c>
      <c r="V862" s="4">
        <f t="shared" si="233"/>
        <v>9</v>
      </c>
      <c r="W862" s="4">
        <f t="shared" si="234"/>
        <v>39</v>
      </c>
      <c r="X862" s="4">
        <f t="shared" si="235"/>
        <v>39</v>
      </c>
      <c r="Y862" s="4">
        <f t="shared" si="236"/>
        <v>78</v>
      </c>
      <c r="Z862" s="4">
        <f t="shared" si="237"/>
        <v>71</v>
      </c>
      <c r="AA862" s="102">
        <f t="shared" si="238"/>
        <v>39</v>
      </c>
      <c r="AC862" s="100">
        <f t="shared" si="239"/>
        <v>0.98617485463932564</v>
      </c>
    </row>
    <row r="863" spans="4:29" x14ac:dyDescent="0.35">
      <c r="D863">
        <f t="shared" si="240"/>
        <v>859</v>
      </c>
      <c r="E863" s="101">
        <v>1</v>
      </c>
      <c r="F863" s="4">
        <v>3</v>
      </c>
      <c r="G863" s="4">
        <v>6</v>
      </c>
      <c r="H863" s="4">
        <v>7</v>
      </c>
      <c r="I863" s="4">
        <v>2</v>
      </c>
      <c r="J863" s="4">
        <v>4</v>
      </c>
      <c r="K863" s="102">
        <v>6</v>
      </c>
      <c r="M863" s="101">
        <f t="shared" si="225"/>
        <v>34</v>
      </c>
      <c r="N863" s="4">
        <f t="shared" si="226"/>
        <v>23</v>
      </c>
      <c r="O863" s="4">
        <f t="shared" si="227"/>
        <v>45</v>
      </c>
      <c r="P863" s="4">
        <f t="shared" si="228"/>
        <v>29</v>
      </c>
      <c r="Q863" s="4">
        <f t="shared" si="229"/>
        <v>56</v>
      </c>
      <c r="R863" s="4">
        <f t="shared" si="230"/>
        <v>12</v>
      </c>
      <c r="S863" s="102">
        <f t="shared" si="231"/>
        <v>45</v>
      </c>
      <c r="U863" s="101">
        <f t="shared" si="232"/>
        <v>46</v>
      </c>
      <c r="V863" s="4">
        <f t="shared" si="233"/>
        <v>39</v>
      </c>
      <c r="W863" s="4">
        <f t="shared" si="234"/>
        <v>71</v>
      </c>
      <c r="X863" s="4">
        <f t="shared" si="235"/>
        <v>41</v>
      </c>
      <c r="Y863" s="4">
        <f t="shared" si="236"/>
        <v>78</v>
      </c>
      <c r="Z863" s="4">
        <f t="shared" si="237"/>
        <v>9</v>
      </c>
      <c r="AA863" s="102">
        <f t="shared" si="238"/>
        <v>71</v>
      </c>
      <c r="AC863" s="100">
        <f t="shared" si="239"/>
        <v>0.97643806751196438</v>
      </c>
    </row>
    <row r="864" spans="4:29" x14ac:dyDescent="0.35">
      <c r="D864">
        <f t="shared" si="240"/>
        <v>860</v>
      </c>
      <c r="E864" s="101">
        <v>2</v>
      </c>
      <c r="F864" s="4">
        <v>4</v>
      </c>
      <c r="G864" s="4">
        <v>2</v>
      </c>
      <c r="H864" s="4">
        <v>2</v>
      </c>
      <c r="I864" s="4">
        <v>2</v>
      </c>
      <c r="J864" s="4">
        <v>6</v>
      </c>
      <c r="K864" s="102">
        <v>1</v>
      </c>
      <c r="M864" s="101">
        <f t="shared" si="225"/>
        <v>56</v>
      </c>
      <c r="N864" s="4">
        <f t="shared" si="226"/>
        <v>12</v>
      </c>
      <c r="O864" s="4">
        <f t="shared" si="227"/>
        <v>56</v>
      </c>
      <c r="P864" s="4">
        <f t="shared" si="228"/>
        <v>56</v>
      </c>
      <c r="Q864" s="4">
        <f t="shared" si="229"/>
        <v>56</v>
      </c>
      <c r="R864" s="4">
        <f t="shared" si="230"/>
        <v>45</v>
      </c>
      <c r="S864" s="102">
        <f t="shared" si="231"/>
        <v>34</v>
      </c>
      <c r="U864" s="101">
        <f t="shared" si="232"/>
        <v>78</v>
      </c>
      <c r="V864" s="4">
        <f t="shared" si="233"/>
        <v>9</v>
      </c>
      <c r="W864" s="4">
        <f t="shared" si="234"/>
        <v>78</v>
      </c>
      <c r="X864" s="4">
        <f t="shared" si="235"/>
        <v>78</v>
      </c>
      <c r="Y864" s="4">
        <f t="shared" si="236"/>
        <v>78</v>
      </c>
      <c r="Z864" s="4">
        <f t="shared" si="237"/>
        <v>71</v>
      </c>
      <c r="AA864" s="102">
        <f t="shared" si="238"/>
        <v>46</v>
      </c>
      <c r="AC864" s="100">
        <f t="shared" si="239"/>
        <v>0.989429634474704</v>
      </c>
    </row>
    <row r="865" spans="4:29" x14ac:dyDescent="0.35">
      <c r="D865">
        <f t="shared" si="240"/>
        <v>861</v>
      </c>
      <c r="E865" s="101">
        <v>1</v>
      </c>
      <c r="F865" s="4">
        <v>7</v>
      </c>
      <c r="G865" s="4">
        <v>5</v>
      </c>
      <c r="H865" s="4">
        <v>1</v>
      </c>
      <c r="I865" s="4">
        <v>5</v>
      </c>
      <c r="J865" s="4">
        <v>2</v>
      </c>
      <c r="K865" s="102">
        <v>4</v>
      </c>
      <c r="M865" s="101">
        <f t="shared" si="225"/>
        <v>34</v>
      </c>
      <c r="N865" s="4">
        <f t="shared" si="226"/>
        <v>29</v>
      </c>
      <c r="O865" s="4">
        <f t="shared" si="227"/>
        <v>30</v>
      </c>
      <c r="P865" s="4">
        <f t="shared" si="228"/>
        <v>34</v>
      </c>
      <c r="Q865" s="4">
        <f t="shared" si="229"/>
        <v>30</v>
      </c>
      <c r="R865" s="4">
        <f t="shared" si="230"/>
        <v>56</v>
      </c>
      <c r="S865" s="102">
        <f t="shared" si="231"/>
        <v>12</v>
      </c>
      <c r="U865" s="101">
        <f t="shared" si="232"/>
        <v>46</v>
      </c>
      <c r="V865" s="4">
        <f t="shared" si="233"/>
        <v>41</v>
      </c>
      <c r="W865" s="4">
        <f t="shared" si="234"/>
        <v>39</v>
      </c>
      <c r="X865" s="4">
        <f t="shared" si="235"/>
        <v>46</v>
      </c>
      <c r="Y865" s="4">
        <f t="shared" si="236"/>
        <v>39</v>
      </c>
      <c r="Z865" s="4">
        <f t="shared" si="237"/>
        <v>78</v>
      </c>
      <c r="AA865" s="102">
        <f t="shared" si="238"/>
        <v>9</v>
      </c>
      <c r="AC865" s="100">
        <f t="shared" si="239"/>
        <v>0.99597841885430116</v>
      </c>
    </row>
    <row r="866" spans="4:29" x14ac:dyDescent="0.35">
      <c r="D866">
        <f t="shared" si="240"/>
        <v>862</v>
      </c>
      <c r="E866" s="101">
        <v>7</v>
      </c>
      <c r="F866" s="4">
        <v>2</v>
      </c>
      <c r="G866" s="4">
        <v>5</v>
      </c>
      <c r="H866" s="4">
        <v>4</v>
      </c>
      <c r="I866" s="4">
        <v>1</v>
      </c>
      <c r="J866" s="4">
        <v>3</v>
      </c>
      <c r="K866" s="102">
        <v>1</v>
      </c>
      <c r="M866" s="101">
        <f t="shared" si="225"/>
        <v>29</v>
      </c>
      <c r="N866" s="4">
        <f t="shared" si="226"/>
        <v>56</v>
      </c>
      <c r="O866" s="4">
        <f t="shared" si="227"/>
        <v>30</v>
      </c>
      <c r="P866" s="4">
        <f t="shared" si="228"/>
        <v>12</v>
      </c>
      <c r="Q866" s="4">
        <f t="shared" si="229"/>
        <v>34</v>
      </c>
      <c r="R866" s="4">
        <f t="shared" si="230"/>
        <v>23</v>
      </c>
      <c r="S866" s="102">
        <f t="shared" si="231"/>
        <v>34</v>
      </c>
      <c r="U866" s="101">
        <f t="shared" si="232"/>
        <v>41</v>
      </c>
      <c r="V866" s="4">
        <f t="shared" si="233"/>
        <v>78</v>
      </c>
      <c r="W866" s="4">
        <f t="shared" si="234"/>
        <v>39</v>
      </c>
      <c r="X866" s="4">
        <f t="shared" si="235"/>
        <v>9</v>
      </c>
      <c r="Y866" s="4">
        <f t="shared" si="236"/>
        <v>46</v>
      </c>
      <c r="Z866" s="4">
        <f t="shared" si="237"/>
        <v>39</v>
      </c>
      <c r="AA866" s="102">
        <f t="shared" si="238"/>
        <v>46</v>
      </c>
      <c r="AC866" s="100">
        <f t="shared" si="239"/>
        <v>0.97744931327594886</v>
      </c>
    </row>
    <row r="867" spans="4:29" x14ac:dyDescent="0.35">
      <c r="D867">
        <f t="shared" si="240"/>
        <v>863</v>
      </c>
      <c r="E867" s="101">
        <v>3</v>
      </c>
      <c r="F867" s="4">
        <v>4</v>
      </c>
      <c r="G867" s="4">
        <v>2</v>
      </c>
      <c r="H867" s="4">
        <v>2</v>
      </c>
      <c r="I867" s="4">
        <v>2</v>
      </c>
      <c r="J867" s="4">
        <v>7</v>
      </c>
      <c r="K867" s="102">
        <v>4</v>
      </c>
      <c r="M867" s="101">
        <f t="shared" si="225"/>
        <v>23</v>
      </c>
      <c r="N867" s="4">
        <f t="shared" si="226"/>
        <v>12</v>
      </c>
      <c r="O867" s="4">
        <f t="shared" si="227"/>
        <v>56</v>
      </c>
      <c r="P867" s="4">
        <f t="shared" si="228"/>
        <v>56</v>
      </c>
      <c r="Q867" s="4">
        <f t="shared" si="229"/>
        <v>56</v>
      </c>
      <c r="R867" s="4">
        <f t="shared" si="230"/>
        <v>29</v>
      </c>
      <c r="S867" s="102">
        <f t="shared" si="231"/>
        <v>12</v>
      </c>
      <c r="U867" s="101">
        <f t="shared" si="232"/>
        <v>39</v>
      </c>
      <c r="V867" s="4">
        <f t="shared" si="233"/>
        <v>9</v>
      </c>
      <c r="W867" s="4">
        <f t="shared" si="234"/>
        <v>78</v>
      </c>
      <c r="X867" s="4">
        <f t="shared" si="235"/>
        <v>78</v>
      </c>
      <c r="Y867" s="4">
        <f t="shared" si="236"/>
        <v>78</v>
      </c>
      <c r="Z867" s="4">
        <f t="shared" si="237"/>
        <v>41</v>
      </c>
      <c r="AA867" s="102">
        <f t="shared" si="238"/>
        <v>9</v>
      </c>
      <c r="AC867" s="100">
        <f t="shared" si="239"/>
        <v>0.98874936677229175</v>
      </c>
    </row>
    <row r="868" spans="4:29" x14ac:dyDescent="0.35">
      <c r="D868">
        <f t="shared" si="240"/>
        <v>864</v>
      </c>
      <c r="E868" s="101">
        <v>1</v>
      </c>
      <c r="F868" s="4">
        <v>6</v>
      </c>
      <c r="G868" s="4">
        <v>1</v>
      </c>
      <c r="H868" s="4">
        <v>3</v>
      </c>
      <c r="I868" s="4">
        <v>3</v>
      </c>
      <c r="J868" s="4">
        <v>5</v>
      </c>
      <c r="K868" s="102">
        <v>3</v>
      </c>
      <c r="M868" s="101">
        <f t="shared" si="225"/>
        <v>34</v>
      </c>
      <c r="N868" s="4">
        <f t="shared" si="226"/>
        <v>45</v>
      </c>
      <c r="O868" s="4">
        <f t="shared" si="227"/>
        <v>34</v>
      </c>
      <c r="P868" s="4">
        <f t="shared" si="228"/>
        <v>23</v>
      </c>
      <c r="Q868" s="4">
        <f t="shared" si="229"/>
        <v>23</v>
      </c>
      <c r="R868" s="4">
        <f t="shared" si="230"/>
        <v>30</v>
      </c>
      <c r="S868" s="102">
        <f t="shared" si="231"/>
        <v>23</v>
      </c>
      <c r="U868" s="101">
        <f t="shared" si="232"/>
        <v>46</v>
      </c>
      <c r="V868" s="4">
        <f t="shared" si="233"/>
        <v>71</v>
      </c>
      <c r="W868" s="4">
        <f t="shared" si="234"/>
        <v>46</v>
      </c>
      <c r="X868" s="4">
        <f t="shared" si="235"/>
        <v>39</v>
      </c>
      <c r="Y868" s="4">
        <f t="shared" si="236"/>
        <v>39</v>
      </c>
      <c r="Z868" s="4">
        <f t="shared" si="237"/>
        <v>39</v>
      </c>
      <c r="AA868" s="102">
        <f t="shared" si="238"/>
        <v>39</v>
      </c>
      <c r="AC868" s="100">
        <f t="shared" si="239"/>
        <v>0.90921892594228615</v>
      </c>
    </row>
    <row r="869" spans="4:29" x14ac:dyDescent="0.35">
      <c r="D869">
        <f t="shared" si="240"/>
        <v>865</v>
      </c>
      <c r="E869" s="101">
        <v>1</v>
      </c>
      <c r="F869" s="4">
        <v>7</v>
      </c>
      <c r="G869" s="4">
        <v>5</v>
      </c>
      <c r="H869" s="4">
        <v>1</v>
      </c>
      <c r="I869" s="4">
        <v>4</v>
      </c>
      <c r="J869" s="4">
        <v>4</v>
      </c>
      <c r="K869" s="102">
        <v>1</v>
      </c>
      <c r="M869" s="101">
        <f t="shared" si="225"/>
        <v>34</v>
      </c>
      <c r="N869" s="4">
        <f t="shared" si="226"/>
        <v>29</v>
      </c>
      <c r="O869" s="4">
        <f t="shared" si="227"/>
        <v>30</v>
      </c>
      <c r="P869" s="4">
        <f t="shared" si="228"/>
        <v>34</v>
      </c>
      <c r="Q869" s="4">
        <f t="shared" si="229"/>
        <v>12</v>
      </c>
      <c r="R869" s="4">
        <f t="shared" si="230"/>
        <v>12</v>
      </c>
      <c r="S869" s="102">
        <f t="shared" si="231"/>
        <v>34</v>
      </c>
      <c r="U869" s="101">
        <f t="shared" si="232"/>
        <v>46</v>
      </c>
      <c r="V869" s="4">
        <f t="shared" si="233"/>
        <v>41</v>
      </c>
      <c r="W869" s="4">
        <f t="shared" si="234"/>
        <v>39</v>
      </c>
      <c r="X869" s="4">
        <f t="shared" si="235"/>
        <v>46</v>
      </c>
      <c r="Y869" s="4">
        <f t="shared" si="236"/>
        <v>9</v>
      </c>
      <c r="Z869" s="4">
        <f t="shared" si="237"/>
        <v>9</v>
      </c>
      <c r="AA869" s="102">
        <f t="shared" si="238"/>
        <v>46</v>
      </c>
      <c r="AC869" s="100">
        <f t="shared" si="239"/>
        <v>0.99709303226775936</v>
      </c>
    </row>
    <row r="870" spans="4:29" x14ac:dyDescent="0.35">
      <c r="D870">
        <f t="shared" si="240"/>
        <v>866</v>
      </c>
      <c r="E870" s="101">
        <v>7</v>
      </c>
      <c r="F870" s="4">
        <v>2</v>
      </c>
      <c r="G870" s="4">
        <v>3</v>
      </c>
      <c r="H870" s="4">
        <v>4</v>
      </c>
      <c r="I870" s="4">
        <v>7</v>
      </c>
      <c r="J870" s="4">
        <v>1</v>
      </c>
      <c r="K870" s="102">
        <v>3</v>
      </c>
      <c r="M870" s="101">
        <f t="shared" si="225"/>
        <v>29</v>
      </c>
      <c r="N870" s="4">
        <f t="shared" si="226"/>
        <v>56</v>
      </c>
      <c r="O870" s="4">
        <f t="shared" si="227"/>
        <v>23</v>
      </c>
      <c r="P870" s="4">
        <f t="shared" si="228"/>
        <v>12</v>
      </c>
      <c r="Q870" s="4">
        <f t="shared" si="229"/>
        <v>29</v>
      </c>
      <c r="R870" s="4">
        <f t="shared" si="230"/>
        <v>34</v>
      </c>
      <c r="S870" s="102">
        <f t="shared" si="231"/>
        <v>23</v>
      </c>
      <c r="U870" s="101">
        <f t="shared" si="232"/>
        <v>41</v>
      </c>
      <c r="V870" s="4">
        <f t="shared" si="233"/>
        <v>78</v>
      </c>
      <c r="W870" s="4">
        <f t="shared" si="234"/>
        <v>39</v>
      </c>
      <c r="X870" s="4">
        <f t="shared" si="235"/>
        <v>9</v>
      </c>
      <c r="Y870" s="4">
        <f t="shared" si="236"/>
        <v>41</v>
      </c>
      <c r="Z870" s="4">
        <f t="shared" si="237"/>
        <v>46</v>
      </c>
      <c r="AA870" s="102">
        <f t="shared" si="238"/>
        <v>39</v>
      </c>
      <c r="AC870" s="100">
        <f t="shared" si="239"/>
        <v>0.96798703241799566</v>
      </c>
    </row>
    <row r="871" spans="4:29" x14ac:dyDescent="0.35">
      <c r="D871">
        <f t="shared" si="240"/>
        <v>867</v>
      </c>
      <c r="E871" s="101">
        <v>4</v>
      </c>
      <c r="F871" s="4">
        <v>5</v>
      </c>
      <c r="G871" s="4">
        <v>3</v>
      </c>
      <c r="H871" s="4">
        <v>3</v>
      </c>
      <c r="I871" s="4">
        <v>3</v>
      </c>
      <c r="J871" s="4">
        <v>6</v>
      </c>
      <c r="K871" s="102">
        <v>1</v>
      </c>
      <c r="M871" s="101">
        <f t="shared" si="225"/>
        <v>12</v>
      </c>
      <c r="N871" s="4">
        <f t="shared" si="226"/>
        <v>30</v>
      </c>
      <c r="O871" s="4">
        <f t="shared" si="227"/>
        <v>23</v>
      </c>
      <c r="P871" s="4">
        <f t="shared" si="228"/>
        <v>23</v>
      </c>
      <c r="Q871" s="4">
        <f t="shared" si="229"/>
        <v>23</v>
      </c>
      <c r="R871" s="4">
        <f t="shared" si="230"/>
        <v>45</v>
      </c>
      <c r="S871" s="102">
        <f t="shared" si="231"/>
        <v>34</v>
      </c>
      <c r="U871" s="101">
        <f t="shared" si="232"/>
        <v>9</v>
      </c>
      <c r="V871" s="4">
        <f t="shared" si="233"/>
        <v>39</v>
      </c>
      <c r="W871" s="4">
        <f t="shared" si="234"/>
        <v>39</v>
      </c>
      <c r="X871" s="4">
        <f t="shared" si="235"/>
        <v>39</v>
      </c>
      <c r="Y871" s="4">
        <f t="shared" si="236"/>
        <v>39</v>
      </c>
      <c r="Z871" s="4">
        <f t="shared" si="237"/>
        <v>71</v>
      </c>
      <c r="AA871" s="102">
        <f t="shared" si="238"/>
        <v>46</v>
      </c>
      <c r="AC871" s="100">
        <f t="shared" si="239"/>
        <v>0.9473908770059295</v>
      </c>
    </row>
    <row r="872" spans="4:29" x14ac:dyDescent="0.35">
      <c r="D872">
        <f t="shared" si="240"/>
        <v>868</v>
      </c>
      <c r="E872" s="101">
        <v>6</v>
      </c>
      <c r="F872" s="4">
        <v>6</v>
      </c>
      <c r="G872" s="4">
        <v>6</v>
      </c>
      <c r="H872" s="4">
        <v>5</v>
      </c>
      <c r="I872" s="4">
        <v>3</v>
      </c>
      <c r="J872" s="4">
        <v>5</v>
      </c>
      <c r="K872" s="102">
        <v>4</v>
      </c>
      <c r="M872" s="101">
        <f t="shared" si="225"/>
        <v>45</v>
      </c>
      <c r="N872" s="4">
        <f t="shared" si="226"/>
        <v>45</v>
      </c>
      <c r="O872" s="4">
        <f t="shared" si="227"/>
        <v>45</v>
      </c>
      <c r="P872" s="4">
        <f t="shared" si="228"/>
        <v>30</v>
      </c>
      <c r="Q872" s="4">
        <f t="shared" si="229"/>
        <v>23</v>
      </c>
      <c r="R872" s="4">
        <f t="shared" si="230"/>
        <v>30</v>
      </c>
      <c r="S872" s="102">
        <f t="shared" si="231"/>
        <v>12</v>
      </c>
      <c r="U872" s="101">
        <f t="shared" si="232"/>
        <v>71</v>
      </c>
      <c r="V872" s="4">
        <f t="shared" si="233"/>
        <v>71</v>
      </c>
      <c r="W872" s="4">
        <f t="shared" si="234"/>
        <v>71</v>
      </c>
      <c r="X872" s="4">
        <f t="shared" si="235"/>
        <v>39</v>
      </c>
      <c r="Y872" s="4">
        <f t="shared" si="236"/>
        <v>39</v>
      </c>
      <c r="Z872" s="4">
        <f t="shared" si="237"/>
        <v>39</v>
      </c>
      <c r="AA872" s="102">
        <f t="shared" si="238"/>
        <v>9</v>
      </c>
      <c r="AC872" s="100">
        <f t="shared" si="239"/>
        <v>0.98330917517320349</v>
      </c>
    </row>
    <row r="873" spans="4:29" x14ac:dyDescent="0.35">
      <c r="D873">
        <f t="shared" si="240"/>
        <v>869</v>
      </c>
      <c r="E873" s="101">
        <v>4</v>
      </c>
      <c r="F873" s="4">
        <v>1</v>
      </c>
      <c r="G873" s="4">
        <v>6</v>
      </c>
      <c r="H873" s="4">
        <v>4</v>
      </c>
      <c r="I873" s="4">
        <v>5</v>
      </c>
      <c r="J873" s="4">
        <v>2</v>
      </c>
      <c r="K873" s="102">
        <v>1</v>
      </c>
      <c r="M873" s="101">
        <f t="shared" si="225"/>
        <v>12</v>
      </c>
      <c r="N873" s="4">
        <f t="shared" si="226"/>
        <v>34</v>
      </c>
      <c r="O873" s="4">
        <f t="shared" si="227"/>
        <v>45</v>
      </c>
      <c r="P873" s="4">
        <f t="shared" si="228"/>
        <v>12</v>
      </c>
      <c r="Q873" s="4">
        <f t="shared" si="229"/>
        <v>30</v>
      </c>
      <c r="R873" s="4">
        <f t="shared" si="230"/>
        <v>56</v>
      </c>
      <c r="S873" s="102">
        <f t="shared" si="231"/>
        <v>34</v>
      </c>
      <c r="U873" s="101">
        <f t="shared" si="232"/>
        <v>9</v>
      </c>
      <c r="V873" s="4">
        <f t="shared" si="233"/>
        <v>46</v>
      </c>
      <c r="W873" s="4">
        <f t="shared" si="234"/>
        <v>71</v>
      </c>
      <c r="X873" s="4">
        <f t="shared" si="235"/>
        <v>9</v>
      </c>
      <c r="Y873" s="4">
        <f t="shared" si="236"/>
        <v>39</v>
      </c>
      <c r="Z873" s="4">
        <f t="shared" si="237"/>
        <v>78</v>
      </c>
      <c r="AA873" s="102">
        <f t="shared" si="238"/>
        <v>46</v>
      </c>
      <c r="AC873" s="100">
        <f t="shared" si="239"/>
        <v>0.99235286726261829</v>
      </c>
    </row>
    <row r="874" spans="4:29" x14ac:dyDescent="0.35">
      <c r="D874">
        <f t="shared" si="240"/>
        <v>870</v>
      </c>
      <c r="E874" s="101">
        <v>6</v>
      </c>
      <c r="F874" s="4">
        <v>3</v>
      </c>
      <c r="G874" s="4">
        <v>4</v>
      </c>
      <c r="H874" s="4">
        <v>2</v>
      </c>
      <c r="I874" s="4">
        <v>2</v>
      </c>
      <c r="J874" s="4">
        <v>7</v>
      </c>
      <c r="K874" s="102">
        <v>1</v>
      </c>
      <c r="M874" s="101">
        <f t="shared" si="225"/>
        <v>45</v>
      </c>
      <c r="N874" s="4">
        <f t="shared" si="226"/>
        <v>23</v>
      </c>
      <c r="O874" s="4">
        <f t="shared" si="227"/>
        <v>12</v>
      </c>
      <c r="P874" s="4">
        <f t="shared" si="228"/>
        <v>56</v>
      </c>
      <c r="Q874" s="4">
        <f t="shared" si="229"/>
        <v>56</v>
      </c>
      <c r="R874" s="4">
        <f t="shared" si="230"/>
        <v>29</v>
      </c>
      <c r="S874" s="102">
        <f t="shared" si="231"/>
        <v>34</v>
      </c>
      <c r="U874" s="101">
        <f t="shared" si="232"/>
        <v>71</v>
      </c>
      <c r="V874" s="4">
        <f t="shared" si="233"/>
        <v>39</v>
      </c>
      <c r="W874" s="4">
        <f t="shared" si="234"/>
        <v>9</v>
      </c>
      <c r="X874" s="4">
        <f t="shared" si="235"/>
        <v>78</v>
      </c>
      <c r="Y874" s="4">
        <f t="shared" si="236"/>
        <v>78</v>
      </c>
      <c r="Z874" s="4">
        <f t="shared" si="237"/>
        <v>41</v>
      </c>
      <c r="AA874" s="102">
        <f t="shared" si="238"/>
        <v>46</v>
      </c>
      <c r="AC874" s="100">
        <f t="shared" si="239"/>
        <v>0.97965305071165609</v>
      </c>
    </row>
    <row r="875" spans="4:29" x14ac:dyDescent="0.35">
      <c r="D875">
        <f t="shared" si="240"/>
        <v>871</v>
      </c>
      <c r="E875" s="101">
        <v>3</v>
      </c>
      <c r="F875" s="4">
        <v>1</v>
      </c>
      <c r="G875" s="4">
        <v>4</v>
      </c>
      <c r="H875" s="4">
        <v>3</v>
      </c>
      <c r="I875" s="4">
        <v>2</v>
      </c>
      <c r="J875" s="4">
        <v>7</v>
      </c>
      <c r="K875" s="102">
        <v>2</v>
      </c>
      <c r="M875" s="101">
        <f t="shared" si="225"/>
        <v>23</v>
      </c>
      <c r="N875" s="4">
        <f t="shared" si="226"/>
        <v>34</v>
      </c>
      <c r="O875" s="4">
        <f t="shared" si="227"/>
        <v>12</v>
      </c>
      <c r="P875" s="4">
        <f t="shared" si="228"/>
        <v>23</v>
      </c>
      <c r="Q875" s="4">
        <f t="shared" si="229"/>
        <v>56</v>
      </c>
      <c r="R875" s="4">
        <f t="shared" si="230"/>
        <v>29</v>
      </c>
      <c r="S875" s="102">
        <f t="shared" si="231"/>
        <v>56</v>
      </c>
      <c r="U875" s="101">
        <f t="shared" si="232"/>
        <v>39</v>
      </c>
      <c r="V875" s="4">
        <f t="shared" si="233"/>
        <v>46</v>
      </c>
      <c r="W875" s="4">
        <f t="shared" si="234"/>
        <v>9</v>
      </c>
      <c r="X875" s="4">
        <f t="shared" si="235"/>
        <v>39</v>
      </c>
      <c r="Y875" s="4">
        <f t="shared" si="236"/>
        <v>78</v>
      </c>
      <c r="Z875" s="4">
        <f t="shared" si="237"/>
        <v>41</v>
      </c>
      <c r="AA875" s="102">
        <f t="shared" si="238"/>
        <v>78</v>
      </c>
      <c r="AC875" s="100">
        <f t="shared" si="239"/>
        <v>0.97790832421655949</v>
      </c>
    </row>
    <row r="876" spans="4:29" x14ac:dyDescent="0.35">
      <c r="D876">
        <f t="shared" si="240"/>
        <v>872</v>
      </c>
      <c r="E876" s="101">
        <v>5</v>
      </c>
      <c r="F876" s="4">
        <v>3</v>
      </c>
      <c r="G876" s="4">
        <v>7</v>
      </c>
      <c r="H876" s="4">
        <v>2</v>
      </c>
      <c r="I876" s="4">
        <v>6</v>
      </c>
      <c r="J876" s="4">
        <v>7</v>
      </c>
      <c r="K876" s="102">
        <v>3</v>
      </c>
      <c r="M876" s="101">
        <f t="shared" si="225"/>
        <v>30</v>
      </c>
      <c r="N876" s="4">
        <f t="shared" si="226"/>
        <v>23</v>
      </c>
      <c r="O876" s="4">
        <f t="shared" si="227"/>
        <v>29</v>
      </c>
      <c r="P876" s="4">
        <f t="shared" si="228"/>
        <v>56</v>
      </c>
      <c r="Q876" s="4">
        <f t="shared" si="229"/>
        <v>45</v>
      </c>
      <c r="R876" s="4">
        <f t="shared" si="230"/>
        <v>29</v>
      </c>
      <c r="S876" s="102">
        <f t="shared" si="231"/>
        <v>23</v>
      </c>
      <c r="U876" s="101">
        <f t="shared" si="232"/>
        <v>39</v>
      </c>
      <c r="V876" s="4">
        <f t="shared" si="233"/>
        <v>39</v>
      </c>
      <c r="W876" s="4">
        <f t="shared" si="234"/>
        <v>41</v>
      </c>
      <c r="X876" s="4">
        <f t="shared" si="235"/>
        <v>78</v>
      </c>
      <c r="Y876" s="4">
        <f t="shared" si="236"/>
        <v>71</v>
      </c>
      <c r="Z876" s="4">
        <f t="shared" si="237"/>
        <v>41</v>
      </c>
      <c r="AA876" s="102">
        <f t="shared" si="238"/>
        <v>39</v>
      </c>
      <c r="AC876" s="100">
        <f t="shared" si="239"/>
        <v>0.96770834546480855</v>
      </c>
    </row>
    <row r="877" spans="4:29" x14ac:dyDescent="0.35">
      <c r="D877">
        <f t="shared" si="240"/>
        <v>873</v>
      </c>
      <c r="E877" s="101">
        <v>7</v>
      </c>
      <c r="F877" s="4">
        <v>3</v>
      </c>
      <c r="G877" s="4">
        <v>6</v>
      </c>
      <c r="H877" s="4">
        <v>3</v>
      </c>
      <c r="I877" s="4">
        <v>2</v>
      </c>
      <c r="J877" s="4">
        <v>6</v>
      </c>
      <c r="K877" s="102">
        <v>6</v>
      </c>
      <c r="M877" s="101">
        <f t="shared" si="225"/>
        <v>29</v>
      </c>
      <c r="N877" s="4">
        <f t="shared" si="226"/>
        <v>23</v>
      </c>
      <c r="O877" s="4">
        <f t="shared" si="227"/>
        <v>45</v>
      </c>
      <c r="P877" s="4">
        <f t="shared" si="228"/>
        <v>23</v>
      </c>
      <c r="Q877" s="4">
        <f t="shared" si="229"/>
        <v>56</v>
      </c>
      <c r="R877" s="4">
        <f t="shared" si="230"/>
        <v>45</v>
      </c>
      <c r="S877" s="102">
        <f t="shared" si="231"/>
        <v>45</v>
      </c>
      <c r="U877" s="101">
        <f t="shared" si="232"/>
        <v>41</v>
      </c>
      <c r="V877" s="4">
        <f t="shared" si="233"/>
        <v>39</v>
      </c>
      <c r="W877" s="4">
        <f t="shared" si="234"/>
        <v>71</v>
      </c>
      <c r="X877" s="4">
        <f t="shared" si="235"/>
        <v>39</v>
      </c>
      <c r="Y877" s="4">
        <f t="shared" si="236"/>
        <v>78</v>
      </c>
      <c r="Z877" s="4">
        <f t="shared" si="237"/>
        <v>71</v>
      </c>
      <c r="AA877" s="102">
        <f t="shared" si="238"/>
        <v>71</v>
      </c>
      <c r="AC877" s="100">
        <f t="shared" si="239"/>
        <v>0.97872449972997311</v>
      </c>
    </row>
    <row r="878" spans="4:29" x14ac:dyDescent="0.35">
      <c r="D878">
        <f t="shared" si="240"/>
        <v>874</v>
      </c>
      <c r="E878" s="101">
        <v>4</v>
      </c>
      <c r="F878" s="4">
        <v>7</v>
      </c>
      <c r="G878" s="4">
        <v>7</v>
      </c>
      <c r="H878" s="4">
        <v>4</v>
      </c>
      <c r="I878" s="4">
        <v>1</v>
      </c>
      <c r="J878" s="4">
        <v>5</v>
      </c>
      <c r="K878" s="102">
        <v>7</v>
      </c>
      <c r="M878" s="101">
        <f t="shared" si="225"/>
        <v>12</v>
      </c>
      <c r="N878" s="4">
        <f t="shared" si="226"/>
        <v>29</v>
      </c>
      <c r="O878" s="4">
        <f t="shared" si="227"/>
        <v>29</v>
      </c>
      <c r="P878" s="4">
        <f t="shared" si="228"/>
        <v>12</v>
      </c>
      <c r="Q878" s="4">
        <f t="shared" si="229"/>
        <v>34</v>
      </c>
      <c r="R878" s="4">
        <f t="shared" si="230"/>
        <v>30</v>
      </c>
      <c r="S878" s="102">
        <f t="shared" si="231"/>
        <v>29</v>
      </c>
      <c r="U878" s="101">
        <f t="shared" si="232"/>
        <v>9</v>
      </c>
      <c r="V878" s="4">
        <f t="shared" si="233"/>
        <v>41</v>
      </c>
      <c r="W878" s="4">
        <f t="shared" si="234"/>
        <v>41</v>
      </c>
      <c r="X878" s="4">
        <f t="shared" si="235"/>
        <v>9</v>
      </c>
      <c r="Y878" s="4">
        <f t="shared" si="236"/>
        <v>46</v>
      </c>
      <c r="Z878" s="4">
        <f t="shared" si="237"/>
        <v>39</v>
      </c>
      <c r="AA878" s="102">
        <f t="shared" si="238"/>
        <v>41</v>
      </c>
      <c r="AC878" s="100">
        <f t="shared" si="239"/>
        <v>0.99428772429134449</v>
      </c>
    </row>
    <row r="879" spans="4:29" x14ac:dyDescent="0.35">
      <c r="D879">
        <f t="shared" si="240"/>
        <v>875</v>
      </c>
      <c r="E879" s="101">
        <v>6</v>
      </c>
      <c r="F879" s="4">
        <v>4</v>
      </c>
      <c r="G879" s="4">
        <v>5</v>
      </c>
      <c r="H879" s="4">
        <v>4</v>
      </c>
      <c r="I879" s="4">
        <v>3</v>
      </c>
      <c r="J879" s="4">
        <v>3</v>
      </c>
      <c r="K879" s="102">
        <v>5</v>
      </c>
      <c r="M879" s="101">
        <f t="shared" si="225"/>
        <v>45</v>
      </c>
      <c r="N879" s="4">
        <f t="shared" si="226"/>
        <v>12</v>
      </c>
      <c r="O879" s="4">
        <f t="shared" si="227"/>
        <v>30</v>
      </c>
      <c r="P879" s="4">
        <f t="shared" si="228"/>
        <v>12</v>
      </c>
      <c r="Q879" s="4">
        <f t="shared" si="229"/>
        <v>23</v>
      </c>
      <c r="R879" s="4">
        <f t="shared" si="230"/>
        <v>23</v>
      </c>
      <c r="S879" s="102">
        <f t="shared" si="231"/>
        <v>30</v>
      </c>
      <c r="U879" s="101">
        <f t="shared" si="232"/>
        <v>71</v>
      </c>
      <c r="V879" s="4">
        <f t="shared" si="233"/>
        <v>9</v>
      </c>
      <c r="W879" s="4">
        <f t="shared" si="234"/>
        <v>39</v>
      </c>
      <c r="X879" s="4">
        <f t="shared" si="235"/>
        <v>9</v>
      </c>
      <c r="Y879" s="4">
        <f t="shared" si="236"/>
        <v>39</v>
      </c>
      <c r="Z879" s="4">
        <f t="shared" si="237"/>
        <v>39</v>
      </c>
      <c r="AA879" s="102">
        <f t="shared" si="238"/>
        <v>39</v>
      </c>
      <c r="AC879" s="100">
        <f t="shared" si="239"/>
        <v>0.96646686264333859</v>
      </c>
    </row>
    <row r="880" spans="4:29" x14ac:dyDescent="0.35">
      <c r="D880">
        <f t="shared" si="240"/>
        <v>876</v>
      </c>
      <c r="E880" s="101">
        <v>4</v>
      </c>
      <c r="F880" s="4">
        <v>5</v>
      </c>
      <c r="G880" s="4">
        <v>1</v>
      </c>
      <c r="H880" s="4">
        <v>1</v>
      </c>
      <c r="I880" s="4">
        <v>7</v>
      </c>
      <c r="J880" s="4">
        <v>6</v>
      </c>
      <c r="K880" s="102">
        <v>5</v>
      </c>
      <c r="M880" s="101">
        <f t="shared" si="225"/>
        <v>12</v>
      </c>
      <c r="N880" s="4">
        <f t="shared" si="226"/>
        <v>30</v>
      </c>
      <c r="O880" s="4">
        <f t="shared" si="227"/>
        <v>34</v>
      </c>
      <c r="P880" s="4">
        <f t="shared" si="228"/>
        <v>34</v>
      </c>
      <c r="Q880" s="4">
        <f t="shared" si="229"/>
        <v>29</v>
      </c>
      <c r="R880" s="4">
        <f t="shared" si="230"/>
        <v>45</v>
      </c>
      <c r="S880" s="102">
        <f t="shared" si="231"/>
        <v>30</v>
      </c>
      <c r="U880" s="101">
        <f t="shared" si="232"/>
        <v>9</v>
      </c>
      <c r="V880" s="4">
        <f t="shared" si="233"/>
        <v>39</v>
      </c>
      <c r="W880" s="4">
        <f t="shared" si="234"/>
        <v>46</v>
      </c>
      <c r="X880" s="4">
        <f t="shared" si="235"/>
        <v>46</v>
      </c>
      <c r="Y880" s="4">
        <f t="shared" si="236"/>
        <v>41</v>
      </c>
      <c r="Z880" s="4">
        <f t="shared" si="237"/>
        <v>71</v>
      </c>
      <c r="AA880" s="102">
        <f t="shared" si="238"/>
        <v>39</v>
      </c>
      <c r="AC880" s="100">
        <f t="shared" si="239"/>
        <v>0.99292565496971374</v>
      </c>
    </row>
    <row r="881" spans="4:29" x14ac:dyDescent="0.35">
      <c r="D881">
        <f t="shared" si="240"/>
        <v>877</v>
      </c>
      <c r="E881" s="101">
        <v>7</v>
      </c>
      <c r="F881" s="4">
        <v>5</v>
      </c>
      <c r="G881" s="4">
        <v>4</v>
      </c>
      <c r="H881" s="4">
        <v>3</v>
      </c>
      <c r="I881" s="4">
        <v>5</v>
      </c>
      <c r="J881" s="4">
        <v>3</v>
      </c>
      <c r="K881" s="102">
        <v>7</v>
      </c>
      <c r="M881" s="101">
        <f t="shared" si="225"/>
        <v>29</v>
      </c>
      <c r="N881" s="4">
        <f t="shared" si="226"/>
        <v>30</v>
      </c>
      <c r="O881" s="4">
        <f t="shared" si="227"/>
        <v>12</v>
      </c>
      <c r="P881" s="4">
        <f t="shared" si="228"/>
        <v>23</v>
      </c>
      <c r="Q881" s="4">
        <f t="shared" si="229"/>
        <v>30</v>
      </c>
      <c r="R881" s="4">
        <f t="shared" si="230"/>
        <v>23</v>
      </c>
      <c r="S881" s="102">
        <f t="shared" si="231"/>
        <v>29</v>
      </c>
      <c r="U881" s="101">
        <f t="shared" si="232"/>
        <v>41</v>
      </c>
      <c r="V881" s="4">
        <f t="shared" si="233"/>
        <v>39</v>
      </c>
      <c r="W881" s="4">
        <f t="shared" si="234"/>
        <v>9</v>
      </c>
      <c r="X881" s="4">
        <f t="shared" si="235"/>
        <v>39</v>
      </c>
      <c r="Y881" s="4">
        <f t="shared" si="236"/>
        <v>39</v>
      </c>
      <c r="Z881" s="4">
        <f t="shared" si="237"/>
        <v>39</v>
      </c>
      <c r="AA881" s="102">
        <f t="shared" si="238"/>
        <v>41</v>
      </c>
      <c r="AC881" s="100">
        <f t="shared" si="239"/>
        <v>0.89397604681484899</v>
      </c>
    </row>
    <row r="882" spans="4:29" x14ac:dyDescent="0.35">
      <c r="D882">
        <f t="shared" si="240"/>
        <v>878</v>
      </c>
      <c r="E882" s="101">
        <v>2</v>
      </c>
      <c r="F882" s="4">
        <v>5</v>
      </c>
      <c r="G882" s="4">
        <v>3</v>
      </c>
      <c r="H882" s="4">
        <v>5</v>
      </c>
      <c r="I882" s="4">
        <v>6</v>
      </c>
      <c r="J882" s="4">
        <v>6</v>
      </c>
      <c r="K882" s="102">
        <v>2</v>
      </c>
      <c r="M882" s="101">
        <f t="shared" si="225"/>
        <v>56</v>
      </c>
      <c r="N882" s="4">
        <f t="shared" si="226"/>
        <v>30</v>
      </c>
      <c r="O882" s="4">
        <f t="shared" si="227"/>
        <v>23</v>
      </c>
      <c r="P882" s="4">
        <f t="shared" si="228"/>
        <v>30</v>
      </c>
      <c r="Q882" s="4">
        <f t="shared" si="229"/>
        <v>45</v>
      </c>
      <c r="R882" s="4">
        <f t="shared" si="230"/>
        <v>45</v>
      </c>
      <c r="S882" s="102">
        <f t="shared" si="231"/>
        <v>56</v>
      </c>
      <c r="U882" s="101">
        <f t="shared" si="232"/>
        <v>78</v>
      </c>
      <c r="V882" s="4">
        <f t="shared" si="233"/>
        <v>39</v>
      </c>
      <c r="W882" s="4">
        <f t="shared" si="234"/>
        <v>39</v>
      </c>
      <c r="X882" s="4">
        <f t="shared" si="235"/>
        <v>39</v>
      </c>
      <c r="Y882" s="4">
        <f t="shared" si="236"/>
        <v>71</v>
      </c>
      <c r="Z882" s="4">
        <f t="shared" si="237"/>
        <v>71</v>
      </c>
      <c r="AA882" s="102">
        <f t="shared" si="238"/>
        <v>78</v>
      </c>
      <c r="AC882" s="100">
        <f t="shared" si="239"/>
        <v>0.96405326288354465</v>
      </c>
    </row>
    <row r="883" spans="4:29" x14ac:dyDescent="0.35">
      <c r="D883">
        <f t="shared" si="240"/>
        <v>879</v>
      </c>
      <c r="E883" s="101">
        <v>1</v>
      </c>
      <c r="F883" s="4">
        <v>5</v>
      </c>
      <c r="G883" s="4">
        <v>1</v>
      </c>
      <c r="H883" s="4">
        <v>3</v>
      </c>
      <c r="I883" s="4">
        <v>5</v>
      </c>
      <c r="J883" s="4">
        <v>6</v>
      </c>
      <c r="K883" s="102">
        <v>7</v>
      </c>
      <c r="M883" s="101">
        <f t="shared" si="225"/>
        <v>34</v>
      </c>
      <c r="N883" s="4">
        <f t="shared" si="226"/>
        <v>30</v>
      </c>
      <c r="O883" s="4">
        <f t="shared" si="227"/>
        <v>34</v>
      </c>
      <c r="P883" s="4">
        <f t="shared" si="228"/>
        <v>23</v>
      </c>
      <c r="Q883" s="4">
        <f t="shared" si="229"/>
        <v>30</v>
      </c>
      <c r="R883" s="4">
        <f t="shared" si="230"/>
        <v>45</v>
      </c>
      <c r="S883" s="102">
        <f t="shared" si="231"/>
        <v>29</v>
      </c>
      <c r="U883" s="101">
        <f t="shared" si="232"/>
        <v>46</v>
      </c>
      <c r="V883" s="4">
        <f t="shared" si="233"/>
        <v>39</v>
      </c>
      <c r="W883" s="4">
        <f t="shared" si="234"/>
        <v>46</v>
      </c>
      <c r="X883" s="4">
        <f t="shared" si="235"/>
        <v>39</v>
      </c>
      <c r="Y883" s="4">
        <f t="shared" si="236"/>
        <v>39</v>
      </c>
      <c r="Z883" s="4">
        <f t="shared" si="237"/>
        <v>71</v>
      </c>
      <c r="AA883" s="102">
        <f t="shared" si="238"/>
        <v>41</v>
      </c>
      <c r="AC883" s="100">
        <f t="shared" si="239"/>
        <v>0.92124988493573623</v>
      </c>
    </row>
    <row r="884" spans="4:29" x14ac:dyDescent="0.35">
      <c r="D884">
        <f t="shared" si="240"/>
        <v>880</v>
      </c>
      <c r="E884" s="101">
        <v>1</v>
      </c>
      <c r="F884" s="4">
        <v>1</v>
      </c>
      <c r="G884" s="4">
        <v>6</v>
      </c>
      <c r="H884" s="4">
        <v>1</v>
      </c>
      <c r="I884" s="4">
        <v>2</v>
      </c>
      <c r="J884" s="4">
        <v>2</v>
      </c>
      <c r="K884" s="102">
        <v>1</v>
      </c>
      <c r="M884" s="101">
        <f t="shared" si="225"/>
        <v>34</v>
      </c>
      <c r="N884" s="4">
        <f t="shared" si="226"/>
        <v>34</v>
      </c>
      <c r="O884" s="4">
        <f t="shared" si="227"/>
        <v>45</v>
      </c>
      <c r="P884" s="4">
        <f t="shared" si="228"/>
        <v>34</v>
      </c>
      <c r="Q884" s="4">
        <f t="shared" si="229"/>
        <v>56</v>
      </c>
      <c r="R884" s="4">
        <f t="shared" si="230"/>
        <v>56</v>
      </c>
      <c r="S884" s="102">
        <f t="shared" si="231"/>
        <v>34</v>
      </c>
      <c r="U884" s="101">
        <f t="shared" si="232"/>
        <v>46</v>
      </c>
      <c r="V884" s="4">
        <f t="shared" si="233"/>
        <v>46</v>
      </c>
      <c r="W884" s="4">
        <f t="shared" si="234"/>
        <v>71</v>
      </c>
      <c r="X884" s="4">
        <f t="shared" si="235"/>
        <v>46</v>
      </c>
      <c r="Y884" s="4">
        <f t="shared" si="236"/>
        <v>78</v>
      </c>
      <c r="Z884" s="4">
        <f t="shared" si="237"/>
        <v>78</v>
      </c>
      <c r="AA884" s="102">
        <f t="shared" si="238"/>
        <v>46</v>
      </c>
      <c r="AC884" s="100">
        <f t="shared" si="239"/>
        <v>0.97762390522796005</v>
      </c>
    </row>
    <row r="885" spans="4:29" x14ac:dyDescent="0.35">
      <c r="D885">
        <f t="shared" si="240"/>
        <v>881</v>
      </c>
      <c r="E885" s="101">
        <v>4</v>
      </c>
      <c r="F885" s="4">
        <v>1</v>
      </c>
      <c r="G885" s="4">
        <v>2</v>
      </c>
      <c r="H885" s="4">
        <v>3</v>
      </c>
      <c r="I885" s="4">
        <v>3</v>
      </c>
      <c r="J885" s="4">
        <v>4</v>
      </c>
      <c r="K885" s="102">
        <v>7</v>
      </c>
      <c r="M885" s="101">
        <f t="shared" si="225"/>
        <v>12</v>
      </c>
      <c r="N885" s="4">
        <f t="shared" si="226"/>
        <v>34</v>
      </c>
      <c r="O885" s="4">
        <f t="shared" si="227"/>
        <v>56</v>
      </c>
      <c r="P885" s="4">
        <f t="shared" si="228"/>
        <v>23</v>
      </c>
      <c r="Q885" s="4">
        <f t="shared" si="229"/>
        <v>23</v>
      </c>
      <c r="R885" s="4">
        <f t="shared" si="230"/>
        <v>12</v>
      </c>
      <c r="S885" s="102">
        <f t="shared" si="231"/>
        <v>29</v>
      </c>
      <c r="U885" s="101">
        <f t="shared" si="232"/>
        <v>9</v>
      </c>
      <c r="V885" s="4">
        <f t="shared" si="233"/>
        <v>46</v>
      </c>
      <c r="W885" s="4">
        <f t="shared" si="234"/>
        <v>78</v>
      </c>
      <c r="X885" s="4">
        <f t="shared" si="235"/>
        <v>39</v>
      </c>
      <c r="Y885" s="4">
        <f t="shared" si="236"/>
        <v>39</v>
      </c>
      <c r="Z885" s="4">
        <f t="shared" si="237"/>
        <v>9</v>
      </c>
      <c r="AA885" s="102">
        <f t="shared" si="238"/>
        <v>41</v>
      </c>
      <c r="AC885" s="100">
        <f t="shared" si="239"/>
        <v>0.97016134702718915</v>
      </c>
    </row>
    <row r="886" spans="4:29" x14ac:dyDescent="0.35">
      <c r="D886">
        <f t="shared" si="240"/>
        <v>882</v>
      </c>
      <c r="E886" s="101">
        <v>7</v>
      </c>
      <c r="F886" s="4">
        <v>6</v>
      </c>
      <c r="G886" s="4">
        <v>4</v>
      </c>
      <c r="H886" s="4">
        <v>3</v>
      </c>
      <c r="I886" s="4">
        <v>2</v>
      </c>
      <c r="J886" s="4">
        <v>3</v>
      </c>
      <c r="K886" s="102">
        <v>5</v>
      </c>
      <c r="M886" s="101">
        <f t="shared" si="225"/>
        <v>29</v>
      </c>
      <c r="N886" s="4">
        <f t="shared" si="226"/>
        <v>45</v>
      </c>
      <c r="O886" s="4">
        <f t="shared" si="227"/>
        <v>12</v>
      </c>
      <c r="P886" s="4">
        <f t="shared" si="228"/>
        <v>23</v>
      </c>
      <c r="Q886" s="4">
        <f t="shared" si="229"/>
        <v>56</v>
      </c>
      <c r="R886" s="4">
        <f t="shared" si="230"/>
        <v>23</v>
      </c>
      <c r="S886" s="102">
        <f t="shared" si="231"/>
        <v>30</v>
      </c>
      <c r="U886" s="101">
        <f t="shared" si="232"/>
        <v>41</v>
      </c>
      <c r="V886" s="4">
        <f t="shared" si="233"/>
        <v>71</v>
      </c>
      <c r="W886" s="4">
        <f t="shared" si="234"/>
        <v>9</v>
      </c>
      <c r="X886" s="4">
        <f t="shared" si="235"/>
        <v>39</v>
      </c>
      <c r="Y886" s="4">
        <f t="shared" si="236"/>
        <v>78</v>
      </c>
      <c r="Z886" s="4">
        <f t="shared" si="237"/>
        <v>39</v>
      </c>
      <c r="AA886" s="102">
        <f t="shared" si="238"/>
        <v>39</v>
      </c>
      <c r="AC886" s="100">
        <f t="shared" si="239"/>
        <v>0.96896293074172468</v>
      </c>
    </row>
    <row r="887" spans="4:29" x14ac:dyDescent="0.35">
      <c r="D887">
        <f t="shared" si="240"/>
        <v>883</v>
      </c>
      <c r="E887" s="101">
        <v>3</v>
      </c>
      <c r="F887" s="4">
        <v>7</v>
      </c>
      <c r="G887" s="4">
        <v>4</v>
      </c>
      <c r="H887" s="4">
        <v>6</v>
      </c>
      <c r="I887" s="4">
        <v>3</v>
      </c>
      <c r="J887" s="4">
        <v>4</v>
      </c>
      <c r="K887" s="102">
        <v>4</v>
      </c>
      <c r="M887" s="101">
        <f t="shared" si="225"/>
        <v>23</v>
      </c>
      <c r="N887" s="4">
        <f t="shared" si="226"/>
        <v>29</v>
      </c>
      <c r="O887" s="4">
        <f t="shared" si="227"/>
        <v>12</v>
      </c>
      <c r="P887" s="4">
        <f t="shared" si="228"/>
        <v>45</v>
      </c>
      <c r="Q887" s="4">
        <f t="shared" si="229"/>
        <v>23</v>
      </c>
      <c r="R887" s="4">
        <f t="shared" si="230"/>
        <v>12</v>
      </c>
      <c r="S887" s="102">
        <f t="shared" si="231"/>
        <v>12</v>
      </c>
      <c r="U887" s="101">
        <f t="shared" si="232"/>
        <v>39</v>
      </c>
      <c r="V887" s="4">
        <f t="shared" si="233"/>
        <v>41</v>
      </c>
      <c r="W887" s="4">
        <f t="shared" si="234"/>
        <v>9</v>
      </c>
      <c r="X887" s="4">
        <f t="shared" si="235"/>
        <v>71</v>
      </c>
      <c r="Y887" s="4">
        <f t="shared" si="236"/>
        <v>39</v>
      </c>
      <c r="Z887" s="4">
        <f t="shared" si="237"/>
        <v>9</v>
      </c>
      <c r="AA887" s="102">
        <f t="shared" si="238"/>
        <v>9</v>
      </c>
      <c r="AC887" s="100">
        <f t="shared" si="239"/>
        <v>0.98092948678551517</v>
      </c>
    </row>
    <row r="888" spans="4:29" x14ac:dyDescent="0.35">
      <c r="D888">
        <f t="shared" si="240"/>
        <v>884</v>
      </c>
      <c r="E888" s="101">
        <v>7</v>
      </c>
      <c r="F888" s="4">
        <v>5</v>
      </c>
      <c r="G888" s="4">
        <v>7</v>
      </c>
      <c r="H888" s="4">
        <v>7</v>
      </c>
      <c r="I888" s="4">
        <v>7</v>
      </c>
      <c r="J888" s="4">
        <v>7</v>
      </c>
      <c r="K888" s="102">
        <v>3</v>
      </c>
      <c r="M888" s="101">
        <f t="shared" si="225"/>
        <v>29</v>
      </c>
      <c r="N888" s="4">
        <f t="shared" si="226"/>
        <v>30</v>
      </c>
      <c r="O888" s="4">
        <f t="shared" si="227"/>
        <v>29</v>
      </c>
      <c r="P888" s="4">
        <f t="shared" si="228"/>
        <v>29</v>
      </c>
      <c r="Q888" s="4">
        <f t="shared" si="229"/>
        <v>29</v>
      </c>
      <c r="R888" s="4">
        <f t="shared" si="230"/>
        <v>29</v>
      </c>
      <c r="S888" s="102">
        <f t="shared" si="231"/>
        <v>23</v>
      </c>
      <c r="U888" s="101">
        <f t="shared" si="232"/>
        <v>41</v>
      </c>
      <c r="V888" s="4">
        <f t="shared" si="233"/>
        <v>39</v>
      </c>
      <c r="W888" s="4">
        <f t="shared" si="234"/>
        <v>41</v>
      </c>
      <c r="X888" s="4">
        <f t="shared" si="235"/>
        <v>41</v>
      </c>
      <c r="Y888" s="4">
        <f t="shared" si="236"/>
        <v>41</v>
      </c>
      <c r="Z888" s="4">
        <f t="shared" si="237"/>
        <v>41</v>
      </c>
      <c r="AA888" s="102">
        <f t="shared" si="238"/>
        <v>39</v>
      </c>
      <c r="AC888" s="100">
        <f t="shared" si="239"/>
        <v>0.51681139412170185</v>
      </c>
    </row>
    <row r="889" spans="4:29" x14ac:dyDescent="0.35">
      <c r="D889">
        <f t="shared" si="240"/>
        <v>885</v>
      </c>
      <c r="E889" s="101">
        <v>3</v>
      </c>
      <c r="F889" s="4">
        <v>5</v>
      </c>
      <c r="G889" s="4">
        <v>6</v>
      </c>
      <c r="H889" s="4">
        <v>7</v>
      </c>
      <c r="I889" s="4">
        <v>5</v>
      </c>
      <c r="J889" s="4">
        <v>1</v>
      </c>
      <c r="K889" s="102">
        <v>1</v>
      </c>
      <c r="M889" s="101">
        <f t="shared" si="225"/>
        <v>23</v>
      </c>
      <c r="N889" s="4">
        <f t="shared" si="226"/>
        <v>30</v>
      </c>
      <c r="O889" s="4">
        <f t="shared" si="227"/>
        <v>45</v>
      </c>
      <c r="P889" s="4">
        <f t="shared" si="228"/>
        <v>29</v>
      </c>
      <c r="Q889" s="4">
        <f t="shared" si="229"/>
        <v>30</v>
      </c>
      <c r="R889" s="4">
        <f t="shared" si="230"/>
        <v>34</v>
      </c>
      <c r="S889" s="102">
        <f t="shared" si="231"/>
        <v>34</v>
      </c>
      <c r="U889" s="101">
        <f t="shared" si="232"/>
        <v>39</v>
      </c>
      <c r="V889" s="4">
        <f t="shared" si="233"/>
        <v>39</v>
      </c>
      <c r="W889" s="4">
        <f t="shared" si="234"/>
        <v>71</v>
      </c>
      <c r="X889" s="4">
        <f t="shared" si="235"/>
        <v>41</v>
      </c>
      <c r="Y889" s="4">
        <f t="shared" si="236"/>
        <v>39</v>
      </c>
      <c r="Z889" s="4">
        <f t="shared" si="237"/>
        <v>46</v>
      </c>
      <c r="AA889" s="102">
        <f t="shared" si="238"/>
        <v>46</v>
      </c>
      <c r="AC889" s="100">
        <f t="shared" si="239"/>
        <v>0.92124988493573623</v>
      </c>
    </row>
    <row r="890" spans="4:29" x14ac:dyDescent="0.35">
      <c r="D890">
        <f t="shared" si="240"/>
        <v>886</v>
      </c>
      <c r="E890" s="101">
        <v>1</v>
      </c>
      <c r="F890" s="4">
        <v>2</v>
      </c>
      <c r="G890" s="4">
        <v>1</v>
      </c>
      <c r="H890" s="4">
        <v>3</v>
      </c>
      <c r="I890" s="4">
        <v>3</v>
      </c>
      <c r="J890" s="4">
        <v>4</v>
      </c>
      <c r="K890" s="102">
        <v>4</v>
      </c>
      <c r="M890" s="101">
        <f t="shared" si="225"/>
        <v>34</v>
      </c>
      <c r="N890" s="4">
        <f t="shared" si="226"/>
        <v>56</v>
      </c>
      <c r="O890" s="4">
        <f t="shared" si="227"/>
        <v>34</v>
      </c>
      <c r="P890" s="4">
        <f t="shared" si="228"/>
        <v>23</v>
      </c>
      <c r="Q890" s="4">
        <f t="shared" si="229"/>
        <v>23</v>
      </c>
      <c r="R890" s="4">
        <f t="shared" si="230"/>
        <v>12</v>
      </c>
      <c r="S890" s="102">
        <f t="shared" si="231"/>
        <v>12</v>
      </c>
      <c r="U890" s="101">
        <f t="shared" si="232"/>
        <v>46</v>
      </c>
      <c r="V890" s="4">
        <f t="shared" si="233"/>
        <v>78</v>
      </c>
      <c r="W890" s="4">
        <f t="shared" si="234"/>
        <v>46</v>
      </c>
      <c r="X890" s="4">
        <f t="shared" si="235"/>
        <v>39</v>
      </c>
      <c r="Y890" s="4">
        <f t="shared" si="236"/>
        <v>39</v>
      </c>
      <c r="Z890" s="4">
        <f t="shared" si="237"/>
        <v>9</v>
      </c>
      <c r="AA890" s="102">
        <f t="shared" si="238"/>
        <v>9</v>
      </c>
      <c r="AC890" s="100">
        <f t="shared" si="239"/>
        <v>0.97037435946476192</v>
      </c>
    </row>
    <row r="891" spans="4:29" x14ac:dyDescent="0.35">
      <c r="D891">
        <f t="shared" si="240"/>
        <v>887</v>
      </c>
      <c r="E891" s="101">
        <v>3</v>
      </c>
      <c r="F891" s="4">
        <v>2</v>
      </c>
      <c r="G891" s="4">
        <v>3</v>
      </c>
      <c r="H891" s="4">
        <v>7</v>
      </c>
      <c r="I891" s="4">
        <v>3</v>
      </c>
      <c r="J891" s="4">
        <v>3</v>
      </c>
      <c r="K891" s="102">
        <v>4</v>
      </c>
      <c r="M891" s="101">
        <f t="shared" si="225"/>
        <v>23</v>
      </c>
      <c r="N891" s="4">
        <f t="shared" si="226"/>
        <v>56</v>
      </c>
      <c r="O891" s="4">
        <f t="shared" si="227"/>
        <v>23</v>
      </c>
      <c r="P891" s="4">
        <f t="shared" si="228"/>
        <v>29</v>
      </c>
      <c r="Q891" s="4">
        <f t="shared" si="229"/>
        <v>23</v>
      </c>
      <c r="R891" s="4">
        <f t="shared" si="230"/>
        <v>23</v>
      </c>
      <c r="S891" s="102">
        <f t="shared" si="231"/>
        <v>12</v>
      </c>
      <c r="U891" s="101">
        <f t="shared" si="232"/>
        <v>39</v>
      </c>
      <c r="V891" s="4">
        <f t="shared" si="233"/>
        <v>78</v>
      </c>
      <c r="W891" s="4">
        <f t="shared" si="234"/>
        <v>39</v>
      </c>
      <c r="X891" s="4">
        <f t="shared" si="235"/>
        <v>41</v>
      </c>
      <c r="Y891" s="4">
        <f t="shared" si="236"/>
        <v>39</v>
      </c>
      <c r="Z891" s="4">
        <f t="shared" si="237"/>
        <v>39</v>
      </c>
      <c r="AA891" s="102">
        <f t="shared" si="238"/>
        <v>9</v>
      </c>
      <c r="AC891" s="100">
        <f t="shared" si="239"/>
        <v>0.95922450384230284</v>
      </c>
    </row>
    <row r="892" spans="4:29" x14ac:dyDescent="0.35">
      <c r="D892">
        <f t="shared" si="240"/>
        <v>888</v>
      </c>
      <c r="E892" s="101">
        <v>5</v>
      </c>
      <c r="F892" s="4">
        <v>7</v>
      </c>
      <c r="G892" s="4">
        <v>5</v>
      </c>
      <c r="H892" s="4">
        <v>1</v>
      </c>
      <c r="I892" s="4">
        <v>7</v>
      </c>
      <c r="J892" s="4">
        <v>3</v>
      </c>
      <c r="K892" s="102">
        <v>1</v>
      </c>
      <c r="M892" s="101">
        <f t="shared" si="225"/>
        <v>30</v>
      </c>
      <c r="N892" s="4">
        <f t="shared" si="226"/>
        <v>29</v>
      </c>
      <c r="O892" s="4">
        <f t="shared" si="227"/>
        <v>30</v>
      </c>
      <c r="P892" s="4">
        <f t="shared" si="228"/>
        <v>34</v>
      </c>
      <c r="Q892" s="4">
        <f t="shared" si="229"/>
        <v>29</v>
      </c>
      <c r="R892" s="4">
        <f t="shared" si="230"/>
        <v>23</v>
      </c>
      <c r="S892" s="102">
        <f t="shared" si="231"/>
        <v>34</v>
      </c>
      <c r="U892" s="101">
        <f t="shared" si="232"/>
        <v>39</v>
      </c>
      <c r="V892" s="4">
        <f t="shared" si="233"/>
        <v>41</v>
      </c>
      <c r="W892" s="4">
        <f t="shared" si="234"/>
        <v>39</v>
      </c>
      <c r="X892" s="4">
        <f t="shared" si="235"/>
        <v>46</v>
      </c>
      <c r="Y892" s="4">
        <f t="shared" si="236"/>
        <v>41</v>
      </c>
      <c r="Z892" s="4">
        <f t="shared" si="237"/>
        <v>39</v>
      </c>
      <c r="AA892" s="102">
        <f t="shared" si="238"/>
        <v>46</v>
      </c>
      <c r="AC892" s="100">
        <f t="shared" si="239"/>
        <v>0.77582045388769971</v>
      </c>
    </row>
    <row r="893" spans="4:29" x14ac:dyDescent="0.35">
      <c r="D893">
        <f t="shared" si="240"/>
        <v>889</v>
      </c>
      <c r="E893" s="101">
        <v>1</v>
      </c>
      <c r="F893" s="4">
        <v>3</v>
      </c>
      <c r="G893" s="4">
        <v>6</v>
      </c>
      <c r="H893" s="4">
        <v>6</v>
      </c>
      <c r="I893" s="4">
        <v>4</v>
      </c>
      <c r="J893" s="4">
        <v>7</v>
      </c>
      <c r="K893" s="102">
        <v>3</v>
      </c>
      <c r="M893" s="101">
        <f t="shared" si="225"/>
        <v>34</v>
      </c>
      <c r="N893" s="4">
        <f t="shared" si="226"/>
        <v>23</v>
      </c>
      <c r="O893" s="4">
        <f t="shared" si="227"/>
        <v>45</v>
      </c>
      <c r="P893" s="4">
        <f t="shared" si="228"/>
        <v>45</v>
      </c>
      <c r="Q893" s="4">
        <f t="shared" si="229"/>
        <v>12</v>
      </c>
      <c r="R893" s="4">
        <f t="shared" si="230"/>
        <v>29</v>
      </c>
      <c r="S893" s="102">
        <f t="shared" si="231"/>
        <v>23</v>
      </c>
      <c r="U893" s="101">
        <f t="shared" si="232"/>
        <v>46</v>
      </c>
      <c r="V893" s="4">
        <f t="shared" si="233"/>
        <v>39</v>
      </c>
      <c r="W893" s="4">
        <f t="shared" si="234"/>
        <v>71</v>
      </c>
      <c r="X893" s="4">
        <f t="shared" si="235"/>
        <v>71</v>
      </c>
      <c r="Y893" s="4">
        <f t="shared" si="236"/>
        <v>9</v>
      </c>
      <c r="Z893" s="4">
        <f t="shared" si="237"/>
        <v>41</v>
      </c>
      <c r="AA893" s="102">
        <f t="shared" si="238"/>
        <v>39</v>
      </c>
      <c r="AC893" s="100">
        <f t="shared" si="239"/>
        <v>0.97445260522504473</v>
      </c>
    </row>
    <row r="894" spans="4:29" x14ac:dyDescent="0.35">
      <c r="D894">
        <f t="shared" si="240"/>
        <v>890</v>
      </c>
      <c r="E894" s="101">
        <v>7</v>
      </c>
      <c r="F894" s="4">
        <v>7</v>
      </c>
      <c r="G894" s="4">
        <v>4</v>
      </c>
      <c r="H894" s="4">
        <v>2</v>
      </c>
      <c r="I894" s="4">
        <v>2</v>
      </c>
      <c r="J894" s="4">
        <v>1</v>
      </c>
      <c r="K894" s="102">
        <v>1</v>
      </c>
      <c r="M894" s="101">
        <f t="shared" si="225"/>
        <v>29</v>
      </c>
      <c r="N894" s="4">
        <f t="shared" si="226"/>
        <v>29</v>
      </c>
      <c r="O894" s="4">
        <f t="shared" si="227"/>
        <v>12</v>
      </c>
      <c r="P894" s="4">
        <f t="shared" si="228"/>
        <v>56</v>
      </c>
      <c r="Q894" s="4">
        <f t="shared" si="229"/>
        <v>56</v>
      </c>
      <c r="R894" s="4">
        <f t="shared" si="230"/>
        <v>34</v>
      </c>
      <c r="S894" s="102">
        <f t="shared" si="231"/>
        <v>34</v>
      </c>
      <c r="U894" s="101">
        <f t="shared" si="232"/>
        <v>41</v>
      </c>
      <c r="V894" s="4">
        <f t="shared" si="233"/>
        <v>41</v>
      </c>
      <c r="W894" s="4">
        <f t="shared" si="234"/>
        <v>9</v>
      </c>
      <c r="X894" s="4">
        <f t="shared" si="235"/>
        <v>78</v>
      </c>
      <c r="Y894" s="4">
        <f t="shared" si="236"/>
        <v>78</v>
      </c>
      <c r="Z894" s="4">
        <f t="shared" si="237"/>
        <v>46</v>
      </c>
      <c r="AA894" s="102">
        <f t="shared" si="238"/>
        <v>46</v>
      </c>
      <c r="AC894" s="100">
        <f t="shared" si="239"/>
        <v>0.99560182685057708</v>
      </c>
    </row>
    <row r="895" spans="4:29" x14ac:dyDescent="0.35">
      <c r="D895">
        <f t="shared" si="240"/>
        <v>891</v>
      </c>
      <c r="E895" s="101">
        <v>7</v>
      </c>
      <c r="F895" s="4">
        <v>1</v>
      </c>
      <c r="G895" s="4">
        <v>1</v>
      </c>
      <c r="H895" s="4">
        <v>6</v>
      </c>
      <c r="I895" s="4">
        <v>3</v>
      </c>
      <c r="J895" s="4">
        <v>3</v>
      </c>
      <c r="K895" s="102">
        <v>3</v>
      </c>
      <c r="M895" s="101">
        <f t="shared" si="225"/>
        <v>29</v>
      </c>
      <c r="N895" s="4">
        <f t="shared" si="226"/>
        <v>34</v>
      </c>
      <c r="O895" s="4">
        <f t="shared" si="227"/>
        <v>34</v>
      </c>
      <c r="P895" s="4">
        <f t="shared" si="228"/>
        <v>45</v>
      </c>
      <c r="Q895" s="4">
        <f t="shared" si="229"/>
        <v>23</v>
      </c>
      <c r="R895" s="4">
        <f t="shared" si="230"/>
        <v>23</v>
      </c>
      <c r="S895" s="102">
        <f t="shared" si="231"/>
        <v>23</v>
      </c>
      <c r="U895" s="101">
        <f t="shared" si="232"/>
        <v>41</v>
      </c>
      <c r="V895" s="4">
        <f t="shared" si="233"/>
        <v>46</v>
      </c>
      <c r="W895" s="4">
        <f t="shared" si="234"/>
        <v>46</v>
      </c>
      <c r="X895" s="4">
        <f t="shared" si="235"/>
        <v>71</v>
      </c>
      <c r="Y895" s="4">
        <f t="shared" si="236"/>
        <v>39</v>
      </c>
      <c r="Z895" s="4">
        <f t="shared" si="237"/>
        <v>39</v>
      </c>
      <c r="AA895" s="102">
        <f t="shared" si="238"/>
        <v>39</v>
      </c>
      <c r="AC895" s="100">
        <f t="shared" si="239"/>
        <v>0.92808379198534385</v>
      </c>
    </row>
    <row r="896" spans="4:29" x14ac:dyDescent="0.35">
      <c r="D896">
        <f t="shared" si="240"/>
        <v>892</v>
      </c>
      <c r="E896" s="101">
        <v>4</v>
      </c>
      <c r="F896" s="4">
        <v>6</v>
      </c>
      <c r="G896" s="4">
        <v>7</v>
      </c>
      <c r="H896" s="4">
        <v>3</v>
      </c>
      <c r="I896" s="4">
        <v>2</v>
      </c>
      <c r="J896" s="4">
        <v>4</v>
      </c>
      <c r="K896" s="102">
        <v>1</v>
      </c>
      <c r="M896" s="101">
        <f t="shared" si="225"/>
        <v>12</v>
      </c>
      <c r="N896" s="4">
        <f t="shared" si="226"/>
        <v>45</v>
      </c>
      <c r="O896" s="4">
        <f t="shared" si="227"/>
        <v>29</v>
      </c>
      <c r="P896" s="4">
        <f t="shared" si="228"/>
        <v>23</v>
      </c>
      <c r="Q896" s="4">
        <f t="shared" si="229"/>
        <v>56</v>
      </c>
      <c r="R896" s="4">
        <f t="shared" si="230"/>
        <v>12</v>
      </c>
      <c r="S896" s="102">
        <f t="shared" si="231"/>
        <v>34</v>
      </c>
      <c r="U896" s="101">
        <f t="shared" si="232"/>
        <v>9</v>
      </c>
      <c r="V896" s="4">
        <f t="shared" si="233"/>
        <v>71</v>
      </c>
      <c r="W896" s="4">
        <f t="shared" si="234"/>
        <v>41</v>
      </c>
      <c r="X896" s="4">
        <f t="shared" si="235"/>
        <v>39</v>
      </c>
      <c r="Y896" s="4">
        <f t="shared" si="236"/>
        <v>78</v>
      </c>
      <c r="Z896" s="4">
        <f t="shared" si="237"/>
        <v>9</v>
      </c>
      <c r="AA896" s="102">
        <f t="shared" si="238"/>
        <v>46</v>
      </c>
      <c r="AC896" s="100">
        <f t="shared" si="239"/>
        <v>0.98093682314678299</v>
      </c>
    </row>
    <row r="897" spans="4:29" x14ac:dyDescent="0.35">
      <c r="D897">
        <f t="shared" si="240"/>
        <v>893</v>
      </c>
      <c r="E897" s="101">
        <v>6</v>
      </c>
      <c r="F897" s="4">
        <v>2</v>
      </c>
      <c r="G897" s="4">
        <v>3</v>
      </c>
      <c r="H897" s="4">
        <v>6</v>
      </c>
      <c r="I897" s="4">
        <v>1</v>
      </c>
      <c r="J897" s="4">
        <v>5</v>
      </c>
      <c r="K897" s="102">
        <v>6</v>
      </c>
      <c r="M897" s="101">
        <f t="shared" si="225"/>
        <v>45</v>
      </c>
      <c r="N897" s="4">
        <f t="shared" si="226"/>
        <v>56</v>
      </c>
      <c r="O897" s="4">
        <f t="shared" si="227"/>
        <v>23</v>
      </c>
      <c r="P897" s="4">
        <f t="shared" si="228"/>
        <v>45</v>
      </c>
      <c r="Q897" s="4">
        <f t="shared" si="229"/>
        <v>34</v>
      </c>
      <c r="R897" s="4">
        <f t="shared" si="230"/>
        <v>30</v>
      </c>
      <c r="S897" s="102">
        <f t="shared" si="231"/>
        <v>45</v>
      </c>
      <c r="U897" s="101">
        <f t="shared" si="232"/>
        <v>71</v>
      </c>
      <c r="V897" s="4">
        <f t="shared" si="233"/>
        <v>78</v>
      </c>
      <c r="W897" s="4">
        <f t="shared" si="234"/>
        <v>39</v>
      </c>
      <c r="X897" s="4">
        <f t="shared" si="235"/>
        <v>71</v>
      </c>
      <c r="Y897" s="4">
        <f t="shared" si="236"/>
        <v>46</v>
      </c>
      <c r="Z897" s="4">
        <f t="shared" si="237"/>
        <v>39</v>
      </c>
      <c r="AA897" s="102">
        <f t="shared" si="238"/>
        <v>71</v>
      </c>
      <c r="AC897" s="100">
        <f t="shared" si="239"/>
        <v>0.95582307911211317</v>
      </c>
    </row>
    <row r="898" spans="4:29" x14ac:dyDescent="0.35">
      <c r="D898">
        <f t="shared" si="240"/>
        <v>894</v>
      </c>
      <c r="E898" s="101">
        <v>6</v>
      </c>
      <c r="F898" s="4">
        <v>1</v>
      </c>
      <c r="G898" s="4">
        <v>1</v>
      </c>
      <c r="H898" s="4">
        <v>6</v>
      </c>
      <c r="I898" s="4">
        <v>4</v>
      </c>
      <c r="J898" s="4">
        <v>1</v>
      </c>
      <c r="K898" s="102">
        <v>1</v>
      </c>
      <c r="M898" s="101">
        <f t="shared" si="225"/>
        <v>45</v>
      </c>
      <c r="N898" s="4">
        <f t="shared" si="226"/>
        <v>34</v>
      </c>
      <c r="O898" s="4">
        <f t="shared" si="227"/>
        <v>34</v>
      </c>
      <c r="P898" s="4">
        <f t="shared" si="228"/>
        <v>45</v>
      </c>
      <c r="Q898" s="4">
        <f t="shared" si="229"/>
        <v>12</v>
      </c>
      <c r="R898" s="4">
        <f t="shared" si="230"/>
        <v>34</v>
      </c>
      <c r="S898" s="102">
        <f t="shared" si="231"/>
        <v>34</v>
      </c>
      <c r="U898" s="101">
        <f t="shared" si="232"/>
        <v>71</v>
      </c>
      <c r="V898" s="4">
        <f t="shared" si="233"/>
        <v>46</v>
      </c>
      <c r="W898" s="4">
        <f t="shared" si="234"/>
        <v>46</v>
      </c>
      <c r="X898" s="4">
        <f t="shared" si="235"/>
        <v>71</v>
      </c>
      <c r="Y898" s="4">
        <f t="shared" si="236"/>
        <v>9</v>
      </c>
      <c r="Z898" s="4">
        <f t="shared" si="237"/>
        <v>46</v>
      </c>
      <c r="AA898" s="102">
        <f t="shared" si="238"/>
        <v>46</v>
      </c>
      <c r="AC898" s="100">
        <f t="shared" si="239"/>
        <v>0.99377789736226618</v>
      </c>
    </row>
    <row r="899" spans="4:29" x14ac:dyDescent="0.35">
      <c r="D899">
        <f t="shared" si="240"/>
        <v>895</v>
      </c>
      <c r="E899" s="101">
        <v>3</v>
      </c>
      <c r="F899" s="4">
        <v>5</v>
      </c>
      <c r="G899" s="4">
        <v>6</v>
      </c>
      <c r="H899" s="4">
        <v>4</v>
      </c>
      <c r="I899" s="4">
        <v>3</v>
      </c>
      <c r="J899" s="4">
        <v>3</v>
      </c>
      <c r="K899" s="102">
        <v>5</v>
      </c>
      <c r="M899" s="101">
        <f t="shared" si="225"/>
        <v>23</v>
      </c>
      <c r="N899" s="4">
        <f t="shared" si="226"/>
        <v>30</v>
      </c>
      <c r="O899" s="4">
        <f t="shared" si="227"/>
        <v>45</v>
      </c>
      <c r="P899" s="4">
        <f t="shared" si="228"/>
        <v>12</v>
      </c>
      <c r="Q899" s="4">
        <f t="shared" si="229"/>
        <v>23</v>
      </c>
      <c r="R899" s="4">
        <f t="shared" si="230"/>
        <v>23</v>
      </c>
      <c r="S899" s="102">
        <f t="shared" si="231"/>
        <v>30</v>
      </c>
      <c r="U899" s="101">
        <f t="shared" si="232"/>
        <v>39</v>
      </c>
      <c r="V899" s="4">
        <f t="shared" si="233"/>
        <v>39</v>
      </c>
      <c r="W899" s="4">
        <f t="shared" si="234"/>
        <v>71</v>
      </c>
      <c r="X899" s="4">
        <f t="shared" si="235"/>
        <v>9</v>
      </c>
      <c r="Y899" s="4">
        <f t="shared" si="236"/>
        <v>39</v>
      </c>
      <c r="Z899" s="4">
        <f t="shared" si="237"/>
        <v>39</v>
      </c>
      <c r="AA899" s="102">
        <f t="shared" si="238"/>
        <v>39</v>
      </c>
      <c r="AC899" s="100">
        <f t="shared" si="239"/>
        <v>0.94512419378743617</v>
      </c>
    </row>
    <row r="900" spans="4:29" x14ac:dyDescent="0.35">
      <c r="D900">
        <f t="shared" si="240"/>
        <v>896</v>
      </c>
      <c r="E900" s="101">
        <v>6</v>
      </c>
      <c r="F900" s="4">
        <v>5</v>
      </c>
      <c r="G900" s="4">
        <v>2</v>
      </c>
      <c r="H900" s="4">
        <v>1</v>
      </c>
      <c r="I900" s="4">
        <v>5</v>
      </c>
      <c r="J900" s="4">
        <v>2</v>
      </c>
      <c r="K900" s="102">
        <v>2</v>
      </c>
      <c r="M900" s="101">
        <f t="shared" si="225"/>
        <v>45</v>
      </c>
      <c r="N900" s="4">
        <f t="shared" si="226"/>
        <v>30</v>
      </c>
      <c r="O900" s="4">
        <f t="shared" si="227"/>
        <v>56</v>
      </c>
      <c r="P900" s="4">
        <f t="shared" si="228"/>
        <v>34</v>
      </c>
      <c r="Q900" s="4">
        <f t="shared" si="229"/>
        <v>30</v>
      </c>
      <c r="R900" s="4">
        <f t="shared" si="230"/>
        <v>56</v>
      </c>
      <c r="S900" s="102">
        <f t="shared" si="231"/>
        <v>56</v>
      </c>
      <c r="U900" s="101">
        <f t="shared" si="232"/>
        <v>71</v>
      </c>
      <c r="V900" s="4">
        <f t="shared" si="233"/>
        <v>39</v>
      </c>
      <c r="W900" s="4">
        <f t="shared" si="234"/>
        <v>78</v>
      </c>
      <c r="X900" s="4">
        <f t="shared" si="235"/>
        <v>46</v>
      </c>
      <c r="Y900" s="4">
        <f t="shared" si="236"/>
        <v>39</v>
      </c>
      <c r="Z900" s="4">
        <f t="shared" si="237"/>
        <v>78</v>
      </c>
      <c r="AA900" s="102">
        <f t="shared" si="238"/>
        <v>78</v>
      </c>
      <c r="AC900" s="100">
        <f t="shared" si="239"/>
        <v>0.98236324623229898</v>
      </c>
    </row>
    <row r="901" spans="4:29" x14ac:dyDescent="0.35">
      <c r="D901">
        <f t="shared" si="240"/>
        <v>897</v>
      </c>
      <c r="E901" s="101">
        <v>6</v>
      </c>
      <c r="F901" s="4">
        <v>4</v>
      </c>
      <c r="G901" s="4">
        <v>7</v>
      </c>
      <c r="H901" s="4">
        <v>6</v>
      </c>
      <c r="I901" s="4">
        <v>7</v>
      </c>
      <c r="J901" s="4">
        <v>6</v>
      </c>
      <c r="K901" s="102">
        <v>5</v>
      </c>
      <c r="M901" s="101">
        <f t="shared" si="225"/>
        <v>45</v>
      </c>
      <c r="N901" s="4">
        <f t="shared" si="226"/>
        <v>12</v>
      </c>
      <c r="O901" s="4">
        <f t="shared" si="227"/>
        <v>29</v>
      </c>
      <c r="P901" s="4">
        <f t="shared" si="228"/>
        <v>45</v>
      </c>
      <c r="Q901" s="4">
        <f t="shared" si="229"/>
        <v>29</v>
      </c>
      <c r="R901" s="4">
        <f t="shared" si="230"/>
        <v>45</v>
      </c>
      <c r="S901" s="102">
        <f t="shared" si="231"/>
        <v>30</v>
      </c>
      <c r="U901" s="101">
        <f t="shared" si="232"/>
        <v>71</v>
      </c>
      <c r="V901" s="4">
        <f t="shared" si="233"/>
        <v>9</v>
      </c>
      <c r="W901" s="4">
        <f t="shared" si="234"/>
        <v>41</v>
      </c>
      <c r="X901" s="4">
        <f t="shared" si="235"/>
        <v>71</v>
      </c>
      <c r="Y901" s="4">
        <f t="shared" si="236"/>
        <v>41</v>
      </c>
      <c r="Z901" s="4">
        <f t="shared" si="237"/>
        <v>71</v>
      </c>
      <c r="AA901" s="102">
        <f t="shared" si="238"/>
        <v>39</v>
      </c>
      <c r="AC901" s="100">
        <f t="shared" si="239"/>
        <v>0.99810099745416592</v>
      </c>
    </row>
    <row r="902" spans="4:29" x14ac:dyDescent="0.35">
      <c r="D902">
        <f t="shared" si="240"/>
        <v>898</v>
      </c>
      <c r="E902" s="101">
        <v>6</v>
      </c>
      <c r="F902" s="4">
        <v>2</v>
      </c>
      <c r="G902" s="4">
        <v>2</v>
      </c>
      <c r="H902" s="4">
        <v>1</v>
      </c>
      <c r="I902" s="4">
        <v>3</v>
      </c>
      <c r="J902" s="4">
        <v>1</v>
      </c>
      <c r="K902" s="102">
        <v>6</v>
      </c>
      <c r="M902" s="101">
        <f t="shared" ref="M902:M965" si="241">INDEX($A$5:$A$11,E902)</f>
        <v>45</v>
      </c>
      <c r="N902" s="4">
        <f t="shared" ref="N902:N965" si="242">INDEX($A$5:$A$11,F902)</f>
        <v>56</v>
      </c>
      <c r="O902" s="4">
        <f t="shared" ref="O902:O965" si="243">INDEX($A$5:$A$11,G902)</f>
        <v>56</v>
      </c>
      <c r="P902" s="4">
        <f t="shared" ref="P902:P965" si="244">INDEX($A$5:$A$11,H902)</f>
        <v>34</v>
      </c>
      <c r="Q902" s="4">
        <f t="shared" ref="Q902:Q965" si="245">INDEX($A$5:$A$11,I902)</f>
        <v>23</v>
      </c>
      <c r="R902" s="4">
        <f t="shared" ref="R902:R965" si="246">INDEX($A$5:$A$11,J902)</f>
        <v>34</v>
      </c>
      <c r="S902" s="102">
        <f t="shared" ref="S902:S965" si="247">INDEX($A$5:$A$11,K902)</f>
        <v>45</v>
      </c>
      <c r="U902" s="101">
        <f t="shared" ref="U902:U965" si="248">INDEX($B$5:$B$11,E902)</f>
        <v>71</v>
      </c>
      <c r="V902" s="4">
        <f t="shared" ref="V902:V965" si="249">INDEX($B$5:$B$11,F902)</f>
        <v>78</v>
      </c>
      <c r="W902" s="4">
        <f t="shared" ref="W902:W965" si="250">INDEX($B$5:$B$11,G902)</f>
        <v>78</v>
      </c>
      <c r="X902" s="4">
        <f t="shared" ref="X902:X965" si="251">INDEX($B$5:$B$11,H902)</f>
        <v>46</v>
      </c>
      <c r="Y902" s="4">
        <f t="shared" ref="Y902:Y965" si="252">INDEX($B$5:$B$11,I902)</f>
        <v>39</v>
      </c>
      <c r="Z902" s="4">
        <f t="shared" ref="Z902:Z965" si="253">INDEX($B$5:$B$11,J902)</f>
        <v>46</v>
      </c>
      <c r="AA902" s="102">
        <f t="shared" ref="AA902:AA965" si="254">INDEX($B$5:$B$11,K902)</f>
        <v>71</v>
      </c>
      <c r="AC902" s="100">
        <f t="shared" ref="AC902:AC965" si="255">CORREL(M902:S902,U902:AA902)</f>
        <v>0.96290515431238699</v>
      </c>
    </row>
    <row r="903" spans="4:29" x14ac:dyDescent="0.35">
      <c r="D903">
        <f t="shared" ref="D903:D966" si="256">D902+1</f>
        <v>899</v>
      </c>
      <c r="E903" s="101">
        <v>3</v>
      </c>
      <c r="F903" s="4">
        <v>5</v>
      </c>
      <c r="G903" s="4">
        <v>7</v>
      </c>
      <c r="H903" s="4">
        <v>2</v>
      </c>
      <c r="I903" s="4">
        <v>2</v>
      </c>
      <c r="J903" s="4">
        <v>2</v>
      </c>
      <c r="K903" s="102">
        <v>7</v>
      </c>
      <c r="M903" s="101">
        <f t="shared" si="241"/>
        <v>23</v>
      </c>
      <c r="N903" s="4">
        <f t="shared" si="242"/>
        <v>30</v>
      </c>
      <c r="O903" s="4">
        <f t="shared" si="243"/>
        <v>29</v>
      </c>
      <c r="P903" s="4">
        <f t="shared" si="244"/>
        <v>56</v>
      </c>
      <c r="Q903" s="4">
        <f t="shared" si="245"/>
        <v>56</v>
      </c>
      <c r="R903" s="4">
        <f t="shared" si="246"/>
        <v>56</v>
      </c>
      <c r="S903" s="102">
        <f t="shared" si="247"/>
        <v>29</v>
      </c>
      <c r="U903" s="101">
        <f t="shared" si="248"/>
        <v>39</v>
      </c>
      <c r="V903" s="4">
        <f t="shared" si="249"/>
        <v>39</v>
      </c>
      <c r="W903" s="4">
        <f t="shared" si="250"/>
        <v>41</v>
      </c>
      <c r="X903" s="4">
        <f t="shared" si="251"/>
        <v>78</v>
      </c>
      <c r="Y903" s="4">
        <f t="shared" si="252"/>
        <v>78</v>
      </c>
      <c r="Z903" s="4">
        <f t="shared" si="253"/>
        <v>78</v>
      </c>
      <c r="AA903" s="102">
        <f t="shared" si="254"/>
        <v>41</v>
      </c>
      <c r="AC903" s="100">
        <f t="shared" si="255"/>
        <v>0.99083453767429663</v>
      </c>
    </row>
    <row r="904" spans="4:29" x14ac:dyDescent="0.35">
      <c r="D904">
        <f t="shared" si="256"/>
        <v>900</v>
      </c>
      <c r="E904" s="101">
        <v>4</v>
      </c>
      <c r="F904" s="4">
        <v>3</v>
      </c>
      <c r="G904" s="4">
        <v>2</v>
      </c>
      <c r="H904" s="4">
        <v>1</v>
      </c>
      <c r="I904" s="4">
        <v>2</v>
      </c>
      <c r="J904" s="4">
        <v>5</v>
      </c>
      <c r="K904" s="102">
        <v>6</v>
      </c>
      <c r="M904" s="101">
        <f t="shared" si="241"/>
        <v>12</v>
      </c>
      <c r="N904" s="4">
        <f t="shared" si="242"/>
        <v>23</v>
      </c>
      <c r="O904" s="4">
        <f t="shared" si="243"/>
        <v>56</v>
      </c>
      <c r="P904" s="4">
        <f t="shared" si="244"/>
        <v>34</v>
      </c>
      <c r="Q904" s="4">
        <f t="shared" si="245"/>
        <v>56</v>
      </c>
      <c r="R904" s="4">
        <f t="shared" si="246"/>
        <v>30</v>
      </c>
      <c r="S904" s="102">
        <f t="shared" si="247"/>
        <v>45</v>
      </c>
      <c r="U904" s="101">
        <f t="shared" si="248"/>
        <v>9</v>
      </c>
      <c r="V904" s="4">
        <f t="shared" si="249"/>
        <v>39</v>
      </c>
      <c r="W904" s="4">
        <f t="shared" si="250"/>
        <v>78</v>
      </c>
      <c r="X904" s="4">
        <f t="shared" si="251"/>
        <v>46</v>
      </c>
      <c r="Y904" s="4">
        <f t="shared" si="252"/>
        <v>78</v>
      </c>
      <c r="Z904" s="4">
        <f t="shared" si="253"/>
        <v>39</v>
      </c>
      <c r="AA904" s="102">
        <f t="shared" si="254"/>
        <v>71</v>
      </c>
      <c r="AC904" s="100">
        <f t="shared" si="255"/>
        <v>0.97891074760359631</v>
      </c>
    </row>
    <row r="905" spans="4:29" x14ac:dyDescent="0.35">
      <c r="D905">
        <f t="shared" si="256"/>
        <v>901</v>
      </c>
      <c r="E905" s="101">
        <v>5</v>
      </c>
      <c r="F905" s="4">
        <v>6</v>
      </c>
      <c r="G905" s="4">
        <v>1</v>
      </c>
      <c r="H905" s="4">
        <v>2</v>
      </c>
      <c r="I905" s="4">
        <v>4</v>
      </c>
      <c r="J905" s="4">
        <v>1</v>
      </c>
      <c r="K905" s="102">
        <v>6</v>
      </c>
      <c r="M905" s="101">
        <f t="shared" si="241"/>
        <v>30</v>
      </c>
      <c r="N905" s="4">
        <f t="shared" si="242"/>
        <v>45</v>
      </c>
      <c r="O905" s="4">
        <f t="shared" si="243"/>
        <v>34</v>
      </c>
      <c r="P905" s="4">
        <f t="shared" si="244"/>
        <v>56</v>
      </c>
      <c r="Q905" s="4">
        <f t="shared" si="245"/>
        <v>12</v>
      </c>
      <c r="R905" s="4">
        <f t="shared" si="246"/>
        <v>34</v>
      </c>
      <c r="S905" s="102">
        <f t="shared" si="247"/>
        <v>45</v>
      </c>
      <c r="U905" s="101">
        <f t="shared" si="248"/>
        <v>39</v>
      </c>
      <c r="V905" s="4">
        <f t="shared" si="249"/>
        <v>71</v>
      </c>
      <c r="W905" s="4">
        <f t="shared" si="250"/>
        <v>46</v>
      </c>
      <c r="X905" s="4">
        <f t="shared" si="251"/>
        <v>78</v>
      </c>
      <c r="Y905" s="4">
        <f t="shared" si="252"/>
        <v>9</v>
      </c>
      <c r="Z905" s="4">
        <f t="shared" si="253"/>
        <v>46</v>
      </c>
      <c r="AA905" s="102">
        <f t="shared" si="254"/>
        <v>71</v>
      </c>
      <c r="AC905" s="100">
        <f t="shared" si="255"/>
        <v>0.98542430833609496</v>
      </c>
    </row>
    <row r="906" spans="4:29" x14ac:dyDescent="0.35">
      <c r="D906">
        <f t="shared" si="256"/>
        <v>902</v>
      </c>
      <c r="E906" s="101">
        <v>2</v>
      </c>
      <c r="F906" s="4">
        <v>2</v>
      </c>
      <c r="G906" s="4">
        <v>5</v>
      </c>
      <c r="H906" s="4">
        <v>4</v>
      </c>
      <c r="I906" s="4">
        <v>6</v>
      </c>
      <c r="J906" s="4">
        <v>2</v>
      </c>
      <c r="K906" s="102">
        <v>5</v>
      </c>
      <c r="M906" s="101">
        <f t="shared" si="241"/>
        <v>56</v>
      </c>
      <c r="N906" s="4">
        <f t="shared" si="242"/>
        <v>56</v>
      </c>
      <c r="O906" s="4">
        <f t="shared" si="243"/>
        <v>30</v>
      </c>
      <c r="P906" s="4">
        <f t="shared" si="244"/>
        <v>12</v>
      </c>
      <c r="Q906" s="4">
        <f t="shared" si="245"/>
        <v>45</v>
      </c>
      <c r="R906" s="4">
        <f t="shared" si="246"/>
        <v>56</v>
      </c>
      <c r="S906" s="102">
        <f t="shared" si="247"/>
        <v>30</v>
      </c>
      <c r="U906" s="101">
        <f t="shared" si="248"/>
        <v>78</v>
      </c>
      <c r="V906" s="4">
        <f t="shared" si="249"/>
        <v>78</v>
      </c>
      <c r="W906" s="4">
        <f t="shared" si="250"/>
        <v>39</v>
      </c>
      <c r="X906" s="4">
        <f t="shared" si="251"/>
        <v>9</v>
      </c>
      <c r="Y906" s="4">
        <f t="shared" si="252"/>
        <v>71</v>
      </c>
      <c r="Z906" s="4">
        <f t="shared" si="253"/>
        <v>78</v>
      </c>
      <c r="AA906" s="102">
        <f t="shared" si="254"/>
        <v>39</v>
      </c>
      <c r="AC906" s="100">
        <f t="shared" si="255"/>
        <v>0.99053089351884605</v>
      </c>
    </row>
    <row r="907" spans="4:29" x14ac:dyDescent="0.35">
      <c r="D907">
        <f t="shared" si="256"/>
        <v>903</v>
      </c>
      <c r="E907" s="101">
        <v>3</v>
      </c>
      <c r="F907" s="4">
        <v>6</v>
      </c>
      <c r="G907" s="4">
        <v>1</v>
      </c>
      <c r="H907" s="4">
        <v>4</v>
      </c>
      <c r="I907" s="4">
        <v>4</v>
      </c>
      <c r="J907" s="4">
        <v>6</v>
      </c>
      <c r="K907" s="102">
        <v>5</v>
      </c>
      <c r="M907" s="101">
        <f t="shared" si="241"/>
        <v>23</v>
      </c>
      <c r="N907" s="4">
        <f t="shared" si="242"/>
        <v>45</v>
      </c>
      <c r="O907" s="4">
        <f t="shared" si="243"/>
        <v>34</v>
      </c>
      <c r="P907" s="4">
        <f t="shared" si="244"/>
        <v>12</v>
      </c>
      <c r="Q907" s="4">
        <f t="shared" si="245"/>
        <v>12</v>
      </c>
      <c r="R907" s="4">
        <f t="shared" si="246"/>
        <v>45</v>
      </c>
      <c r="S907" s="102">
        <f t="shared" si="247"/>
        <v>30</v>
      </c>
      <c r="U907" s="101">
        <f t="shared" si="248"/>
        <v>39</v>
      </c>
      <c r="V907" s="4">
        <f t="shared" si="249"/>
        <v>71</v>
      </c>
      <c r="W907" s="4">
        <f t="shared" si="250"/>
        <v>46</v>
      </c>
      <c r="X907" s="4">
        <f t="shared" si="251"/>
        <v>9</v>
      </c>
      <c r="Y907" s="4">
        <f t="shared" si="252"/>
        <v>9</v>
      </c>
      <c r="Z907" s="4">
        <f t="shared" si="253"/>
        <v>71</v>
      </c>
      <c r="AA907" s="102">
        <f t="shared" si="254"/>
        <v>39</v>
      </c>
      <c r="AC907" s="100">
        <f t="shared" si="255"/>
        <v>0.98512683740495666</v>
      </c>
    </row>
    <row r="908" spans="4:29" x14ac:dyDescent="0.35">
      <c r="D908">
        <f t="shared" si="256"/>
        <v>904</v>
      </c>
      <c r="E908" s="101">
        <v>2</v>
      </c>
      <c r="F908" s="4">
        <v>5</v>
      </c>
      <c r="G908" s="4">
        <v>1</v>
      </c>
      <c r="H908" s="4">
        <v>6</v>
      </c>
      <c r="I908" s="4">
        <v>2</v>
      </c>
      <c r="J908" s="4">
        <v>1</v>
      </c>
      <c r="K908" s="102">
        <v>7</v>
      </c>
      <c r="M908" s="101">
        <f t="shared" si="241"/>
        <v>56</v>
      </c>
      <c r="N908" s="4">
        <f t="shared" si="242"/>
        <v>30</v>
      </c>
      <c r="O908" s="4">
        <f t="shared" si="243"/>
        <v>34</v>
      </c>
      <c r="P908" s="4">
        <f t="shared" si="244"/>
        <v>45</v>
      </c>
      <c r="Q908" s="4">
        <f t="shared" si="245"/>
        <v>56</v>
      </c>
      <c r="R908" s="4">
        <f t="shared" si="246"/>
        <v>34</v>
      </c>
      <c r="S908" s="102">
        <f t="shared" si="247"/>
        <v>29</v>
      </c>
      <c r="U908" s="101">
        <f t="shared" si="248"/>
        <v>78</v>
      </c>
      <c r="V908" s="4">
        <f t="shared" si="249"/>
        <v>39</v>
      </c>
      <c r="W908" s="4">
        <f t="shared" si="250"/>
        <v>46</v>
      </c>
      <c r="X908" s="4">
        <f t="shared" si="251"/>
        <v>71</v>
      </c>
      <c r="Y908" s="4">
        <f t="shared" si="252"/>
        <v>78</v>
      </c>
      <c r="Z908" s="4">
        <f t="shared" si="253"/>
        <v>46</v>
      </c>
      <c r="AA908" s="102">
        <f t="shared" si="254"/>
        <v>41</v>
      </c>
      <c r="AC908" s="100">
        <f t="shared" si="255"/>
        <v>0.98081722785661296</v>
      </c>
    </row>
    <row r="909" spans="4:29" x14ac:dyDescent="0.35">
      <c r="D909">
        <f t="shared" si="256"/>
        <v>905</v>
      </c>
      <c r="E909" s="101">
        <v>4</v>
      </c>
      <c r="F909" s="4">
        <v>6</v>
      </c>
      <c r="G909" s="4">
        <v>3</v>
      </c>
      <c r="H909" s="4">
        <v>3</v>
      </c>
      <c r="I909" s="4">
        <v>5</v>
      </c>
      <c r="J909" s="4">
        <v>6</v>
      </c>
      <c r="K909" s="102">
        <v>3</v>
      </c>
      <c r="M909" s="101">
        <f t="shared" si="241"/>
        <v>12</v>
      </c>
      <c r="N909" s="4">
        <f t="shared" si="242"/>
        <v>45</v>
      </c>
      <c r="O909" s="4">
        <f t="shared" si="243"/>
        <v>23</v>
      </c>
      <c r="P909" s="4">
        <f t="shared" si="244"/>
        <v>23</v>
      </c>
      <c r="Q909" s="4">
        <f t="shared" si="245"/>
        <v>30</v>
      </c>
      <c r="R909" s="4">
        <f t="shared" si="246"/>
        <v>45</v>
      </c>
      <c r="S909" s="102">
        <f t="shared" si="247"/>
        <v>23</v>
      </c>
      <c r="U909" s="101">
        <f t="shared" si="248"/>
        <v>9</v>
      </c>
      <c r="V909" s="4">
        <f t="shared" si="249"/>
        <v>71</v>
      </c>
      <c r="W909" s="4">
        <f t="shared" si="250"/>
        <v>39</v>
      </c>
      <c r="X909" s="4">
        <f t="shared" si="251"/>
        <v>39</v>
      </c>
      <c r="Y909" s="4">
        <f t="shared" si="252"/>
        <v>39</v>
      </c>
      <c r="Z909" s="4">
        <f t="shared" si="253"/>
        <v>71</v>
      </c>
      <c r="AA909" s="102">
        <f t="shared" si="254"/>
        <v>39</v>
      </c>
      <c r="AC909" s="100">
        <f t="shared" si="255"/>
        <v>0.9703695718742763</v>
      </c>
    </row>
    <row r="910" spans="4:29" x14ac:dyDescent="0.35">
      <c r="D910">
        <f t="shared" si="256"/>
        <v>906</v>
      </c>
      <c r="E910" s="101">
        <v>7</v>
      </c>
      <c r="F910" s="4">
        <v>6</v>
      </c>
      <c r="G910" s="4">
        <v>3</v>
      </c>
      <c r="H910" s="4">
        <v>2</v>
      </c>
      <c r="I910" s="4">
        <v>5</v>
      </c>
      <c r="J910" s="4">
        <v>3</v>
      </c>
      <c r="K910" s="102">
        <v>7</v>
      </c>
      <c r="M910" s="101">
        <f t="shared" si="241"/>
        <v>29</v>
      </c>
      <c r="N910" s="4">
        <f t="shared" si="242"/>
        <v>45</v>
      </c>
      <c r="O910" s="4">
        <f t="shared" si="243"/>
        <v>23</v>
      </c>
      <c r="P910" s="4">
        <f t="shared" si="244"/>
        <v>56</v>
      </c>
      <c r="Q910" s="4">
        <f t="shared" si="245"/>
        <v>30</v>
      </c>
      <c r="R910" s="4">
        <f t="shared" si="246"/>
        <v>23</v>
      </c>
      <c r="S910" s="102">
        <f t="shared" si="247"/>
        <v>29</v>
      </c>
      <c r="U910" s="101">
        <f t="shared" si="248"/>
        <v>41</v>
      </c>
      <c r="V910" s="4">
        <f t="shared" si="249"/>
        <v>71</v>
      </c>
      <c r="W910" s="4">
        <f t="shared" si="250"/>
        <v>39</v>
      </c>
      <c r="X910" s="4">
        <f t="shared" si="251"/>
        <v>78</v>
      </c>
      <c r="Y910" s="4">
        <f t="shared" si="252"/>
        <v>39</v>
      </c>
      <c r="Z910" s="4">
        <f t="shared" si="253"/>
        <v>39</v>
      </c>
      <c r="AA910" s="102">
        <f t="shared" si="254"/>
        <v>41</v>
      </c>
      <c r="AC910" s="100">
        <f t="shared" si="255"/>
        <v>0.96770834546480855</v>
      </c>
    </row>
    <row r="911" spans="4:29" x14ac:dyDescent="0.35">
      <c r="D911">
        <f t="shared" si="256"/>
        <v>907</v>
      </c>
      <c r="E911" s="101">
        <v>3</v>
      </c>
      <c r="F911" s="4">
        <v>6</v>
      </c>
      <c r="G911" s="4">
        <v>7</v>
      </c>
      <c r="H911" s="4">
        <v>2</v>
      </c>
      <c r="I911" s="4">
        <v>5</v>
      </c>
      <c r="J911" s="4">
        <v>1</v>
      </c>
      <c r="K911" s="102">
        <v>3</v>
      </c>
      <c r="M911" s="101">
        <f t="shared" si="241"/>
        <v>23</v>
      </c>
      <c r="N911" s="4">
        <f t="shared" si="242"/>
        <v>45</v>
      </c>
      <c r="O911" s="4">
        <f t="shared" si="243"/>
        <v>29</v>
      </c>
      <c r="P911" s="4">
        <f t="shared" si="244"/>
        <v>56</v>
      </c>
      <c r="Q911" s="4">
        <f t="shared" si="245"/>
        <v>30</v>
      </c>
      <c r="R911" s="4">
        <f t="shared" si="246"/>
        <v>34</v>
      </c>
      <c r="S911" s="102">
        <f t="shared" si="247"/>
        <v>23</v>
      </c>
      <c r="U911" s="101">
        <f t="shared" si="248"/>
        <v>39</v>
      </c>
      <c r="V911" s="4">
        <f t="shared" si="249"/>
        <v>71</v>
      </c>
      <c r="W911" s="4">
        <f t="shared" si="250"/>
        <v>41</v>
      </c>
      <c r="X911" s="4">
        <f t="shared" si="251"/>
        <v>78</v>
      </c>
      <c r="Y911" s="4">
        <f t="shared" si="252"/>
        <v>39</v>
      </c>
      <c r="Z911" s="4">
        <f t="shared" si="253"/>
        <v>46</v>
      </c>
      <c r="AA911" s="102">
        <f t="shared" si="254"/>
        <v>39</v>
      </c>
      <c r="AC911" s="100">
        <f t="shared" si="255"/>
        <v>0.96300439634993629</v>
      </c>
    </row>
    <row r="912" spans="4:29" x14ac:dyDescent="0.35">
      <c r="D912">
        <f t="shared" si="256"/>
        <v>908</v>
      </c>
      <c r="E912" s="101">
        <v>2</v>
      </c>
      <c r="F912" s="4">
        <v>2</v>
      </c>
      <c r="G912" s="4">
        <v>1</v>
      </c>
      <c r="H912" s="4">
        <v>5</v>
      </c>
      <c r="I912" s="4">
        <v>2</v>
      </c>
      <c r="J912" s="4">
        <v>6</v>
      </c>
      <c r="K912" s="102">
        <v>6</v>
      </c>
      <c r="M912" s="101">
        <f t="shared" si="241"/>
        <v>56</v>
      </c>
      <c r="N912" s="4">
        <f t="shared" si="242"/>
        <v>56</v>
      </c>
      <c r="O912" s="4">
        <f t="shared" si="243"/>
        <v>34</v>
      </c>
      <c r="P912" s="4">
        <f t="shared" si="244"/>
        <v>30</v>
      </c>
      <c r="Q912" s="4">
        <f t="shared" si="245"/>
        <v>56</v>
      </c>
      <c r="R912" s="4">
        <f t="shared" si="246"/>
        <v>45</v>
      </c>
      <c r="S912" s="102">
        <f t="shared" si="247"/>
        <v>45</v>
      </c>
      <c r="U912" s="101">
        <f t="shared" si="248"/>
        <v>78</v>
      </c>
      <c r="V912" s="4">
        <f t="shared" si="249"/>
        <v>78</v>
      </c>
      <c r="W912" s="4">
        <f t="shared" si="250"/>
        <v>46</v>
      </c>
      <c r="X912" s="4">
        <f t="shared" si="251"/>
        <v>39</v>
      </c>
      <c r="Y912" s="4">
        <f t="shared" si="252"/>
        <v>78</v>
      </c>
      <c r="Z912" s="4">
        <f t="shared" si="253"/>
        <v>71</v>
      </c>
      <c r="AA912" s="102">
        <f t="shared" si="254"/>
        <v>71</v>
      </c>
      <c r="AC912" s="100">
        <f t="shared" si="255"/>
        <v>0.96106735613386018</v>
      </c>
    </row>
    <row r="913" spans="4:29" x14ac:dyDescent="0.35">
      <c r="D913">
        <f t="shared" si="256"/>
        <v>909</v>
      </c>
      <c r="E913" s="101">
        <v>6</v>
      </c>
      <c r="F913" s="4">
        <v>1</v>
      </c>
      <c r="G913" s="4">
        <v>3</v>
      </c>
      <c r="H913" s="4">
        <v>5</v>
      </c>
      <c r="I913" s="4">
        <v>3</v>
      </c>
      <c r="J913" s="4">
        <v>7</v>
      </c>
      <c r="K913" s="102">
        <v>4</v>
      </c>
      <c r="M913" s="101">
        <f t="shared" si="241"/>
        <v>45</v>
      </c>
      <c r="N913" s="4">
        <f t="shared" si="242"/>
        <v>34</v>
      </c>
      <c r="O913" s="4">
        <f t="shared" si="243"/>
        <v>23</v>
      </c>
      <c r="P913" s="4">
        <f t="shared" si="244"/>
        <v>30</v>
      </c>
      <c r="Q913" s="4">
        <f t="shared" si="245"/>
        <v>23</v>
      </c>
      <c r="R913" s="4">
        <f t="shared" si="246"/>
        <v>29</v>
      </c>
      <c r="S913" s="102">
        <f t="shared" si="247"/>
        <v>12</v>
      </c>
      <c r="U913" s="101">
        <f t="shared" si="248"/>
        <v>71</v>
      </c>
      <c r="V913" s="4">
        <f t="shared" si="249"/>
        <v>46</v>
      </c>
      <c r="W913" s="4">
        <f t="shared" si="250"/>
        <v>39</v>
      </c>
      <c r="X913" s="4">
        <f t="shared" si="251"/>
        <v>39</v>
      </c>
      <c r="Y913" s="4">
        <f t="shared" si="252"/>
        <v>39</v>
      </c>
      <c r="Z913" s="4">
        <f t="shared" si="253"/>
        <v>41</v>
      </c>
      <c r="AA913" s="102">
        <f t="shared" si="254"/>
        <v>9</v>
      </c>
      <c r="AC913" s="100">
        <f t="shared" si="255"/>
        <v>0.95663510890125902</v>
      </c>
    </row>
    <row r="914" spans="4:29" x14ac:dyDescent="0.35">
      <c r="D914">
        <f t="shared" si="256"/>
        <v>910</v>
      </c>
      <c r="E914" s="101">
        <v>1</v>
      </c>
      <c r="F914" s="4">
        <v>1</v>
      </c>
      <c r="G914" s="4">
        <v>6</v>
      </c>
      <c r="H914" s="4">
        <v>4</v>
      </c>
      <c r="I914" s="4">
        <v>7</v>
      </c>
      <c r="J914" s="4">
        <v>4</v>
      </c>
      <c r="K914" s="102">
        <v>7</v>
      </c>
      <c r="M914" s="101">
        <f t="shared" si="241"/>
        <v>34</v>
      </c>
      <c r="N914" s="4">
        <f t="shared" si="242"/>
        <v>34</v>
      </c>
      <c r="O914" s="4">
        <f t="shared" si="243"/>
        <v>45</v>
      </c>
      <c r="P914" s="4">
        <f t="shared" si="244"/>
        <v>12</v>
      </c>
      <c r="Q914" s="4">
        <f t="shared" si="245"/>
        <v>29</v>
      </c>
      <c r="R914" s="4">
        <f t="shared" si="246"/>
        <v>12</v>
      </c>
      <c r="S914" s="102">
        <f t="shared" si="247"/>
        <v>29</v>
      </c>
      <c r="U914" s="101">
        <f t="shared" si="248"/>
        <v>46</v>
      </c>
      <c r="V914" s="4">
        <f t="shared" si="249"/>
        <v>46</v>
      </c>
      <c r="W914" s="4">
        <f t="shared" si="250"/>
        <v>71</v>
      </c>
      <c r="X914" s="4">
        <f t="shared" si="251"/>
        <v>9</v>
      </c>
      <c r="Y914" s="4">
        <f t="shared" si="252"/>
        <v>41</v>
      </c>
      <c r="Z914" s="4">
        <f t="shared" si="253"/>
        <v>9</v>
      </c>
      <c r="AA914" s="102">
        <f t="shared" si="254"/>
        <v>41</v>
      </c>
      <c r="AC914" s="100">
        <f t="shared" si="255"/>
        <v>0.99589172460060738</v>
      </c>
    </row>
    <row r="915" spans="4:29" x14ac:dyDescent="0.35">
      <c r="D915">
        <f t="shared" si="256"/>
        <v>911</v>
      </c>
      <c r="E915" s="101">
        <v>5</v>
      </c>
      <c r="F915" s="4">
        <v>7</v>
      </c>
      <c r="G915" s="4">
        <v>4</v>
      </c>
      <c r="H915" s="4">
        <v>3</v>
      </c>
      <c r="I915" s="4">
        <v>5</v>
      </c>
      <c r="J915" s="4">
        <v>1</v>
      </c>
      <c r="K915" s="102">
        <v>7</v>
      </c>
      <c r="M915" s="101">
        <f t="shared" si="241"/>
        <v>30</v>
      </c>
      <c r="N915" s="4">
        <f t="shared" si="242"/>
        <v>29</v>
      </c>
      <c r="O915" s="4">
        <f t="shared" si="243"/>
        <v>12</v>
      </c>
      <c r="P915" s="4">
        <f t="shared" si="244"/>
        <v>23</v>
      </c>
      <c r="Q915" s="4">
        <f t="shared" si="245"/>
        <v>30</v>
      </c>
      <c r="R915" s="4">
        <f t="shared" si="246"/>
        <v>34</v>
      </c>
      <c r="S915" s="102">
        <f t="shared" si="247"/>
        <v>29</v>
      </c>
      <c r="U915" s="101">
        <f t="shared" si="248"/>
        <v>39</v>
      </c>
      <c r="V915" s="4">
        <f t="shared" si="249"/>
        <v>41</v>
      </c>
      <c r="W915" s="4">
        <f t="shared" si="250"/>
        <v>9</v>
      </c>
      <c r="X915" s="4">
        <f t="shared" si="251"/>
        <v>39</v>
      </c>
      <c r="Y915" s="4">
        <f t="shared" si="252"/>
        <v>39</v>
      </c>
      <c r="Z915" s="4">
        <f t="shared" si="253"/>
        <v>46</v>
      </c>
      <c r="AA915" s="102">
        <f t="shared" si="254"/>
        <v>41</v>
      </c>
      <c r="AC915" s="100">
        <f t="shared" si="255"/>
        <v>0.93854516668094634</v>
      </c>
    </row>
    <row r="916" spans="4:29" x14ac:dyDescent="0.35">
      <c r="D916">
        <f t="shared" si="256"/>
        <v>912</v>
      </c>
      <c r="E916" s="101">
        <v>4</v>
      </c>
      <c r="F916" s="4">
        <v>4</v>
      </c>
      <c r="G916" s="4">
        <v>3</v>
      </c>
      <c r="H916" s="4">
        <v>7</v>
      </c>
      <c r="I916" s="4">
        <v>2</v>
      </c>
      <c r="J916" s="4">
        <v>5</v>
      </c>
      <c r="K916" s="102">
        <v>5</v>
      </c>
      <c r="M916" s="101">
        <f t="shared" si="241"/>
        <v>12</v>
      </c>
      <c r="N916" s="4">
        <f t="shared" si="242"/>
        <v>12</v>
      </c>
      <c r="O916" s="4">
        <f t="shared" si="243"/>
        <v>23</v>
      </c>
      <c r="P916" s="4">
        <f t="shared" si="244"/>
        <v>29</v>
      </c>
      <c r="Q916" s="4">
        <f t="shared" si="245"/>
        <v>56</v>
      </c>
      <c r="R916" s="4">
        <f t="shared" si="246"/>
        <v>30</v>
      </c>
      <c r="S916" s="102">
        <f t="shared" si="247"/>
        <v>30</v>
      </c>
      <c r="U916" s="101">
        <f t="shared" si="248"/>
        <v>9</v>
      </c>
      <c r="V916" s="4">
        <f t="shared" si="249"/>
        <v>9</v>
      </c>
      <c r="W916" s="4">
        <f t="shared" si="250"/>
        <v>39</v>
      </c>
      <c r="X916" s="4">
        <f t="shared" si="251"/>
        <v>41</v>
      </c>
      <c r="Y916" s="4">
        <f t="shared" si="252"/>
        <v>78</v>
      </c>
      <c r="Z916" s="4">
        <f t="shared" si="253"/>
        <v>39</v>
      </c>
      <c r="AA916" s="102">
        <f t="shared" si="254"/>
        <v>39</v>
      </c>
      <c r="AC916" s="100">
        <f t="shared" si="255"/>
        <v>0.98004267098804021</v>
      </c>
    </row>
    <row r="917" spans="4:29" x14ac:dyDescent="0.35">
      <c r="D917">
        <f t="shared" si="256"/>
        <v>913</v>
      </c>
      <c r="E917" s="101">
        <v>6</v>
      </c>
      <c r="F917" s="4">
        <v>2</v>
      </c>
      <c r="G917" s="4">
        <v>5</v>
      </c>
      <c r="H917" s="4">
        <v>1</v>
      </c>
      <c r="I917" s="4">
        <v>7</v>
      </c>
      <c r="J917" s="4">
        <v>3</v>
      </c>
      <c r="K917" s="102">
        <v>5</v>
      </c>
      <c r="M917" s="101">
        <f t="shared" si="241"/>
        <v>45</v>
      </c>
      <c r="N917" s="4">
        <f t="shared" si="242"/>
        <v>56</v>
      </c>
      <c r="O917" s="4">
        <f t="shared" si="243"/>
        <v>30</v>
      </c>
      <c r="P917" s="4">
        <f t="shared" si="244"/>
        <v>34</v>
      </c>
      <c r="Q917" s="4">
        <f t="shared" si="245"/>
        <v>29</v>
      </c>
      <c r="R917" s="4">
        <f t="shared" si="246"/>
        <v>23</v>
      </c>
      <c r="S917" s="102">
        <f t="shared" si="247"/>
        <v>30</v>
      </c>
      <c r="U917" s="101">
        <f t="shared" si="248"/>
        <v>71</v>
      </c>
      <c r="V917" s="4">
        <f t="shared" si="249"/>
        <v>78</v>
      </c>
      <c r="W917" s="4">
        <f t="shared" si="250"/>
        <v>39</v>
      </c>
      <c r="X917" s="4">
        <f t="shared" si="251"/>
        <v>46</v>
      </c>
      <c r="Y917" s="4">
        <f t="shared" si="252"/>
        <v>41</v>
      </c>
      <c r="Z917" s="4">
        <f t="shared" si="253"/>
        <v>39</v>
      </c>
      <c r="AA917" s="102">
        <f t="shared" si="254"/>
        <v>39</v>
      </c>
      <c r="AC917" s="100">
        <f t="shared" si="255"/>
        <v>0.96267816560012387</v>
      </c>
    </row>
    <row r="918" spans="4:29" x14ac:dyDescent="0.35">
      <c r="D918">
        <f t="shared" si="256"/>
        <v>914</v>
      </c>
      <c r="E918" s="101">
        <v>3</v>
      </c>
      <c r="F918" s="4">
        <v>5</v>
      </c>
      <c r="G918" s="4">
        <v>4</v>
      </c>
      <c r="H918" s="4">
        <v>2</v>
      </c>
      <c r="I918" s="4">
        <v>3</v>
      </c>
      <c r="J918" s="4">
        <v>5</v>
      </c>
      <c r="K918" s="102">
        <v>4</v>
      </c>
      <c r="M918" s="101">
        <f t="shared" si="241"/>
        <v>23</v>
      </c>
      <c r="N918" s="4">
        <f t="shared" si="242"/>
        <v>30</v>
      </c>
      <c r="O918" s="4">
        <f t="shared" si="243"/>
        <v>12</v>
      </c>
      <c r="P918" s="4">
        <f t="shared" si="244"/>
        <v>56</v>
      </c>
      <c r="Q918" s="4">
        <f t="shared" si="245"/>
        <v>23</v>
      </c>
      <c r="R918" s="4">
        <f t="shared" si="246"/>
        <v>30</v>
      </c>
      <c r="S918" s="102">
        <f t="shared" si="247"/>
        <v>12</v>
      </c>
      <c r="U918" s="101">
        <f t="shared" si="248"/>
        <v>39</v>
      </c>
      <c r="V918" s="4">
        <f t="shared" si="249"/>
        <v>39</v>
      </c>
      <c r="W918" s="4">
        <f t="shared" si="250"/>
        <v>9</v>
      </c>
      <c r="X918" s="4">
        <f t="shared" si="251"/>
        <v>78</v>
      </c>
      <c r="Y918" s="4">
        <f t="shared" si="252"/>
        <v>39</v>
      </c>
      <c r="Z918" s="4">
        <f t="shared" si="253"/>
        <v>39</v>
      </c>
      <c r="AA918" s="102">
        <f t="shared" si="254"/>
        <v>9</v>
      </c>
      <c r="AC918" s="100">
        <f t="shared" si="255"/>
        <v>0.96783097428161158</v>
      </c>
    </row>
    <row r="919" spans="4:29" x14ac:dyDescent="0.35">
      <c r="D919">
        <f t="shared" si="256"/>
        <v>915</v>
      </c>
      <c r="E919" s="101">
        <v>7</v>
      </c>
      <c r="F919" s="4">
        <v>6</v>
      </c>
      <c r="G919" s="4">
        <v>6</v>
      </c>
      <c r="H919" s="4">
        <v>2</v>
      </c>
      <c r="I919" s="4">
        <v>4</v>
      </c>
      <c r="J919" s="4">
        <v>5</v>
      </c>
      <c r="K919" s="102">
        <v>5</v>
      </c>
      <c r="M919" s="101">
        <f t="shared" si="241"/>
        <v>29</v>
      </c>
      <c r="N919" s="4">
        <f t="shared" si="242"/>
        <v>45</v>
      </c>
      <c r="O919" s="4">
        <f t="shared" si="243"/>
        <v>45</v>
      </c>
      <c r="P919" s="4">
        <f t="shared" si="244"/>
        <v>56</v>
      </c>
      <c r="Q919" s="4">
        <f t="shared" si="245"/>
        <v>12</v>
      </c>
      <c r="R919" s="4">
        <f t="shared" si="246"/>
        <v>30</v>
      </c>
      <c r="S919" s="102">
        <f t="shared" si="247"/>
        <v>30</v>
      </c>
      <c r="U919" s="101">
        <f t="shared" si="248"/>
        <v>41</v>
      </c>
      <c r="V919" s="4">
        <f t="shared" si="249"/>
        <v>71</v>
      </c>
      <c r="W919" s="4">
        <f t="shared" si="250"/>
        <v>71</v>
      </c>
      <c r="X919" s="4">
        <f t="shared" si="251"/>
        <v>78</v>
      </c>
      <c r="Y919" s="4">
        <f t="shared" si="252"/>
        <v>9</v>
      </c>
      <c r="Z919" s="4">
        <f t="shared" si="253"/>
        <v>39</v>
      </c>
      <c r="AA919" s="102">
        <f t="shared" si="254"/>
        <v>39</v>
      </c>
      <c r="AC919" s="100">
        <f t="shared" si="255"/>
        <v>0.98567211386655662</v>
      </c>
    </row>
    <row r="920" spans="4:29" x14ac:dyDescent="0.35">
      <c r="D920">
        <f t="shared" si="256"/>
        <v>916</v>
      </c>
      <c r="E920" s="101">
        <v>6</v>
      </c>
      <c r="F920" s="4">
        <v>3</v>
      </c>
      <c r="G920" s="4">
        <v>7</v>
      </c>
      <c r="H920" s="4">
        <v>2</v>
      </c>
      <c r="I920" s="4">
        <v>3</v>
      </c>
      <c r="J920" s="4">
        <v>2</v>
      </c>
      <c r="K920" s="102">
        <v>7</v>
      </c>
      <c r="M920" s="101">
        <f t="shared" si="241"/>
        <v>45</v>
      </c>
      <c r="N920" s="4">
        <f t="shared" si="242"/>
        <v>23</v>
      </c>
      <c r="O920" s="4">
        <f t="shared" si="243"/>
        <v>29</v>
      </c>
      <c r="P920" s="4">
        <f t="shared" si="244"/>
        <v>56</v>
      </c>
      <c r="Q920" s="4">
        <f t="shared" si="245"/>
        <v>23</v>
      </c>
      <c r="R920" s="4">
        <f t="shared" si="246"/>
        <v>56</v>
      </c>
      <c r="S920" s="102">
        <f t="shared" si="247"/>
        <v>29</v>
      </c>
      <c r="U920" s="101">
        <f t="shared" si="248"/>
        <v>71</v>
      </c>
      <c r="V920" s="4">
        <f t="shared" si="249"/>
        <v>39</v>
      </c>
      <c r="W920" s="4">
        <f t="shared" si="250"/>
        <v>41</v>
      </c>
      <c r="X920" s="4">
        <f t="shared" si="251"/>
        <v>78</v>
      </c>
      <c r="Y920" s="4">
        <f t="shared" si="252"/>
        <v>39</v>
      </c>
      <c r="Z920" s="4">
        <f t="shared" si="253"/>
        <v>78</v>
      </c>
      <c r="AA920" s="102">
        <f t="shared" si="254"/>
        <v>41</v>
      </c>
      <c r="AC920" s="100">
        <f t="shared" si="255"/>
        <v>0.98357119915909674</v>
      </c>
    </row>
    <row r="921" spans="4:29" x14ac:dyDescent="0.35">
      <c r="D921">
        <f t="shared" si="256"/>
        <v>917</v>
      </c>
      <c r="E921" s="101">
        <v>1</v>
      </c>
      <c r="F921" s="4">
        <v>1</v>
      </c>
      <c r="G921" s="4">
        <v>3</v>
      </c>
      <c r="H921" s="4">
        <v>7</v>
      </c>
      <c r="I921" s="4">
        <v>7</v>
      </c>
      <c r="J921" s="4">
        <v>4</v>
      </c>
      <c r="K921" s="102">
        <v>3</v>
      </c>
      <c r="M921" s="101">
        <f t="shared" si="241"/>
        <v>34</v>
      </c>
      <c r="N921" s="4">
        <f t="shared" si="242"/>
        <v>34</v>
      </c>
      <c r="O921" s="4">
        <f t="shared" si="243"/>
        <v>23</v>
      </c>
      <c r="P921" s="4">
        <f t="shared" si="244"/>
        <v>29</v>
      </c>
      <c r="Q921" s="4">
        <f t="shared" si="245"/>
        <v>29</v>
      </c>
      <c r="R921" s="4">
        <f t="shared" si="246"/>
        <v>12</v>
      </c>
      <c r="S921" s="102">
        <f t="shared" si="247"/>
        <v>23</v>
      </c>
      <c r="U921" s="101">
        <f t="shared" si="248"/>
        <v>46</v>
      </c>
      <c r="V921" s="4">
        <f t="shared" si="249"/>
        <v>46</v>
      </c>
      <c r="W921" s="4">
        <f t="shared" si="250"/>
        <v>39</v>
      </c>
      <c r="X921" s="4">
        <f t="shared" si="251"/>
        <v>41</v>
      </c>
      <c r="Y921" s="4">
        <f t="shared" si="252"/>
        <v>41</v>
      </c>
      <c r="Z921" s="4">
        <f t="shared" si="253"/>
        <v>9</v>
      </c>
      <c r="AA921" s="102">
        <f t="shared" si="254"/>
        <v>39</v>
      </c>
      <c r="AC921" s="100">
        <f t="shared" si="255"/>
        <v>0.91983215429437437</v>
      </c>
    </row>
    <row r="922" spans="4:29" x14ac:dyDescent="0.35">
      <c r="D922">
        <f t="shared" si="256"/>
        <v>918</v>
      </c>
      <c r="E922" s="101">
        <v>3</v>
      </c>
      <c r="F922" s="4">
        <v>3</v>
      </c>
      <c r="G922" s="4">
        <v>3</v>
      </c>
      <c r="H922" s="4">
        <v>6</v>
      </c>
      <c r="I922" s="4">
        <v>6</v>
      </c>
      <c r="J922" s="4">
        <v>2</v>
      </c>
      <c r="K922" s="102">
        <v>4</v>
      </c>
      <c r="M922" s="101">
        <f t="shared" si="241"/>
        <v>23</v>
      </c>
      <c r="N922" s="4">
        <f t="shared" si="242"/>
        <v>23</v>
      </c>
      <c r="O922" s="4">
        <f t="shared" si="243"/>
        <v>23</v>
      </c>
      <c r="P922" s="4">
        <f t="shared" si="244"/>
        <v>45</v>
      </c>
      <c r="Q922" s="4">
        <f t="shared" si="245"/>
        <v>45</v>
      </c>
      <c r="R922" s="4">
        <f t="shared" si="246"/>
        <v>56</v>
      </c>
      <c r="S922" s="102">
        <f t="shared" si="247"/>
        <v>12</v>
      </c>
      <c r="U922" s="101">
        <f t="shared" si="248"/>
        <v>39</v>
      </c>
      <c r="V922" s="4">
        <f t="shared" si="249"/>
        <v>39</v>
      </c>
      <c r="W922" s="4">
        <f t="shared" si="250"/>
        <v>39</v>
      </c>
      <c r="X922" s="4">
        <f t="shared" si="251"/>
        <v>71</v>
      </c>
      <c r="Y922" s="4">
        <f t="shared" si="252"/>
        <v>71</v>
      </c>
      <c r="Z922" s="4">
        <f t="shared" si="253"/>
        <v>78</v>
      </c>
      <c r="AA922" s="102">
        <f t="shared" si="254"/>
        <v>9</v>
      </c>
      <c r="AC922" s="100">
        <f t="shared" si="255"/>
        <v>0.97294337153256572</v>
      </c>
    </row>
    <row r="923" spans="4:29" x14ac:dyDescent="0.35">
      <c r="D923">
        <f t="shared" si="256"/>
        <v>919</v>
      </c>
      <c r="E923" s="101">
        <v>6</v>
      </c>
      <c r="F923" s="4">
        <v>7</v>
      </c>
      <c r="G923" s="4">
        <v>5</v>
      </c>
      <c r="H923" s="4">
        <v>7</v>
      </c>
      <c r="I923" s="4">
        <v>3</v>
      </c>
      <c r="J923" s="4">
        <v>3</v>
      </c>
      <c r="K923" s="102">
        <v>5</v>
      </c>
      <c r="M923" s="101">
        <f t="shared" si="241"/>
        <v>45</v>
      </c>
      <c r="N923" s="4">
        <f t="shared" si="242"/>
        <v>29</v>
      </c>
      <c r="O923" s="4">
        <f t="shared" si="243"/>
        <v>30</v>
      </c>
      <c r="P923" s="4">
        <f t="shared" si="244"/>
        <v>29</v>
      </c>
      <c r="Q923" s="4">
        <f t="shared" si="245"/>
        <v>23</v>
      </c>
      <c r="R923" s="4">
        <f t="shared" si="246"/>
        <v>23</v>
      </c>
      <c r="S923" s="102">
        <f t="shared" si="247"/>
        <v>30</v>
      </c>
      <c r="U923" s="101">
        <f t="shared" si="248"/>
        <v>71</v>
      </c>
      <c r="V923" s="4">
        <f t="shared" si="249"/>
        <v>41</v>
      </c>
      <c r="W923" s="4">
        <f t="shared" si="250"/>
        <v>39</v>
      </c>
      <c r="X923" s="4">
        <f t="shared" si="251"/>
        <v>41</v>
      </c>
      <c r="Y923" s="4">
        <f t="shared" si="252"/>
        <v>39</v>
      </c>
      <c r="Z923" s="4">
        <f t="shared" si="253"/>
        <v>39</v>
      </c>
      <c r="AA923" s="102">
        <f t="shared" si="254"/>
        <v>39</v>
      </c>
      <c r="AC923" s="100">
        <f t="shared" si="255"/>
        <v>0.91732399796940445</v>
      </c>
    </row>
    <row r="924" spans="4:29" x14ac:dyDescent="0.35">
      <c r="D924">
        <f t="shared" si="256"/>
        <v>920</v>
      </c>
      <c r="E924" s="101">
        <v>2</v>
      </c>
      <c r="F924" s="4">
        <v>2</v>
      </c>
      <c r="G924" s="4">
        <v>6</v>
      </c>
      <c r="H924" s="4">
        <v>1</v>
      </c>
      <c r="I924" s="4">
        <v>2</v>
      </c>
      <c r="J924" s="4">
        <v>7</v>
      </c>
      <c r="K924" s="102">
        <v>1</v>
      </c>
      <c r="M924" s="101">
        <f t="shared" si="241"/>
        <v>56</v>
      </c>
      <c r="N924" s="4">
        <f t="shared" si="242"/>
        <v>56</v>
      </c>
      <c r="O924" s="4">
        <f t="shared" si="243"/>
        <v>45</v>
      </c>
      <c r="P924" s="4">
        <f t="shared" si="244"/>
        <v>34</v>
      </c>
      <c r="Q924" s="4">
        <f t="shared" si="245"/>
        <v>56</v>
      </c>
      <c r="R924" s="4">
        <f t="shared" si="246"/>
        <v>29</v>
      </c>
      <c r="S924" s="102">
        <f t="shared" si="247"/>
        <v>34</v>
      </c>
      <c r="U924" s="101">
        <f t="shared" si="248"/>
        <v>78</v>
      </c>
      <c r="V924" s="4">
        <f t="shared" si="249"/>
        <v>78</v>
      </c>
      <c r="W924" s="4">
        <f t="shared" si="250"/>
        <v>71</v>
      </c>
      <c r="X924" s="4">
        <f t="shared" si="251"/>
        <v>46</v>
      </c>
      <c r="Y924" s="4">
        <f t="shared" si="252"/>
        <v>78</v>
      </c>
      <c r="Z924" s="4">
        <f t="shared" si="253"/>
        <v>41</v>
      </c>
      <c r="AA924" s="102">
        <f t="shared" si="254"/>
        <v>46</v>
      </c>
      <c r="AC924" s="100">
        <f t="shared" si="255"/>
        <v>0.9811875958441153</v>
      </c>
    </row>
    <row r="925" spans="4:29" x14ac:dyDescent="0.35">
      <c r="D925">
        <f t="shared" si="256"/>
        <v>921</v>
      </c>
      <c r="E925" s="101">
        <v>5</v>
      </c>
      <c r="F925" s="4">
        <v>7</v>
      </c>
      <c r="G925" s="4">
        <v>3</v>
      </c>
      <c r="H925" s="4">
        <v>1</v>
      </c>
      <c r="I925" s="4">
        <v>2</v>
      </c>
      <c r="J925" s="4">
        <v>1</v>
      </c>
      <c r="K925" s="102">
        <v>2</v>
      </c>
      <c r="M925" s="101">
        <f t="shared" si="241"/>
        <v>30</v>
      </c>
      <c r="N925" s="4">
        <f t="shared" si="242"/>
        <v>29</v>
      </c>
      <c r="O925" s="4">
        <f t="shared" si="243"/>
        <v>23</v>
      </c>
      <c r="P925" s="4">
        <f t="shared" si="244"/>
        <v>34</v>
      </c>
      <c r="Q925" s="4">
        <f t="shared" si="245"/>
        <v>56</v>
      </c>
      <c r="R925" s="4">
        <f t="shared" si="246"/>
        <v>34</v>
      </c>
      <c r="S925" s="102">
        <f t="shared" si="247"/>
        <v>56</v>
      </c>
      <c r="U925" s="101">
        <f t="shared" si="248"/>
        <v>39</v>
      </c>
      <c r="V925" s="4">
        <f t="shared" si="249"/>
        <v>41</v>
      </c>
      <c r="W925" s="4">
        <f t="shared" si="250"/>
        <v>39</v>
      </c>
      <c r="X925" s="4">
        <f t="shared" si="251"/>
        <v>46</v>
      </c>
      <c r="Y925" s="4">
        <f t="shared" si="252"/>
        <v>78</v>
      </c>
      <c r="Z925" s="4">
        <f t="shared" si="253"/>
        <v>46</v>
      </c>
      <c r="AA925" s="102">
        <f t="shared" si="254"/>
        <v>78</v>
      </c>
      <c r="AC925" s="100">
        <f t="shared" si="255"/>
        <v>0.98548076252685146</v>
      </c>
    </row>
    <row r="926" spans="4:29" x14ac:dyDescent="0.35">
      <c r="D926">
        <f t="shared" si="256"/>
        <v>922</v>
      </c>
      <c r="E926" s="101">
        <v>4</v>
      </c>
      <c r="F926" s="4">
        <v>4</v>
      </c>
      <c r="G926" s="4">
        <v>6</v>
      </c>
      <c r="H926" s="4">
        <v>6</v>
      </c>
      <c r="I926" s="4">
        <v>7</v>
      </c>
      <c r="J926" s="4">
        <v>1</v>
      </c>
      <c r="K926" s="102">
        <v>3</v>
      </c>
      <c r="M926" s="101">
        <f t="shared" si="241"/>
        <v>12</v>
      </c>
      <c r="N926" s="4">
        <f t="shared" si="242"/>
        <v>12</v>
      </c>
      <c r="O926" s="4">
        <f t="shared" si="243"/>
        <v>45</v>
      </c>
      <c r="P926" s="4">
        <f t="shared" si="244"/>
        <v>45</v>
      </c>
      <c r="Q926" s="4">
        <f t="shared" si="245"/>
        <v>29</v>
      </c>
      <c r="R926" s="4">
        <f t="shared" si="246"/>
        <v>34</v>
      </c>
      <c r="S926" s="102">
        <f t="shared" si="247"/>
        <v>23</v>
      </c>
      <c r="U926" s="101">
        <f t="shared" si="248"/>
        <v>9</v>
      </c>
      <c r="V926" s="4">
        <f t="shared" si="249"/>
        <v>9</v>
      </c>
      <c r="W926" s="4">
        <f t="shared" si="250"/>
        <v>71</v>
      </c>
      <c r="X926" s="4">
        <f t="shared" si="251"/>
        <v>71</v>
      </c>
      <c r="Y926" s="4">
        <f t="shared" si="252"/>
        <v>41</v>
      </c>
      <c r="Z926" s="4">
        <f t="shared" si="253"/>
        <v>46</v>
      </c>
      <c r="AA926" s="102">
        <f t="shared" si="254"/>
        <v>39</v>
      </c>
      <c r="AC926" s="100">
        <f t="shared" si="255"/>
        <v>0.98737452535804848</v>
      </c>
    </row>
    <row r="927" spans="4:29" x14ac:dyDescent="0.35">
      <c r="D927">
        <f t="shared" si="256"/>
        <v>923</v>
      </c>
      <c r="E927" s="101">
        <v>7</v>
      </c>
      <c r="F927" s="4">
        <v>4</v>
      </c>
      <c r="G927" s="4">
        <v>5</v>
      </c>
      <c r="H927" s="4">
        <v>5</v>
      </c>
      <c r="I927" s="4">
        <v>1</v>
      </c>
      <c r="J927" s="4">
        <v>1</v>
      </c>
      <c r="K927" s="102">
        <v>4</v>
      </c>
      <c r="M927" s="101">
        <f t="shared" si="241"/>
        <v>29</v>
      </c>
      <c r="N927" s="4">
        <f t="shared" si="242"/>
        <v>12</v>
      </c>
      <c r="O927" s="4">
        <f t="shared" si="243"/>
        <v>30</v>
      </c>
      <c r="P927" s="4">
        <f t="shared" si="244"/>
        <v>30</v>
      </c>
      <c r="Q927" s="4">
        <f t="shared" si="245"/>
        <v>34</v>
      </c>
      <c r="R927" s="4">
        <f t="shared" si="246"/>
        <v>34</v>
      </c>
      <c r="S927" s="102">
        <f t="shared" si="247"/>
        <v>12</v>
      </c>
      <c r="U927" s="101">
        <f t="shared" si="248"/>
        <v>41</v>
      </c>
      <c r="V927" s="4">
        <f t="shared" si="249"/>
        <v>9</v>
      </c>
      <c r="W927" s="4">
        <f t="shared" si="250"/>
        <v>39</v>
      </c>
      <c r="X927" s="4">
        <f t="shared" si="251"/>
        <v>39</v>
      </c>
      <c r="Y927" s="4">
        <f t="shared" si="252"/>
        <v>46</v>
      </c>
      <c r="Z927" s="4">
        <f t="shared" si="253"/>
        <v>46</v>
      </c>
      <c r="AA927" s="102">
        <f t="shared" si="254"/>
        <v>9</v>
      </c>
      <c r="AC927" s="100">
        <f t="shared" si="255"/>
        <v>0.99677357481253293</v>
      </c>
    </row>
    <row r="928" spans="4:29" x14ac:dyDescent="0.35">
      <c r="D928">
        <f t="shared" si="256"/>
        <v>924</v>
      </c>
      <c r="E928" s="101">
        <v>5</v>
      </c>
      <c r="F928" s="4">
        <v>2</v>
      </c>
      <c r="G928" s="4">
        <v>5</v>
      </c>
      <c r="H928" s="4">
        <v>7</v>
      </c>
      <c r="I928" s="4">
        <v>2</v>
      </c>
      <c r="J928" s="4">
        <v>5</v>
      </c>
      <c r="K928" s="102">
        <v>6</v>
      </c>
      <c r="M928" s="101">
        <f t="shared" si="241"/>
        <v>30</v>
      </c>
      <c r="N928" s="4">
        <f t="shared" si="242"/>
        <v>56</v>
      </c>
      <c r="O928" s="4">
        <f t="shared" si="243"/>
        <v>30</v>
      </c>
      <c r="P928" s="4">
        <f t="shared" si="244"/>
        <v>29</v>
      </c>
      <c r="Q928" s="4">
        <f t="shared" si="245"/>
        <v>56</v>
      </c>
      <c r="R928" s="4">
        <f t="shared" si="246"/>
        <v>30</v>
      </c>
      <c r="S928" s="102">
        <f t="shared" si="247"/>
        <v>45</v>
      </c>
      <c r="U928" s="101">
        <f t="shared" si="248"/>
        <v>39</v>
      </c>
      <c r="V928" s="4">
        <f t="shared" si="249"/>
        <v>78</v>
      </c>
      <c r="W928" s="4">
        <f t="shared" si="250"/>
        <v>39</v>
      </c>
      <c r="X928" s="4">
        <f t="shared" si="251"/>
        <v>41</v>
      </c>
      <c r="Y928" s="4">
        <f t="shared" si="252"/>
        <v>78</v>
      </c>
      <c r="Z928" s="4">
        <f t="shared" si="253"/>
        <v>39</v>
      </c>
      <c r="AA928" s="102">
        <f t="shared" si="254"/>
        <v>71</v>
      </c>
      <c r="AC928" s="100">
        <f t="shared" si="255"/>
        <v>0.98271391020843113</v>
      </c>
    </row>
    <row r="929" spans="4:29" x14ac:dyDescent="0.35">
      <c r="D929">
        <f t="shared" si="256"/>
        <v>925</v>
      </c>
      <c r="E929" s="101">
        <v>2</v>
      </c>
      <c r="F929" s="4">
        <v>3</v>
      </c>
      <c r="G929" s="4">
        <v>7</v>
      </c>
      <c r="H929" s="4">
        <v>2</v>
      </c>
      <c r="I929" s="4">
        <v>7</v>
      </c>
      <c r="J929" s="4">
        <v>1</v>
      </c>
      <c r="K929" s="102">
        <v>3</v>
      </c>
      <c r="M929" s="101">
        <f t="shared" si="241"/>
        <v>56</v>
      </c>
      <c r="N929" s="4">
        <f t="shared" si="242"/>
        <v>23</v>
      </c>
      <c r="O929" s="4">
        <f t="shared" si="243"/>
        <v>29</v>
      </c>
      <c r="P929" s="4">
        <f t="shared" si="244"/>
        <v>56</v>
      </c>
      <c r="Q929" s="4">
        <f t="shared" si="245"/>
        <v>29</v>
      </c>
      <c r="R929" s="4">
        <f t="shared" si="246"/>
        <v>34</v>
      </c>
      <c r="S929" s="102">
        <f t="shared" si="247"/>
        <v>23</v>
      </c>
      <c r="U929" s="101">
        <f t="shared" si="248"/>
        <v>78</v>
      </c>
      <c r="V929" s="4">
        <f t="shared" si="249"/>
        <v>39</v>
      </c>
      <c r="W929" s="4">
        <f t="shared" si="250"/>
        <v>41</v>
      </c>
      <c r="X929" s="4">
        <f t="shared" si="251"/>
        <v>78</v>
      </c>
      <c r="Y929" s="4">
        <f t="shared" si="252"/>
        <v>41</v>
      </c>
      <c r="Z929" s="4">
        <f t="shared" si="253"/>
        <v>46</v>
      </c>
      <c r="AA929" s="102">
        <f t="shared" si="254"/>
        <v>39</v>
      </c>
      <c r="AC929" s="100">
        <f t="shared" si="255"/>
        <v>0.98838534369596365</v>
      </c>
    </row>
    <row r="930" spans="4:29" x14ac:dyDescent="0.35">
      <c r="D930">
        <f t="shared" si="256"/>
        <v>926</v>
      </c>
      <c r="E930" s="101">
        <v>4</v>
      </c>
      <c r="F930" s="4">
        <v>4</v>
      </c>
      <c r="G930" s="4">
        <v>4</v>
      </c>
      <c r="H930" s="4">
        <v>2</v>
      </c>
      <c r="I930" s="4">
        <v>4</v>
      </c>
      <c r="J930" s="4">
        <v>4</v>
      </c>
      <c r="K930" s="102">
        <v>6</v>
      </c>
      <c r="M930" s="101">
        <f t="shared" si="241"/>
        <v>12</v>
      </c>
      <c r="N930" s="4">
        <f t="shared" si="242"/>
        <v>12</v>
      </c>
      <c r="O930" s="4">
        <f t="shared" si="243"/>
        <v>12</v>
      </c>
      <c r="P930" s="4">
        <f t="shared" si="244"/>
        <v>56</v>
      </c>
      <c r="Q930" s="4">
        <f t="shared" si="245"/>
        <v>12</v>
      </c>
      <c r="R930" s="4">
        <f t="shared" si="246"/>
        <v>12</v>
      </c>
      <c r="S930" s="102">
        <f t="shared" si="247"/>
        <v>45</v>
      </c>
      <c r="U930" s="101">
        <f t="shared" si="248"/>
        <v>9</v>
      </c>
      <c r="V930" s="4">
        <f t="shared" si="249"/>
        <v>9</v>
      </c>
      <c r="W930" s="4">
        <f t="shared" si="250"/>
        <v>9</v>
      </c>
      <c r="X930" s="4">
        <f t="shared" si="251"/>
        <v>78</v>
      </c>
      <c r="Y930" s="4">
        <f t="shared" si="252"/>
        <v>9</v>
      </c>
      <c r="Z930" s="4">
        <f t="shared" si="253"/>
        <v>9</v>
      </c>
      <c r="AA930" s="102">
        <f t="shared" si="254"/>
        <v>71</v>
      </c>
      <c r="AC930" s="100">
        <f t="shared" si="255"/>
        <v>0.99456497155662671</v>
      </c>
    </row>
    <row r="931" spans="4:29" x14ac:dyDescent="0.35">
      <c r="D931">
        <f t="shared" si="256"/>
        <v>927</v>
      </c>
      <c r="E931" s="101">
        <v>5</v>
      </c>
      <c r="F931" s="4">
        <v>5</v>
      </c>
      <c r="G931" s="4">
        <v>1</v>
      </c>
      <c r="H931" s="4">
        <v>5</v>
      </c>
      <c r="I931" s="4">
        <v>5</v>
      </c>
      <c r="J931" s="4">
        <v>1</v>
      </c>
      <c r="K931" s="102">
        <v>2</v>
      </c>
      <c r="M931" s="101">
        <f t="shared" si="241"/>
        <v>30</v>
      </c>
      <c r="N931" s="4">
        <f t="shared" si="242"/>
        <v>30</v>
      </c>
      <c r="O931" s="4">
        <f t="shared" si="243"/>
        <v>34</v>
      </c>
      <c r="P931" s="4">
        <f t="shared" si="244"/>
        <v>30</v>
      </c>
      <c r="Q931" s="4">
        <f t="shared" si="245"/>
        <v>30</v>
      </c>
      <c r="R931" s="4">
        <f t="shared" si="246"/>
        <v>34</v>
      </c>
      <c r="S931" s="102">
        <f t="shared" si="247"/>
        <v>56</v>
      </c>
      <c r="U931" s="101">
        <f t="shared" si="248"/>
        <v>39</v>
      </c>
      <c r="V931" s="4">
        <f t="shared" si="249"/>
        <v>39</v>
      </c>
      <c r="W931" s="4">
        <f t="shared" si="250"/>
        <v>46</v>
      </c>
      <c r="X931" s="4">
        <f t="shared" si="251"/>
        <v>39</v>
      </c>
      <c r="Y931" s="4">
        <f t="shared" si="252"/>
        <v>39</v>
      </c>
      <c r="Z931" s="4">
        <f t="shared" si="253"/>
        <v>46</v>
      </c>
      <c r="AA931" s="102">
        <f t="shared" si="254"/>
        <v>78</v>
      </c>
      <c r="AC931" s="100">
        <f t="shared" si="255"/>
        <v>0.99941547291913968</v>
      </c>
    </row>
    <row r="932" spans="4:29" x14ac:dyDescent="0.35">
      <c r="D932">
        <f t="shared" si="256"/>
        <v>928</v>
      </c>
      <c r="E932" s="101">
        <v>3</v>
      </c>
      <c r="F932" s="4">
        <v>1</v>
      </c>
      <c r="G932" s="4">
        <v>3</v>
      </c>
      <c r="H932" s="4">
        <v>1</v>
      </c>
      <c r="I932" s="4">
        <v>1</v>
      </c>
      <c r="J932" s="4">
        <v>6</v>
      </c>
      <c r="K932" s="102">
        <v>5</v>
      </c>
      <c r="M932" s="101">
        <f t="shared" si="241"/>
        <v>23</v>
      </c>
      <c r="N932" s="4">
        <f t="shared" si="242"/>
        <v>34</v>
      </c>
      <c r="O932" s="4">
        <f t="shared" si="243"/>
        <v>23</v>
      </c>
      <c r="P932" s="4">
        <f t="shared" si="244"/>
        <v>34</v>
      </c>
      <c r="Q932" s="4">
        <f t="shared" si="245"/>
        <v>34</v>
      </c>
      <c r="R932" s="4">
        <f t="shared" si="246"/>
        <v>45</v>
      </c>
      <c r="S932" s="102">
        <f t="shared" si="247"/>
        <v>30</v>
      </c>
      <c r="U932" s="101">
        <f t="shared" si="248"/>
        <v>39</v>
      </c>
      <c r="V932" s="4">
        <f t="shared" si="249"/>
        <v>46</v>
      </c>
      <c r="W932" s="4">
        <f t="shared" si="250"/>
        <v>39</v>
      </c>
      <c r="X932" s="4">
        <f t="shared" si="251"/>
        <v>46</v>
      </c>
      <c r="Y932" s="4">
        <f t="shared" si="252"/>
        <v>46</v>
      </c>
      <c r="Z932" s="4">
        <f t="shared" si="253"/>
        <v>71</v>
      </c>
      <c r="AA932" s="102">
        <f t="shared" si="254"/>
        <v>39</v>
      </c>
      <c r="AC932" s="100">
        <f t="shared" si="255"/>
        <v>0.90104447027365542</v>
      </c>
    </row>
    <row r="933" spans="4:29" x14ac:dyDescent="0.35">
      <c r="D933">
        <f t="shared" si="256"/>
        <v>929</v>
      </c>
      <c r="E933" s="101">
        <v>1</v>
      </c>
      <c r="F933" s="4">
        <v>4</v>
      </c>
      <c r="G933" s="4">
        <v>5</v>
      </c>
      <c r="H933" s="4">
        <v>3</v>
      </c>
      <c r="I933" s="4">
        <v>5</v>
      </c>
      <c r="J933" s="4">
        <v>3</v>
      </c>
      <c r="K933" s="102">
        <v>6</v>
      </c>
      <c r="M933" s="101">
        <f t="shared" si="241"/>
        <v>34</v>
      </c>
      <c r="N933" s="4">
        <f t="shared" si="242"/>
        <v>12</v>
      </c>
      <c r="O933" s="4">
        <f t="shared" si="243"/>
        <v>30</v>
      </c>
      <c r="P933" s="4">
        <f t="shared" si="244"/>
        <v>23</v>
      </c>
      <c r="Q933" s="4">
        <f t="shared" si="245"/>
        <v>30</v>
      </c>
      <c r="R933" s="4">
        <f t="shared" si="246"/>
        <v>23</v>
      </c>
      <c r="S933" s="102">
        <f t="shared" si="247"/>
        <v>45</v>
      </c>
      <c r="U933" s="101">
        <f t="shared" si="248"/>
        <v>46</v>
      </c>
      <c r="V933" s="4">
        <f t="shared" si="249"/>
        <v>9</v>
      </c>
      <c r="W933" s="4">
        <f t="shared" si="250"/>
        <v>39</v>
      </c>
      <c r="X933" s="4">
        <f t="shared" si="251"/>
        <v>39</v>
      </c>
      <c r="Y933" s="4">
        <f t="shared" si="252"/>
        <v>39</v>
      </c>
      <c r="Z933" s="4">
        <f t="shared" si="253"/>
        <v>39</v>
      </c>
      <c r="AA933" s="102">
        <f t="shared" si="254"/>
        <v>71</v>
      </c>
      <c r="AC933" s="100">
        <f t="shared" si="255"/>
        <v>0.9511411146371358</v>
      </c>
    </row>
    <row r="934" spans="4:29" x14ac:dyDescent="0.35">
      <c r="D934">
        <f t="shared" si="256"/>
        <v>930</v>
      </c>
      <c r="E934" s="101">
        <v>6</v>
      </c>
      <c r="F934" s="4">
        <v>7</v>
      </c>
      <c r="G934" s="4">
        <v>7</v>
      </c>
      <c r="H934" s="4">
        <v>2</v>
      </c>
      <c r="I934" s="4">
        <v>3</v>
      </c>
      <c r="J934" s="4">
        <v>6</v>
      </c>
      <c r="K934" s="102">
        <v>1</v>
      </c>
      <c r="M934" s="101">
        <f t="shared" si="241"/>
        <v>45</v>
      </c>
      <c r="N934" s="4">
        <f t="shared" si="242"/>
        <v>29</v>
      </c>
      <c r="O934" s="4">
        <f t="shared" si="243"/>
        <v>29</v>
      </c>
      <c r="P934" s="4">
        <f t="shared" si="244"/>
        <v>56</v>
      </c>
      <c r="Q934" s="4">
        <f t="shared" si="245"/>
        <v>23</v>
      </c>
      <c r="R934" s="4">
        <f t="shared" si="246"/>
        <v>45</v>
      </c>
      <c r="S934" s="102">
        <f t="shared" si="247"/>
        <v>34</v>
      </c>
      <c r="U934" s="101">
        <f t="shared" si="248"/>
        <v>71</v>
      </c>
      <c r="V934" s="4">
        <f t="shared" si="249"/>
        <v>41</v>
      </c>
      <c r="W934" s="4">
        <f t="shared" si="250"/>
        <v>41</v>
      </c>
      <c r="X934" s="4">
        <f t="shared" si="251"/>
        <v>78</v>
      </c>
      <c r="Y934" s="4">
        <f t="shared" si="252"/>
        <v>39</v>
      </c>
      <c r="Z934" s="4">
        <f t="shared" si="253"/>
        <v>71</v>
      </c>
      <c r="AA934" s="102">
        <f t="shared" si="254"/>
        <v>46</v>
      </c>
      <c r="AC934" s="100">
        <f t="shared" si="255"/>
        <v>0.96834228722097015</v>
      </c>
    </row>
    <row r="935" spans="4:29" x14ac:dyDescent="0.35">
      <c r="D935">
        <f t="shared" si="256"/>
        <v>931</v>
      </c>
      <c r="E935" s="101">
        <v>3</v>
      </c>
      <c r="F935" s="4">
        <v>7</v>
      </c>
      <c r="G935" s="4">
        <v>3</v>
      </c>
      <c r="H935" s="4">
        <v>5</v>
      </c>
      <c r="I935" s="4">
        <v>7</v>
      </c>
      <c r="J935" s="4">
        <v>4</v>
      </c>
      <c r="K935" s="102">
        <v>7</v>
      </c>
      <c r="M935" s="101">
        <f t="shared" si="241"/>
        <v>23</v>
      </c>
      <c r="N935" s="4">
        <f t="shared" si="242"/>
        <v>29</v>
      </c>
      <c r="O935" s="4">
        <f t="shared" si="243"/>
        <v>23</v>
      </c>
      <c r="P935" s="4">
        <f t="shared" si="244"/>
        <v>30</v>
      </c>
      <c r="Q935" s="4">
        <f t="shared" si="245"/>
        <v>29</v>
      </c>
      <c r="R935" s="4">
        <f t="shared" si="246"/>
        <v>12</v>
      </c>
      <c r="S935" s="102">
        <f t="shared" si="247"/>
        <v>29</v>
      </c>
      <c r="U935" s="101">
        <f t="shared" si="248"/>
        <v>39</v>
      </c>
      <c r="V935" s="4">
        <f t="shared" si="249"/>
        <v>41</v>
      </c>
      <c r="W935" s="4">
        <f t="shared" si="250"/>
        <v>39</v>
      </c>
      <c r="X935" s="4">
        <f t="shared" si="251"/>
        <v>39</v>
      </c>
      <c r="Y935" s="4">
        <f t="shared" si="252"/>
        <v>41</v>
      </c>
      <c r="Z935" s="4">
        <f t="shared" si="253"/>
        <v>9</v>
      </c>
      <c r="AA935" s="102">
        <f t="shared" si="254"/>
        <v>41</v>
      </c>
      <c r="AC935" s="100">
        <f t="shared" si="255"/>
        <v>0.90900454135188302</v>
      </c>
    </row>
    <row r="936" spans="4:29" x14ac:dyDescent="0.35">
      <c r="D936">
        <f t="shared" si="256"/>
        <v>932</v>
      </c>
      <c r="E936" s="101">
        <v>4</v>
      </c>
      <c r="F936" s="4">
        <v>1</v>
      </c>
      <c r="G936" s="4">
        <v>4</v>
      </c>
      <c r="H936" s="4">
        <v>4</v>
      </c>
      <c r="I936" s="4">
        <v>4</v>
      </c>
      <c r="J936" s="4">
        <v>1</v>
      </c>
      <c r="K936" s="102">
        <v>7</v>
      </c>
      <c r="M936" s="101">
        <f t="shared" si="241"/>
        <v>12</v>
      </c>
      <c r="N936" s="4">
        <f t="shared" si="242"/>
        <v>34</v>
      </c>
      <c r="O936" s="4">
        <f t="shared" si="243"/>
        <v>12</v>
      </c>
      <c r="P936" s="4">
        <f t="shared" si="244"/>
        <v>12</v>
      </c>
      <c r="Q936" s="4">
        <f t="shared" si="245"/>
        <v>12</v>
      </c>
      <c r="R936" s="4">
        <f t="shared" si="246"/>
        <v>34</v>
      </c>
      <c r="S936" s="102">
        <f t="shared" si="247"/>
        <v>29</v>
      </c>
      <c r="U936" s="101">
        <f t="shared" si="248"/>
        <v>9</v>
      </c>
      <c r="V936" s="4">
        <f t="shared" si="249"/>
        <v>46</v>
      </c>
      <c r="W936" s="4">
        <f t="shared" si="250"/>
        <v>9</v>
      </c>
      <c r="X936" s="4">
        <f t="shared" si="251"/>
        <v>9</v>
      </c>
      <c r="Y936" s="4">
        <f t="shared" si="252"/>
        <v>9</v>
      </c>
      <c r="Z936" s="4">
        <f t="shared" si="253"/>
        <v>46</v>
      </c>
      <c r="AA936" s="102">
        <f t="shared" si="254"/>
        <v>41</v>
      </c>
      <c r="AC936" s="100">
        <f t="shared" si="255"/>
        <v>0.99794356389732597</v>
      </c>
    </row>
    <row r="937" spans="4:29" x14ac:dyDescent="0.35">
      <c r="D937">
        <f t="shared" si="256"/>
        <v>933</v>
      </c>
      <c r="E937" s="101">
        <v>3</v>
      </c>
      <c r="F937" s="4">
        <v>1</v>
      </c>
      <c r="G937" s="4">
        <v>6</v>
      </c>
      <c r="H937" s="4">
        <v>2</v>
      </c>
      <c r="I937" s="4">
        <v>6</v>
      </c>
      <c r="J937" s="4">
        <v>2</v>
      </c>
      <c r="K937" s="102">
        <v>3</v>
      </c>
      <c r="M937" s="101">
        <f t="shared" si="241"/>
        <v>23</v>
      </c>
      <c r="N937" s="4">
        <f t="shared" si="242"/>
        <v>34</v>
      </c>
      <c r="O937" s="4">
        <f t="shared" si="243"/>
        <v>45</v>
      </c>
      <c r="P937" s="4">
        <f t="shared" si="244"/>
        <v>56</v>
      </c>
      <c r="Q937" s="4">
        <f t="shared" si="245"/>
        <v>45</v>
      </c>
      <c r="R937" s="4">
        <f t="shared" si="246"/>
        <v>56</v>
      </c>
      <c r="S937" s="102">
        <f t="shared" si="247"/>
        <v>23</v>
      </c>
      <c r="U937" s="101">
        <f t="shared" si="248"/>
        <v>39</v>
      </c>
      <c r="V937" s="4">
        <f t="shared" si="249"/>
        <v>46</v>
      </c>
      <c r="W937" s="4">
        <f t="shared" si="250"/>
        <v>71</v>
      </c>
      <c r="X937" s="4">
        <f t="shared" si="251"/>
        <v>78</v>
      </c>
      <c r="Y937" s="4">
        <f t="shared" si="252"/>
        <v>71</v>
      </c>
      <c r="Z937" s="4">
        <f t="shared" si="253"/>
        <v>78</v>
      </c>
      <c r="AA937" s="102">
        <f t="shared" si="254"/>
        <v>39</v>
      </c>
      <c r="AC937" s="100">
        <f t="shared" si="255"/>
        <v>0.97548148542685587</v>
      </c>
    </row>
    <row r="938" spans="4:29" x14ac:dyDescent="0.35">
      <c r="D938">
        <f t="shared" si="256"/>
        <v>934</v>
      </c>
      <c r="E938" s="101">
        <v>1</v>
      </c>
      <c r="F938" s="4">
        <v>7</v>
      </c>
      <c r="G938" s="4">
        <v>4</v>
      </c>
      <c r="H938" s="4">
        <v>2</v>
      </c>
      <c r="I938" s="4">
        <v>3</v>
      </c>
      <c r="J938" s="4">
        <v>6</v>
      </c>
      <c r="K938" s="102">
        <v>4</v>
      </c>
      <c r="M938" s="101">
        <f t="shared" si="241"/>
        <v>34</v>
      </c>
      <c r="N938" s="4">
        <f t="shared" si="242"/>
        <v>29</v>
      </c>
      <c r="O938" s="4">
        <f t="shared" si="243"/>
        <v>12</v>
      </c>
      <c r="P938" s="4">
        <f t="shared" si="244"/>
        <v>56</v>
      </c>
      <c r="Q938" s="4">
        <f t="shared" si="245"/>
        <v>23</v>
      </c>
      <c r="R938" s="4">
        <f t="shared" si="246"/>
        <v>45</v>
      </c>
      <c r="S938" s="102">
        <f t="shared" si="247"/>
        <v>12</v>
      </c>
      <c r="U938" s="101">
        <f t="shared" si="248"/>
        <v>46</v>
      </c>
      <c r="V938" s="4">
        <f t="shared" si="249"/>
        <v>41</v>
      </c>
      <c r="W938" s="4">
        <f t="shared" si="250"/>
        <v>9</v>
      </c>
      <c r="X938" s="4">
        <f t="shared" si="251"/>
        <v>78</v>
      </c>
      <c r="Y938" s="4">
        <f t="shared" si="252"/>
        <v>39</v>
      </c>
      <c r="Z938" s="4">
        <f t="shared" si="253"/>
        <v>71</v>
      </c>
      <c r="AA938" s="102">
        <f t="shared" si="254"/>
        <v>9</v>
      </c>
      <c r="AC938" s="100">
        <f t="shared" si="255"/>
        <v>0.98093682314678265</v>
      </c>
    </row>
    <row r="939" spans="4:29" x14ac:dyDescent="0.35">
      <c r="D939">
        <f t="shared" si="256"/>
        <v>935</v>
      </c>
      <c r="E939" s="101">
        <v>5</v>
      </c>
      <c r="F939" s="4">
        <v>7</v>
      </c>
      <c r="G939" s="4">
        <v>2</v>
      </c>
      <c r="H939" s="4">
        <v>7</v>
      </c>
      <c r="I939" s="4">
        <v>7</v>
      </c>
      <c r="J939" s="4">
        <v>7</v>
      </c>
      <c r="K939" s="102">
        <v>6</v>
      </c>
      <c r="M939" s="101">
        <f t="shared" si="241"/>
        <v>30</v>
      </c>
      <c r="N939" s="4">
        <f t="shared" si="242"/>
        <v>29</v>
      </c>
      <c r="O939" s="4">
        <f t="shared" si="243"/>
        <v>56</v>
      </c>
      <c r="P939" s="4">
        <f t="shared" si="244"/>
        <v>29</v>
      </c>
      <c r="Q939" s="4">
        <f t="shared" si="245"/>
        <v>29</v>
      </c>
      <c r="R939" s="4">
        <f t="shared" si="246"/>
        <v>29</v>
      </c>
      <c r="S939" s="102">
        <f t="shared" si="247"/>
        <v>45</v>
      </c>
      <c r="U939" s="101">
        <f t="shared" si="248"/>
        <v>39</v>
      </c>
      <c r="V939" s="4">
        <f t="shared" si="249"/>
        <v>41</v>
      </c>
      <c r="W939" s="4">
        <f t="shared" si="250"/>
        <v>78</v>
      </c>
      <c r="X939" s="4">
        <f t="shared" si="251"/>
        <v>41</v>
      </c>
      <c r="Y939" s="4">
        <f t="shared" si="252"/>
        <v>41</v>
      </c>
      <c r="Z939" s="4">
        <f t="shared" si="253"/>
        <v>41</v>
      </c>
      <c r="AA939" s="102">
        <f t="shared" si="254"/>
        <v>71</v>
      </c>
      <c r="AC939" s="100">
        <f t="shared" si="255"/>
        <v>0.98176429745152516</v>
      </c>
    </row>
    <row r="940" spans="4:29" x14ac:dyDescent="0.35">
      <c r="D940">
        <f t="shared" si="256"/>
        <v>936</v>
      </c>
      <c r="E940" s="101">
        <v>1</v>
      </c>
      <c r="F940" s="4">
        <v>7</v>
      </c>
      <c r="G940" s="4">
        <v>4</v>
      </c>
      <c r="H940" s="4">
        <v>1</v>
      </c>
      <c r="I940" s="4">
        <v>7</v>
      </c>
      <c r="J940" s="4">
        <v>4</v>
      </c>
      <c r="K940" s="102">
        <v>5</v>
      </c>
      <c r="M940" s="101">
        <f t="shared" si="241"/>
        <v>34</v>
      </c>
      <c r="N940" s="4">
        <f t="shared" si="242"/>
        <v>29</v>
      </c>
      <c r="O940" s="4">
        <f t="shared" si="243"/>
        <v>12</v>
      </c>
      <c r="P940" s="4">
        <f t="shared" si="244"/>
        <v>34</v>
      </c>
      <c r="Q940" s="4">
        <f t="shared" si="245"/>
        <v>29</v>
      </c>
      <c r="R940" s="4">
        <f t="shared" si="246"/>
        <v>12</v>
      </c>
      <c r="S940" s="102">
        <f t="shared" si="247"/>
        <v>30</v>
      </c>
      <c r="U940" s="101">
        <f t="shared" si="248"/>
        <v>46</v>
      </c>
      <c r="V940" s="4">
        <f t="shared" si="249"/>
        <v>41</v>
      </c>
      <c r="W940" s="4">
        <f t="shared" si="250"/>
        <v>9</v>
      </c>
      <c r="X940" s="4">
        <f t="shared" si="251"/>
        <v>46</v>
      </c>
      <c r="Y940" s="4">
        <f t="shared" si="252"/>
        <v>41</v>
      </c>
      <c r="Z940" s="4">
        <f t="shared" si="253"/>
        <v>9</v>
      </c>
      <c r="AA940" s="102">
        <f t="shared" si="254"/>
        <v>39</v>
      </c>
      <c r="AC940" s="100">
        <f t="shared" si="255"/>
        <v>0.99503511553007484</v>
      </c>
    </row>
    <row r="941" spans="4:29" x14ac:dyDescent="0.35">
      <c r="D941">
        <f t="shared" si="256"/>
        <v>937</v>
      </c>
      <c r="E941" s="101">
        <v>5</v>
      </c>
      <c r="F941" s="4">
        <v>5</v>
      </c>
      <c r="G941" s="4">
        <v>7</v>
      </c>
      <c r="H941" s="4">
        <v>6</v>
      </c>
      <c r="I941" s="4">
        <v>1</v>
      </c>
      <c r="J941" s="4">
        <v>3</v>
      </c>
      <c r="K941" s="102">
        <v>4</v>
      </c>
      <c r="M941" s="101">
        <f t="shared" si="241"/>
        <v>30</v>
      </c>
      <c r="N941" s="4">
        <f t="shared" si="242"/>
        <v>30</v>
      </c>
      <c r="O941" s="4">
        <f t="shared" si="243"/>
        <v>29</v>
      </c>
      <c r="P941" s="4">
        <f t="shared" si="244"/>
        <v>45</v>
      </c>
      <c r="Q941" s="4">
        <f t="shared" si="245"/>
        <v>34</v>
      </c>
      <c r="R941" s="4">
        <f t="shared" si="246"/>
        <v>23</v>
      </c>
      <c r="S941" s="102">
        <f t="shared" si="247"/>
        <v>12</v>
      </c>
      <c r="U941" s="101">
        <f t="shared" si="248"/>
        <v>39</v>
      </c>
      <c r="V941" s="4">
        <f t="shared" si="249"/>
        <v>39</v>
      </c>
      <c r="W941" s="4">
        <f t="shared" si="250"/>
        <v>41</v>
      </c>
      <c r="X941" s="4">
        <f t="shared" si="251"/>
        <v>71</v>
      </c>
      <c r="Y941" s="4">
        <f t="shared" si="252"/>
        <v>46</v>
      </c>
      <c r="Z941" s="4">
        <f t="shared" si="253"/>
        <v>39</v>
      </c>
      <c r="AA941" s="102">
        <f t="shared" si="254"/>
        <v>9</v>
      </c>
      <c r="AC941" s="100">
        <f t="shared" si="255"/>
        <v>0.96833765089863988</v>
      </c>
    </row>
    <row r="942" spans="4:29" x14ac:dyDescent="0.35">
      <c r="D942">
        <f t="shared" si="256"/>
        <v>938</v>
      </c>
      <c r="E942" s="101">
        <v>5</v>
      </c>
      <c r="F942" s="4">
        <v>1</v>
      </c>
      <c r="G942" s="4">
        <v>5</v>
      </c>
      <c r="H942" s="4">
        <v>2</v>
      </c>
      <c r="I942" s="4">
        <v>5</v>
      </c>
      <c r="J942" s="4">
        <v>1</v>
      </c>
      <c r="K942" s="102">
        <v>7</v>
      </c>
      <c r="M942" s="101">
        <f t="shared" si="241"/>
        <v>30</v>
      </c>
      <c r="N942" s="4">
        <f t="shared" si="242"/>
        <v>34</v>
      </c>
      <c r="O942" s="4">
        <f t="shared" si="243"/>
        <v>30</v>
      </c>
      <c r="P942" s="4">
        <f t="shared" si="244"/>
        <v>56</v>
      </c>
      <c r="Q942" s="4">
        <f t="shared" si="245"/>
        <v>30</v>
      </c>
      <c r="R942" s="4">
        <f t="shared" si="246"/>
        <v>34</v>
      </c>
      <c r="S942" s="102">
        <f t="shared" si="247"/>
        <v>29</v>
      </c>
      <c r="U942" s="101">
        <f t="shared" si="248"/>
        <v>39</v>
      </c>
      <c r="V942" s="4">
        <f t="shared" si="249"/>
        <v>46</v>
      </c>
      <c r="W942" s="4">
        <f t="shared" si="250"/>
        <v>39</v>
      </c>
      <c r="X942" s="4">
        <f t="shared" si="251"/>
        <v>78</v>
      </c>
      <c r="Y942" s="4">
        <f t="shared" si="252"/>
        <v>39</v>
      </c>
      <c r="Z942" s="4">
        <f t="shared" si="253"/>
        <v>46</v>
      </c>
      <c r="AA942" s="102">
        <f t="shared" si="254"/>
        <v>41</v>
      </c>
      <c r="AC942" s="100">
        <f t="shared" si="255"/>
        <v>0.9961723741627071</v>
      </c>
    </row>
    <row r="943" spans="4:29" x14ac:dyDescent="0.35">
      <c r="D943">
        <f t="shared" si="256"/>
        <v>939</v>
      </c>
      <c r="E943" s="101">
        <v>6</v>
      </c>
      <c r="F943" s="4">
        <v>3</v>
      </c>
      <c r="G943" s="4">
        <v>2</v>
      </c>
      <c r="H943" s="4">
        <v>5</v>
      </c>
      <c r="I943" s="4">
        <v>6</v>
      </c>
      <c r="J943" s="4">
        <v>1</v>
      </c>
      <c r="K943" s="102">
        <v>4</v>
      </c>
      <c r="M943" s="101">
        <f t="shared" si="241"/>
        <v>45</v>
      </c>
      <c r="N943" s="4">
        <f t="shared" si="242"/>
        <v>23</v>
      </c>
      <c r="O943" s="4">
        <f t="shared" si="243"/>
        <v>56</v>
      </c>
      <c r="P943" s="4">
        <f t="shared" si="244"/>
        <v>30</v>
      </c>
      <c r="Q943" s="4">
        <f t="shared" si="245"/>
        <v>45</v>
      </c>
      <c r="R943" s="4">
        <f t="shared" si="246"/>
        <v>34</v>
      </c>
      <c r="S943" s="102">
        <f t="shared" si="247"/>
        <v>12</v>
      </c>
      <c r="U943" s="101">
        <f t="shared" si="248"/>
        <v>71</v>
      </c>
      <c r="V943" s="4">
        <f t="shared" si="249"/>
        <v>39</v>
      </c>
      <c r="W943" s="4">
        <f t="shared" si="250"/>
        <v>78</v>
      </c>
      <c r="X943" s="4">
        <f t="shared" si="251"/>
        <v>39</v>
      </c>
      <c r="Y943" s="4">
        <f t="shared" si="252"/>
        <v>71</v>
      </c>
      <c r="Z943" s="4">
        <f t="shared" si="253"/>
        <v>46</v>
      </c>
      <c r="AA943" s="102">
        <f t="shared" si="254"/>
        <v>9</v>
      </c>
      <c r="AC943" s="100">
        <f t="shared" si="255"/>
        <v>0.97474696498290037</v>
      </c>
    </row>
    <row r="944" spans="4:29" x14ac:dyDescent="0.35">
      <c r="D944">
        <f t="shared" si="256"/>
        <v>940</v>
      </c>
      <c r="E944" s="101">
        <v>7</v>
      </c>
      <c r="F944" s="4">
        <v>4</v>
      </c>
      <c r="G944" s="4">
        <v>5</v>
      </c>
      <c r="H944" s="4">
        <v>1</v>
      </c>
      <c r="I944" s="4">
        <v>5</v>
      </c>
      <c r="J944" s="4">
        <v>7</v>
      </c>
      <c r="K944" s="102">
        <v>7</v>
      </c>
      <c r="M944" s="101">
        <f t="shared" si="241"/>
        <v>29</v>
      </c>
      <c r="N944" s="4">
        <f t="shared" si="242"/>
        <v>12</v>
      </c>
      <c r="O944" s="4">
        <f t="shared" si="243"/>
        <v>30</v>
      </c>
      <c r="P944" s="4">
        <f t="shared" si="244"/>
        <v>34</v>
      </c>
      <c r="Q944" s="4">
        <f t="shared" si="245"/>
        <v>30</v>
      </c>
      <c r="R944" s="4">
        <f t="shared" si="246"/>
        <v>29</v>
      </c>
      <c r="S944" s="102">
        <f t="shared" si="247"/>
        <v>29</v>
      </c>
      <c r="U944" s="101">
        <f t="shared" si="248"/>
        <v>41</v>
      </c>
      <c r="V944" s="4">
        <f t="shared" si="249"/>
        <v>9</v>
      </c>
      <c r="W944" s="4">
        <f t="shared" si="250"/>
        <v>39</v>
      </c>
      <c r="X944" s="4">
        <f t="shared" si="251"/>
        <v>46</v>
      </c>
      <c r="Y944" s="4">
        <f t="shared" si="252"/>
        <v>39</v>
      </c>
      <c r="Z944" s="4">
        <f t="shared" si="253"/>
        <v>41</v>
      </c>
      <c r="AA944" s="102">
        <f t="shared" si="254"/>
        <v>41</v>
      </c>
      <c r="AC944" s="100">
        <f t="shared" si="255"/>
        <v>0.98849639442492199</v>
      </c>
    </row>
    <row r="945" spans="4:29" x14ac:dyDescent="0.35">
      <c r="D945">
        <f t="shared" si="256"/>
        <v>941</v>
      </c>
      <c r="E945" s="101">
        <v>2</v>
      </c>
      <c r="F945" s="4">
        <v>3</v>
      </c>
      <c r="G945" s="4">
        <v>1</v>
      </c>
      <c r="H945" s="4">
        <v>7</v>
      </c>
      <c r="I945" s="4">
        <v>5</v>
      </c>
      <c r="J945" s="4">
        <v>5</v>
      </c>
      <c r="K945" s="102">
        <v>4</v>
      </c>
      <c r="M945" s="101">
        <f t="shared" si="241"/>
        <v>56</v>
      </c>
      <c r="N945" s="4">
        <f t="shared" si="242"/>
        <v>23</v>
      </c>
      <c r="O945" s="4">
        <f t="shared" si="243"/>
        <v>34</v>
      </c>
      <c r="P945" s="4">
        <f t="shared" si="244"/>
        <v>29</v>
      </c>
      <c r="Q945" s="4">
        <f t="shared" si="245"/>
        <v>30</v>
      </c>
      <c r="R945" s="4">
        <f t="shared" si="246"/>
        <v>30</v>
      </c>
      <c r="S945" s="102">
        <f t="shared" si="247"/>
        <v>12</v>
      </c>
      <c r="U945" s="101">
        <f t="shared" si="248"/>
        <v>78</v>
      </c>
      <c r="V945" s="4">
        <f t="shared" si="249"/>
        <v>39</v>
      </c>
      <c r="W945" s="4">
        <f t="shared" si="250"/>
        <v>46</v>
      </c>
      <c r="X945" s="4">
        <f t="shared" si="251"/>
        <v>41</v>
      </c>
      <c r="Y945" s="4">
        <f t="shared" si="252"/>
        <v>39</v>
      </c>
      <c r="Z945" s="4">
        <f t="shared" si="253"/>
        <v>39</v>
      </c>
      <c r="AA945" s="102">
        <f t="shared" si="254"/>
        <v>9</v>
      </c>
      <c r="AC945" s="100">
        <f t="shared" si="255"/>
        <v>0.97680827001719728</v>
      </c>
    </row>
    <row r="946" spans="4:29" x14ac:dyDescent="0.35">
      <c r="D946">
        <f t="shared" si="256"/>
        <v>942</v>
      </c>
      <c r="E946" s="101">
        <v>5</v>
      </c>
      <c r="F946" s="4">
        <v>3</v>
      </c>
      <c r="G946" s="4">
        <v>6</v>
      </c>
      <c r="H946" s="4">
        <v>5</v>
      </c>
      <c r="I946" s="4">
        <v>2</v>
      </c>
      <c r="J946" s="4">
        <v>4</v>
      </c>
      <c r="K946" s="102">
        <v>6</v>
      </c>
      <c r="M946" s="101">
        <f t="shared" si="241"/>
        <v>30</v>
      </c>
      <c r="N946" s="4">
        <f t="shared" si="242"/>
        <v>23</v>
      </c>
      <c r="O946" s="4">
        <f t="shared" si="243"/>
        <v>45</v>
      </c>
      <c r="P946" s="4">
        <f t="shared" si="244"/>
        <v>30</v>
      </c>
      <c r="Q946" s="4">
        <f t="shared" si="245"/>
        <v>56</v>
      </c>
      <c r="R946" s="4">
        <f t="shared" si="246"/>
        <v>12</v>
      </c>
      <c r="S946" s="102">
        <f t="shared" si="247"/>
        <v>45</v>
      </c>
      <c r="U946" s="101">
        <f t="shared" si="248"/>
        <v>39</v>
      </c>
      <c r="V946" s="4">
        <f t="shared" si="249"/>
        <v>39</v>
      </c>
      <c r="W946" s="4">
        <f t="shared" si="250"/>
        <v>71</v>
      </c>
      <c r="X946" s="4">
        <f t="shared" si="251"/>
        <v>39</v>
      </c>
      <c r="Y946" s="4">
        <f t="shared" si="252"/>
        <v>78</v>
      </c>
      <c r="Z946" s="4">
        <f t="shared" si="253"/>
        <v>9</v>
      </c>
      <c r="AA946" s="102">
        <f t="shared" si="254"/>
        <v>71</v>
      </c>
      <c r="AC946" s="100">
        <f t="shared" si="255"/>
        <v>0.97496631996209793</v>
      </c>
    </row>
    <row r="947" spans="4:29" x14ac:dyDescent="0.35">
      <c r="D947">
        <f t="shared" si="256"/>
        <v>943</v>
      </c>
      <c r="E947" s="101">
        <v>3</v>
      </c>
      <c r="F947" s="4">
        <v>5</v>
      </c>
      <c r="G947" s="4">
        <v>3</v>
      </c>
      <c r="H947" s="4">
        <v>4</v>
      </c>
      <c r="I947" s="4">
        <v>4</v>
      </c>
      <c r="J947" s="4">
        <v>5</v>
      </c>
      <c r="K947" s="102">
        <v>1</v>
      </c>
      <c r="M947" s="101">
        <f t="shared" si="241"/>
        <v>23</v>
      </c>
      <c r="N947" s="4">
        <f t="shared" si="242"/>
        <v>30</v>
      </c>
      <c r="O947" s="4">
        <f t="shared" si="243"/>
        <v>23</v>
      </c>
      <c r="P947" s="4">
        <f t="shared" si="244"/>
        <v>12</v>
      </c>
      <c r="Q947" s="4">
        <f t="shared" si="245"/>
        <v>12</v>
      </c>
      <c r="R947" s="4">
        <f t="shared" si="246"/>
        <v>30</v>
      </c>
      <c r="S947" s="102">
        <f t="shared" si="247"/>
        <v>34</v>
      </c>
      <c r="U947" s="101">
        <f t="shared" si="248"/>
        <v>39</v>
      </c>
      <c r="V947" s="4">
        <f t="shared" si="249"/>
        <v>39</v>
      </c>
      <c r="W947" s="4">
        <f t="shared" si="250"/>
        <v>39</v>
      </c>
      <c r="X947" s="4">
        <f t="shared" si="251"/>
        <v>9</v>
      </c>
      <c r="Y947" s="4">
        <f t="shared" si="252"/>
        <v>9</v>
      </c>
      <c r="Z947" s="4">
        <f t="shared" si="253"/>
        <v>39</v>
      </c>
      <c r="AA947" s="102">
        <f t="shared" si="254"/>
        <v>46</v>
      </c>
      <c r="AC947" s="100">
        <f t="shared" si="255"/>
        <v>0.93124694950680209</v>
      </c>
    </row>
    <row r="948" spans="4:29" x14ac:dyDescent="0.35">
      <c r="D948">
        <f t="shared" si="256"/>
        <v>944</v>
      </c>
      <c r="E948" s="101">
        <v>4</v>
      </c>
      <c r="F948" s="4">
        <v>5</v>
      </c>
      <c r="G948" s="4">
        <v>7</v>
      </c>
      <c r="H948" s="4">
        <v>2</v>
      </c>
      <c r="I948" s="4">
        <v>2</v>
      </c>
      <c r="J948" s="4">
        <v>2</v>
      </c>
      <c r="K948" s="102">
        <v>5</v>
      </c>
      <c r="M948" s="101">
        <f t="shared" si="241"/>
        <v>12</v>
      </c>
      <c r="N948" s="4">
        <f t="shared" si="242"/>
        <v>30</v>
      </c>
      <c r="O948" s="4">
        <f t="shared" si="243"/>
        <v>29</v>
      </c>
      <c r="P948" s="4">
        <f t="shared" si="244"/>
        <v>56</v>
      </c>
      <c r="Q948" s="4">
        <f t="shared" si="245"/>
        <v>56</v>
      </c>
      <c r="R948" s="4">
        <f t="shared" si="246"/>
        <v>56</v>
      </c>
      <c r="S948" s="102">
        <f t="shared" si="247"/>
        <v>30</v>
      </c>
      <c r="U948" s="101">
        <f t="shared" si="248"/>
        <v>9</v>
      </c>
      <c r="V948" s="4">
        <f t="shared" si="249"/>
        <v>39</v>
      </c>
      <c r="W948" s="4">
        <f t="shared" si="250"/>
        <v>41</v>
      </c>
      <c r="X948" s="4">
        <f t="shared" si="251"/>
        <v>78</v>
      </c>
      <c r="Y948" s="4">
        <f t="shared" si="252"/>
        <v>78</v>
      </c>
      <c r="Z948" s="4">
        <f t="shared" si="253"/>
        <v>78</v>
      </c>
      <c r="AA948" s="102">
        <f t="shared" si="254"/>
        <v>39</v>
      </c>
      <c r="AC948" s="100">
        <f t="shared" si="255"/>
        <v>0.99768384224370288</v>
      </c>
    </row>
    <row r="949" spans="4:29" x14ac:dyDescent="0.35">
      <c r="D949">
        <f t="shared" si="256"/>
        <v>945</v>
      </c>
      <c r="E949" s="101">
        <v>2</v>
      </c>
      <c r="F949" s="4">
        <v>7</v>
      </c>
      <c r="G949" s="4">
        <v>4</v>
      </c>
      <c r="H949" s="4">
        <v>5</v>
      </c>
      <c r="I949" s="4">
        <v>7</v>
      </c>
      <c r="J949" s="4">
        <v>4</v>
      </c>
      <c r="K949" s="102">
        <v>1</v>
      </c>
      <c r="M949" s="101">
        <f t="shared" si="241"/>
        <v>56</v>
      </c>
      <c r="N949" s="4">
        <f t="shared" si="242"/>
        <v>29</v>
      </c>
      <c r="O949" s="4">
        <f t="shared" si="243"/>
        <v>12</v>
      </c>
      <c r="P949" s="4">
        <f t="shared" si="244"/>
        <v>30</v>
      </c>
      <c r="Q949" s="4">
        <f t="shared" si="245"/>
        <v>29</v>
      </c>
      <c r="R949" s="4">
        <f t="shared" si="246"/>
        <v>12</v>
      </c>
      <c r="S949" s="102">
        <f t="shared" si="247"/>
        <v>34</v>
      </c>
      <c r="U949" s="101">
        <f t="shared" si="248"/>
        <v>78</v>
      </c>
      <c r="V949" s="4">
        <f t="shared" si="249"/>
        <v>41</v>
      </c>
      <c r="W949" s="4">
        <f t="shared" si="250"/>
        <v>9</v>
      </c>
      <c r="X949" s="4">
        <f t="shared" si="251"/>
        <v>39</v>
      </c>
      <c r="Y949" s="4">
        <f t="shared" si="252"/>
        <v>41</v>
      </c>
      <c r="Z949" s="4">
        <f t="shared" si="253"/>
        <v>9</v>
      </c>
      <c r="AA949" s="102">
        <f t="shared" si="254"/>
        <v>46</v>
      </c>
      <c r="AC949" s="100">
        <f t="shared" si="255"/>
        <v>0.9948894781888884</v>
      </c>
    </row>
    <row r="950" spans="4:29" x14ac:dyDescent="0.35">
      <c r="D950">
        <f t="shared" si="256"/>
        <v>946</v>
      </c>
      <c r="E950" s="101">
        <v>2</v>
      </c>
      <c r="F950" s="4">
        <v>4</v>
      </c>
      <c r="G950" s="4">
        <v>5</v>
      </c>
      <c r="H950" s="4">
        <v>4</v>
      </c>
      <c r="I950" s="4">
        <v>6</v>
      </c>
      <c r="J950" s="4">
        <v>5</v>
      </c>
      <c r="K950" s="102">
        <v>1</v>
      </c>
      <c r="M950" s="101">
        <f t="shared" si="241"/>
        <v>56</v>
      </c>
      <c r="N950" s="4">
        <f t="shared" si="242"/>
        <v>12</v>
      </c>
      <c r="O950" s="4">
        <f t="shared" si="243"/>
        <v>30</v>
      </c>
      <c r="P950" s="4">
        <f t="shared" si="244"/>
        <v>12</v>
      </c>
      <c r="Q950" s="4">
        <f t="shared" si="245"/>
        <v>45</v>
      </c>
      <c r="R950" s="4">
        <f t="shared" si="246"/>
        <v>30</v>
      </c>
      <c r="S950" s="102">
        <f t="shared" si="247"/>
        <v>34</v>
      </c>
      <c r="U950" s="101">
        <f t="shared" si="248"/>
        <v>78</v>
      </c>
      <c r="V950" s="4">
        <f t="shared" si="249"/>
        <v>9</v>
      </c>
      <c r="W950" s="4">
        <f t="shared" si="250"/>
        <v>39</v>
      </c>
      <c r="X950" s="4">
        <f t="shared" si="251"/>
        <v>9</v>
      </c>
      <c r="Y950" s="4">
        <f t="shared" si="252"/>
        <v>71</v>
      </c>
      <c r="Z950" s="4">
        <f t="shared" si="253"/>
        <v>39</v>
      </c>
      <c r="AA950" s="102">
        <f t="shared" si="254"/>
        <v>46</v>
      </c>
      <c r="AC950" s="100">
        <f t="shared" si="255"/>
        <v>0.99231862407383975</v>
      </c>
    </row>
    <row r="951" spans="4:29" x14ac:dyDescent="0.35">
      <c r="D951">
        <f t="shared" si="256"/>
        <v>947</v>
      </c>
      <c r="E951" s="101">
        <v>4</v>
      </c>
      <c r="F951" s="4">
        <v>5</v>
      </c>
      <c r="G951" s="4">
        <v>5</v>
      </c>
      <c r="H951" s="4">
        <v>5</v>
      </c>
      <c r="I951" s="4">
        <v>3</v>
      </c>
      <c r="J951" s="4">
        <v>2</v>
      </c>
      <c r="K951" s="102">
        <v>6</v>
      </c>
      <c r="M951" s="101">
        <f t="shared" si="241"/>
        <v>12</v>
      </c>
      <c r="N951" s="4">
        <f t="shared" si="242"/>
        <v>30</v>
      </c>
      <c r="O951" s="4">
        <f t="shared" si="243"/>
        <v>30</v>
      </c>
      <c r="P951" s="4">
        <f t="shared" si="244"/>
        <v>30</v>
      </c>
      <c r="Q951" s="4">
        <f t="shared" si="245"/>
        <v>23</v>
      </c>
      <c r="R951" s="4">
        <f t="shared" si="246"/>
        <v>56</v>
      </c>
      <c r="S951" s="102">
        <f t="shared" si="247"/>
        <v>45</v>
      </c>
      <c r="U951" s="101">
        <f t="shared" si="248"/>
        <v>9</v>
      </c>
      <c r="V951" s="4">
        <f t="shared" si="249"/>
        <v>39</v>
      </c>
      <c r="W951" s="4">
        <f t="shared" si="250"/>
        <v>39</v>
      </c>
      <c r="X951" s="4">
        <f t="shared" si="251"/>
        <v>39</v>
      </c>
      <c r="Y951" s="4">
        <f t="shared" si="252"/>
        <v>39</v>
      </c>
      <c r="Z951" s="4">
        <f t="shared" si="253"/>
        <v>78</v>
      </c>
      <c r="AA951" s="102">
        <f t="shared" si="254"/>
        <v>71</v>
      </c>
      <c r="AC951" s="100">
        <f t="shared" si="255"/>
        <v>0.97431923992074332</v>
      </c>
    </row>
    <row r="952" spans="4:29" x14ac:dyDescent="0.35">
      <c r="D952">
        <f t="shared" si="256"/>
        <v>948</v>
      </c>
      <c r="E952" s="101">
        <v>2</v>
      </c>
      <c r="F952" s="4">
        <v>2</v>
      </c>
      <c r="G952" s="4">
        <v>2</v>
      </c>
      <c r="H952" s="4">
        <v>6</v>
      </c>
      <c r="I952" s="4">
        <v>6</v>
      </c>
      <c r="J952" s="4">
        <v>6</v>
      </c>
      <c r="K952" s="102">
        <v>3</v>
      </c>
      <c r="M952" s="101">
        <f t="shared" si="241"/>
        <v>56</v>
      </c>
      <c r="N952" s="4">
        <f t="shared" si="242"/>
        <v>56</v>
      </c>
      <c r="O952" s="4">
        <f t="shared" si="243"/>
        <v>56</v>
      </c>
      <c r="P952" s="4">
        <f t="shared" si="244"/>
        <v>45</v>
      </c>
      <c r="Q952" s="4">
        <f t="shared" si="245"/>
        <v>45</v>
      </c>
      <c r="R952" s="4">
        <f t="shared" si="246"/>
        <v>45</v>
      </c>
      <c r="S952" s="102">
        <f t="shared" si="247"/>
        <v>23</v>
      </c>
      <c r="U952" s="101">
        <f t="shared" si="248"/>
        <v>78</v>
      </c>
      <c r="V952" s="4">
        <f t="shared" si="249"/>
        <v>78</v>
      </c>
      <c r="W952" s="4">
        <f t="shared" si="250"/>
        <v>78</v>
      </c>
      <c r="X952" s="4">
        <f t="shared" si="251"/>
        <v>71</v>
      </c>
      <c r="Y952" s="4">
        <f t="shared" si="252"/>
        <v>71</v>
      </c>
      <c r="Z952" s="4">
        <f t="shared" si="253"/>
        <v>71</v>
      </c>
      <c r="AA952" s="102">
        <f t="shared" si="254"/>
        <v>39</v>
      </c>
      <c r="AC952" s="100">
        <f t="shared" si="255"/>
        <v>0.97331597242077073</v>
      </c>
    </row>
    <row r="953" spans="4:29" x14ac:dyDescent="0.35">
      <c r="D953">
        <f t="shared" si="256"/>
        <v>949</v>
      </c>
      <c r="E953" s="101">
        <v>1</v>
      </c>
      <c r="F953" s="4">
        <v>6</v>
      </c>
      <c r="G953" s="4">
        <v>4</v>
      </c>
      <c r="H953" s="4">
        <v>1</v>
      </c>
      <c r="I953" s="4">
        <v>1</v>
      </c>
      <c r="J953" s="4">
        <v>4</v>
      </c>
      <c r="K953" s="102">
        <v>7</v>
      </c>
      <c r="M953" s="101">
        <f t="shared" si="241"/>
        <v>34</v>
      </c>
      <c r="N953" s="4">
        <f t="shared" si="242"/>
        <v>45</v>
      </c>
      <c r="O953" s="4">
        <f t="shared" si="243"/>
        <v>12</v>
      </c>
      <c r="P953" s="4">
        <f t="shared" si="244"/>
        <v>34</v>
      </c>
      <c r="Q953" s="4">
        <f t="shared" si="245"/>
        <v>34</v>
      </c>
      <c r="R953" s="4">
        <f t="shared" si="246"/>
        <v>12</v>
      </c>
      <c r="S953" s="102">
        <f t="shared" si="247"/>
        <v>29</v>
      </c>
      <c r="U953" s="101">
        <f t="shared" si="248"/>
        <v>46</v>
      </c>
      <c r="V953" s="4">
        <f t="shared" si="249"/>
        <v>71</v>
      </c>
      <c r="W953" s="4">
        <f t="shared" si="250"/>
        <v>9</v>
      </c>
      <c r="X953" s="4">
        <f t="shared" si="251"/>
        <v>46</v>
      </c>
      <c r="Y953" s="4">
        <f t="shared" si="252"/>
        <v>46</v>
      </c>
      <c r="Z953" s="4">
        <f t="shared" si="253"/>
        <v>9</v>
      </c>
      <c r="AA953" s="102">
        <f t="shared" si="254"/>
        <v>41</v>
      </c>
      <c r="AC953" s="100">
        <f t="shared" si="255"/>
        <v>0.9954571639478409</v>
      </c>
    </row>
    <row r="954" spans="4:29" x14ac:dyDescent="0.35">
      <c r="D954">
        <f t="shared" si="256"/>
        <v>950</v>
      </c>
      <c r="E954" s="101">
        <v>3</v>
      </c>
      <c r="F954" s="4">
        <v>3</v>
      </c>
      <c r="G954" s="4">
        <v>1</v>
      </c>
      <c r="H954" s="4">
        <v>1</v>
      </c>
      <c r="I954" s="4">
        <v>3</v>
      </c>
      <c r="J954" s="4">
        <v>3</v>
      </c>
      <c r="K954" s="102">
        <v>5</v>
      </c>
      <c r="M954" s="101">
        <f t="shared" si="241"/>
        <v>23</v>
      </c>
      <c r="N954" s="4">
        <f t="shared" si="242"/>
        <v>23</v>
      </c>
      <c r="O954" s="4">
        <f t="shared" si="243"/>
        <v>34</v>
      </c>
      <c r="P954" s="4">
        <f t="shared" si="244"/>
        <v>34</v>
      </c>
      <c r="Q954" s="4">
        <f t="shared" si="245"/>
        <v>23</v>
      </c>
      <c r="R954" s="4">
        <f t="shared" si="246"/>
        <v>23</v>
      </c>
      <c r="S954" s="102">
        <f t="shared" si="247"/>
        <v>30</v>
      </c>
      <c r="U954" s="101">
        <f t="shared" si="248"/>
        <v>39</v>
      </c>
      <c r="V954" s="4">
        <f t="shared" si="249"/>
        <v>39</v>
      </c>
      <c r="W954" s="4">
        <f t="shared" si="250"/>
        <v>46</v>
      </c>
      <c r="X954" s="4">
        <f t="shared" si="251"/>
        <v>46</v>
      </c>
      <c r="Y954" s="4">
        <f t="shared" si="252"/>
        <v>39</v>
      </c>
      <c r="Z954" s="4">
        <f t="shared" si="253"/>
        <v>39</v>
      </c>
      <c r="AA954" s="102">
        <f t="shared" si="254"/>
        <v>39</v>
      </c>
      <c r="AC954" s="100">
        <f t="shared" si="255"/>
        <v>0.87782034715134594</v>
      </c>
    </row>
    <row r="955" spans="4:29" x14ac:dyDescent="0.35">
      <c r="D955">
        <f t="shared" si="256"/>
        <v>951</v>
      </c>
      <c r="E955" s="101">
        <v>6</v>
      </c>
      <c r="F955" s="4">
        <v>6</v>
      </c>
      <c r="G955" s="4">
        <v>4</v>
      </c>
      <c r="H955" s="4">
        <v>1</v>
      </c>
      <c r="I955" s="4">
        <v>2</v>
      </c>
      <c r="J955" s="4">
        <v>6</v>
      </c>
      <c r="K955" s="102">
        <v>4</v>
      </c>
      <c r="M955" s="101">
        <f t="shared" si="241"/>
        <v>45</v>
      </c>
      <c r="N955" s="4">
        <f t="shared" si="242"/>
        <v>45</v>
      </c>
      <c r="O955" s="4">
        <f t="shared" si="243"/>
        <v>12</v>
      </c>
      <c r="P955" s="4">
        <f t="shared" si="244"/>
        <v>34</v>
      </c>
      <c r="Q955" s="4">
        <f t="shared" si="245"/>
        <v>56</v>
      </c>
      <c r="R955" s="4">
        <f t="shared" si="246"/>
        <v>45</v>
      </c>
      <c r="S955" s="102">
        <f t="shared" si="247"/>
        <v>12</v>
      </c>
      <c r="U955" s="101">
        <f t="shared" si="248"/>
        <v>71</v>
      </c>
      <c r="V955" s="4">
        <f t="shared" si="249"/>
        <v>71</v>
      </c>
      <c r="W955" s="4">
        <f t="shared" si="250"/>
        <v>9</v>
      </c>
      <c r="X955" s="4">
        <f t="shared" si="251"/>
        <v>46</v>
      </c>
      <c r="Y955" s="4">
        <f t="shared" si="252"/>
        <v>78</v>
      </c>
      <c r="Z955" s="4">
        <f t="shared" si="253"/>
        <v>71</v>
      </c>
      <c r="AA955" s="102">
        <f t="shared" si="254"/>
        <v>9</v>
      </c>
      <c r="AC955" s="100">
        <f t="shared" si="255"/>
        <v>0.98917782283122957</v>
      </c>
    </row>
    <row r="956" spans="4:29" x14ac:dyDescent="0.35">
      <c r="D956">
        <f t="shared" si="256"/>
        <v>952</v>
      </c>
      <c r="E956" s="101">
        <v>5</v>
      </c>
      <c r="F956" s="4">
        <v>6</v>
      </c>
      <c r="G956" s="4">
        <v>2</v>
      </c>
      <c r="H956" s="4">
        <v>4</v>
      </c>
      <c r="I956" s="4">
        <v>5</v>
      </c>
      <c r="J956" s="4">
        <v>5</v>
      </c>
      <c r="K956" s="102">
        <v>6</v>
      </c>
      <c r="M956" s="101">
        <f t="shared" si="241"/>
        <v>30</v>
      </c>
      <c r="N956" s="4">
        <f t="shared" si="242"/>
        <v>45</v>
      </c>
      <c r="O956" s="4">
        <f t="shared" si="243"/>
        <v>56</v>
      </c>
      <c r="P956" s="4">
        <f t="shared" si="244"/>
        <v>12</v>
      </c>
      <c r="Q956" s="4">
        <f t="shared" si="245"/>
        <v>30</v>
      </c>
      <c r="R956" s="4">
        <f t="shared" si="246"/>
        <v>30</v>
      </c>
      <c r="S956" s="102">
        <f t="shared" si="247"/>
        <v>45</v>
      </c>
      <c r="U956" s="101">
        <f t="shared" si="248"/>
        <v>39</v>
      </c>
      <c r="V956" s="4">
        <f t="shared" si="249"/>
        <v>71</v>
      </c>
      <c r="W956" s="4">
        <f t="shared" si="250"/>
        <v>78</v>
      </c>
      <c r="X956" s="4">
        <f t="shared" si="251"/>
        <v>9</v>
      </c>
      <c r="Y956" s="4">
        <f t="shared" si="252"/>
        <v>39</v>
      </c>
      <c r="Z956" s="4">
        <f t="shared" si="253"/>
        <v>39</v>
      </c>
      <c r="AA956" s="102">
        <f t="shared" si="254"/>
        <v>71</v>
      </c>
      <c r="AC956" s="100">
        <f t="shared" si="255"/>
        <v>0.98617485463932586</v>
      </c>
    </row>
    <row r="957" spans="4:29" x14ac:dyDescent="0.35">
      <c r="D957">
        <f t="shared" si="256"/>
        <v>953</v>
      </c>
      <c r="E957" s="101">
        <v>3</v>
      </c>
      <c r="F957" s="4">
        <v>3</v>
      </c>
      <c r="G957" s="4">
        <v>3</v>
      </c>
      <c r="H957" s="4">
        <v>1</v>
      </c>
      <c r="I957" s="4">
        <v>1</v>
      </c>
      <c r="J957" s="4">
        <v>4</v>
      </c>
      <c r="K957" s="102">
        <v>7</v>
      </c>
      <c r="M957" s="101">
        <f t="shared" si="241"/>
        <v>23</v>
      </c>
      <c r="N957" s="4">
        <f t="shared" si="242"/>
        <v>23</v>
      </c>
      <c r="O957" s="4">
        <f t="shared" si="243"/>
        <v>23</v>
      </c>
      <c r="P957" s="4">
        <f t="shared" si="244"/>
        <v>34</v>
      </c>
      <c r="Q957" s="4">
        <f t="shared" si="245"/>
        <v>34</v>
      </c>
      <c r="R957" s="4">
        <f t="shared" si="246"/>
        <v>12</v>
      </c>
      <c r="S957" s="102">
        <f t="shared" si="247"/>
        <v>29</v>
      </c>
      <c r="U957" s="101">
        <f t="shared" si="248"/>
        <v>39</v>
      </c>
      <c r="V957" s="4">
        <f t="shared" si="249"/>
        <v>39</v>
      </c>
      <c r="W957" s="4">
        <f t="shared" si="250"/>
        <v>39</v>
      </c>
      <c r="X957" s="4">
        <f t="shared" si="251"/>
        <v>46</v>
      </c>
      <c r="Y957" s="4">
        <f t="shared" si="252"/>
        <v>46</v>
      </c>
      <c r="Z957" s="4">
        <f t="shared" si="253"/>
        <v>9</v>
      </c>
      <c r="AA957" s="102">
        <f t="shared" si="254"/>
        <v>41</v>
      </c>
      <c r="AC957" s="100">
        <f t="shared" si="255"/>
        <v>0.89790057339726992</v>
      </c>
    </row>
    <row r="958" spans="4:29" x14ac:dyDescent="0.35">
      <c r="D958">
        <f t="shared" si="256"/>
        <v>954</v>
      </c>
      <c r="E958" s="101">
        <v>2</v>
      </c>
      <c r="F958" s="4">
        <v>3</v>
      </c>
      <c r="G958" s="4">
        <v>3</v>
      </c>
      <c r="H958" s="4">
        <v>6</v>
      </c>
      <c r="I958" s="4">
        <v>2</v>
      </c>
      <c r="J958" s="4">
        <v>6</v>
      </c>
      <c r="K958" s="102">
        <v>4</v>
      </c>
      <c r="M958" s="101">
        <f t="shared" si="241"/>
        <v>56</v>
      </c>
      <c r="N958" s="4">
        <f t="shared" si="242"/>
        <v>23</v>
      </c>
      <c r="O958" s="4">
        <f t="shared" si="243"/>
        <v>23</v>
      </c>
      <c r="P958" s="4">
        <f t="shared" si="244"/>
        <v>45</v>
      </c>
      <c r="Q958" s="4">
        <f t="shared" si="245"/>
        <v>56</v>
      </c>
      <c r="R958" s="4">
        <f t="shared" si="246"/>
        <v>45</v>
      </c>
      <c r="S958" s="102">
        <f t="shared" si="247"/>
        <v>12</v>
      </c>
      <c r="U958" s="101">
        <f t="shared" si="248"/>
        <v>78</v>
      </c>
      <c r="V958" s="4">
        <f t="shared" si="249"/>
        <v>39</v>
      </c>
      <c r="W958" s="4">
        <f t="shared" si="250"/>
        <v>39</v>
      </c>
      <c r="X958" s="4">
        <f t="shared" si="251"/>
        <v>71</v>
      </c>
      <c r="Y958" s="4">
        <f t="shared" si="252"/>
        <v>78</v>
      </c>
      <c r="Z958" s="4">
        <f t="shared" si="253"/>
        <v>71</v>
      </c>
      <c r="AA958" s="102">
        <f t="shared" si="254"/>
        <v>9</v>
      </c>
      <c r="AC958" s="100">
        <f t="shared" si="255"/>
        <v>0.97446805346555998</v>
      </c>
    </row>
    <row r="959" spans="4:29" x14ac:dyDescent="0.35">
      <c r="D959">
        <f t="shared" si="256"/>
        <v>955</v>
      </c>
      <c r="E959" s="101">
        <v>5</v>
      </c>
      <c r="F959" s="4">
        <v>4</v>
      </c>
      <c r="G959" s="4">
        <v>2</v>
      </c>
      <c r="H959" s="4">
        <v>6</v>
      </c>
      <c r="I959" s="4">
        <v>1</v>
      </c>
      <c r="J959" s="4">
        <v>2</v>
      </c>
      <c r="K959" s="102">
        <v>4</v>
      </c>
      <c r="M959" s="101">
        <f t="shared" si="241"/>
        <v>30</v>
      </c>
      <c r="N959" s="4">
        <f t="shared" si="242"/>
        <v>12</v>
      </c>
      <c r="O959" s="4">
        <f t="shared" si="243"/>
        <v>56</v>
      </c>
      <c r="P959" s="4">
        <f t="shared" si="244"/>
        <v>45</v>
      </c>
      <c r="Q959" s="4">
        <f t="shared" si="245"/>
        <v>34</v>
      </c>
      <c r="R959" s="4">
        <f t="shared" si="246"/>
        <v>56</v>
      </c>
      <c r="S959" s="102">
        <f t="shared" si="247"/>
        <v>12</v>
      </c>
      <c r="U959" s="101">
        <f t="shared" si="248"/>
        <v>39</v>
      </c>
      <c r="V959" s="4">
        <f t="shared" si="249"/>
        <v>9</v>
      </c>
      <c r="W959" s="4">
        <f t="shared" si="250"/>
        <v>78</v>
      </c>
      <c r="X959" s="4">
        <f t="shared" si="251"/>
        <v>71</v>
      </c>
      <c r="Y959" s="4">
        <f t="shared" si="252"/>
        <v>46</v>
      </c>
      <c r="Z959" s="4">
        <f t="shared" si="253"/>
        <v>78</v>
      </c>
      <c r="AA959" s="102">
        <f t="shared" si="254"/>
        <v>9</v>
      </c>
      <c r="AC959" s="100">
        <f t="shared" si="255"/>
        <v>0.99260640683459234</v>
      </c>
    </row>
    <row r="960" spans="4:29" x14ac:dyDescent="0.35">
      <c r="D960">
        <f t="shared" si="256"/>
        <v>956</v>
      </c>
      <c r="E960" s="101">
        <v>7</v>
      </c>
      <c r="F960" s="4">
        <v>5</v>
      </c>
      <c r="G960" s="4">
        <v>6</v>
      </c>
      <c r="H960" s="4">
        <v>5</v>
      </c>
      <c r="I960" s="4">
        <v>2</v>
      </c>
      <c r="J960" s="4">
        <v>1</v>
      </c>
      <c r="K960" s="102">
        <v>3</v>
      </c>
      <c r="M960" s="101">
        <f t="shared" si="241"/>
        <v>29</v>
      </c>
      <c r="N960" s="4">
        <f t="shared" si="242"/>
        <v>30</v>
      </c>
      <c r="O960" s="4">
        <f t="shared" si="243"/>
        <v>45</v>
      </c>
      <c r="P960" s="4">
        <f t="shared" si="244"/>
        <v>30</v>
      </c>
      <c r="Q960" s="4">
        <f t="shared" si="245"/>
        <v>56</v>
      </c>
      <c r="R960" s="4">
        <f t="shared" si="246"/>
        <v>34</v>
      </c>
      <c r="S960" s="102">
        <f t="shared" si="247"/>
        <v>23</v>
      </c>
      <c r="U960" s="101">
        <f t="shared" si="248"/>
        <v>41</v>
      </c>
      <c r="V960" s="4">
        <f t="shared" si="249"/>
        <v>39</v>
      </c>
      <c r="W960" s="4">
        <f t="shared" si="250"/>
        <v>71</v>
      </c>
      <c r="X960" s="4">
        <f t="shared" si="251"/>
        <v>39</v>
      </c>
      <c r="Y960" s="4">
        <f t="shared" si="252"/>
        <v>78</v>
      </c>
      <c r="Z960" s="4">
        <f t="shared" si="253"/>
        <v>46</v>
      </c>
      <c r="AA960" s="102">
        <f t="shared" si="254"/>
        <v>39</v>
      </c>
      <c r="AC960" s="100">
        <f t="shared" si="255"/>
        <v>0.96267816560012387</v>
      </c>
    </row>
    <row r="961" spans="4:29" x14ac:dyDescent="0.35">
      <c r="D961">
        <f t="shared" si="256"/>
        <v>957</v>
      </c>
      <c r="E961" s="101">
        <v>3</v>
      </c>
      <c r="F961" s="4">
        <v>5</v>
      </c>
      <c r="G961" s="4">
        <v>3</v>
      </c>
      <c r="H961" s="4">
        <v>4</v>
      </c>
      <c r="I961" s="4">
        <v>1</v>
      </c>
      <c r="J961" s="4">
        <v>1</v>
      </c>
      <c r="K961" s="102">
        <v>6</v>
      </c>
      <c r="M961" s="101">
        <f t="shared" si="241"/>
        <v>23</v>
      </c>
      <c r="N961" s="4">
        <f t="shared" si="242"/>
        <v>30</v>
      </c>
      <c r="O961" s="4">
        <f t="shared" si="243"/>
        <v>23</v>
      </c>
      <c r="P961" s="4">
        <f t="shared" si="244"/>
        <v>12</v>
      </c>
      <c r="Q961" s="4">
        <f t="shared" si="245"/>
        <v>34</v>
      </c>
      <c r="R961" s="4">
        <f t="shared" si="246"/>
        <v>34</v>
      </c>
      <c r="S961" s="102">
        <f t="shared" si="247"/>
        <v>45</v>
      </c>
      <c r="U961" s="101">
        <f t="shared" si="248"/>
        <v>39</v>
      </c>
      <c r="V961" s="4">
        <f t="shared" si="249"/>
        <v>39</v>
      </c>
      <c r="W961" s="4">
        <f t="shared" si="250"/>
        <v>39</v>
      </c>
      <c r="X961" s="4">
        <f t="shared" si="251"/>
        <v>9</v>
      </c>
      <c r="Y961" s="4">
        <f t="shared" si="252"/>
        <v>46</v>
      </c>
      <c r="Z961" s="4">
        <f t="shared" si="253"/>
        <v>46</v>
      </c>
      <c r="AA961" s="102">
        <f t="shared" si="254"/>
        <v>71</v>
      </c>
      <c r="AC961" s="100">
        <f t="shared" si="255"/>
        <v>0.95259302085101072</v>
      </c>
    </row>
    <row r="962" spans="4:29" x14ac:dyDescent="0.35">
      <c r="D962">
        <f t="shared" si="256"/>
        <v>958</v>
      </c>
      <c r="E962" s="101">
        <v>1</v>
      </c>
      <c r="F962" s="4">
        <v>6</v>
      </c>
      <c r="G962" s="4">
        <v>5</v>
      </c>
      <c r="H962" s="4">
        <v>5</v>
      </c>
      <c r="I962" s="4">
        <v>4</v>
      </c>
      <c r="J962" s="4">
        <v>3</v>
      </c>
      <c r="K962" s="102">
        <v>1</v>
      </c>
      <c r="M962" s="101">
        <f t="shared" si="241"/>
        <v>34</v>
      </c>
      <c r="N962" s="4">
        <f t="shared" si="242"/>
        <v>45</v>
      </c>
      <c r="O962" s="4">
        <f t="shared" si="243"/>
        <v>30</v>
      </c>
      <c r="P962" s="4">
        <f t="shared" si="244"/>
        <v>30</v>
      </c>
      <c r="Q962" s="4">
        <f t="shared" si="245"/>
        <v>12</v>
      </c>
      <c r="R962" s="4">
        <f t="shared" si="246"/>
        <v>23</v>
      </c>
      <c r="S962" s="102">
        <f t="shared" si="247"/>
        <v>34</v>
      </c>
      <c r="U962" s="101">
        <f t="shared" si="248"/>
        <v>46</v>
      </c>
      <c r="V962" s="4">
        <f t="shared" si="249"/>
        <v>71</v>
      </c>
      <c r="W962" s="4">
        <f t="shared" si="250"/>
        <v>39</v>
      </c>
      <c r="X962" s="4">
        <f t="shared" si="251"/>
        <v>39</v>
      </c>
      <c r="Y962" s="4">
        <f t="shared" si="252"/>
        <v>9</v>
      </c>
      <c r="Z962" s="4">
        <f t="shared" si="253"/>
        <v>39</v>
      </c>
      <c r="AA962" s="102">
        <f t="shared" si="254"/>
        <v>46</v>
      </c>
      <c r="AC962" s="100">
        <f t="shared" si="255"/>
        <v>0.96661408707124852</v>
      </c>
    </row>
    <row r="963" spans="4:29" x14ac:dyDescent="0.35">
      <c r="D963">
        <f t="shared" si="256"/>
        <v>959</v>
      </c>
      <c r="E963" s="101">
        <v>7</v>
      </c>
      <c r="F963" s="4">
        <v>1</v>
      </c>
      <c r="G963" s="4">
        <v>7</v>
      </c>
      <c r="H963" s="4">
        <v>2</v>
      </c>
      <c r="I963" s="4">
        <v>4</v>
      </c>
      <c r="J963" s="4">
        <v>6</v>
      </c>
      <c r="K963" s="102">
        <v>4</v>
      </c>
      <c r="M963" s="101">
        <f t="shared" si="241"/>
        <v>29</v>
      </c>
      <c r="N963" s="4">
        <f t="shared" si="242"/>
        <v>34</v>
      </c>
      <c r="O963" s="4">
        <f t="shared" si="243"/>
        <v>29</v>
      </c>
      <c r="P963" s="4">
        <f t="shared" si="244"/>
        <v>56</v>
      </c>
      <c r="Q963" s="4">
        <f t="shared" si="245"/>
        <v>12</v>
      </c>
      <c r="R963" s="4">
        <f t="shared" si="246"/>
        <v>45</v>
      </c>
      <c r="S963" s="102">
        <f t="shared" si="247"/>
        <v>12</v>
      </c>
      <c r="U963" s="101">
        <f t="shared" si="248"/>
        <v>41</v>
      </c>
      <c r="V963" s="4">
        <f t="shared" si="249"/>
        <v>46</v>
      </c>
      <c r="W963" s="4">
        <f t="shared" si="250"/>
        <v>41</v>
      </c>
      <c r="X963" s="4">
        <f t="shared" si="251"/>
        <v>78</v>
      </c>
      <c r="Y963" s="4">
        <f t="shared" si="252"/>
        <v>9</v>
      </c>
      <c r="Z963" s="4">
        <f t="shared" si="253"/>
        <v>71</v>
      </c>
      <c r="AA963" s="102">
        <f t="shared" si="254"/>
        <v>9</v>
      </c>
      <c r="AC963" s="100">
        <f t="shared" si="255"/>
        <v>0.99082367312610187</v>
      </c>
    </row>
    <row r="964" spans="4:29" x14ac:dyDescent="0.35">
      <c r="D964">
        <f t="shared" si="256"/>
        <v>960</v>
      </c>
      <c r="E964" s="101">
        <v>1</v>
      </c>
      <c r="F964" s="4">
        <v>4</v>
      </c>
      <c r="G964" s="4">
        <v>1</v>
      </c>
      <c r="H964" s="4">
        <v>5</v>
      </c>
      <c r="I964" s="4">
        <v>4</v>
      </c>
      <c r="J964" s="4">
        <v>6</v>
      </c>
      <c r="K964" s="102">
        <v>6</v>
      </c>
      <c r="M964" s="101">
        <f t="shared" si="241"/>
        <v>34</v>
      </c>
      <c r="N964" s="4">
        <f t="shared" si="242"/>
        <v>12</v>
      </c>
      <c r="O964" s="4">
        <f t="shared" si="243"/>
        <v>34</v>
      </c>
      <c r="P964" s="4">
        <f t="shared" si="244"/>
        <v>30</v>
      </c>
      <c r="Q964" s="4">
        <f t="shared" si="245"/>
        <v>12</v>
      </c>
      <c r="R964" s="4">
        <f t="shared" si="246"/>
        <v>45</v>
      </c>
      <c r="S964" s="102">
        <f t="shared" si="247"/>
        <v>45</v>
      </c>
      <c r="U964" s="101">
        <f t="shared" si="248"/>
        <v>46</v>
      </c>
      <c r="V964" s="4">
        <f t="shared" si="249"/>
        <v>9</v>
      </c>
      <c r="W964" s="4">
        <f t="shared" si="250"/>
        <v>46</v>
      </c>
      <c r="X964" s="4">
        <f t="shared" si="251"/>
        <v>39</v>
      </c>
      <c r="Y964" s="4">
        <f t="shared" si="252"/>
        <v>9</v>
      </c>
      <c r="Z964" s="4">
        <f t="shared" si="253"/>
        <v>71</v>
      </c>
      <c r="AA964" s="102">
        <f t="shared" si="254"/>
        <v>71</v>
      </c>
      <c r="AC964" s="100">
        <f t="shared" si="255"/>
        <v>0.99627350568066619</v>
      </c>
    </row>
    <row r="965" spans="4:29" x14ac:dyDescent="0.35">
      <c r="D965">
        <f t="shared" si="256"/>
        <v>961</v>
      </c>
      <c r="E965" s="101">
        <v>4</v>
      </c>
      <c r="F965" s="4">
        <v>1</v>
      </c>
      <c r="G965" s="4">
        <v>1</v>
      </c>
      <c r="H965" s="4">
        <v>7</v>
      </c>
      <c r="I965" s="4">
        <v>7</v>
      </c>
      <c r="J965" s="4">
        <v>6</v>
      </c>
      <c r="K965" s="102">
        <v>6</v>
      </c>
      <c r="M965" s="101">
        <f t="shared" si="241"/>
        <v>12</v>
      </c>
      <c r="N965" s="4">
        <f t="shared" si="242"/>
        <v>34</v>
      </c>
      <c r="O965" s="4">
        <f t="shared" si="243"/>
        <v>34</v>
      </c>
      <c r="P965" s="4">
        <f t="shared" si="244"/>
        <v>29</v>
      </c>
      <c r="Q965" s="4">
        <f t="shared" si="245"/>
        <v>29</v>
      </c>
      <c r="R965" s="4">
        <f t="shared" si="246"/>
        <v>45</v>
      </c>
      <c r="S965" s="102">
        <f t="shared" si="247"/>
        <v>45</v>
      </c>
      <c r="U965" s="101">
        <f t="shared" si="248"/>
        <v>9</v>
      </c>
      <c r="V965" s="4">
        <f t="shared" si="249"/>
        <v>46</v>
      </c>
      <c r="W965" s="4">
        <f t="shared" si="250"/>
        <v>46</v>
      </c>
      <c r="X965" s="4">
        <f t="shared" si="251"/>
        <v>41</v>
      </c>
      <c r="Y965" s="4">
        <f t="shared" si="252"/>
        <v>41</v>
      </c>
      <c r="Z965" s="4">
        <f t="shared" si="253"/>
        <v>71</v>
      </c>
      <c r="AA965" s="102">
        <f t="shared" si="254"/>
        <v>71</v>
      </c>
      <c r="AC965" s="100">
        <f t="shared" si="255"/>
        <v>0.99494258770549981</v>
      </c>
    </row>
    <row r="966" spans="4:29" x14ac:dyDescent="0.35">
      <c r="D966">
        <f t="shared" si="256"/>
        <v>962</v>
      </c>
      <c r="E966" s="101">
        <v>3</v>
      </c>
      <c r="F966" s="4">
        <v>6</v>
      </c>
      <c r="G966" s="4">
        <v>4</v>
      </c>
      <c r="H966" s="4">
        <v>6</v>
      </c>
      <c r="I966" s="4">
        <v>1</v>
      </c>
      <c r="J966" s="4">
        <v>4</v>
      </c>
      <c r="K966" s="102">
        <v>7</v>
      </c>
      <c r="M966" s="101">
        <f t="shared" ref="M966:M1029" si="257">INDEX($A$5:$A$11,E966)</f>
        <v>23</v>
      </c>
      <c r="N966" s="4">
        <f t="shared" ref="N966:N1029" si="258">INDEX($A$5:$A$11,F966)</f>
        <v>45</v>
      </c>
      <c r="O966" s="4">
        <f t="shared" ref="O966:O1029" si="259">INDEX($A$5:$A$11,G966)</f>
        <v>12</v>
      </c>
      <c r="P966" s="4">
        <f t="shared" ref="P966:P1029" si="260">INDEX($A$5:$A$11,H966)</f>
        <v>45</v>
      </c>
      <c r="Q966" s="4">
        <f t="shared" ref="Q966:Q1029" si="261">INDEX($A$5:$A$11,I966)</f>
        <v>34</v>
      </c>
      <c r="R966" s="4">
        <f t="shared" ref="R966:R1029" si="262">INDEX($A$5:$A$11,J966)</f>
        <v>12</v>
      </c>
      <c r="S966" s="102">
        <f t="shared" ref="S966:S1029" si="263">INDEX($A$5:$A$11,K966)</f>
        <v>29</v>
      </c>
      <c r="U966" s="101">
        <f t="shared" ref="U966:U1029" si="264">INDEX($B$5:$B$11,E966)</f>
        <v>39</v>
      </c>
      <c r="V966" s="4">
        <f t="shared" ref="V966:V1029" si="265">INDEX($B$5:$B$11,F966)</f>
        <v>71</v>
      </c>
      <c r="W966" s="4">
        <f t="shared" ref="W966:W1029" si="266">INDEX($B$5:$B$11,G966)</f>
        <v>9</v>
      </c>
      <c r="X966" s="4">
        <f t="shared" ref="X966:X1029" si="267">INDEX($B$5:$B$11,H966)</f>
        <v>71</v>
      </c>
      <c r="Y966" s="4">
        <f t="shared" ref="Y966:Y1029" si="268">INDEX($B$5:$B$11,I966)</f>
        <v>46</v>
      </c>
      <c r="Z966" s="4">
        <f t="shared" ref="Z966:Z1029" si="269">INDEX($B$5:$B$11,J966)</f>
        <v>9</v>
      </c>
      <c r="AA966" s="102">
        <f t="shared" ref="AA966:AA1029" si="270">INDEX($B$5:$B$11,K966)</f>
        <v>41</v>
      </c>
      <c r="AC966" s="100">
        <f t="shared" ref="AC966:AC1029" si="271">CORREL(M966:S966,U966:AA966)</f>
        <v>0.98737452535804848</v>
      </c>
    </row>
    <row r="967" spans="4:29" x14ac:dyDescent="0.35">
      <c r="D967">
        <f t="shared" ref="D967:D1030" si="272">D966+1</f>
        <v>963</v>
      </c>
      <c r="E967" s="101">
        <v>6</v>
      </c>
      <c r="F967" s="4">
        <v>7</v>
      </c>
      <c r="G967" s="4">
        <v>1</v>
      </c>
      <c r="H967" s="4">
        <v>1</v>
      </c>
      <c r="I967" s="4">
        <v>4</v>
      </c>
      <c r="J967" s="4">
        <v>3</v>
      </c>
      <c r="K967" s="102">
        <v>7</v>
      </c>
      <c r="M967" s="101">
        <f t="shared" si="257"/>
        <v>45</v>
      </c>
      <c r="N967" s="4">
        <f t="shared" si="258"/>
        <v>29</v>
      </c>
      <c r="O967" s="4">
        <f t="shared" si="259"/>
        <v>34</v>
      </c>
      <c r="P967" s="4">
        <f t="shared" si="260"/>
        <v>34</v>
      </c>
      <c r="Q967" s="4">
        <f t="shared" si="261"/>
        <v>12</v>
      </c>
      <c r="R967" s="4">
        <f t="shared" si="262"/>
        <v>23</v>
      </c>
      <c r="S967" s="102">
        <f t="shared" si="263"/>
        <v>29</v>
      </c>
      <c r="U967" s="101">
        <f t="shared" si="264"/>
        <v>71</v>
      </c>
      <c r="V967" s="4">
        <f t="shared" si="265"/>
        <v>41</v>
      </c>
      <c r="W967" s="4">
        <f t="shared" si="266"/>
        <v>46</v>
      </c>
      <c r="X967" s="4">
        <f t="shared" si="267"/>
        <v>46</v>
      </c>
      <c r="Y967" s="4">
        <f t="shared" si="268"/>
        <v>9</v>
      </c>
      <c r="Z967" s="4">
        <f t="shared" si="269"/>
        <v>39</v>
      </c>
      <c r="AA967" s="102">
        <f t="shared" si="270"/>
        <v>41</v>
      </c>
      <c r="AC967" s="100">
        <f t="shared" si="271"/>
        <v>0.97203229021936832</v>
      </c>
    </row>
    <row r="968" spans="4:29" x14ac:dyDescent="0.35">
      <c r="D968">
        <f t="shared" si="272"/>
        <v>964</v>
      </c>
      <c r="E968" s="101">
        <v>2</v>
      </c>
      <c r="F968" s="4">
        <v>6</v>
      </c>
      <c r="G968" s="4">
        <v>1</v>
      </c>
      <c r="H968" s="4">
        <v>3</v>
      </c>
      <c r="I968" s="4">
        <v>1</v>
      </c>
      <c r="J968" s="4">
        <v>4</v>
      </c>
      <c r="K968" s="102">
        <v>5</v>
      </c>
      <c r="M968" s="101">
        <f t="shared" si="257"/>
        <v>56</v>
      </c>
      <c r="N968" s="4">
        <f t="shared" si="258"/>
        <v>45</v>
      </c>
      <c r="O968" s="4">
        <f t="shared" si="259"/>
        <v>34</v>
      </c>
      <c r="P968" s="4">
        <f t="shared" si="260"/>
        <v>23</v>
      </c>
      <c r="Q968" s="4">
        <f t="shared" si="261"/>
        <v>34</v>
      </c>
      <c r="R968" s="4">
        <f t="shared" si="262"/>
        <v>12</v>
      </c>
      <c r="S968" s="102">
        <f t="shared" si="263"/>
        <v>30</v>
      </c>
      <c r="U968" s="101">
        <f t="shared" si="264"/>
        <v>78</v>
      </c>
      <c r="V968" s="4">
        <f t="shared" si="265"/>
        <v>71</v>
      </c>
      <c r="W968" s="4">
        <f t="shared" si="266"/>
        <v>46</v>
      </c>
      <c r="X968" s="4">
        <f t="shared" si="267"/>
        <v>39</v>
      </c>
      <c r="Y968" s="4">
        <f t="shared" si="268"/>
        <v>46</v>
      </c>
      <c r="Z968" s="4">
        <f t="shared" si="269"/>
        <v>9</v>
      </c>
      <c r="AA968" s="102">
        <f t="shared" si="270"/>
        <v>39</v>
      </c>
      <c r="AC968" s="100">
        <f t="shared" si="271"/>
        <v>0.97454066662669281</v>
      </c>
    </row>
    <row r="969" spans="4:29" x14ac:dyDescent="0.35">
      <c r="D969">
        <f t="shared" si="272"/>
        <v>965</v>
      </c>
      <c r="E969" s="101">
        <v>1</v>
      </c>
      <c r="F969" s="4">
        <v>7</v>
      </c>
      <c r="G969" s="4">
        <v>5</v>
      </c>
      <c r="H969" s="4">
        <v>3</v>
      </c>
      <c r="I969" s="4">
        <v>4</v>
      </c>
      <c r="J969" s="4">
        <v>7</v>
      </c>
      <c r="K969" s="102">
        <v>7</v>
      </c>
      <c r="M969" s="101">
        <f t="shared" si="257"/>
        <v>34</v>
      </c>
      <c r="N969" s="4">
        <f t="shared" si="258"/>
        <v>29</v>
      </c>
      <c r="O969" s="4">
        <f t="shared" si="259"/>
        <v>30</v>
      </c>
      <c r="P969" s="4">
        <f t="shared" si="260"/>
        <v>23</v>
      </c>
      <c r="Q969" s="4">
        <f t="shared" si="261"/>
        <v>12</v>
      </c>
      <c r="R969" s="4">
        <f t="shared" si="262"/>
        <v>29</v>
      </c>
      <c r="S969" s="102">
        <f t="shared" si="263"/>
        <v>29</v>
      </c>
      <c r="U969" s="101">
        <f t="shared" si="264"/>
        <v>46</v>
      </c>
      <c r="V969" s="4">
        <f t="shared" si="265"/>
        <v>41</v>
      </c>
      <c r="W969" s="4">
        <f t="shared" si="266"/>
        <v>39</v>
      </c>
      <c r="X969" s="4">
        <f t="shared" si="267"/>
        <v>39</v>
      </c>
      <c r="Y969" s="4">
        <f t="shared" si="268"/>
        <v>9</v>
      </c>
      <c r="Z969" s="4">
        <f t="shared" si="269"/>
        <v>41</v>
      </c>
      <c r="AA969" s="102">
        <f t="shared" si="270"/>
        <v>41</v>
      </c>
      <c r="AC969" s="100">
        <f t="shared" si="271"/>
        <v>0.9437939365183533</v>
      </c>
    </row>
    <row r="970" spans="4:29" x14ac:dyDescent="0.35">
      <c r="D970">
        <f t="shared" si="272"/>
        <v>966</v>
      </c>
      <c r="E970" s="101">
        <v>4</v>
      </c>
      <c r="F970" s="4">
        <v>5</v>
      </c>
      <c r="G970" s="4">
        <v>7</v>
      </c>
      <c r="H970" s="4">
        <v>2</v>
      </c>
      <c r="I970" s="4">
        <v>3</v>
      </c>
      <c r="J970" s="4">
        <v>7</v>
      </c>
      <c r="K970" s="102">
        <v>7</v>
      </c>
      <c r="M970" s="101">
        <f t="shared" si="257"/>
        <v>12</v>
      </c>
      <c r="N970" s="4">
        <f t="shared" si="258"/>
        <v>30</v>
      </c>
      <c r="O970" s="4">
        <f t="shared" si="259"/>
        <v>29</v>
      </c>
      <c r="P970" s="4">
        <f t="shared" si="260"/>
        <v>56</v>
      </c>
      <c r="Q970" s="4">
        <f t="shared" si="261"/>
        <v>23</v>
      </c>
      <c r="R970" s="4">
        <f t="shared" si="262"/>
        <v>29</v>
      </c>
      <c r="S970" s="102">
        <f t="shared" si="263"/>
        <v>29</v>
      </c>
      <c r="U970" s="101">
        <f t="shared" si="264"/>
        <v>9</v>
      </c>
      <c r="V970" s="4">
        <f t="shared" si="265"/>
        <v>39</v>
      </c>
      <c r="W970" s="4">
        <f t="shared" si="266"/>
        <v>41</v>
      </c>
      <c r="X970" s="4">
        <f t="shared" si="267"/>
        <v>78</v>
      </c>
      <c r="Y970" s="4">
        <f t="shared" si="268"/>
        <v>39</v>
      </c>
      <c r="Z970" s="4">
        <f t="shared" si="269"/>
        <v>41</v>
      </c>
      <c r="AA970" s="102">
        <f t="shared" si="270"/>
        <v>41</v>
      </c>
      <c r="AC970" s="100">
        <f t="shared" si="271"/>
        <v>0.9770091114910251</v>
      </c>
    </row>
    <row r="971" spans="4:29" x14ac:dyDescent="0.35">
      <c r="D971">
        <f t="shared" si="272"/>
        <v>967</v>
      </c>
      <c r="E971" s="101">
        <v>2</v>
      </c>
      <c r="F971" s="4">
        <v>6</v>
      </c>
      <c r="G971" s="4">
        <v>3</v>
      </c>
      <c r="H971" s="4">
        <v>4</v>
      </c>
      <c r="I971" s="4">
        <v>1</v>
      </c>
      <c r="J971" s="4">
        <v>1</v>
      </c>
      <c r="K971" s="102">
        <v>1</v>
      </c>
      <c r="M971" s="101">
        <f t="shared" si="257"/>
        <v>56</v>
      </c>
      <c r="N971" s="4">
        <f t="shared" si="258"/>
        <v>45</v>
      </c>
      <c r="O971" s="4">
        <f t="shared" si="259"/>
        <v>23</v>
      </c>
      <c r="P971" s="4">
        <f t="shared" si="260"/>
        <v>12</v>
      </c>
      <c r="Q971" s="4">
        <f t="shared" si="261"/>
        <v>34</v>
      </c>
      <c r="R971" s="4">
        <f t="shared" si="262"/>
        <v>34</v>
      </c>
      <c r="S971" s="102">
        <f t="shared" si="263"/>
        <v>34</v>
      </c>
      <c r="U971" s="101">
        <f t="shared" si="264"/>
        <v>78</v>
      </c>
      <c r="V971" s="4">
        <f t="shared" si="265"/>
        <v>71</v>
      </c>
      <c r="W971" s="4">
        <f t="shared" si="266"/>
        <v>39</v>
      </c>
      <c r="X971" s="4">
        <f t="shared" si="267"/>
        <v>9</v>
      </c>
      <c r="Y971" s="4">
        <f t="shared" si="268"/>
        <v>46</v>
      </c>
      <c r="Z971" s="4">
        <f t="shared" si="269"/>
        <v>46</v>
      </c>
      <c r="AA971" s="102">
        <f t="shared" si="270"/>
        <v>46</v>
      </c>
      <c r="AC971" s="100">
        <f t="shared" si="271"/>
        <v>0.97455900704675791</v>
      </c>
    </row>
    <row r="972" spans="4:29" x14ac:dyDescent="0.35">
      <c r="D972">
        <f t="shared" si="272"/>
        <v>968</v>
      </c>
      <c r="E972" s="101">
        <v>4</v>
      </c>
      <c r="F972" s="4">
        <v>3</v>
      </c>
      <c r="G972" s="4">
        <v>5</v>
      </c>
      <c r="H972" s="4">
        <v>3</v>
      </c>
      <c r="I972" s="4">
        <v>3</v>
      </c>
      <c r="J972" s="4">
        <v>5</v>
      </c>
      <c r="K972" s="102">
        <v>5</v>
      </c>
      <c r="M972" s="101">
        <f t="shared" si="257"/>
        <v>12</v>
      </c>
      <c r="N972" s="4">
        <f t="shared" si="258"/>
        <v>23</v>
      </c>
      <c r="O972" s="4">
        <f t="shared" si="259"/>
        <v>30</v>
      </c>
      <c r="P972" s="4">
        <f t="shared" si="260"/>
        <v>23</v>
      </c>
      <c r="Q972" s="4">
        <f t="shared" si="261"/>
        <v>23</v>
      </c>
      <c r="R972" s="4">
        <f t="shared" si="262"/>
        <v>30</v>
      </c>
      <c r="S972" s="102">
        <f t="shared" si="263"/>
        <v>30</v>
      </c>
      <c r="U972" s="101">
        <f t="shared" si="264"/>
        <v>9</v>
      </c>
      <c r="V972" s="4">
        <f t="shared" si="265"/>
        <v>39</v>
      </c>
      <c r="W972" s="4">
        <f t="shared" si="266"/>
        <v>39</v>
      </c>
      <c r="X972" s="4">
        <f t="shared" si="267"/>
        <v>39</v>
      </c>
      <c r="Y972" s="4">
        <f t="shared" si="268"/>
        <v>39</v>
      </c>
      <c r="Z972" s="4">
        <f t="shared" si="269"/>
        <v>39</v>
      </c>
      <c r="AA972" s="102">
        <f t="shared" si="270"/>
        <v>39</v>
      </c>
      <c r="AC972" s="100">
        <f t="shared" si="271"/>
        <v>0.84279538089269002</v>
      </c>
    </row>
    <row r="973" spans="4:29" x14ac:dyDescent="0.35">
      <c r="D973">
        <f t="shared" si="272"/>
        <v>969</v>
      </c>
      <c r="E973" s="101">
        <v>5</v>
      </c>
      <c r="F973" s="4">
        <v>5</v>
      </c>
      <c r="G973" s="4">
        <v>1</v>
      </c>
      <c r="H973" s="4">
        <v>5</v>
      </c>
      <c r="I973" s="4">
        <v>7</v>
      </c>
      <c r="J973" s="4">
        <v>2</v>
      </c>
      <c r="K973" s="102">
        <v>1</v>
      </c>
      <c r="M973" s="101">
        <f t="shared" si="257"/>
        <v>30</v>
      </c>
      <c r="N973" s="4">
        <f t="shared" si="258"/>
        <v>30</v>
      </c>
      <c r="O973" s="4">
        <f t="shared" si="259"/>
        <v>34</v>
      </c>
      <c r="P973" s="4">
        <f t="shared" si="260"/>
        <v>30</v>
      </c>
      <c r="Q973" s="4">
        <f t="shared" si="261"/>
        <v>29</v>
      </c>
      <c r="R973" s="4">
        <f t="shared" si="262"/>
        <v>56</v>
      </c>
      <c r="S973" s="102">
        <f t="shared" si="263"/>
        <v>34</v>
      </c>
      <c r="U973" s="101">
        <f t="shared" si="264"/>
        <v>39</v>
      </c>
      <c r="V973" s="4">
        <f t="shared" si="265"/>
        <v>39</v>
      </c>
      <c r="W973" s="4">
        <f t="shared" si="266"/>
        <v>46</v>
      </c>
      <c r="X973" s="4">
        <f t="shared" si="267"/>
        <v>39</v>
      </c>
      <c r="Y973" s="4">
        <f t="shared" si="268"/>
        <v>41</v>
      </c>
      <c r="Z973" s="4">
        <f t="shared" si="269"/>
        <v>78</v>
      </c>
      <c r="AA973" s="102">
        <f t="shared" si="270"/>
        <v>46</v>
      </c>
      <c r="AC973" s="100">
        <f t="shared" si="271"/>
        <v>0.9961723741627071</v>
      </c>
    </row>
    <row r="974" spans="4:29" x14ac:dyDescent="0.35">
      <c r="D974">
        <f t="shared" si="272"/>
        <v>970</v>
      </c>
      <c r="E974" s="101">
        <v>2</v>
      </c>
      <c r="F974" s="4">
        <v>1</v>
      </c>
      <c r="G974" s="4">
        <v>4</v>
      </c>
      <c r="H974" s="4">
        <v>5</v>
      </c>
      <c r="I974" s="4">
        <v>1</v>
      </c>
      <c r="J974" s="4">
        <v>6</v>
      </c>
      <c r="K974" s="102">
        <v>2</v>
      </c>
      <c r="M974" s="101">
        <f t="shared" si="257"/>
        <v>56</v>
      </c>
      <c r="N974" s="4">
        <f t="shared" si="258"/>
        <v>34</v>
      </c>
      <c r="O974" s="4">
        <f t="shared" si="259"/>
        <v>12</v>
      </c>
      <c r="P974" s="4">
        <f t="shared" si="260"/>
        <v>30</v>
      </c>
      <c r="Q974" s="4">
        <f t="shared" si="261"/>
        <v>34</v>
      </c>
      <c r="R974" s="4">
        <f t="shared" si="262"/>
        <v>45</v>
      </c>
      <c r="S974" s="102">
        <f t="shared" si="263"/>
        <v>56</v>
      </c>
      <c r="U974" s="101">
        <f t="shared" si="264"/>
        <v>78</v>
      </c>
      <c r="V974" s="4">
        <f t="shared" si="265"/>
        <v>46</v>
      </c>
      <c r="W974" s="4">
        <f t="shared" si="266"/>
        <v>9</v>
      </c>
      <c r="X974" s="4">
        <f t="shared" si="267"/>
        <v>39</v>
      </c>
      <c r="Y974" s="4">
        <f t="shared" si="268"/>
        <v>46</v>
      </c>
      <c r="Z974" s="4">
        <f t="shared" si="269"/>
        <v>71</v>
      </c>
      <c r="AA974" s="102">
        <f t="shared" si="270"/>
        <v>78</v>
      </c>
      <c r="AC974" s="100">
        <f t="shared" si="271"/>
        <v>0.98962605802558168</v>
      </c>
    </row>
    <row r="975" spans="4:29" x14ac:dyDescent="0.35">
      <c r="D975">
        <f t="shared" si="272"/>
        <v>971</v>
      </c>
      <c r="E975" s="101">
        <v>5</v>
      </c>
      <c r="F975" s="4">
        <v>3</v>
      </c>
      <c r="G975" s="4">
        <v>3</v>
      </c>
      <c r="H975" s="4">
        <v>5</v>
      </c>
      <c r="I975" s="4">
        <v>4</v>
      </c>
      <c r="J975" s="4">
        <v>5</v>
      </c>
      <c r="K975" s="102">
        <v>7</v>
      </c>
      <c r="M975" s="101">
        <f t="shared" si="257"/>
        <v>30</v>
      </c>
      <c r="N975" s="4">
        <f t="shared" si="258"/>
        <v>23</v>
      </c>
      <c r="O975" s="4">
        <f t="shared" si="259"/>
        <v>23</v>
      </c>
      <c r="P975" s="4">
        <f t="shared" si="260"/>
        <v>30</v>
      </c>
      <c r="Q975" s="4">
        <f t="shared" si="261"/>
        <v>12</v>
      </c>
      <c r="R975" s="4">
        <f t="shared" si="262"/>
        <v>30</v>
      </c>
      <c r="S975" s="102">
        <f t="shared" si="263"/>
        <v>29</v>
      </c>
      <c r="U975" s="101">
        <f t="shared" si="264"/>
        <v>39</v>
      </c>
      <c r="V975" s="4">
        <f t="shared" si="265"/>
        <v>39</v>
      </c>
      <c r="W975" s="4">
        <f t="shared" si="266"/>
        <v>39</v>
      </c>
      <c r="X975" s="4">
        <f t="shared" si="267"/>
        <v>39</v>
      </c>
      <c r="Y975" s="4">
        <f t="shared" si="268"/>
        <v>9</v>
      </c>
      <c r="Z975" s="4">
        <f t="shared" si="269"/>
        <v>39</v>
      </c>
      <c r="AA975" s="102">
        <f t="shared" si="270"/>
        <v>41</v>
      </c>
      <c r="AC975" s="100">
        <f t="shared" si="271"/>
        <v>0.88218473896717364</v>
      </c>
    </row>
    <row r="976" spans="4:29" x14ac:dyDescent="0.35">
      <c r="D976">
        <f t="shared" si="272"/>
        <v>972</v>
      </c>
      <c r="E976" s="101">
        <v>3</v>
      </c>
      <c r="F976" s="4">
        <v>2</v>
      </c>
      <c r="G976" s="4">
        <v>1</v>
      </c>
      <c r="H976" s="4">
        <v>2</v>
      </c>
      <c r="I976" s="4">
        <v>7</v>
      </c>
      <c r="J976" s="4">
        <v>4</v>
      </c>
      <c r="K976" s="102">
        <v>4</v>
      </c>
      <c r="M976" s="101">
        <f t="shared" si="257"/>
        <v>23</v>
      </c>
      <c r="N976" s="4">
        <f t="shared" si="258"/>
        <v>56</v>
      </c>
      <c r="O976" s="4">
        <f t="shared" si="259"/>
        <v>34</v>
      </c>
      <c r="P976" s="4">
        <f t="shared" si="260"/>
        <v>56</v>
      </c>
      <c r="Q976" s="4">
        <f t="shared" si="261"/>
        <v>29</v>
      </c>
      <c r="R976" s="4">
        <f t="shared" si="262"/>
        <v>12</v>
      </c>
      <c r="S976" s="102">
        <f t="shared" si="263"/>
        <v>12</v>
      </c>
      <c r="U976" s="101">
        <f t="shared" si="264"/>
        <v>39</v>
      </c>
      <c r="V976" s="4">
        <f t="shared" si="265"/>
        <v>78</v>
      </c>
      <c r="W976" s="4">
        <f t="shared" si="266"/>
        <v>46</v>
      </c>
      <c r="X976" s="4">
        <f t="shared" si="267"/>
        <v>78</v>
      </c>
      <c r="Y976" s="4">
        <f t="shared" si="268"/>
        <v>41</v>
      </c>
      <c r="Z976" s="4">
        <f t="shared" si="269"/>
        <v>9</v>
      </c>
      <c r="AA976" s="102">
        <f t="shared" si="270"/>
        <v>9</v>
      </c>
      <c r="AC976" s="100">
        <f t="shared" si="271"/>
        <v>0.98636655389013383</v>
      </c>
    </row>
    <row r="977" spans="4:29" x14ac:dyDescent="0.35">
      <c r="D977">
        <f t="shared" si="272"/>
        <v>973</v>
      </c>
      <c r="E977" s="101">
        <v>7</v>
      </c>
      <c r="F977" s="4">
        <v>6</v>
      </c>
      <c r="G977" s="4">
        <v>4</v>
      </c>
      <c r="H977" s="4">
        <v>2</v>
      </c>
      <c r="I977" s="4">
        <v>7</v>
      </c>
      <c r="J977" s="4">
        <v>5</v>
      </c>
      <c r="K977" s="102">
        <v>3</v>
      </c>
      <c r="M977" s="101">
        <f t="shared" si="257"/>
        <v>29</v>
      </c>
      <c r="N977" s="4">
        <f t="shared" si="258"/>
        <v>45</v>
      </c>
      <c r="O977" s="4">
        <f t="shared" si="259"/>
        <v>12</v>
      </c>
      <c r="P977" s="4">
        <f t="shared" si="260"/>
        <v>56</v>
      </c>
      <c r="Q977" s="4">
        <f t="shared" si="261"/>
        <v>29</v>
      </c>
      <c r="R977" s="4">
        <f t="shared" si="262"/>
        <v>30</v>
      </c>
      <c r="S977" s="102">
        <f t="shared" si="263"/>
        <v>23</v>
      </c>
      <c r="U977" s="101">
        <f t="shared" si="264"/>
        <v>41</v>
      </c>
      <c r="V977" s="4">
        <f t="shared" si="265"/>
        <v>71</v>
      </c>
      <c r="W977" s="4">
        <f t="shared" si="266"/>
        <v>9</v>
      </c>
      <c r="X977" s="4">
        <f t="shared" si="267"/>
        <v>78</v>
      </c>
      <c r="Y977" s="4">
        <f t="shared" si="268"/>
        <v>41</v>
      </c>
      <c r="Z977" s="4">
        <f t="shared" si="269"/>
        <v>39</v>
      </c>
      <c r="AA977" s="102">
        <f t="shared" si="270"/>
        <v>39</v>
      </c>
      <c r="AC977" s="100">
        <f t="shared" si="271"/>
        <v>0.97632814590635097</v>
      </c>
    </row>
    <row r="978" spans="4:29" x14ac:dyDescent="0.35">
      <c r="D978">
        <f t="shared" si="272"/>
        <v>974</v>
      </c>
      <c r="E978" s="101">
        <v>7</v>
      </c>
      <c r="F978" s="4">
        <v>4</v>
      </c>
      <c r="G978" s="4">
        <v>1</v>
      </c>
      <c r="H978" s="4">
        <v>2</v>
      </c>
      <c r="I978" s="4">
        <v>6</v>
      </c>
      <c r="J978" s="4">
        <v>3</v>
      </c>
      <c r="K978" s="102">
        <v>3</v>
      </c>
      <c r="M978" s="101">
        <f t="shared" si="257"/>
        <v>29</v>
      </c>
      <c r="N978" s="4">
        <f t="shared" si="258"/>
        <v>12</v>
      </c>
      <c r="O978" s="4">
        <f t="shared" si="259"/>
        <v>34</v>
      </c>
      <c r="P978" s="4">
        <f t="shared" si="260"/>
        <v>56</v>
      </c>
      <c r="Q978" s="4">
        <f t="shared" si="261"/>
        <v>45</v>
      </c>
      <c r="R978" s="4">
        <f t="shared" si="262"/>
        <v>23</v>
      </c>
      <c r="S978" s="102">
        <f t="shared" si="263"/>
        <v>23</v>
      </c>
      <c r="U978" s="101">
        <f t="shared" si="264"/>
        <v>41</v>
      </c>
      <c r="V978" s="4">
        <f t="shared" si="265"/>
        <v>9</v>
      </c>
      <c r="W978" s="4">
        <f t="shared" si="266"/>
        <v>46</v>
      </c>
      <c r="X978" s="4">
        <f t="shared" si="267"/>
        <v>78</v>
      </c>
      <c r="Y978" s="4">
        <f t="shared" si="268"/>
        <v>71</v>
      </c>
      <c r="Z978" s="4">
        <f t="shared" si="269"/>
        <v>39</v>
      </c>
      <c r="AA978" s="102">
        <f t="shared" si="270"/>
        <v>39</v>
      </c>
      <c r="AC978" s="100">
        <f t="shared" si="271"/>
        <v>0.96982409335678288</v>
      </c>
    </row>
    <row r="979" spans="4:29" x14ac:dyDescent="0.35">
      <c r="D979">
        <f t="shared" si="272"/>
        <v>975</v>
      </c>
      <c r="E979" s="101">
        <v>4</v>
      </c>
      <c r="F979" s="4">
        <v>2</v>
      </c>
      <c r="G979" s="4">
        <v>7</v>
      </c>
      <c r="H979" s="4">
        <v>7</v>
      </c>
      <c r="I979" s="4">
        <v>2</v>
      </c>
      <c r="J979" s="4">
        <v>5</v>
      </c>
      <c r="K979" s="102">
        <v>6</v>
      </c>
      <c r="M979" s="101">
        <f t="shared" si="257"/>
        <v>12</v>
      </c>
      <c r="N979" s="4">
        <f t="shared" si="258"/>
        <v>56</v>
      </c>
      <c r="O979" s="4">
        <f t="shared" si="259"/>
        <v>29</v>
      </c>
      <c r="P979" s="4">
        <f t="shared" si="260"/>
        <v>29</v>
      </c>
      <c r="Q979" s="4">
        <f t="shared" si="261"/>
        <v>56</v>
      </c>
      <c r="R979" s="4">
        <f t="shared" si="262"/>
        <v>30</v>
      </c>
      <c r="S979" s="102">
        <f t="shared" si="263"/>
        <v>45</v>
      </c>
      <c r="U979" s="101">
        <f t="shared" si="264"/>
        <v>9</v>
      </c>
      <c r="V979" s="4">
        <f t="shared" si="265"/>
        <v>78</v>
      </c>
      <c r="W979" s="4">
        <f t="shared" si="266"/>
        <v>41</v>
      </c>
      <c r="X979" s="4">
        <f t="shared" si="267"/>
        <v>41</v>
      </c>
      <c r="Y979" s="4">
        <f t="shared" si="268"/>
        <v>78</v>
      </c>
      <c r="Z979" s="4">
        <f t="shared" si="269"/>
        <v>39</v>
      </c>
      <c r="AA979" s="102">
        <f t="shared" si="270"/>
        <v>71</v>
      </c>
      <c r="AC979" s="100">
        <f t="shared" si="271"/>
        <v>0.98838974223778464</v>
      </c>
    </row>
    <row r="980" spans="4:29" x14ac:dyDescent="0.35">
      <c r="D980">
        <f t="shared" si="272"/>
        <v>976</v>
      </c>
      <c r="E980" s="101">
        <v>1</v>
      </c>
      <c r="F980" s="4">
        <v>1</v>
      </c>
      <c r="G980" s="4">
        <v>1</v>
      </c>
      <c r="H980" s="4">
        <v>2</v>
      </c>
      <c r="I980" s="4">
        <v>5</v>
      </c>
      <c r="J980" s="4">
        <v>5</v>
      </c>
      <c r="K980" s="102">
        <v>5</v>
      </c>
      <c r="M980" s="101">
        <f t="shared" si="257"/>
        <v>34</v>
      </c>
      <c r="N980" s="4">
        <f t="shared" si="258"/>
        <v>34</v>
      </c>
      <c r="O980" s="4">
        <f t="shared" si="259"/>
        <v>34</v>
      </c>
      <c r="P980" s="4">
        <f t="shared" si="260"/>
        <v>56</v>
      </c>
      <c r="Q980" s="4">
        <f t="shared" si="261"/>
        <v>30</v>
      </c>
      <c r="R980" s="4">
        <f t="shared" si="262"/>
        <v>30</v>
      </c>
      <c r="S980" s="102">
        <f t="shared" si="263"/>
        <v>30</v>
      </c>
      <c r="U980" s="101">
        <f t="shared" si="264"/>
        <v>46</v>
      </c>
      <c r="V980" s="4">
        <f t="shared" si="265"/>
        <v>46</v>
      </c>
      <c r="W980" s="4">
        <f t="shared" si="266"/>
        <v>46</v>
      </c>
      <c r="X980" s="4">
        <f t="shared" si="267"/>
        <v>78</v>
      </c>
      <c r="Y980" s="4">
        <f t="shared" si="268"/>
        <v>39</v>
      </c>
      <c r="Z980" s="4">
        <f t="shared" si="269"/>
        <v>39</v>
      </c>
      <c r="AA980" s="102">
        <f t="shared" si="270"/>
        <v>39</v>
      </c>
      <c r="AC980" s="100">
        <f t="shared" si="271"/>
        <v>0.9992721685365038</v>
      </c>
    </row>
    <row r="981" spans="4:29" x14ac:dyDescent="0.35">
      <c r="D981">
        <f t="shared" si="272"/>
        <v>977</v>
      </c>
      <c r="E981" s="101">
        <v>2</v>
      </c>
      <c r="F981" s="4">
        <v>1</v>
      </c>
      <c r="G981" s="4">
        <v>7</v>
      </c>
      <c r="H981" s="4">
        <v>7</v>
      </c>
      <c r="I981" s="4">
        <v>2</v>
      </c>
      <c r="J981" s="4">
        <v>2</v>
      </c>
      <c r="K981" s="102">
        <v>6</v>
      </c>
      <c r="M981" s="101">
        <f t="shared" si="257"/>
        <v>56</v>
      </c>
      <c r="N981" s="4">
        <f t="shared" si="258"/>
        <v>34</v>
      </c>
      <c r="O981" s="4">
        <f t="shared" si="259"/>
        <v>29</v>
      </c>
      <c r="P981" s="4">
        <f t="shared" si="260"/>
        <v>29</v>
      </c>
      <c r="Q981" s="4">
        <f t="shared" si="261"/>
        <v>56</v>
      </c>
      <c r="R981" s="4">
        <f t="shared" si="262"/>
        <v>56</v>
      </c>
      <c r="S981" s="102">
        <f t="shared" si="263"/>
        <v>45</v>
      </c>
      <c r="U981" s="101">
        <f t="shared" si="264"/>
        <v>78</v>
      </c>
      <c r="V981" s="4">
        <f t="shared" si="265"/>
        <v>46</v>
      </c>
      <c r="W981" s="4">
        <f t="shared" si="266"/>
        <v>41</v>
      </c>
      <c r="X981" s="4">
        <f t="shared" si="267"/>
        <v>41</v>
      </c>
      <c r="Y981" s="4">
        <f t="shared" si="268"/>
        <v>78</v>
      </c>
      <c r="Z981" s="4">
        <f t="shared" si="269"/>
        <v>78</v>
      </c>
      <c r="AA981" s="102">
        <f t="shared" si="270"/>
        <v>71</v>
      </c>
      <c r="AC981" s="100">
        <f t="shared" si="271"/>
        <v>0.98421830079214512</v>
      </c>
    </row>
    <row r="982" spans="4:29" x14ac:dyDescent="0.35">
      <c r="D982">
        <f t="shared" si="272"/>
        <v>978</v>
      </c>
      <c r="E982" s="101">
        <v>5</v>
      </c>
      <c r="F982" s="4">
        <v>7</v>
      </c>
      <c r="G982" s="4">
        <v>3</v>
      </c>
      <c r="H982" s="4">
        <v>6</v>
      </c>
      <c r="I982" s="4">
        <v>4</v>
      </c>
      <c r="J982" s="4">
        <v>3</v>
      </c>
      <c r="K982" s="102">
        <v>1</v>
      </c>
      <c r="M982" s="101">
        <f t="shared" si="257"/>
        <v>30</v>
      </c>
      <c r="N982" s="4">
        <f t="shared" si="258"/>
        <v>29</v>
      </c>
      <c r="O982" s="4">
        <f t="shared" si="259"/>
        <v>23</v>
      </c>
      <c r="P982" s="4">
        <f t="shared" si="260"/>
        <v>45</v>
      </c>
      <c r="Q982" s="4">
        <f t="shared" si="261"/>
        <v>12</v>
      </c>
      <c r="R982" s="4">
        <f t="shared" si="262"/>
        <v>23</v>
      </c>
      <c r="S982" s="102">
        <f t="shared" si="263"/>
        <v>34</v>
      </c>
      <c r="U982" s="101">
        <f t="shared" si="264"/>
        <v>39</v>
      </c>
      <c r="V982" s="4">
        <f t="shared" si="265"/>
        <v>41</v>
      </c>
      <c r="W982" s="4">
        <f t="shared" si="266"/>
        <v>39</v>
      </c>
      <c r="X982" s="4">
        <f t="shared" si="267"/>
        <v>71</v>
      </c>
      <c r="Y982" s="4">
        <f t="shared" si="268"/>
        <v>9</v>
      </c>
      <c r="Z982" s="4">
        <f t="shared" si="269"/>
        <v>39</v>
      </c>
      <c r="AA982" s="102">
        <f t="shared" si="270"/>
        <v>46</v>
      </c>
      <c r="AC982" s="100">
        <f t="shared" si="271"/>
        <v>0.95663510890125902</v>
      </c>
    </row>
    <row r="983" spans="4:29" x14ac:dyDescent="0.35">
      <c r="D983">
        <f t="shared" si="272"/>
        <v>979</v>
      </c>
      <c r="E983" s="101">
        <v>6</v>
      </c>
      <c r="F983" s="4">
        <v>6</v>
      </c>
      <c r="G983" s="4">
        <v>2</v>
      </c>
      <c r="H983" s="4">
        <v>5</v>
      </c>
      <c r="I983" s="4">
        <v>5</v>
      </c>
      <c r="J983" s="4">
        <v>2</v>
      </c>
      <c r="K983" s="102">
        <v>3</v>
      </c>
      <c r="M983" s="101">
        <f t="shared" si="257"/>
        <v>45</v>
      </c>
      <c r="N983" s="4">
        <f t="shared" si="258"/>
        <v>45</v>
      </c>
      <c r="O983" s="4">
        <f t="shared" si="259"/>
        <v>56</v>
      </c>
      <c r="P983" s="4">
        <f t="shared" si="260"/>
        <v>30</v>
      </c>
      <c r="Q983" s="4">
        <f t="shared" si="261"/>
        <v>30</v>
      </c>
      <c r="R983" s="4">
        <f t="shared" si="262"/>
        <v>56</v>
      </c>
      <c r="S983" s="102">
        <f t="shared" si="263"/>
        <v>23</v>
      </c>
      <c r="U983" s="101">
        <f t="shared" si="264"/>
        <v>71</v>
      </c>
      <c r="V983" s="4">
        <f t="shared" si="265"/>
        <v>71</v>
      </c>
      <c r="W983" s="4">
        <f t="shared" si="266"/>
        <v>78</v>
      </c>
      <c r="X983" s="4">
        <f t="shared" si="267"/>
        <v>39</v>
      </c>
      <c r="Y983" s="4">
        <f t="shared" si="268"/>
        <v>39</v>
      </c>
      <c r="Z983" s="4">
        <f t="shared" si="269"/>
        <v>78</v>
      </c>
      <c r="AA983" s="102">
        <f t="shared" si="270"/>
        <v>39</v>
      </c>
      <c r="AC983" s="100">
        <f t="shared" si="271"/>
        <v>0.96405326288354465</v>
      </c>
    </row>
    <row r="984" spans="4:29" x14ac:dyDescent="0.35">
      <c r="D984">
        <f t="shared" si="272"/>
        <v>980</v>
      </c>
      <c r="E984" s="101">
        <v>7</v>
      </c>
      <c r="F984" s="4">
        <v>1</v>
      </c>
      <c r="G984" s="4">
        <v>7</v>
      </c>
      <c r="H984" s="4">
        <v>3</v>
      </c>
      <c r="I984" s="4">
        <v>1</v>
      </c>
      <c r="J984" s="4">
        <v>6</v>
      </c>
      <c r="K984" s="102">
        <v>4</v>
      </c>
      <c r="M984" s="101">
        <f t="shared" si="257"/>
        <v>29</v>
      </c>
      <c r="N984" s="4">
        <f t="shared" si="258"/>
        <v>34</v>
      </c>
      <c r="O984" s="4">
        <f t="shared" si="259"/>
        <v>29</v>
      </c>
      <c r="P984" s="4">
        <f t="shared" si="260"/>
        <v>23</v>
      </c>
      <c r="Q984" s="4">
        <f t="shared" si="261"/>
        <v>34</v>
      </c>
      <c r="R984" s="4">
        <f t="shared" si="262"/>
        <v>45</v>
      </c>
      <c r="S984" s="102">
        <f t="shared" si="263"/>
        <v>12</v>
      </c>
      <c r="U984" s="101">
        <f t="shared" si="264"/>
        <v>41</v>
      </c>
      <c r="V984" s="4">
        <f t="shared" si="265"/>
        <v>46</v>
      </c>
      <c r="W984" s="4">
        <f t="shared" si="266"/>
        <v>41</v>
      </c>
      <c r="X984" s="4">
        <f t="shared" si="267"/>
        <v>39</v>
      </c>
      <c r="Y984" s="4">
        <f t="shared" si="268"/>
        <v>46</v>
      </c>
      <c r="Z984" s="4">
        <f t="shared" si="269"/>
        <v>71</v>
      </c>
      <c r="AA984" s="102">
        <f t="shared" si="270"/>
        <v>9</v>
      </c>
      <c r="AC984" s="100">
        <f t="shared" si="271"/>
        <v>0.97203229021936843</v>
      </c>
    </row>
    <row r="985" spans="4:29" x14ac:dyDescent="0.35">
      <c r="D985">
        <f t="shared" si="272"/>
        <v>981</v>
      </c>
      <c r="E985" s="101">
        <v>7</v>
      </c>
      <c r="F985" s="4">
        <v>4</v>
      </c>
      <c r="G985" s="4">
        <v>5</v>
      </c>
      <c r="H985" s="4">
        <v>4</v>
      </c>
      <c r="I985" s="4">
        <v>5</v>
      </c>
      <c r="J985" s="4">
        <v>1</v>
      </c>
      <c r="K985" s="102">
        <v>7</v>
      </c>
      <c r="M985" s="101">
        <f t="shared" si="257"/>
        <v>29</v>
      </c>
      <c r="N985" s="4">
        <f t="shared" si="258"/>
        <v>12</v>
      </c>
      <c r="O985" s="4">
        <f t="shared" si="259"/>
        <v>30</v>
      </c>
      <c r="P985" s="4">
        <f t="shared" si="260"/>
        <v>12</v>
      </c>
      <c r="Q985" s="4">
        <f t="shared" si="261"/>
        <v>30</v>
      </c>
      <c r="R985" s="4">
        <f t="shared" si="262"/>
        <v>34</v>
      </c>
      <c r="S985" s="102">
        <f t="shared" si="263"/>
        <v>29</v>
      </c>
      <c r="U985" s="101">
        <f t="shared" si="264"/>
        <v>41</v>
      </c>
      <c r="V985" s="4">
        <f t="shared" si="265"/>
        <v>9</v>
      </c>
      <c r="W985" s="4">
        <f t="shared" si="266"/>
        <v>39</v>
      </c>
      <c r="X985" s="4">
        <f t="shared" si="267"/>
        <v>9</v>
      </c>
      <c r="Y985" s="4">
        <f t="shared" si="268"/>
        <v>39</v>
      </c>
      <c r="Z985" s="4">
        <f t="shared" si="269"/>
        <v>46</v>
      </c>
      <c r="AA985" s="102">
        <f t="shared" si="270"/>
        <v>41</v>
      </c>
      <c r="AC985" s="100">
        <f t="shared" si="271"/>
        <v>0.99448449988249321</v>
      </c>
    </row>
    <row r="986" spans="4:29" x14ac:dyDescent="0.35">
      <c r="D986">
        <f t="shared" si="272"/>
        <v>982</v>
      </c>
      <c r="E986" s="101">
        <v>5</v>
      </c>
      <c r="F986" s="4">
        <v>3</v>
      </c>
      <c r="G986" s="4">
        <v>4</v>
      </c>
      <c r="H986" s="4">
        <v>4</v>
      </c>
      <c r="I986" s="4">
        <v>4</v>
      </c>
      <c r="J986" s="4">
        <v>1</v>
      </c>
      <c r="K986" s="102">
        <v>1</v>
      </c>
      <c r="M986" s="101">
        <f t="shared" si="257"/>
        <v>30</v>
      </c>
      <c r="N986" s="4">
        <f t="shared" si="258"/>
        <v>23</v>
      </c>
      <c r="O986" s="4">
        <f t="shared" si="259"/>
        <v>12</v>
      </c>
      <c r="P986" s="4">
        <f t="shared" si="260"/>
        <v>12</v>
      </c>
      <c r="Q986" s="4">
        <f t="shared" si="261"/>
        <v>12</v>
      </c>
      <c r="R986" s="4">
        <f t="shared" si="262"/>
        <v>34</v>
      </c>
      <c r="S986" s="102">
        <f t="shared" si="263"/>
        <v>34</v>
      </c>
      <c r="U986" s="101">
        <f t="shared" si="264"/>
        <v>39</v>
      </c>
      <c r="V986" s="4">
        <f t="shared" si="265"/>
        <v>39</v>
      </c>
      <c r="W986" s="4">
        <f t="shared" si="266"/>
        <v>9</v>
      </c>
      <c r="X986" s="4">
        <f t="shared" si="267"/>
        <v>9</v>
      </c>
      <c r="Y986" s="4">
        <f t="shared" si="268"/>
        <v>9</v>
      </c>
      <c r="Z986" s="4">
        <f t="shared" si="269"/>
        <v>46</v>
      </c>
      <c r="AA986" s="102">
        <f t="shared" si="270"/>
        <v>46</v>
      </c>
      <c r="AC986" s="100">
        <f t="shared" si="271"/>
        <v>0.97060336882755838</v>
      </c>
    </row>
    <row r="987" spans="4:29" x14ac:dyDescent="0.35">
      <c r="D987">
        <f t="shared" si="272"/>
        <v>983</v>
      </c>
      <c r="E987" s="101">
        <v>6</v>
      </c>
      <c r="F987" s="4">
        <v>7</v>
      </c>
      <c r="G987" s="4">
        <v>5</v>
      </c>
      <c r="H987" s="4">
        <v>6</v>
      </c>
      <c r="I987" s="4">
        <v>6</v>
      </c>
      <c r="J987" s="4">
        <v>2</v>
      </c>
      <c r="K987" s="102">
        <v>4</v>
      </c>
      <c r="M987" s="101">
        <f t="shared" si="257"/>
        <v>45</v>
      </c>
      <c r="N987" s="4">
        <f t="shared" si="258"/>
        <v>29</v>
      </c>
      <c r="O987" s="4">
        <f t="shared" si="259"/>
        <v>30</v>
      </c>
      <c r="P987" s="4">
        <f t="shared" si="260"/>
        <v>45</v>
      </c>
      <c r="Q987" s="4">
        <f t="shared" si="261"/>
        <v>45</v>
      </c>
      <c r="R987" s="4">
        <f t="shared" si="262"/>
        <v>56</v>
      </c>
      <c r="S987" s="102">
        <f t="shared" si="263"/>
        <v>12</v>
      </c>
      <c r="U987" s="101">
        <f t="shared" si="264"/>
        <v>71</v>
      </c>
      <c r="V987" s="4">
        <f t="shared" si="265"/>
        <v>41</v>
      </c>
      <c r="W987" s="4">
        <f t="shared" si="266"/>
        <v>39</v>
      </c>
      <c r="X987" s="4">
        <f t="shared" si="267"/>
        <v>71</v>
      </c>
      <c r="Y987" s="4">
        <f t="shared" si="268"/>
        <v>71</v>
      </c>
      <c r="Z987" s="4">
        <f t="shared" si="269"/>
        <v>78</v>
      </c>
      <c r="AA987" s="102">
        <f t="shared" si="270"/>
        <v>9</v>
      </c>
      <c r="AC987" s="100">
        <f t="shared" si="271"/>
        <v>0.98454945795283166</v>
      </c>
    </row>
    <row r="988" spans="4:29" x14ac:dyDescent="0.35">
      <c r="D988">
        <f t="shared" si="272"/>
        <v>984</v>
      </c>
      <c r="E988" s="101">
        <v>4</v>
      </c>
      <c r="F988" s="4">
        <v>4</v>
      </c>
      <c r="G988" s="4">
        <v>7</v>
      </c>
      <c r="H988" s="4">
        <v>6</v>
      </c>
      <c r="I988" s="4">
        <v>2</v>
      </c>
      <c r="J988" s="4">
        <v>5</v>
      </c>
      <c r="K988" s="102">
        <v>5</v>
      </c>
      <c r="M988" s="101">
        <f t="shared" si="257"/>
        <v>12</v>
      </c>
      <c r="N988" s="4">
        <f t="shared" si="258"/>
        <v>12</v>
      </c>
      <c r="O988" s="4">
        <f t="shared" si="259"/>
        <v>29</v>
      </c>
      <c r="P988" s="4">
        <f t="shared" si="260"/>
        <v>45</v>
      </c>
      <c r="Q988" s="4">
        <f t="shared" si="261"/>
        <v>56</v>
      </c>
      <c r="R988" s="4">
        <f t="shared" si="262"/>
        <v>30</v>
      </c>
      <c r="S988" s="102">
        <f t="shared" si="263"/>
        <v>30</v>
      </c>
      <c r="U988" s="101">
        <f t="shared" si="264"/>
        <v>9</v>
      </c>
      <c r="V988" s="4">
        <f t="shared" si="265"/>
        <v>9</v>
      </c>
      <c r="W988" s="4">
        <f t="shared" si="266"/>
        <v>41</v>
      </c>
      <c r="X988" s="4">
        <f t="shared" si="267"/>
        <v>71</v>
      </c>
      <c r="Y988" s="4">
        <f t="shared" si="268"/>
        <v>78</v>
      </c>
      <c r="Z988" s="4">
        <f t="shared" si="269"/>
        <v>39</v>
      </c>
      <c r="AA988" s="102">
        <f t="shared" si="270"/>
        <v>39</v>
      </c>
      <c r="AC988" s="100">
        <f t="shared" si="271"/>
        <v>0.99125073113172291</v>
      </c>
    </row>
    <row r="989" spans="4:29" x14ac:dyDescent="0.35">
      <c r="D989">
        <f t="shared" si="272"/>
        <v>985</v>
      </c>
      <c r="E989" s="101">
        <v>4</v>
      </c>
      <c r="F989" s="4">
        <v>4</v>
      </c>
      <c r="G989" s="4">
        <v>3</v>
      </c>
      <c r="H989" s="4">
        <v>4</v>
      </c>
      <c r="I989" s="4">
        <v>1</v>
      </c>
      <c r="J989" s="4">
        <v>3</v>
      </c>
      <c r="K989" s="102">
        <v>6</v>
      </c>
      <c r="M989" s="101">
        <f t="shared" si="257"/>
        <v>12</v>
      </c>
      <c r="N989" s="4">
        <f t="shared" si="258"/>
        <v>12</v>
      </c>
      <c r="O989" s="4">
        <f t="shared" si="259"/>
        <v>23</v>
      </c>
      <c r="P989" s="4">
        <f t="shared" si="260"/>
        <v>12</v>
      </c>
      <c r="Q989" s="4">
        <f t="shared" si="261"/>
        <v>34</v>
      </c>
      <c r="R989" s="4">
        <f t="shared" si="262"/>
        <v>23</v>
      </c>
      <c r="S989" s="102">
        <f t="shared" si="263"/>
        <v>45</v>
      </c>
      <c r="U989" s="101">
        <f t="shared" si="264"/>
        <v>9</v>
      </c>
      <c r="V989" s="4">
        <f t="shared" si="265"/>
        <v>9</v>
      </c>
      <c r="W989" s="4">
        <f t="shared" si="266"/>
        <v>39</v>
      </c>
      <c r="X989" s="4">
        <f t="shared" si="267"/>
        <v>9</v>
      </c>
      <c r="Y989" s="4">
        <f t="shared" si="268"/>
        <v>46</v>
      </c>
      <c r="Z989" s="4">
        <f t="shared" si="269"/>
        <v>39</v>
      </c>
      <c r="AA989" s="102">
        <f t="shared" si="270"/>
        <v>71</v>
      </c>
      <c r="AC989" s="100">
        <f t="shared" si="271"/>
        <v>0.9760008701051609</v>
      </c>
    </row>
    <row r="990" spans="4:29" x14ac:dyDescent="0.35">
      <c r="D990">
        <f t="shared" si="272"/>
        <v>986</v>
      </c>
      <c r="E990" s="101">
        <v>3</v>
      </c>
      <c r="F990" s="4">
        <v>2</v>
      </c>
      <c r="G990" s="4">
        <v>3</v>
      </c>
      <c r="H990" s="4">
        <v>7</v>
      </c>
      <c r="I990" s="4">
        <v>6</v>
      </c>
      <c r="J990" s="4">
        <v>7</v>
      </c>
      <c r="K990" s="102">
        <v>5</v>
      </c>
      <c r="M990" s="101">
        <f t="shared" si="257"/>
        <v>23</v>
      </c>
      <c r="N990" s="4">
        <f t="shared" si="258"/>
        <v>56</v>
      </c>
      <c r="O990" s="4">
        <f t="shared" si="259"/>
        <v>23</v>
      </c>
      <c r="P990" s="4">
        <f t="shared" si="260"/>
        <v>29</v>
      </c>
      <c r="Q990" s="4">
        <f t="shared" si="261"/>
        <v>45</v>
      </c>
      <c r="R990" s="4">
        <f t="shared" si="262"/>
        <v>29</v>
      </c>
      <c r="S990" s="102">
        <f t="shared" si="263"/>
        <v>30</v>
      </c>
      <c r="U990" s="101">
        <f t="shared" si="264"/>
        <v>39</v>
      </c>
      <c r="V990" s="4">
        <f t="shared" si="265"/>
        <v>78</v>
      </c>
      <c r="W990" s="4">
        <f t="shared" si="266"/>
        <v>39</v>
      </c>
      <c r="X990" s="4">
        <f t="shared" si="267"/>
        <v>41</v>
      </c>
      <c r="Y990" s="4">
        <f t="shared" si="268"/>
        <v>71</v>
      </c>
      <c r="Z990" s="4">
        <f t="shared" si="269"/>
        <v>41</v>
      </c>
      <c r="AA990" s="102">
        <f t="shared" si="270"/>
        <v>39</v>
      </c>
      <c r="AC990" s="100">
        <f t="shared" si="271"/>
        <v>0.96770834546480855</v>
      </c>
    </row>
    <row r="991" spans="4:29" x14ac:dyDescent="0.35">
      <c r="D991">
        <f t="shared" si="272"/>
        <v>987</v>
      </c>
      <c r="E991" s="101">
        <v>3</v>
      </c>
      <c r="F991" s="4">
        <v>3</v>
      </c>
      <c r="G991" s="4">
        <v>7</v>
      </c>
      <c r="H991" s="4">
        <v>3</v>
      </c>
      <c r="I991" s="4">
        <v>5</v>
      </c>
      <c r="J991" s="4">
        <v>6</v>
      </c>
      <c r="K991" s="102">
        <v>2</v>
      </c>
      <c r="M991" s="101">
        <f t="shared" si="257"/>
        <v>23</v>
      </c>
      <c r="N991" s="4">
        <f t="shared" si="258"/>
        <v>23</v>
      </c>
      <c r="O991" s="4">
        <f t="shared" si="259"/>
        <v>29</v>
      </c>
      <c r="P991" s="4">
        <f t="shared" si="260"/>
        <v>23</v>
      </c>
      <c r="Q991" s="4">
        <f t="shared" si="261"/>
        <v>30</v>
      </c>
      <c r="R991" s="4">
        <f t="shared" si="262"/>
        <v>45</v>
      </c>
      <c r="S991" s="102">
        <f t="shared" si="263"/>
        <v>56</v>
      </c>
      <c r="U991" s="101">
        <f t="shared" si="264"/>
        <v>39</v>
      </c>
      <c r="V991" s="4">
        <f t="shared" si="265"/>
        <v>39</v>
      </c>
      <c r="W991" s="4">
        <f t="shared" si="266"/>
        <v>41</v>
      </c>
      <c r="X991" s="4">
        <f t="shared" si="267"/>
        <v>39</v>
      </c>
      <c r="Y991" s="4">
        <f t="shared" si="268"/>
        <v>39</v>
      </c>
      <c r="Z991" s="4">
        <f t="shared" si="269"/>
        <v>71</v>
      </c>
      <c r="AA991" s="102">
        <f t="shared" si="270"/>
        <v>78</v>
      </c>
      <c r="AC991" s="100">
        <f t="shared" si="271"/>
        <v>0.96893885159013526</v>
      </c>
    </row>
    <row r="992" spans="4:29" x14ac:dyDescent="0.35">
      <c r="D992">
        <f t="shared" si="272"/>
        <v>988</v>
      </c>
      <c r="E992" s="101">
        <v>4</v>
      </c>
      <c r="F992" s="4">
        <v>3</v>
      </c>
      <c r="G992" s="4">
        <v>4</v>
      </c>
      <c r="H992" s="4">
        <v>1</v>
      </c>
      <c r="I992" s="4">
        <v>5</v>
      </c>
      <c r="J992" s="4">
        <v>1</v>
      </c>
      <c r="K992" s="102">
        <v>7</v>
      </c>
      <c r="M992" s="101">
        <f t="shared" si="257"/>
        <v>12</v>
      </c>
      <c r="N992" s="4">
        <f t="shared" si="258"/>
        <v>23</v>
      </c>
      <c r="O992" s="4">
        <f t="shared" si="259"/>
        <v>12</v>
      </c>
      <c r="P992" s="4">
        <f t="shared" si="260"/>
        <v>34</v>
      </c>
      <c r="Q992" s="4">
        <f t="shared" si="261"/>
        <v>30</v>
      </c>
      <c r="R992" s="4">
        <f t="shared" si="262"/>
        <v>34</v>
      </c>
      <c r="S992" s="102">
        <f t="shared" si="263"/>
        <v>29</v>
      </c>
      <c r="U992" s="101">
        <f t="shared" si="264"/>
        <v>9</v>
      </c>
      <c r="V992" s="4">
        <f t="shared" si="265"/>
        <v>39</v>
      </c>
      <c r="W992" s="4">
        <f t="shared" si="266"/>
        <v>9</v>
      </c>
      <c r="X992" s="4">
        <f t="shared" si="267"/>
        <v>46</v>
      </c>
      <c r="Y992" s="4">
        <f t="shared" si="268"/>
        <v>39</v>
      </c>
      <c r="Z992" s="4">
        <f t="shared" si="269"/>
        <v>46</v>
      </c>
      <c r="AA992" s="102">
        <f t="shared" si="270"/>
        <v>41</v>
      </c>
      <c r="AC992" s="100">
        <f t="shared" si="271"/>
        <v>0.96454812563253134</v>
      </c>
    </row>
    <row r="993" spans="4:29" x14ac:dyDescent="0.35">
      <c r="D993">
        <f t="shared" si="272"/>
        <v>989</v>
      </c>
      <c r="E993" s="101">
        <v>6</v>
      </c>
      <c r="F993" s="4">
        <v>2</v>
      </c>
      <c r="G993" s="4">
        <v>7</v>
      </c>
      <c r="H993" s="4">
        <v>1</v>
      </c>
      <c r="I993" s="4">
        <v>4</v>
      </c>
      <c r="J993" s="4">
        <v>1</v>
      </c>
      <c r="K993" s="102">
        <v>5</v>
      </c>
      <c r="M993" s="101">
        <f t="shared" si="257"/>
        <v>45</v>
      </c>
      <c r="N993" s="4">
        <f t="shared" si="258"/>
        <v>56</v>
      </c>
      <c r="O993" s="4">
        <f t="shared" si="259"/>
        <v>29</v>
      </c>
      <c r="P993" s="4">
        <f t="shared" si="260"/>
        <v>34</v>
      </c>
      <c r="Q993" s="4">
        <f t="shared" si="261"/>
        <v>12</v>
      </c>
      <c r="R993" s="4">
        <f t="shared" si="262"/>
        <v>34</v>
      </c>
      <c r="S993" s="102">
        <f t="shared" si="263"/>
        <v>30</v>
      </c>
      <c r="U993" s="101">
        <f t="shared" si="264"/>
        <v>71</v>
      </c>
      <c r="V993" s="4">
        <f t="shared" si="265"/>
        <v>78</v>
      </c>
      <c r="W993" s="4">
        <f t="shared" si="266"/>
        <v>41</v>
      </c>
      <c r="X993" s="4">
        <f t="shared" si="267"/>
        <v>46</v>
      </c>
      <c r="Y993" s="4">
        <f t="shared" si="268"/>
        <v>9</v>
      </c>
      <c r="Z993" s="4">
        <f t="shared" si="269"/>
        <v>46</v>
      </c>
      <c r="AA993" s="102">
        <f t="shared" si="270"/>
        <v>39</v>
      </c>
      <c r="AC993" s="100">
        <f t="shared" si="271"/>
        <v>0.98806959558599972</v>
      </c>
    </row>
    <row r="994" spans="4:29" x14ac:dyDescent="0.35">
      <c r="D994">
        <f t="shared" si="272"/>
        <v>990</v>
      </c>
      <c r="E994" s="101">
        <v>4</v>
      </c>
      <c r="F994" s="4">
        <v>3</v>
      </c>
      <c r="G994" s="4">
        <v>1</v>
      </c>
      <c r="H994" s="4">
        <v>1</v>
      </c>
      <c r="I994" s="4">
        <v>4</v>
      </c>
      <c r="J994" s="4">
        <v>2</v>
      </c>
      <c r="K994" s="102">
        <v>4</v>
      </c>
      <c r="M994" s="101">
        <f t="shared" si="257"/>
        <v>12</v>
      </c>
      <c r="N994" s="4">
        <f t="shared" si="258"/>
        <v>23</v>
      </c>
      <c r="O994" s="4">
        <f t="shared" si="259"/>
        <v>34</v>
      </c>
      <c r="P994" s="4">
        <f t="shared" si="260"/>
        <v>34</v>
      </c>
      <c r="Q994" s="4">
        <f t="shared" si="261"/>
        <v>12</v>
      </c>
      <c r="R994" s="4">
        <f t="shared" si="262"/>
        <v>56</v>
      </c>
      <c r="S994" s="102">
        <f t="shared" si="263"/>
        <v>12</v>
      </c>
      <c r="U994" s="101">
        <f t="shared" si="264"/>
        <v>9</v>
      </c>
      <c r="V994" s="4">
        <f t="shared" si="265"/>
        <v>39</v>
      </c>
      <c r="W994" s="4">
        <f t="shared" si="266"/>
        <v>46</v>
      </c>
      <c r="X994" s="4">
        <f t="shared" si="267"/>
        <v>46</v>
      </c>
      <c r="Y994" s="4">
        <f t="shared" si="268"/>
        <v>9</v>
      </c>
      <c r="Z994" s="4">
        <f t="shared" si="269"/>
        <v>78</v>
      </c>
      <c r="AA994" s="102">
        <f t="shared" si="270"/>
        <v>9</v>
      </c>
      <c r="AC994" s="100">
        <f t="shared" si="271"/>
        <v>0.98410362173743804</v>
      </c>
    </row>
    <row r="995" spans="4:29" x14ac:dyDescent="0.35">
      <c r="D995">
        <f t="shared" si="272"/>
        <v>991</v>
      </c>
      <c r="E995" s="101">
        <v>6</v>
      </c>
      <c r="F995" s="4">
        <v>3</v>
      </c>
      <c r="G995" s="4">
        <v>1</v>
      </c>
      <c r="H995" s="4">
        <v>7</v>
      </c>
      <c r="I995" s="4">
        <v>3</v>
      </c>
      <c r="J995" s="4">
        <v>3</v>
      </c>
      <c r="K995" s="102">
        <v>5</v>
      </c>
      <c r="M995" s="101">
        <f t="shared" si="257"/>
        <v>45</v>
      </c>
      <c r="N995" s="4">
        <f t="shared" si="258"/>
        <v>23</v>
      </c>
      <c r="O995" s="4">
        <f t="shared" si="259"/>
        <v>34</v>
      </c>
      <c r="P995" s="4">
        <f t="shared" si="260"/>
        <v>29</v>
      </c>
      <c r="Q995" s="4">
        <f t="shared" si="261"/>
        <v>23</v>
      </c>
      <c r="R995" s="4">
        <f t="shared" si="262"/>
        <v>23</v>
      </c>
      <c r="S995" s="102">
        <f t="shared" si="263"/>
        <v>30</v>
      </c>
      <c r="U995" s="101">
        <f t="shared" si="264"/>
        <v>71</v>
      </c>
      <c r="V995" s="4">
        <f t="shared" si="265"/>
        <v>39</v>
      </c>
      <c r="W995" s="4">
        <f t="shared" si="266"/>
        <v>46</v>
      </c>
      <c r="X995" s="4">
        <f t="shared" si="267"/>
        <v>41</v>
      </c>
      <c r="Y995" s="4">
        <f t="shared" si="268"/>
        <v>39</v>
      </c>
      <c r="Z995" s="4">
        <f t="shared" si="269"/>
        <v>39</v>
      </c>
      <c r="AA995" s="102">
        <f t="shared" si="270"/>
        <v>39</v>
      </c>
      <c r="AC995" s="100">
        <f t="shared" si="271"/>
        <v>0.91916689365682824</v>
      </c>
    </row>
    <row r="996" spans="4:29" x14ac:dyDescent="0.35">
      <c r="D996">
        <f t="shared" si="272"/>
        <v>992</v>
      </c>
      <c r="E996" s="101">
        <v>6</v>
      </c>
      <c r="F996" s="4">
        <v>6</v>
      </c>
      <c r="G996" s="4">
        <v>2</v>
      </c>
      <c r="H996" s="4">
        <v>4</v>
      </c>
      <c r="I996" s="4">
        <v>3</v>
      </c>
      <c r="J996" s="4">
        <v>6</v>
      </c>
      <c r="K996" s="102">
        <v>5</v>
      </c>
      <c r="M996" s="101">
        <f t="shared" si="257"/>
        <v>45</v>
      </c>
      <c r="N996" s="4">
        <f t="shared" si="258"/>
        <v>45</v>
      </c>
      <c r="O996" s="4">
        <f t="shared" si="259"/>
        <v>56</v>
      </c>
      <c r="P996" s="4">
        <f t="shared" si="260"/>
        <v>12</v>
      </c>
      <c r="Q996" s="4">
        <f t="shared" si="261"/>
        <v>23</v>
      </c>
      <c r="R996" s="4">
        <f t="shared" si="262"/>
        <v>45</v>
      </c>
      <c r="S996" s="102">
        <f t="shared" si="263"/>
        <v>30</v>
      </c>
      <c r="U996" s="101">
        <f t="shared" si="264"/>
        <v>71</v>
      </c>
      <c r="V996" s="4">
        <f t="shared" si="265"/>
        <v>71</v>
      </c>
      <c r="W996" s="4">
        <f t="shared" si="266"/>
        <v>78</v>
      </c>
      <c r="X996" s="4">
        <f t="shared" si="267"/>
        <v>9</v>
      </c>
      <c r="Y996" s="4">
        <f t="shared" si="268"/>
        <v>39</v>
      </c>
      <c r="Z996" s="4">
        <f t="shared" si="269"/>
        <v>71</v>
      </c>
      <c r="AA996" s="102">
        <f t="shared" si="270"/>
        <v>39</v>
      </c>
      <c r="AC996" s="100">
        <f t="shared" si="271"/>
        <v>0.97621189519716378</v>
      </c>
    </row>
    <row r="997" spans="4:29" x14ac:dyDescent="0.35">
      <c r="D997">
        <f t="shared" si="272"/>
        <v>993</v>
      </c>
      <c r="E997" s="101">
        <v>6</v>
      </c>
      <c r="F997" s="4">
        <v>7</v>
      </c>
      <c r="G997" s="4">
        <v>7</v>
      </c>
      <c r="H997" s="4">
        <v>3</v>
      </c>
      <c r="I997" s="4">
        <v>3</v>
      </c>
      <c r="J997" s="4">
        <v>5</v>
      </c>
      <c r="K997" s="102">
        <v>6</v>
      </c>
      <c r="M997" s="101">
        <f t="shared" si="257"/>
        <v>45</v>
      </c>
      <c r="N997" s="4">
        <f t="shared" si="258"/>
        <v>29</v>
      </c>
      <c r="O997" s="4">
        <f t="shared" si="259"/>
        <v>29</v>
      </c>
      <c r="P997" s="4">
        <f t="shared" si="260"/>
        <v>23</v>
      </c>
      <c r="Q997" s="4">
        <f t="shared" si="261"/>
        <v>23</v>
      </c>
      <c r="R997" s="4">
        <f t="shared" si="262"/>
        <v>30</v>
      </c>
      <c r="S997" s="102">
        <f t="shared" si="263"/>
        <v>45</v>
      </c>
      <c r="U997" s="101">
        <f t="shared" si="264"/>
        <v>71</v>
      </c>
      <c r="V997" s="4">
        <f t="shared" si="265"/>
        <v>41</v>
      </c>
      <c r="W997" s="4">
        <f t="shared" si="266"/>
        <v>41</v>
      </c>
      <c r="X997" s="4">
        <f t="shared" si="267"/>
        <v>39</v>
      </c>
      <c r="Y997" s="4">
        <f t="shared" si="268"/>
        <v>39</v>
      </c>
      <c r="Z997" s="4">
        <f t="shared" si="269"/>
        <v>39</v>
      </c>
      <c r="AA997" s="102">
        <f t="shared" si="270"/>
        <v>71</v>
      </c>
      <c r="AC997" s="100">
        <f t="shared" si="271"/>
        <v>0.96078186138725086</v>
      </c>
    </row>
    <row r="998" spans="4:29" x14ac:dyDescent="0.35">
      <c r="D998">
        <f t="shared" si="272"/>
        <v>994</v>
      </c>
      <c r="E998" s="101">
        <v>7</v>
      </c>
      <c r="F998" s="4">
        <v>7</v>
      </c>
      <c r="G998" s="4">
        <v>4</v>
      </c>
      <c r="H998" s="4">
        <v>7</v>
      </c>
      <c r="I998" s="4">
        <v>6</v>
      </c>
      <c r="J998" s="4">
        <v>2</v>
      </c>
      <c r="K998" s="102">
        <v>7</v>
      </c>
      <c r="M998" s="101">
        <f t="shared" si="257"/>
        <v>29</v>
      </c>
      <c r="N998" s="4">
        <f t="shared" si="258"/>
        <v>29</v>
      </c>
      <c r="O998" s="4">
        <f t="shared" si="259"/>
        <v>12</v>
      </c>
      <c r="P998" s="4">
        <f t="shared" si="260"/>
        <v>29</v>
      </c>
      <c r="Q998" s="4">
        <f t="shared" si="261"/>
        <v>45</v>
      </c>
      <c r="R998" s="4">
        <f t="shared" si="262"/>
        <v>56</v>
      </c>
      <c r="S998" s="102">
        <f t="shared" si="263"/>
        <v>29</v>
      </c>
      <c r="U998" s="101">
        <f t="shared" si="264"/>
        <v>41</v>
      </c>
      <c r="V998" s="4">
        <f t="shared" si="265"/>
        <v>41</v>
      </c>
      <c r="W998" s="4">
        <f t="shared" si="266"/>
        <v>9</v>
      </c>
      <c r="X998" s="4">
        <f t="shared" si="267"/>
        <v>41</v>
      </c>
      <c r="Y998" s="4">
        <f t="shared" si="268"/>
        <v>71</v>
      </c>
      <c r="Z998" s="4">
        <f t="shared" si="269"/>
        <v>78</v>
      </c>
      <c r="AA998" s="102">
        <f t="shared" si="270"/>
        <v>41</v>
      </c>
      <c r="AC998" s="100">
        <f t="shared" si="271"/>
        <v>0.98797344905521423</v>
      </c>
    </row>
    <row r="999" spans="4:29" x14ac:dyDescent="0.35">
      <c r="D999">
        <f t="shared" si="272"/>
        <v>995</v>
      </c>
      <c r="E999" s="101">
        <v>7</v>
      </c>
      <c r="F999" s="4">
        <v>1</v>
      </c>
      <c r="G999" s="4">
        <v>1</v>
      </c>
      <c r="H999" s="4">
        <v>4</v>
      </c>
      <c r="I999" s="4">
        <v>7</v>
      </c>
      <c r="J999" s="4">
        <v>1</v>
      </c>
      <c r="K999" s="102">
        <v>1</v>
      </c>
      <c r="M999" s="101">
        <f t="shared" si="257"/>
        <v>29</v>
      </c>
      <c r="N999" s="4">
        <f t="shared" si="258"/>
        <v>34</v>
      </c>
      <c r="O999" s="4">
        <f t="shared" si="259"/>
        <v>34</v>
      </c>
      <c r="P999" s="4">
        <f t="shared" si="260"/>
        <v>12</v>
      </c>
      <c r="Q999" s="4">
        <f t="shared" si="261"/>
        <v>29</v>
      </c>
      <c r="R999" s="4">
        <f t="shared" si="262"/>
        <v>34</v>
      </c>
      <c r="S999" s="102">
        <f t="shared" si="263"/>
        <v>34</v>
      </c>
      <c r="U999" s="101">
        <f t="shared" si="264"/>
        <v>41</v>
      </c>
      <c r="V999" s="4">
        <f t="shared" si="265"/>
        <v>46</v>
      </c>
      <c r="W999" s="4">
        <f t="shared" si="266"/>
        <v>46</v>
      </c>
      <c r="X999" s="4">
        <f t="shared" si="267"/>
        <v>9</v>
      </c>
      <c r="Y999" s="4">
        <f t="shared" si="268"/>
        <v>41</v>
      </c>
      <c r="Z999" s="4">
        <f t="shared" si="269"/>
        <v>46</v>
      </c>
      <c r="AA999" s="102">
        <f t="shared" si="270"/>
        <v>46</v>
      </c>
      <c r="AC999" s="100">
        <f t="shared" si="271"/>
        <v>0.99245830083979758</v>
      </c>
    </row>
    <row r="1000" spans="4:29" x14ac:dyDescent="0.35">
      <c r="D1000">
        <f t="shared" si="272"/>
        <v>996</v>
      </c>
      <c r="E1000" s="101">
        <v>5</v>
      </c>
      <c r="F1000" s="4">
        <v>1</v>
      </c>
      <c r="G1000" s="4">
        <v>3</v>
      </c>
      <c r="H1000" s="4">
        <v>2</v>
      </c>
      <c r="I1000" s="4">
        <v>4</v>
      </c>
      <c r="J1000" s="4">
        <v>2</v>
      </c>
      <c r="K1000" s="102">
        <v>5</v>
      </c>
      <c r="M1000" s="101">
        <f t="shared" si="257"/>
        <v>30</v>
      </c>
      <c r="N1000" s="4">
        <f t="shared" si="258"/>
        <v>34</v>
      </c>
      <c r="O1000" s="4">
        <f t="shared" si="259"/>
        <v>23</v>
      </c>
      <c r="P1000" s="4">
        <f t="shared" si="260"/>
        <v>56</v>
      </c>
      <c r="Q1000" s="4">
        <f t="shared" si="261"/>
        <v>12</v>
      </c>
      <c r="R1000" s="4">
        <f t="shared" si="262"/>
        <v>56</v>
      </c>
      <c r="S1000" s="102">
        <f t="shared" si="263"/>
        <v>30</v>
      </c>
      <c r="U1000" s="101">
        <f t="shared" si="264"/>
        <v>39</v>
      </c>
      <c r="V1000" s="4">
        <f t="shared" si="265"/>
        <v>46</v>
      </c>
      <c r="W1000" s="4">
        <f t="shared" si="266"/>
        <v>39</v>
      </c>
      <c r="X1000" s="4">
        <f t="shared" si="267"/>
        <v>78</v>
      </c>
      <c r="Y1000" s="4">
        <f t="shared" si="268"/>
        <v>9</v>
      </c>
      <c r="Z1000" s="4">
        <f t="shared" si="269"/>
        <v>78</v>
      </c>
      <c r="AA1000" s="102">
        <f t="shared" si="270"/>
        <v>39</v>
      </c>
      <c r="AC1000" s="100">
        <f t="shared" si="271"/>
        <v>0.98468578611408153</v>
      </c>
    </row>
    <row r="1001" spans="4:29" x14ac:dyDescent="0.35">
      <c r="D1001">
        <f t="shared" si="272"/>
        <v>997</v>
      </c>
      <c r="E1001" s="101">
        <v>7</v>
      </c>
      <c r="F1001" s="4">
        <v>3</v>
      </c>
      <c r="G1001" s="4">
        <v>1</v>
      </c>
      <c r="H1001" s="4">
        <v>3</v>
      </c>
      <c r="I1001" s="4">
        <v>1</v>
      </c>
      <c r="J1001" s="4">
        <v>1</v>
      </c>
      <c r="K1001" s="102">
        <v>2</v>
      </c>
      <c r="M1001" s="101">
        <f t="shared" si="257"/>
        <v>29</v>
      </c>
      <c r="N1001" s="4">
        <f t="shared" si="258"/>
        <v>23</v>
      </c>
      <c r="O1001" s="4">
        <f t="shared" si="259"/>
        <v>34</v>
      </c>
      <c r="P1001" s="4">
        <f t="shared" si="260"/>
        <v>23</v>
      </c>
      <c r="Q1001" s="4">
        <f t="shared" si="261"/>
        <v>34</v>
      </c>
      <c r="R1001" s="4">
        <f t="shared" si="262"/>
        <v>34</v>
      </c>
      <c r="S1001" s="102">
        <f t="shared" si="263"/>
        <v>56</v>
      </c>
      <c r="U1001" s="101">
        <f t="shared" si="264"/>
        <v>41</v>
      </c>
      <c r="V1001" s="4">
        <f t="shared" si="265"/>
        <v>39</v>
      </c>
      <c r="W1001" s="4">
        <f t="shared" si="266"/>
        <v>46</v>
      </c>
      <c r="X1001" s="4">
        <f t="shared" si="267"/>
        <v>39</v>
      </c>
      <c r="Y1001" s="4">
        <f t="shared" si="268"/>
        <v>46</v>
      </c>
      <c r="Z1001" s="4">
        <f t="shared" si="269"/>
        <v>46</v>
      </c>
      <c r="AA1001" s="102">
        <f t="shared" si="270"/>
        <v>78</v>
      </c>
      <c r="AC1001" s="100">
        <f t="shared" si="271"/>
        <v>0.97399525069259696</v>
      </c>
    </row>
    <row r="1002" spans="4:29" x14ac:dyDescent="0.35">
      <c r="D1002">
        <f t="shared" si="272"/>
        <v>998</v>
      </c>
      <c r="E1002" s="101">
        <v>2</v>
      </c>
      <c r="F1002" s="4">
        <v>4</v>
      </c>
      <c r="G1002" s="4">
        <v>7</v>
      </c>
      <c r="H1002" s="4">
        <v>1</v>
      </c>
      <c r="I1002" s="4">
        <v>4</v>
      </c>
      <c r="J1002" s="4">
        <v>3</v>
      </c>
      <c r="K1002" s="102">
        <v>4</v>
      </c>
      <c r="M1002" s="101">
        <f t="shared" si="257"/>
        <v>56</v>
      </c>
      <c r="N1002" s="4">
        <f t="shared" si="258"/>
        <v>12</v>
      </c>
      <c r="O1002" s="4">
        <f t="shared" si="259"/>
        <v>29</v>
      </c>
      <c r="P1002" s="4">
        <f t="shared" si="260"/>
        <v>34</v>
      </c>
      <c r="Q1002" s="4">
        <f t="shared" si="261"/>
        <v>12</v>
      </c>
      <c r="R1002" s="4">
        <f t="shared" si="262"/>
        <v>23</v>
      </c>
      <c r="S1002" s="102">
        <f t="shared" si="263"/>
        <v>12</v>
      </c>
      <c r="U1002" s="101">
        <f t="shared" si="264"/>
        <v>78</v>
      </c>
      <c r="V1002" s="4">
        <f t="shared" si="265"/>
        <v>9</v>
      </c>
      <c r="W1002" s="4">
        <f t="shared" si="266"/>
        <v>41</v>
      </c>
      <c r="X1002" s="4">
        <f t="shared" si="267"/>
        <v>46</v>
      </c>
      <c r="Y1002" s="4">
        <f t="shared" si="268"/>
        <v>9</v>
      </c>
      <c r="Z1002" s="4">
        <f t="shared" si="269"/>
        <v>39</v>
      </c>
      <c r="AA1002" s="102">
        <f t="shared" si="270"/>
        <v>9</v>
      </c>
      <c r="AC1002" s="100">
        <f t="shared" si="271"/>
        <v>0.98285774504135459</v>
      </c>
    </row>
    <row r="1003" spans="4:29" x14ac:dyDescent="0.35">
      <c r="D1003">
        <f t="shared" si="272"/>
        <v>999</v>
      </c>
      <c r="E1003" s="101">
        <v>6</v>
      </c>
      <c r="F1003" s="4">
        <v>3</v>
      </c>
      <c r="G1003" s="4">
        <v>1</v>
      </c>
      <c r="H1003" s="4">
        <v>2</v>
      </c>
      <c r="I1003" s="4">
        <v>3</v>
      </c>
      <c r="J1003" s="4">
        <v>1</v>
      </c>
      <c r="K1003" s="102">
        <v>3</v>
      </c>
      <c r="M1003" s="101">
        <f t="shared" si="257"/>
        <v>45</v>
      </c>
      <c r="N1003" s="4">
        <f t="shared" si="258"/>
        <v>23</v>
      </c>
      <c r="O1003" s="4">
        <f t="shared" si="259"/>
        <v>34</v>
      </c>
      <c r="P1003" s="4">
        <f t="shared" si="260"/>
        <v>56</v>
      </c>
      <c r="Q1003" s="4">
        <f t="shared" si="261"/>
        <v>23</v>
      </c>
      <c r="R1003" s="4">
        <f t="shared" si="262"/>
        <v>34</v>
      </c>
      <c r="S1003" s="102">
        <f t="shared" si="263"/>
        <v>23</v>
      </c>
      <c r="U1003" s="101">
        <f t="shared" si="264"/>
        <v>71</v>
      </c>
      <c r="V1003" s="4">
        <f t="shared" si="265"/>
        <v>39</v>
      </c>
      <c r="W1003" s="4">
        <f t="shared" si="266"/>
        <v>46</v>
      </c>
      <c r="X1003" s="4">
        <f t="shared" si="267"/>
        <v>78</v>
      </c>
      <c r="Y1003" s="4">
        <f t="shared" si="268"/>
        <v>39</v>
      </c>
      <c r="Z1003" s="4">
        <f t="shared" si="269"/>
        <v>46</v>
      </c>
      <c r="AA1003" s="102">
        <f t="shared" si="270"/>
        <v>39</v>
      </c>
      <c r="AC1003" s="100">
        <f t="shared" si="271"/>
        <v>0.96898973878476491</v>
      </c>
    </row>
    <row r="1004" spans="4:29" x14ac:dyDescent="0.35">
      <c r="D1004">
        <f t="shared" si="272"/>
        <v>1000</v>
      </c>
      <c r="E1004" s="101">
        <v>6</v>
      </c>
      <c r="F1004" s="4">
        <v>6</v>
      </c>
      <c r="G1004" s="4">
        <v>3</v>
      </c>
      <c r="H1004" s="4">
        <v>7</v>
      </c>
      <c r="I1004" s="4">
        <v>7</v>
      </c>
      <c r="J1004" s="4">
        <v>5</v>
      </c>
      <c r="K1004" s="102">
        <v>7</v>
      </c>
      <c r="M1004" s="101">
        <f t="shared" si="257"/>
        <v>45</v>
      </c>
      <c r="N1004" s="4">
        <f t="shared" si="258"/>
        <v>45</v>
      </c>
      <c r="O1004" s="4">
        <f t="shared" si="259"/>
        <v>23</v>
      </c>
      <c r="P1004" s="4">
        <f t="shared" si="260"/>
        <v>29</v>
      </c>
      <c r="Q1004" s="4">
        <f t="shared" si="261"/>
        <v>29</v>
      </c>
      <c r="R1004" s="4">
        <f t="shared" si="262"/>
        <v>30</v>
      </c>
      <c r="S1004" s="102">
        <f t="shared" si="263"/>
        <v>29</v>
      </c>
      <c r="U1004" s="101">
        <f t="shared" si="264"/>
        <v>71</v>
      </c>
      <c r="V1004" s="4">
        <f t="shared" si="265"/>
        <v>71</v>
      </c>
      <c r="W1004" s="4">
        <f t="shared" si="266"/>
        <v>39</v>
      </c>
      <c r="X1004" s="4">
        <f t="shared" si="267"/>
        <v>41</v>
      </c>
      <c r="Y1004" s="4">
        <f t="shared" si="268"/>
        <v>41</v>
      </c>
      <c r="Z1004" s="4">
        <f t="shared" si="269"/>
        <v>39</v>
      </c>
      <c r="AA1004" s="102">
        <f t="shared" si="270"/>
        <v>41</v>
      </c>
      <c r="AC1004" s="100">
        <f t="shared" si="271"/>
        <v>0.9693745366630232</v>
      </c>
    </row>
    <row r="1005" spans="4:29" x14ac:dyDescent="0.35">
      <c r="D1005">
        <f t="shared" si="272"/>
        <v>1001</v>
      </c>
      <c r="E1005" s="101">
        <v>1</v>
      </c>
      <c r="F1005" s="4">
        <v>5</v>
      </c>
      <c r="G1005" s="4">
        <v>3</v>
      </c>
      <c r="H1005" s="4">
        <v>4</v>
      </c>
      <c r="I1005" s="4">
        <v>2</v>
      </c>
      <c r="J1005" s="4">
        <v>6</v>
      </c>
      <c r="K1005" s="102">
        <v>6</v>
      </c>
      <c r="M1005" s="101">
        <f t="shared" si="257"/>
        <v>34</v>
      </c>
      <c r="N1005" s="4">
        <f t="shared" si="258"/>
        <v>30</v>
      </c>
      <c r="O1005" s="4">
        <f t="shared" si="259"/>
        <v>23</v>
      </c>
      <c r="P1005" s="4">
        <f t="shared" si="260"/>
        <v>12</v>
      </c>
      <c r="Q1005" s="4">
        <f t="shared" si="261"/>
        <v>56</v>
      </c>
      <c r="R1005" s="4">
        <f t="shared" si="262"/>
        <v>45</v>
      </c>
      <c r="S1005" s="102">
        <f t="shared" si="263"/>
        <v>45</v>
      </c>
      <c r="U1005" s="101">
        <f t="shared" si="264"/>
        <v>46</v>
      </c>
      <c r="V1005" s="4">
        <f t="shared" si="265"/>
        <v>39</v>
      </c>
      <c r="W1005" s="4">
        <f t="shared" si="266"/>
        <v>39</v>
      </c>
      <c r="X1005" s="4">
        <f t="shared" si="267"/>
        <v>9</v>
      </c>
      <c r="Y1005" s="4">
        <f t="shared" si="268"/>
        <v>78</v>
      </c>
      <c r="Z1005" s="4">
        <f t="shared" si="269"/>
        <v>71</v>
      </c>
      <c r="AA1005" s="102">
        <f t="shared" si="270"/>
        <v>71</v>
      </c>
      <c r="AC1005" s="100">
        <f t="shared" si="271"/>
        <v>0.97474696498290037</v>
      </c>
    </row>
    <row r="1006" spans="4:29" x14ac:dyDescent="0.35">
      <c r="D1006">
        <f t="shared" si="272"/>
        <v>1002</v>
      </c>
      <c r="E1006" s="101">
        <v>2</v>
      </c>
      <c r="F1006" s="4">
        <v>4</v>
      </c>
      <c r="G1006" s="4">
        <v>5</v>
      </c>
      <c r="H1006" s="4">
        <v>4</v>
      </c>
      <c r="I1006" s="4">
        <v>6</v>
      </c>
      <c r="J1006" s="4">
        <v>2</v>
      </c>
      <c r="K1006" s="102">
        <v>3</v>
      </c>
      <c r="M1006" s="101">
        <f t="shared" si="257"/>
        <v>56</v>
      </c>
      <c r="N1006" s="4">
        <f t="shared" si="258"/>
        <v>12</v>
      </c>
      <c r="O1006" s="4">
        <f t="shared" si="259"/>
        <v>30</v>
      </c>
      <c r="P1006" s="4">
        <f t="shared" si="260"/>
        <v>12</v>
      </c>
      <c r="Q1006" s="4">
        <f t="shared" si="261"/>
        <v>45</v>
      </c>
      <c r="R1006" s="4">
        <f t="shared" si="262"/>
        <v>56</v>
      </c>
      <c r="S1006" s="102">
        <f t="shared" si="263"/>
        <v>23</v>
      </c>
      <c r="U1006" s="101">
        <f t="shared" si="264"/>
        <v>78</v>
      </c>
      <c r="V1006" s="4">
        <f t="shared" si="265"/>
        <v>9</v>
      </c>
      <c r="W1006" s="4">
        <f t="shared" si="266"/>
        <v>39</v>
      </c>
      <c r="X1006" s="4">
        <f t="shared" si="267"/>
        <v>9</v>
      </c>
      <c r="Y1006" s="4">
        <f t="shared" si="268"/>
        <v>71</v>
      </c>
      <c r="Z1006" s="4">
        <f t="shared" si="269"/>
        <v>78</v>
      </c>
      <c r="AA1006" s="102">
        <f t="shared" si="270"/>
        <v>39</v>
      </c>
      <c r="AC1006" s="100">
        <f t="shared" si="271"/>
        <v>0.98325866061399214</v>
      </c>
    </row>
    <row r="1007" spans="4:29" x14ac:dyDescent="0.35">
      <c r="D1007">
        <f t="shared" si="272"/>
        <v>1003</v>
      </c>
      <c r="E1007" s="101">
        <v>1</v>
      </c>
      <c r="F1007" s="4">
        <v>4</v>
      </c>
      <c r="G1007" s="4">
        <v>4</v>
      </c>
      <c r="H1007" s="4">
        <v>4</v>
      </c>
      <c r="I1007" s="4">
        <v>6</v>
      </c>
      <c r="J1007" s="4">
        <v>6</v>
      </c>
      <c r="K1007" s="102">
        <v>1</v>
      </c>
      <c r="M1007" s="101">
        <f t="shared" si="257"/>
        <v>34</v>
      </c>
      <c r="N1007" s="4">
        <f t="shared" si="258"/>
        <v>12</v>
      </c>
      <c r="O1007" s="4">
        <f t="shared" si="259"/>
        <v>12</v>
      </c>
      <c r="P1007" s="4">
        <f t="shared" si="260"/>
        <v>12</v>
      </c>
      <c r="Q1007" s="4">
        <f t="shared" si="261"/>
        <v>45</v>
      </c>
      <c r="R1007" s="4">
        <f t="shared" si="262"/>
        <v>45</v>
      </c>
      <c r="S1007" s="102">
        <f t="shared" si="263"/>
        <v>34</v>
      </c>
      <c r="U1007" s="101">
        <f t="shared" si="264"/>
        <v>46</v>
      </c>
      <c r="V1007" s="4">
        <f t="shared" si="265"/>
        <v>9</v>
      </c>
      <c r="W1007" s="4">
        <f t="shared" si="266"/>
        <v>9</v>
      </c>
      <c r="X1007" s="4">
        <f t="shared" si="267"/>
        <v>9</v>
      </c>
      <c r="Y1007" s="4">
        <f t="shared" si="268"/>
        <v>71</v>
      </c>
      <c r="Z1007" s="4">
        <f t="shared" si="269"/>
        <v>71</v>
      </c>
      <c r="AA1007" s="102">
        <f t="shared" si="270"/>
        <v>46</v>
      </c>
      <c r="AC1007" s="100">
        <f t="shared" si="271"/>
        <v>0.99743406438457505</v>
      </c>
    </row>
    <row r="1008" spans="4:29" x14ac:dyDescent="0.35">
      <c r="D1008">
        <f t="shared" si="272"/>
        <v>1004</v>
      </c>
      <c r="E1008" s="101">
        <v>1</v>
      </c>
      <c r="F1008" s="4">
        <v>1</v>
      </c>
      <c r="G1008" s="4">
        <v>7</v>
      </c>
      <c r="H1008" s="4">
        <v>1</v>
      </c>
      <c r="I1008" s="4">
        <v>1</v>
      </c>
      <c r="J1008" s="4">
        <v>6</v>
      </c>
      <c r="K1008" s="102">
        <v>3</v>
      </c>
      <c r="M1008" s="101">
        <f t="shared" si="257"/>
        <v>34</v>
      </c>
      <c r="N1008" s="4">
        <f t="shared" si="258"/>
        <v>34</v>
      </c>
      <c r="O1008" s="4">
        <f t="shared" si="259"/>
        <v>29</v>
      </c>
      <c r="P1008" s="4">
        <f t="shared" si="260"/>
        <v>34</v>
      </c>
      <c r="Q1008" s="4">
        <f t="shared" si="261"/>
        <v>34</v>
      </c>
      <c r="R1008" s="4">
        <f t="shared" si="262"/>
        <v>45</v>
      </c>
      <c r="S1008" s="102">
        <f t="shared" si="263"/>
        <v>23</v>
      </c>
      <c r="U1008" s="101">
        <f t="shared" si="264"/>
        <v>46</v>
      </c>
      <c r="V1008" s="4">
        <f t="shared" si="265"/>
        <v>46</v>
      </c>
      <c r="W1008" s="4">
        <f t="shared" si="266"/>
        <v>41</v>
      </c>
      <c r="X1008" s="4">
        <f t="shared" si="267"/>
        <v>46</v>
      </c>
      <c r="Y1008" s="4">
        <f t="shared" si="268"/>
        <v>46</v>
      </c>
      <c r="Z1008" s="4">
        <f t="shared" si="269"/>
        <v>71</v>
      </c>
      <c r="AA1008" s="102">
        <f t="shared" si="270"/>
        <v>39</v>
      </c>
      <c r="AC1008" s="100">
        <f t="shared" si="271"/>
        <v>0.91615991160737165</v>
      </c>
    </row>
    <row r="1009" spans="4:29" x14ac:dyDescent="0.35">
      <c r="D1009">
        <f t="shared" si="272"/>
        <v>1005</v>
      </c>
      <c r="E1009" s="101">
        <v>1</v>
      </c>
      <c r="F1009" s="4">
        <v>3</v>
      </c>
      <c r="G1009" s="4">
        <v>2</v>
      </c>
      <c r="H1009" s="4">
        <v>3</v>
      </c>
      <c r="I1009" s="4">
        <v>6</v>
      </c>
      <c r="J1009" s="4">
        <v>2</v>
      </c>
      <c r="K1009" s="102">
        <v>7</v>
      </c>
      <c r="M1009" s="101">
        <f t="shared" si="257"/>
        <v>34</v>
      </c>
      <c r="N1009" s="4">
        <f t="shared" si="258"/>
        <v>23</v>
      </c>
      <c r="O1009" s="4">
        <f t="shared" si="259"/>
        <v>56</v>
      </c>
      <c r="P1009" s="4">
        <f t="shared" si="260"/>
        <v>23</v>
      </c>
      <c r="Q1009" s="4">
        <f t="shared" si="261"/>
        <v>45</v>
      </c>
      <c r="R1009" s="4">
        <f t="shared" si="262"/>
        <v>56</v>
      </c>
      <c r="S1009" s="102">
        <f t="shared" si="263"/>
        <v>29</v>
      </c>
      <c r="U1009" s="101">
        <f t="shared" si="264"/>
        <v>46</v>
      </c>
      <c r="V1009" s="4">
        <f t="shared" si="265"/>
        <v>39</v>
      </c>
      <c r="W1009" s="4">
        <f t="shared" si="266"/>
        <v>78</v>
      </c>
      <c r="X1009" s="4">
        <f t="shared" si="267"/>
        <v>39</v>
      </c>
      <c r="Y1009" s="4">
        <f t="shared" si="268"/>
        <v>71</v>
      </c>
      <c r="Z1009" s="4">
        <f t="shared" si="269"/>
        <v>78</v>
      </c>
      <c r="AA1009" s="102">
        <f t="shared" si="270"/>
        <v>41</v>
      </c>
      <c r="AC1009" s="100">
        <f t="shared" si="271"/>
        <v>0.97971701321537374</v>
      </c>
    </row>
    <row r="1010" spans="4:29" x14ac:dyDescent="0.35">
      <c r="D1010">
        <f t="shared" si="272"/>
        <v>1006</v>
      </c>
      <c r="E1010" s="101">
        <v>2</v>
      </c>
      <c r="F1010" s="4">
        <v>3</v>
      </c>
      <c r="G1010" s="4">
        <v>1</v>
      </c>
      <c r="H1010" s="4">
        <v>5</v>
      </c>
      <c r="I1010" s="4">
        <v>3</v>
      </c>
      <c r="J1010" s="4">
        <v>2</v>
      </c>
      <c r="K1010" s="102">
        <v>3</v>
      </c>
      <c r="M1010" s="101">
        <f t="shared" si="257"/>
        <v>56</v>
      </c>
      <c r="N1010" s="4">
        <f t="shared" si="258"/>
        <v>23</v>
      </c>
      <c r="O1010" s="4">
        <f t="shared" si="259"/>
        <v>34</v>
      </c>
      <c r="P1010" s="4">
        <f t="shared" si="260"/>
        <v>30</v>
      </c>
      <c r="Q1010" s="4">
        <f t="shared" si="261"/>
        <v>23</v>
      </c>
      <c r="R1010" s="4">
        <f t="shared" si="262"/>
        <v>56</v>
      </c>
      <c r="S1010" s="102">
        <f t="shared" si="263"/>
        <v>23</v>
      </c>
      <c r="U1010" s="101">
        <f t="shared" si="264"/>
        <v>78</v>
      </c>
      <c r="V1010" s="4">
        <f t="shared" si="265"/>
        <v>39</v>
      </c>
      <c r="W1010" s="4">
        <f t="shared" si="266"/>
        <v>46</v>
      </c>
      <c r="X1010" s="4">
        <f t="shared" si="267"/>
        <v>39</v>
      </c>
      <c r="Y1010" s="4">
        <f t="shared" si="268"/>
        <v>39</v>
      </c>
      <c r="Z1010" s="4">
        <f t="shared" si="269"/>
        <v>78</v>
      </c>
      <c r="AA1010" s="102">
        <f t="shared" si="270"/>
        <v>39</v>
      </c>
      <c r="AC1010" s="100">
        <f t="shared" si="271"/>
        <v>0.98194792137421127</v>
      </c>
    </row>
    <row r="1011" spans="4:29" x14ac:dyDescent="0.35">
      <c r="D1011">
        <f t="shared" si="272"/>
        <v>1007</v>
      </c>
      <c r="E1011" s="101">
        <v>7</v>
      </c>
      <c r="F1011" s="4">
        <v>6</v>
      </c>
      <c r="G1011" s="4">
        <v>1</v>
      </c>
      <c r="H1011" s="4">
        <v>3</v>
      </c>
      <c r="I1011" s="4">
        <v>6</v>
      </c>
      <c r="J1011" s="4">
        <v>4</v>
      </c>
      <c r="K1011" s="102">
        <v>6</v>
      </c>
      <c r="M1011" s="101">
        <f t="shared" si="257"/>
        <v>29</v>
      </c>
      <c r="N1011" s="4">
        <f t="shared" si="258"/>
        <v>45</v>
      </c>
      <c r="O1011" s="4">
        <f t="shared" si="259"/>
        <v>34</v>
      </c>
      <c r="P1011" s="4">
        <f t="shared" si="260"/>
        <v>23</v>
      </c>
      <c r="Q1011" s="4">
        <f t="shared" si="261"/>
        <v>45</v>
      </c>
      <c r="R1011" s="4">
        <f t="shared" si="262"/>
        <v>12</v>
      </c>
      <c r="S1011" s="102">
        <f t="shared" si="263"/>
        <v>45</v>
      </c>
      <c r="U1011" s="101">
        <f t="shared" si="264"/>
        <v>41</v>
      </c>
      <c r="V1011" s="4">
        <f t="shared" si="265"/>
        <v>71</v>
      </c>
      <c r="W1011" s="4">
        <f t="shared" si="266"/>
        <v>46</v>
      </c>
      <c r="X1011" s="4">
        <f t="shared" si="267"/>
        <v>39</v>
      </c>
      <c r="Y1011" s="4">
        <f t="shared" si="268"/>
        <v>71</v>
      </c>
      <c r="Z1011" s="4">
        <f t="shared" si="269"/>
        <v>9</v>
      </c>
      <c r="AA1011" s="102">
        <f t="shared" si="270"/>
        <v>71</v>
      </c>
      <c r="AC1011" s="100">
        <f t="shared" si="271"/>
        <v>0.98557669300170281</v>
      </c>
    </row>
    <row r="1012" spans="4:29" x14ac:dyDescent="0.35">
      <c r="D1012">
        <f t="shared" si="272"/>
        <v>1008</v>
      </c>
      <c r="E1012" s="101">
        <v>6</v>
      </c>
      <c r="F1012" s="4">
        <v>2</v>
      </c>
      <c r="G1012" s="4">
        <v>1</v>
      </c>
      <c r="H1012" s="4">
        <v>3</v>
      </c>
      <c r="I1012" s="4">
        <v>1</v>
      </c>
      <c r="J1012" s="4">
        <v>1</v>
      </c>
      <c r="K1012" s="102">
        <v>5</v>
      </c>
      <c r="M1012" s="101">
        <f t="shared" si="257"/>
        <v>45</v>
      </c>
      <c r="N1012" s="4">
        <f t="shared" si="258"/>
        <v>56</v>
      </c>
      <c r="O1012" s="4">
        <f t="shared" si="259"/>
        <v>34</v>
      </c>
      <c r="P1012" s="4">
        <f t="shared" si="260"/>
        <v>23</v>
      </c>
      <c r="Q1012" s="4">
        <f t="shared" si="261"/>
        <v>34</v>
      </c>
      <c r="R1012" s="4">
        <f t="shared" si="262"/>
        <v>34</v>
      </c>
      <c r="S1012" s="102">
        <f t="shared" si="263"/>
        <v>30</v>
      </c>
      <c r="U1012" s="101">
        <f t="shared" si="264"/>
        <v>71</v>
      </c>
      <c r="V1012" s="4">
        <f t="shared" si="265"/>
        <v>78</v>
      </c>
      <c r="W1012" s="4">
        <f t="shared" si="266"/>
        <v>46</v>
      </c>
      <c r="X1012" s="4">
        <f t="shared" si="267"/>
        <v>39</v>
      </c>
      <c r="Y1012" s="4">
        <f t="shared" si="268"/>
        <v>46</v>
      </c>
      <c r="Z1012" s="4">
        <f t="shared" si="269"/>
        <v>46</v>
      </c>
      <c r="AA1012" s="102">
        <f t="shared" si="270"/>
        <v>39</v>
      </c>
      <c r="AC1012" s="100">
        <f t="shared" si="271"/>
        <v>0.95838271392024377</v>
      </c>
    </row>
    <row r="1013" spans="4:29" x14ac:dyDescent="0.35">
      <c r="D1013">
        <f t="shared" si="272"/>
        <v>1009</v>
      </c>
      <c r="E1013" s="101">
        <v>7</v>
      </c>
      <c r="F1013" s="4">
        <v>1</v>
      </c>
      <c r="G1013" s="4">
        <v>3</v>
      </c>
      <c r="H1013" s="4">
        <v>4</v>
      </c>
      <c r="I1013" s="4">
        <v>3</v>
      </c>
      <c r="J1013" s="4">
        <v>7</v>
      </c>
      <c r="K1013" s="102">
        <v>7</v>
      </c>
      <c r="M1013" s="101">
        <f t="shared" si="257"/>
        <v>29</v>
      </c>
      <c r="N1013" s="4">
        <f t="shared" si="258"/>
        <v>34</v>
      </c>
      <c r="O1013" s="4">
        <f t="shared" si="259"/>
        <v>23</v>
      </c>
      <c r="P1013" s="4">
        <f t="shared" si="260"/>
        <v>12</v>
      </c>
      <c r="Q1013" s="4">
        <f t="shared" si="261"/>
        <v>23</v>
      </c>
      <c r="R1013" s="4">
        <f t="shared" si="262"/>
        <v>29</v>
      </c>
      <c r="S1013" s="102">
        <f t="shared" si="263"/>
        <v>29</v>
      </c>
      <c r="U1013" s="101">
        <f t="shared" si="264"/>
        <v>41</v>
      </c>
      <c r="V1013" s="4">
        <f t="shared" si="265"/>
        <v>46</v>
      </c>
      <c r="W1013" s="4">
        <f t="shared" si="266"/>
        <v>39</v>
      </c>
      <c r="X1013" s="4">
        <f t="shared" si="267"/>
        <v>9</v>
      </c>
      <c r="Y1013" s="4">
        <f t="shared" si="268"/>
        <v>39</v>
      </c>
      <c r="Z1013" s="4">
        <f t="shared" si="269"/>
        <v>41</v>
      </c>
      <c r="AA1013" s="102">
        <f t="shared" si="270"/>
        <v>41</v>
      </c>
      <c r="AC1013" s="100">
        <f t="shared" si="271"/>
        <v>0.92090539514110803</v>
      </c>
    </row>
    <row r="1014" spans="4:29" x14ac:dyDescent="0.35">
      <c r="D1014">
        <f t="shared" si="272"/>
        <v>1010</v>
      </c>
      <c r="E1014" s="101">
        <v>4</v>
      </c>
      <c r="F1014" s="4">
        <v>5</v>
      </c>
      <c r="G1014" s="4">
        <v>1</v>
      </c>
      <c r="H1014" s="4">
        <v>2</v>
      </c>
      <c r="I1014" s="4">
        <v>2</v>
      </c>
      <c r="J1014" s="4">
        <v>2</v>
      </c>
      <c r="K1014" s="102">
        <v>6</v>
      </c>
      <c r="M1014" s="101">
        <f t="shared" si="257"/>
        <v>12</v>
      </c>
      <c r="N1014" s="4">
        <f t="shared" si="258"/>
        <v>30</v>
      </c>
      <c r="O1014" s="4">
        <f t="shared" si="259"/>
        <v>34</v>
      </c>
      <c r="P1014" s="4">
        <f t="shared" si="260"/>
        <v>56</v>
      </c>
      <c r="Q1014" s="4">
        <f t="shared" si="261"/>
        <v>56</v>
      </c>
      <c r="R1014" s="4">
        <f t="shared" si="262"/>
        <v>56</v>
      </c>
      <c r="S1014" s="102">
        <f t="shared" si="263"/>
        <v>45</v>
      </c>
      <c r="U1014" s="101">
        <f t="shared" si="264"/>
        <v>9</v>
      </c>
      <c r="V1014" s="4">
        <f t="shared" si="265"/>
        <v>39</v>
      </c>
      <c r="W1014" s="4">
        <f t="shared" si="266"/>
        <v>46</v>
      </c>
      <c r="X1014" s="4">
        <f t="shared" si="267"/>
        <v>78</v>
      </c>
      <c r="Y1014" s="4">
        <f t="shared" si="268"/>
        <v>78</v>
      </c>
      <c r="Z1014" s="4">
        <f t="shared" si="269"/>
        <v>78</v>
      </c>
      <c r="AA1014" s="102">
        <f t="shared" si="270"/>
        <v>71</v>
      </c>
      <c r="AC1014" s="100">
        <f t="shared" si="271"/>
        <v>0.99007195584571073</v>
      </c>
    </row>
    <row r="1015" spans="4:29" x14ac:dyDescent="0.35">
      <c r="D1015">
        <f t="shared" si="272"/>
        <v>1011</v>
      </c>
      <c r="E1015" s="101">
        <v>7</v>
      </c>
      <c r="F1015" s="4">
        <v>4</v>
      </c>
      <c r="G1015" s="4">
        <v>7</v>
      </c>
      <c r="H1015" s="4">
        <v>1</v>
      </c>
      <c r="I1015" s="4">
        <v>4</v>
      </c>
      <c r="J1015" s="4">
        <v>7</v>
      </c>
      <c r="K1015" s="102">
        <v>7</v>
      </c>
      <c r="M1015" s="101">
        <f t="shared" si="257"/>
        <v>29</v>
      </c>
      <c r="N1015" s="4">
        <f t="shared" si="258"/>
        <v>12</v>
      </c>
      <c r="O1015" s="4">
        <f t="shared" si="259"/>
        <v>29</v>
      </c>
      <c r="P1015" s="4">
        <f t="shared" si="260"/>
        <v>34</v>
      </c>
      <c r="Q1015" s="4">
        <f t="shared" si="261"/>
        <v>12</v>
      </c>
      <c r="R1015" s="4">
        <f t="shared" si="262"/>
        <v>29</v>
      </c>
      <c r="S1015" s="102">
        <f t="shared" si="263"/>
        <v>29</v>
      </c>
      <c r="U1015" s="101">
        <f t="shared" si="264"/>
        <v>41</v>
      </c>
      <c r="V1015" s="4">
        <f t="shared" si="265"/>
        <v>9</v>
      </c>
      <c r="W1015" s="4">
        <f t="shared" si="266"/>
        <v>41</v>
      </c>
      <c r="X1015" s="4">
        <f t="shared" si="267"/>
        <v>46</v>
      </c>
      <c r="Y1015" s="4">
        <f t="shared" si="268"/>
        <v>9</v>
      </c>
      <c r="Z1015" s="4">
        <f t="shared" si="269"/>
        <v>41</v>
      </c>
      <c r="AA1015" s="102">
        <f t="shared" si="270"/>
        <v>41</v>
      </c>
      <c r="AC1015" s="100">
        <f t="shared" si="271"/>
        <v>0.99576641160708101</v>
      </c>
    </row>
    <row r="1016" spans="4:29" x14ac:dyDescent="0.35">
      <c r="D1016">
        <f t="shared" si="272"/>
        <v>1012</v>
      </c>
      <c r="E1016" s="101">
        <v>2</v>
      </c>
      <c r="F1016" s="4">
        <v>7</v>
      </c>
      <c r="G1016" s="4">
        <v>4</v>
      </c>
      <c r="H1016" s="4">
        <v>2</v>
      </c>
      <c r="I1016" s="4">
        <v>5</v>
      </c>
      <c r="J1016" s="4">
        <v>5</v>
      </c>
      <c r="K1016" s="102">
        <v>7</v>
      </c>
      <c r="M1016" s="101">
        <f t="shared" si="257"/>
        <v>56</v>
      </c>
      <c r="N1016" s="4">
        <f t="shared" si="258"/>
        <v>29</v>
      </c>
      <c r="O1016" s="4">
        <f t="shared" si="259"/>
        <v>12</v>
      </c>
      <c r="P1016" s="4">
        <f t="shared" si="260"/>
        <v>56</v>
      </c>
      <c r="Q1016" s="4">
        <f t="shared" si="261"/>
        <v>30</v>
      </c>
      <c r="R1016" s="4">
        <f t="shared" si="262"/>
        <v>30</v>
      </c>
      <c r="S1016" s="102">
        <f t="shared" si="263"/>
        <v>29</v>
      </c>
      <c r="U1016" s="101">
        <f t="shared" si="264"/>
        <v>78</v>
      </c>
      <c r="V1016" s="4">
        <f t="shared" si="265"/>
        <v>41</v>
      </c>
      <c r="W1016" s="4">
        <f t="shared" si="266"/>
        <v>9</v>
      </c>
      <c r="X1016" s="4">
        <f t="shared" si="267"/>
        <v>78</v>
      </c>
      <c r="Y1016" s="4">
        <f t="shared" si="268"/>
        <v>39</v>
      </c>
      <c r="Z1016" s="4">
        <f t="shared" si="269"/>
        <v>39</v>
      </c>
      <c r="AA1016" s="102">
        <f t="shared" si="270"/>
        <v>41</v>
      </c>
      <c r="AC1016" s="100">
        <f t="shared" si="271"/>
        <v>0.99568676243014476</v>
      </c>
    </row>
    <row r="1017" spans="4:29" x14ac:dyDescent="0.35">
      <c r="D1017">
        <f t="shared" si="272"/>
        <v>1013</v>
      </c>
      <c r="E1017" s="101">
        <v>7</v>
      </c>
      <c r="F1017" s="4">
        <v>1</v>
      </c>
      <c r="G1017" s="4">
        <v>4</v>
      </c>
      <c r="H1017" s="4">
        <v>4</v>
      </c>
      <c r="I1017" s="4">
        <v>4</v>
      </c>
      <c r="J1017" s="4">
        <v>4</v>
      </c>
      <c r="K1017" s="102">
        <v>3</v>
      </c>
      <c r="M1017" s="101">
        <f t="shared" si="257"/>
        <v>29</v>
      </c>
      <c r="N1017" s="4">
        <f t="shared" si="258"/>
        <v>34</v>
      </c>
      <c r="O1017" s="4">
        <f t="shared" si="259"/>
        <v>12</v>
      </c>
      <c r="P1017" s="4">
        <f t="shared" si="260"/>
        <v>12</v>
      </c>
      <c r="Q1017" s="4">
        <f t="shared" si="261"/>
        <v>12</v>
      </c>
      <c r="R1017" s="4">
        <f t="shared" si="262"/>
        <v>12</v>
      </c>
      <c r="S1017" s="102">
        <f t="shared" si="263"/>
        <v>23</v>
      </c>
      <c r="U1017" s="101">
        <f t="shared" si="264"/>
        <v>41</v>
      </c>
      <c r="V1017" s="4">
        <f t="shared" si="265"/>
        <v>46</v>
      </c>
      <c r="W1017" s="4">
        <f t="shared" si="266"/>
        <v>9</v>
      </c>
      <c r="X1017" s="4">
        <f t="shared" si="267"/>
        <v>9</v>
      </c>
      <c r="Y1017" s="4">
        <f t="shared" si="268"/>
        <v>9</v>
      </c>
      <c r="Z1017" s="4">
        <f t="shared" si="269"/>
        <v>9</v>
      </c>
      <c r="AA1017" s="102">
        <f t="shared" si="270"/>
        <v>39</v>
      </c>
      <c r="AC1017" s="100">
        <f t="shared" si="271"/>
        <v>0.97301037721698014</v>
      </c>
    </row>
    <row r="1018" spans="4:29" x14ac:dyDescent="0.35">
      <c r="D1018">
        <f t="shared" si="272"/>
        <v>1014</v>
      </c>
      <c r="E1018" s="101">
        <v>4</v>
      </c>
      <c r="F1018" s="4">
        <v>2</v>
      </c>
      <c r="G1018" s="4">
        <v>3</v>
      </c>
      <c r="H1018" s="4">
        <v>1</v>
      </c>
      <c r="I1018" s="4">
        <v>2</v>
      </c>
      <c r="J1018" s="4">
        <v>5</v>
      </c>
      <c r="K1018" s="102">
        <v>7</v>
      </c>
      <c r="M1018" s="101">
        <f t="shared" si="257"/>
        <v>12</v>
      </c>
      <c r="N1018" s="4">
        <f t="shared" si="258"/>
        <v>56</v>
      </c>
      <c r="O1018" s="4">
        <f t="shared" si="259"/>
        <v>23</v>
      </c>
      <c r="P1018" s="4">
        <f t="shared" si="260"/>
        <v>34</v>
      </c>
      <c r="Q1018" s="4">
        <f t="shared" si="261"/>
        <v>56</v>
      </c>
      <c r="R1018" s="4">
        <f t="shared" si="262"/>
        <v>30</v>
      </c>
      <c r="S1018" s="102">
        <f t="shared" si="263"/>
        <v>29</v>
      </c>
      <c r="U1018" s="101">
        <f t="shared" si="264"/>
        <v>9</v>
      </c>
      <c r="V1018" s="4">
        <f t="shared" si="265"/>
        <v>78</v>
      </c>
      <c r="W1018" s="4">
        <f t="shared" si="266"/>
        <v>39</v>
      </c>
      <c r="X1018" s="4">
        <f t="shared" si="267"/>
        <v>46</v>
      </c>
      <c r="Y1018" s="4">
        <f t="shared" si="268"/>
        <v>78</v>
      </c>
      <c r="Z1018" s="4">
        <f t="shared" si="269"/>
        <v>39</v>
      </c>
      <c r="AA1018" s="102">
        <f t="shared" si="270"/>
        <v>41</v>
      </c>
      <c r="AC1018" s="100">
        <f t="shared" si="271"/>
        <v>0.98446461864207158</v>
      </c>
    </row>
    <row r="1019" spans="4:29" x14ac:dyDescent="0.35">
      <c r="D1019">
        <f t="shared" si="272"/>
        <v>1015</v>
      </c>
      <c r="E1019" s="101">
        <v>6</v>
      </c>
      <c r="F1019" s="4">
        <v>3</v>
      </c>
      <c r="G1019" s="4">
        <v>5</v>
      </c>
      <c r="H1019" s="4">
        <v>5</v>
      </c>
      <c r="I1019" s="4">
        <v>4</v>
      </c>
      <c r="J1019" s="4">
        <v>5</v>
      </c>
      <c r="K1019" s="102">
        <v>2</v>
      </c>
      <c r="M1019" s="101">
        <f t="shared" si="257"/>
        <v>45</v>
      </c>
      <c r="N1019" s="4">
        <f t="shared" si="258"/>
        <v>23</v>
      </c>
      <c r="O1019" s="4">
        <f t="shared" si="259"/>
        <v>30</v>
      </c>
      <c r="P1019" s="4">
        <f t="shared" si="260"/>
        <v>30</v>
      </c>
      <c r="Q1019" s="4">
        <f t="shared" si="261"/>
        <v>12</v>
      </c>
      <c r="R1019" s="4">
        <f t="shared" si="262"/>
        <v>30</v>
      </c>
      <c r="S1019" s="102">
        <f t="shared" si="263"/>
        <v>56</v>
      </c>
      <c r="U1019" s="101">
        <f t="shared" si="264"/>
        <v>71</v>
      </c>
      <c r="V1019" s="4">
        <f t="shared" si="265"/>
        <v>39</v>
      </c>
      <c r="W1019" s="4">
        <f t="shared" si="266"/>
        <v>39</v>
      </c>
      <c r="X1019" s="4">
        <f t="shared" si="267"/>
        <v>39</v>
      </c>
      <c r="Y1019" s="4">
        <f t="shared" si="268"/>
        <v>9</v>
      </c>
      <c r="Z1019" s="4">
        <f t="shared" si="269"/>
        <v>39</v>
      </c>
      <c r="AA1019" s="102">
        <f t="shared" si="270"/>
        <v>78</v>
      </c>
      <c r="AC1019" s="100">
        <f t="shared" si="271"/>
        <v>0.9743192399207431</v>
      </c>
    </row>
    <row r="1020" spans="4:29" x14ac:dyDescent="0.35">
      <c r="D1020">
        <f t="shared" si="272"/>
        <v>1016</v>
      </c>
      <c r="E1020" s="101">
        <v>5</v>
      </c>
      <c r="F1020" s="4">
        <v>4</v>
      </c>
      <c r="G1020" s="4">
        <v>5</v>
      </c>
      <c r="H1020" s="4">
        <v>4</v>
      </c>
      <c r="I1020" s="4">
        <v>3</v>
      </c>
      <c r="J1020" s="4">
        <v>1</v>
      </c>
      <c r="K1020" s="102">
        <v>2</v>
      </c>
      <c r="M1020" s="101">
        <f t="shared" si="257"/>
        <v>30</v>
      </c>
      <c r="N1020" s="4">
        <f t="shared" si="258"/>
        <v>12</v>
      </c>
      <c r="O1020" s="4">
        <f t="shared" si="259"/>
        <v>30</v>
      </c>
      <c r="P1020" s="4">
        <f t="shared" si="260"/>
        <v>12</v>
      </c>
      <c r="Q1020" s="4">
        <f t="shared" si="261"/>
        <v>23</v>
      </c>
      <c r="R1020" s="4">
        <f t="shared" si="262"/>
        <v>34</v>
      </c>
      <c r="S1020" s="102">
        <f t="shared" si="263"/>
        <v>56</v>
      </c>
      <c r="U1020" s="101">
        <f t="shared" si="264"/>
        <v>39</v>
      </c>
      <c r="V1020" s="4">
        <f t="shared" si="265"/>
        <v>9</v>
      </c>
      <c r="W1020" s="4">
        <f t="shared" si="266"/>
        <v>39</v>
      </c>
      <c r="X1020" s="4">
        <f t="shared" si="267"/>
        <v>9</v>
      </c>
      <c r="Y1020" s="4">
        <f t="shared" si="268"/>
        <v>39</v>
      </c>
      <c r="Z1020" s="4">
        <f t="shared" si="269"/>
        <v>46</v>
      </c>
      <c r="AA1020" s="102">
        <f t="shared" si="270"/>
        <v>78</v>
      </c>
      <c r="AC1020" s="100">
        <f t="shared" si="271"/>
        <v>0.98139639212732543</v>
      </c>
    </row>
    <row r="1021" spans="4:29" x14ac:dyDescent="0.35">
      <c r="D1021">
        <f t="shared" si="272"/>
        <v>1017</v>
      </c>
      <c r="E1021" s="101">
        <v>6</v>
      </c>
      <c r="F1021" s="4">
        <v>5</v>
      </c>
      <c r="G1021" s="4">
        <v>7</v>
      </c>
      <c r="H1021" s="4">
        <v>2</v>
      </c>
      <c r="I1021" s="4">
        <v>7</v>
      </c>
      <c r="J1021" s="4">
        <v>7</v>
      </c>
      <c r="K1021" s="102">
        <v>1</v>
      </c>
      <c r="M1021" s="101">
        <f t="shared" si="257"/>
        <v>45</v>
      </c>
      <c r="N1021" s="4">
        <f t="shared" si="258"/>
        <v>30</v>
      </c>
      <c r="O1021" s="4">
        <f t="shared" si="259"/>
        <v>29</v>
      </c>
      <c r="P1021" s="4">
        <f t="shared" si="260"/>
        <v>56</v>
      </c>
      <c r="Q1021" s="4">
        <f t="shared" si="261"/>
        <v>29</v>
      </c>
      <c r="R1021" s="4">
        <f t="shared" si="262"/>
        <v>29</v>
      </c>
      <c r="S1021" s="102">
        <f t="shared" si="263"/>
        <v>34</v>
      </c>
      <c r="U1021" s="101">
        <f t="shared" si="264"/>
        <v>71</v>
      </c>
      <c r="V1021" s="4">
        <f t="shared" si="265"/>
        <v>39</v>
      </c>
      <c r="W1021" s="4">
        <f t="shared" si="266"/>
        <v>41</v>
      </c>
      <c r="X1021" s="4">
        <f t="shared" si="267"/>
        <v>78</v>
      </c>
      <c r="Y1021" s="4">
        <f t="shared" si="268"/>
        <v>41</v>
      </c>
      <c r="Z1021" s="4">
        <f t="shared" si="269"/>
        <v>41</v>
      </c>
      <c r="AA1021" s="102">
        <f t="shared" si="270"/>
        <v>46</v>
      </c>
      <c r="AC1021" s="100">
        <f t="shared" si="271"/>
        <v>0.97949876731326824</v>
      </c>
    </row>
    <row r="1022" spans="4:29" x14ac:dyDescent="0.35">
      <c r="D1022">
        <f t="shared" si="272"/>
        <v>1018</v>
      </c>
      <c r="E1022" s="101">
        <v>7</v>
      </c>
      <c r="F1022" s="4">
        <v>1</v>
      </c>
      <c r="G1022" s="4">
        <v>4</v>
      </c>
      <c r="H1022" s="4">
        <v>1</v>
      </c>
      <c r="I1022" s="4">
        <v>6</v>
      </c>
      <c r="J1022" s="4">
        <v>3</v>
      </c>
      <c r="K1022" s="102">
        <v>2</v>
      </c>
      <c r="M1022" s="101">
        <f t="shared" si="257"/>
        <v>29</v>
      </c>
      <c r="N1022" s="4">
        <f t="shared" si="258"/>
        <v>34</v>
      </c>
      <c r="O1022" s="4">
        <f t="shared" si="259"/>
        <v>12</v>
      </c>
      <c r="P1022" s="4">
        <f t="shared" si="260"/>
        <v>34</v>
      </c>
      <c r="Q1022" s="4">
        <f t="shared" si="261"/>
        <v>45</v>
      </c>
      <c r="R1022" s="4">
        <f t="shared" si="262"/>
        <v>23</v>
      </c>
      <c r="S1022" s="102">
        <f t="shared" si="263"/>
        <v>56</v>
      </c>
      <c r="U1022" s="101">
        <f t="shared" si="264"/>
        <v>41</v>
      </c>
      <c r="V1022" s="4">
        <f t="shared" si="265"/>
        <v>46</v>
      </c>
      <c r="W1022" s="4">
        <f t="shared" si="266"/>
        <v>9</v>
      </c>
      <c r="X1022" s="4">
        <f t="shared" si="267"/>
        <v>46</v>
      </c>
      <c r="Y1022" s="4">
        <f t="shared" si="268"/>
        <v>71</v>
      </c>
      <c r="Z1022" s="4">
        <f t="shared" si="269"/>
        <v>39</v>
      </c>
      <c r="AA1022" s="102">
        <f t="shared" si="270"/>
        <v>78</v>
      </c>
      <c r="AC1022" s="100">
        <f t="shared" si="271"/>
        <v>0.97551853574507996</v>
      </c>
    </row>
    <row r="1023" spans="4:29" x14ac:dyDescent="0.35">
      <c r="D1023">
        <f t="shared" si="272"/>
        <v>1019</v>
      </c>
      <c r="E1023" s="101">
        <v>6</v>
      </c>
      <c r="F1023" s="4">
        <v>2</v>
      </c>
      <c r="G1023" s="4">
        <v>6</v>
      </c>
      <c r="H1023" s="4">
        <v>7</v>
      </c>
      <c r="I1023" s="4">
        <v>2</v>
      </c>
      <c r="J1023" s="4">
        <v>7</v>
      </c>
      <c r="K1023" s="102">
        <v>7</v>
      </c>
      <c r="M1023" s="101">
        <f t="shared" si="257"/>
        <v>45</v>
      </c>
      <c r="N1023" s="4">
        <f t="shared" si="258"/>
        <v>56</v>
      </c>
      <c r="O1023" s="4">
        <f t="shared" si="259"/>
        <v>45</v>
      </c>
      <c r="P1023" s="4">
        <f t="shared" si="260"/>
        <v>29</v>
      </c>
      <c r="Q1023" s="4">
        <f t="shared" si="261"/>
        <v>56</v>
      </c>
      <c r="R1023" s="4">
        <f t="shared" si="262"/>
        <v>29</v>
      </c>
      <c r="S1023" s="102">
        <f t="shared" si="263"/>
        <v>29</v>
      </c>
      <c r="U1023" s="101">
        <f t="shared" si="264"/>
        <v>71</v>
      </c>
      <c r="V1023" s="4">
        <f t="shared" si="265"/>
        <v>78</v>
      </c>
      <c r="W1023" s="4">
        <f t="shared" si="266"/>
        <v>71</v>
      </c>
      <c r="X1023" s="4">
        <f t="shared" si="267"/>
        <v>41</v>
      </c>
      <c r="Y1023" s="4">
        <f t="shared" si="268"/>
        <v>78</v>
      </c>
      <c r="Z1023" s="4">
        <f t="shared" si="269"/>
        <v>41</v>
      </c>
      <c r="AA1023" s="102">
        <f t="shared" si="270"/>
        <v>41</v>
      </c>
      <c r="AC1023" s="100">
        <f t="shared" si="271"/>
        <v>0.97713401816201506</v>
      </c>
    </row>
    <row r="1024" spans="4:29" x14ac:dyDescent="0.35">
      <c r="D1024">
        <f t="shared" si="272"/>
        <v>1020</v>
      </c>
      <c r="E1024" s="101">
        <v>2</v>
      </c>
      <c r="F1024" s="4">
        <v>1</v>
      </c>
      <c r="G1024" s="4">
        <v>4</v>
      </c>
      <c r="H1024" s="4">
        <v>4</v>
      </c>
      <c r="I1024" s="4">
        <v>4</v>
      </c>
      <c r="J1024" s="4">
        <v>7</v>
      </c>
      <c r="K1024" s="102">
        <v>4</v>
      </c>
      <c r="M1024" s="101">
        <f t="shared" si="257"/>
        <v>56</v>
      </c>
      <c r="N1024" s="4">
        <f t="shared" si="258"/>
        <v>34</v>
      </c>
      <c r="O1024" s="4">
        <f t="shared" si="259"/>
        <v>12</v>
      </c>
      <c r="P1024" s="4">
        <f t="shared" si="260"/>
        <v>12</v>
      </c>
      <c r="Q1024" s="4">
        <f t="shared" si="261"/>
        <v>12</v>
      </c>
      <c r="R1024" s="4">
        <f t="shared" si="262"/>
        <v>29</v>
      </c>
      <c r="S1024" s="102">
        <f t="shared" si="263"/>
        <v>12</v>
      </c>
      <c r="U1024" s="101">
        <f t="shared" si="264"/>
        <v>78</v>
      </c>
      <c r="V1024" s="4">
        <f t="shared" si="265"/>
        <v>46</v>
      </c>
      <c r="W1024" s="4">
        <f t="shared" si="266"/>
        <v>9</v>
      </c>
      <c r="X1024" s="4">
        <f t="shared" si="267"/>
        <v>9</v>
      </c>
      <c r="Y1024" s="4">
        <f t="shared" si="268"/>
        <v>9</v>
      </c>
      <c r="Z1024" s="4">
        <f t="shared" si="269"/>
        <v>41</v>
      </c>
      <c r="AA1024" s="102">
        <f t="shared" si="270"/>
        <v>9</v>
      </c>
      <c r="AC1024" s="100">
        <f t="shared" si="271"/>
        <v>0.99724724510226426</v>
      </c>
    </row>
    <row r="1025" spans="4:29" x14ac:dyDescent="0.35">
      <c r="D1025">
        <f t="shared" si="272"/>
        <v>1021</v>
      </c>
      <c r="E1025" s="101">
        <v>1</v>
      </c>
      <c r="F1025" s="4">
        <v>3</v>
      </c>
      <c r="G1025" s="4">
        <v>2</v>
      </c>
      <c r="H1025" s="4">
        <v>6</v>
      </c>
      <c r="I1025" s="4">
        <v>1</v>
      </c>
      <c r="J1025" s="4">
        <v>6</v>
      </c>
      <c r="K1025" s="102">
        <v>1</v>
      </c>
      <c r="M1025" s="101">
        <f t="shared" si="257"/>
        <v>34</v>
      </c>
      <c r="N1025" s="4">
        <f t="shared" si="258"/>
        <v>23</v>
      </c>
      <c r="O1025" s="4">
        <f t="shared" si="259"/>
        <v>56</v>
      </c>
      <c r="P1025" s="4">
        <f t="shared" si="260"/>
        <v>45</v>
      </c>
      <c r="Q1025" s="4">
        <f t="shared" si="261"/>
        <v>34</v>
      </c>
      <c r="R1025" s="4">
        <f t="shared" si="262"/>
        <v>45</v>
      </c>
      <c r="S1025" s="102">
        <f t="shared" si="263"/>
        <v>34</v>
      </c>
      <c r="U1025" s="101">
        <f t="shared" si="264"/>
        <v>46</v>
      </c>
      <c r="V1025" s="4">
        <f t="shared" si="265"/>
        <v>39</v>
      </c>
      <c r="W1025" s="4">
        <f t="shared" si="266"/>
        <v>78</v>
      </c>
      <c r="X1025" s="4">
        <f t="shared" si="267"/>
        <v>71</v>
      </c>
      <c r="Y1025" s="4">
        <f t="shared" si="268"/>
        <v>46</v>
      </c>
      <c r="Z1025" s="4">
        <f t="shared" si="269"/>
        <v>71</v>
      </c>
      <c r="AA1025" s="102">
        <f t="shared" si="270"/>
        <v>46</v>
      </c>
      <c r="AC1025" s="100">
        <f t="shared" si="271"/>
        <v>0.95361093992578783</v>
      </c>
    </row>
    <row r="1026" spans="4:29" x14ac:dyDescent="0.35">
      <c r="D1026">
        <f t="shared" si="272"/>
        <v>1022</v>
      </c>
      <c r="E1026" s="101">
        <v>7</v>
      </c>
      <c r="F1026" s="4">
        <v>3</v>
      </c>
      <c r="G1026" s="4">
        <v>2</v>
      </c>
      <c r="H1026" s="4">
        <v>5</v>
      </c>
      <c r="I1026" s="4">
        <v>3</v>
      </c>
      <c r="J1026" s="4">
        <v>5</v>
      </c>
      <c r="K1026" s="102">
        <v>4</v>
      </c>
      <c r="M1026" s="101">
        <f t="shared" si="257"/>
        <v>29</v>
      </c>
      <c r="N1026" s="4">
        <f t="shared" si="258"/>
        <v>23</v>
      </c>
      <c r="O1026" s="4">
        <f t="shared" si="259"/>
        <v>56</v>
      </c>
      <c r="P1026" s="4">
        <f t="shared" si="260"/>
        <v>30</v>
      </c>
      <c r="Q1026" s="4">
        <f t="shared" si="261"/>
        <v>23</v>
      </c>
      <c r="R1026" s="4">
        <f t="shared" si="262"/>
        <v>30</v>
      </c>
      <c r="S1026" s="102">
        <f t="shared" si="263"/>
        <v>12</v>
      </c>
      <c r="U1026" s="101">
        <f t="shared" si="264"/>
        <v>41</v>
      </c>
      <c r="V1026" s="4">
        <f t="shared" si="265"/>
        <v>39</v>
      </c>
      <c r="W1026" s="4">
        <f t="shared" si="266"/>
        <v>78</v>
      </c>
      <c r="X1026" s="4">
        <f t="shared" si="267"/>
        <v>39</v>
      </c>
      <c r="Y1026" s="4">
        <f t="shared" si="268"/>
        <v>39</v>
      </c>
      <c r="Z1026" s="4">
        <f t="shared" si="269"/>
        <v>39</v>
      </c>
      <c r="AA1026" s="102">
        <f t="shared" si="270"/>
        <v>9</v>
      </c>
      <c r="AC1026" s="100">
        <f t="shared" si="271"/>
        <v>0.96392930572635738</v>
      </c>
    </row>
    <row r="1027" spans="4:29" x14ac:dyDescent="0.35">
      <c r="D1027">
        <f t="shared" si="272"/>
        <v>1023</v>
      </c>
      <c r="E1027" s="101">
        <v>2</v>
      </c>
      <c r="F1027" s="4">
        <v>5</v>
      </c>
      <c r="G1027" s="4">
        <v>7</v>
      </c>
      <c r="H1027" s="4">
        <v>5</v>
      </c>
      <c r="I1027" s="4">
        <v>4</v>
      </c>
      <c r="J1027" s="4">
        <v>2</v>
      </c>
      <c r="K1027" s="102">
        <v>1</v>
      </c>
      <c r="M1027" s="101">
        <f t="shared" si="257"/>
        <v>56</v>
      </c>
      <c r="N1027" s="4">
        <f t="shared" si="258"/>
        <v>30</v>
      </c>
      <c r="O1027" s="4">
        <f t="shared" si="259"/>
        <v>29</v>
      </c>
      <c r="P1027" s="4">
        <f t="shared" si="260"/>
        <v>30</v>
      </c>
      <c r="Q1027" s="4">
        <f t="shared" si="261"/>
        <v>12</v>
      </c>
      <c r="R1027" s="4">
        <f t="shared" si="262"/>
        <v>56</v>
      </c>
      <c r="S1027" s="102">
        <f t="shared" si="263"/>
        <v>34</v>
      </c>
      <c r="U1027" s="101">
        <f t="shared" si="264"/>
        <v>78</v>
      </c>
      <c r="V1027" s="4">
        <f t="shared" si="265"/>
        <v>39</v>
      </c>
      <c r="W1027" s="4">
        <f t="shared" si="266"/>
        <v>41</v>
      </c>
      <c r="X1027" s="4">
        <f t="shared" si="267"/>
        <v>39</v>
      </c>
      <c r="Y1027" s="4">
        <f t="shared" si="268"/>
        <v>9</v>
      </c>
      <c r="Z1027" s="4">
        <f t="shared" si="269"/>
        <v>78</v>
      </c>
      <c r="AA1027" s="102">
        <f t="shared" si="270"/>
        <v>46</v>
      </c>
      <c r="AC1027" s="100">
        <f t="shared" si="271"/>
        <v>0.99709561446177808</v>
      </c>
    </row>
    <row r="1028" spans="4:29" x14ac:dyDescent="0.35">
      <c r="D1028">
        <f t="shared" si="272"/>
        <v>1024</v>
      </c>
      <c r="E1028" s="101">
        <v>1</v>
      </c>
      <c r="F1028" s="4">
        <v>2</v>
      </c>
      <c r="G1028" s="4">
        <v>5</v>
      </c>
      <c r="H1028" s="4">
        <v>6</v>
      </c>
      <c r="I1028" s="4">
        <v>5</v>
      </c>
      <c r="J1028" s="4">
        <v>2</v>
      </c>
      <c r="K1028" s="102">
        <v>1</v>
      </c>
      <c r="M1028" s="101">
        <f t="shared" si="257"/>
        <v>34</v>
      </c>
      <c r="N1028" s="4">
        <f t="shared" si="258"/>
        <v>56</v>
      </c>
      <c r="O1028" s="4">
        <f t="shared" si="259"/>
        <v>30</v>
      </c>
      <c r="P1028" s="4">
        <f t="shared" si="260"/>
        <v>45</v>
      </c>
      <c r="Q1028" s="4">
        <f t="shared" si="261"/>
        <v>30</v>
      </c>
      <c r="R1028" s="4">
        <f t="shared" si="262"/>
        <v>56</v>
      </c>
      <c r="S1028" s="102">
        <f t="shared" si="263"/>
        <v>34</v>
      </c>
      <c r="U1028" s="101">
        <f t="shared" si="264"/>
        <v>46</v>
      </c>
      <c r="V1028" s="4">
        <f t="shared" si="265"/>
        <v>78</v>
      </c>
      <c r="W1028" s="4">
        <f t="shared" si="266"/>
        <v>39</v>
      </c>
      <c r="X1028" s="4">
        <f t="shared" si="267"/>
        <v>71</v>
      </c>
      <c r="Y1028" s="4">
        <f t="shared" si="268"/>
        <v>39</v>
      </c>
      <c r="Z1028" s="4">
        <f t="shared" si="269"/>
        <v>78</v>
      </c>
      <c r="AA1028" s="102">
        <f t="shared" si="270"/>
        <v>46</v>
      </c>
      <c r="AC1028" s="100">
        <f t="shared" si="271"/>
        <v>0.98141939911249609</v>
      </c>
    </row>
    <row r="1029" spans="4:29" x14ac:dyDescent="0.35">
      <c r="D1029">
        <f t="shared" si="272"/>
        <v>1025</v>
      </c>
      <c r="E1029" s="101">
        <v>3</v>
      </c>
      <c r="F1029" s="4">
        <v>3</v>
      </c>
      <c r="G1029" s="4">
        <v>6</v>
      </c>
      <c r="H1029" s="4">
        <v>5</v>
      </c>
      <c r="I1029" s="4">
        <v>4</v>
      </c>
      <c r="J1029" s="4">
        <v>6</v>
      </c>
      <c r="K1029" s="102">
        <v>3</v>
      </c>
      <c r="M1029" s="101">
        <f t="shared" si="257"/>
        <v>23</v>
      </c>
      <c r="N1029" s="4">
        <f t="shared" si="258"/>
        <v>23</v>
      </c>
      <c r="O1029" s="4">
        <f t="shared" si="259"/>
        <v>45</v>
      </c>
      <c r="P1029" s="4">
        <f t="shared" si="260"/>
        <v>30</v>
      </c>
      <c r="Q1029" s="4">
        <f t="shared" si="261"/>
        <v>12</v>
      </c>
      <c r="R1029" s="4">
        <f t="shared" si="262"/>
        <v>45</v>
      </c>
      <c r="S1029" s="102">
        <f t="shared" si="263"/>
        <v>23</v>
      </c>
      <c r="U1029" s="101">
        <f t="shared" si="264"/>
        <v>39</v>
      </c>
      <c r="V1029" s="4">
        <f t="shared" si="265"/>
        <v>39</v>
      </c>
      <c r="W1029" s="4">
        <f t="shared" si="266"/>
        <v>71</v>
      </c>
      <c r="X1029" s="4">
        <f t="shared" si="267"/>
        <v>39</v>
      </c>
      <c r="Y1029" s="4">
        <f t="shared" si="268"/>
        <v>9</v>
      </c>
      <c r="Z1029" s="4">
        <f t="shared" si="269"/>
        <v>71</v>
      </c>
      <c r="AA1029" s="102">
        <f t="shared" si="270"/>
        <v>39</v>
      </c>
      <c r="AC1029" s="100">
        <f t="shared" si="271"/>
        <v>0.97036957187427597</v>
      </c>
    </row>
    <row r="1030" spans="4:29" x14ac:dyDescent="0.35">
      <c r="D1030">
        <f t="shared" si="272"/>
        <v>1026</v>
      </c>
      <c r="E1030" s="101">
        <v>1</v>
      </c>
      <c r="F1030" s="4">
        <v>6</v>
      </c>
      <c r="G1030" s="4">
        <v>4</v>
      </c>
      <c r="H1030" s="4">
        <v>1</v>
      </c>
      <c r="I1030" s="4">
        <v>7</v>
      </c>
      <c r="J1030" s="4">
        <v>2</v>
      </c>
      <c r="K1030" s="102">
        <v>4</v>
      </c>
      <c r="M1030" s="101">
        <f t="shared" ref="M1030:M1093" si="273">INDEX($A$5:$A$11,E1030)</f>
        <v>34</v>
      </c>
      <c r="N1030" s="4">
        <f t="shared" ref="N1030:N1093" si="274">INDEX($A$5:$A$11,F1030)</f>
        <v>45</v>
      </c>
      <c r="O1030" s="4">
        <f t="shared" ref="O1030:O1093" si="275">INDEX($A$5:$A$11,G1030)</f>
        <v>12</v>
      </c>
      <c r="P1030" s="4">
        <f t="shared" ref="P1030:P1093" si="276">INDEX($A$5:$A$11,H1030)</f>
        <v>34</v>
      </c>
      <c r="Q1030" s="4">
        <f t="shared" ref="Q1030:Q1093" si="277">INDEX($A$5:$A$11,I1030)</f>
        <v>29</v>
      </c>
      <c r="R1030" s="4">
        <f t="shared" ref="R1030:R1093" si="278">INDEX($A$5:$A$11,J1030)</f>
        <v>56</v>
      </c>
      <c r="S1030" s="102">
        <f t="shared" ref="S1030:S1093" si="279">INDEX($A$5:$A$11,K1030)</f>
        <v>12</v>
      </c>
      <c r="U1030" s="101">
        <f t="shared" ref="U1030:U1093" si="280">INDEX($B$5:$B$11,E1030)</f>
        <v>46</v>
      </c>
      <c r="V1030" s="4">
        <f t="shared" ref="V1030:V1093" si="281">INDEX($B$5:$B$11,F1030)</f>
        <v>71</v>
      </c>
      <c r="W1030" s="4">
        <f t="shared" ref="W1030:W1093" si="282">INDEX($B$5:$B$11,G1030)</f>
        <v>9</v>
      </c>
      <c r="X1030" s="4">
        <f t="shared" ref="X1030:X1093" si="283">INDEX($B$5:$B$11,H1030)</f>
        <v>46</v>
      </c>
      <c r="Y1030" s="4">
        <f t="shared" ref="Y1030:Y1093" si="284">INDEX($B$5:$B$11,I1030)</f>
        <v>41</v>
      </c>
      <c r="Z1030" s="4">
        <f t="shared" ref="Z1030:Z1093" si="285">INDEX($B$5:$B$11,J1030)</f>
        <v>78</v>
      </c>
      <c r="AA1030" s="102">
        <f t="shared" ref="AA1030:AA1093" si="286">INDEX($B$5:$B$11,K1030)</f>
        <v>9</v>
      </c>
      <c r="AC1030" s="100">
        <f t="shared" ref="AC1030:AC1093" si="287">CORREL(M1030:S1030,U1030:AA1030)</f>
        <v>0.99142381099854537</v>
      </c>
    </row>
    <row r="1031" spans="4:29" x14ac:dyDescent="0.35">
      <c r="D1031">
        <f t="shared" ref="D1031:D1094" si="288">D1030+1</f>
        <v>1027</v>
      </c>
      <c r="E1031" s="101">
        <v>4</v>
      </c>
      <c r="F1031" s="4">
        <v>2</v>
      </c>
      <c r="G1031" s="4">
        <v>6</v>
      </c>
      <c r="H1031" s="4">
        <v>2</v>
      </c>
      <c r="I1031" s="4">
        <v>6</v>
      </c>
      <c r="J1031" s="4">
        <v>4</v>
      </c>
      <c r="K1031" s="102">
        <v>6</v>
      </c>
      <c r="M1031" s="101">
        <f t="shared" si="273"/>
        <v>12</v>
      </c>
      <c r="N1031" s="4">
        <f t="shared" si="274"/>
        <v>56</v>
      </c>
      <c r="O1031" s="4">
        <f t="shared" si="275"/>
        <v>45</v>
      </c>
      <c r="P1031" s="4">
        <f t="shared" si="276"/>
        <v>56</v>
      </c>
      <c r="Q1031" s="4">
        <f t="shared" si="277"/>
        <v>45</v>
      </c>
      <c r="R1031" s="4">
        <f t="shared" si="278"/>
        <v>12</v>
      </c>
      <c r="S1031" s="102">
        <f t="shared" si="279"/>
        <v>45</v>
      </c>
      <c r="U1031" s="101">
        <f t="shared" si="280"/>
        <v>9</v>
      </c>
      <c r="V1031" s="4">
        <f t="shared" si="281"/>
        <v>78</v>
      </c>
      <c r="W1031" s="4">
        <f t="shared" si="282"/>
        <v>71</v>
      </c>
      <c r="X1031" s="4">
        <f t="shared" si="283"/>
        <v>78</v>
      </c>
      <c r="Y1031" s="4">
        <f t="shared" si="284"/>
        <v>71</v>
      </c>
      <c r="Z1031" s="4">
        <f t="shared" si="285"/>
        <v>9</v>
      </c>
      <c r="AA1031" s="102">
        <f t="shared" si="286"/>
        <v>71</v>
      </c>
      <c r="AC1031" s="100">
        <f t="shared" si="287"/>
        <v>0.98648068691975854</v>
      </c>
    </row>
    <row r="1032" spans="4:29" x14ac:dyDescent="0.35">
      <c r="D1032">
        <f t="shared" si="288"/>
        <v>1028</v>
      </c>
      <c r="E1032" s="101">
        <v>4</v>
      </c>
      <c r="F1032" s="4">
        <v>2</v>
      </c>
      <c r="G1032" s="4">
        <v>3</v>
      </c>
      <c r="H1032" s="4">
        <v>6</v>
      </c>
      <c r="I1032" s="4">
        <v>5</v>
      </c>
      <c r="J1032" s="4">
        <v>3</v>
      </c>
      <c r="K1032" s="102">
        <v>7</v>
      </c>
      <c r="M1032" s="101">
        <f t="shared" si="273"/>
        <v>12</v>
      </c>
      <c r="N1032" s="4">
        <f t="shared" si="274"/>
        <v>56</v>
      </c>
      <c r="O1032" s="4">
        <f t="shared" si="275"/>
        <v>23</v>
      </c>
      <c r="P1032" s="4">
        <f t="shared" si="276"/>
        <v>45</v>
      </c>
      <c r="Q1032" s="4">
        <f t="shared" si="277"/>
        <v>30</v>
      </c>
      <c r="R1032" s="4">
        <f t="shared" si="278"/>
        <v>23</v>
      </c>
      <c r="S1032" s="102">
        <f t="shared" si="279"/>
        <v>29</v>
      </c>
      <c r="U1032" s="101">
        <f t="shared" si="280"/>
        <v>9</v>
      </c>
      <c r="V1032" s="4">
        <f t="shared" si="281"/>
        <v>78</v>
      </c>
      <c r="W1032" s="4">
        <f t="shared" si="282"/>
        <v>39</v>
      </c>
      <c r="X1032" s="4">
        <f t="shared" si="283"/>
        <v>71</v>
      </c>
      <c r="Y1032" s="4">
        <f t="shared" si="284"/>
        <v>39</v>
      </c>
      <c r="Z1032" s="4">
        <f t="shared" si="285"/>
        <v>39</v>
      </c>
      <c r="AA1032" s="102">
        <f t="shared" si="286"/>
        <v>41</v>
      </c>
      <c r="AC1032" s="100">
        <f t="shared" si="287"/>
        <v>0.96896293074172468</v>
      </c>
    </row>
    <row r="1033" spans="4:29" x14ac:dyDescent="0.35">
      <c r="D1033">
        <f t="shared" si="288"/>
        <v>1029</v>
      </c>
      <c r="E1033" s="101">
        <v>1</v>
      </c>
      <c r="F1033" s="4">
        <v>1</v>
      </c>
      <c r="G1033" s="4">
        <v>1</v>
      </c>
      <c r="H1033" s="4">
        <v>5</v>
      </c>
      <c r="I1033" s="4">
        <v>7</v>
      </c>
      <c r="J1033" s="4">
        <v>1</v>
      </c>
      <c r="K1033" s="102">
        <v>4</v>
      </c>
      <c r="M1033" s="101">
        <f t="shared" si="273"/>
        <v>34</v>
      </c>
      <c r="N1033" s="4">
        <f t="shared" si="274"/>
        <v>34</v>
      </c>
      <c r="O1033" s="4">
        <f t="shared" si="275"/>
        <v>34</v>
      </c>
      <c r="P1033" s="4">
        <f t="shared" si="276"/>
        <v>30</v>
      </c>
      <c r="Q1033" s="4">
        <f t="shared" si="277"/>
        <v>29</v>
      </c>
      <c r="R1033" s="4">
        <f t="shared" si="278"/>
        <v>34</v>
      </c>
      <c r="S1033" s="102">
        <f t="shared" si="279"/>
        <v>12</v>
      </c>
      <c r="U1033" s="101">
        <f t="shared" si="280"/>
        <v>46</v>
      </c>
      <c r="V1033" s="4">
        <f t="shared" si="281"/>
        <v>46</v>
      </c>
      <c r="W1033" s="4">
        <f t="shared" si="282"/>
        <v>46</v>
      </c>
      <c r="X1033" s="4">
        <f t="shared" si="283"/>
        <v>39</v>
      </c>
      <c r="Y1033" s="4">
        <f t="shared" si="284"/>
        <v>41</v>
      </c>
      <c r="Z1033" s="4">
        <f t="shared" si="285"/>
        <v>46</v>
      </c>
      <c r="AA1033" s="102">
        <f t="shared" si="286"/>
        <v>9</v>
      </c>
      <c r="AC1033" s="100">
        <f t="shared" si="287"/>
        <v>0.99531629076262318</v>
      </c>
    </row>
    <row r="1034" spans="4:29" x14ac:dyDescent="0.35">
      <c r="D1034">
        <f t="shared" si="288"/>
        <v>1030</v>
      </c>
      <c r="E1034" s="101">
        <v>4</v>
      </c>
      <c r="F1034" s="4">
        <v>1</v>
      </c>
      <c r="G1034" s="4">
        <v>1</v>
      </c>
      <c r="H1034" s="4">
        <v>2</v>
      </c>
      <c r="I1034" s="4">
        <v>1</v>
      </c>
      <c r="J1034" s="4">
        <v>1</v>
      </c>
      <c r="K1034" s="102">
        <v>2</v>
      </c>
      <c r="M1034" s="101">
        <f t="shared" si="273"/>
        <v>12</v>
      </c>
      <c r="N1034" s="4">
        <f t="shared" si="274"/>
        <v>34</v>
      </c>
      <c r="O1034" s="4">
        <f t="shared" si="275"/>
        <v>34</v>
      </c>
      <c r="P1034" s="4">
        <f t="shared" si="276"/>
        <v>56</v>
      </c>
      <c r="Q1034" s="4">
        <f t="shared" si="277"/>
        <v>34</v>
      </c>
      <c r="R1034" s="4">
        <f t="shared" si="278"/>
        <v>34</v>
      </c>
      <c r="S1034" s="102">
        <f t="shared" si="279"/>
        <v>56</v>
      </c>
      <c r="U1034" s="101">
        <f t="shared" si="280"/>
        <v>9</v>
      </c>
      <c r="V1034" s="4">
        <f t="shared" si="281"/>
        <v>46</v>
      </c>
      <c r="W1034" s="4">
        <f t="shared" si="282"/>
        <v>46</v>
      </c>
      <c r="X1034" s="4">
        <f t="shared" si="283"/>
        <v>78</v>
      </c>
      <c r="Y1034" s="4">
        <f t="shared" si="284"/>
        <v>46</v>
      </c>
      <c r="Z1034" s="4">
        <f t="shared" si="285"/>
        <v>46</v>
      </c>
      <c r="AA1034" s="102">
        <f t="shared" si="286"/>
        <v>78</v>
      </c>
      <c r="AC1034" s="100">
        <f t="shared" si="287"/>
        <v>0.99848958809032895</v>
      </c>
    </row>
    <row r="1035" spans="4:29" x14ac:dyDescent="0.35">
      <c r="D1035">
        <f t="shared" si="288"/>
        <v>1031</v>
      </c>
      <c r="E1035" s="101">
        <v>4</v>
      </c>
      <c r="F1035" s="4">
        <v>1</v>
      </c>
      <c r="G1035" s="4">
        <v>3</v>
      </c>
      <c r="H1035" s="4">
        <v>1</v>
      </c>
      <c r="I1035" s="4">
        <v>4</v>
      </c>
      <c r="J1035" s="4">
        <v>2</v>
      </c>
      <c r="K1035" s="102">
        <v>1</v>
      </c>
      <c r="M1035" s="101">
        <f t="shared" si="273"/>
        <v>12</v>
      </c>
      <c r="N1035" s="4">
        <f t="shared" si="274"/>
        <v>34</v>
      </c>
      <c r="O1035" s="4">
        <f t="shared" si="275"/>
        <v>23</v>
      </c>
      <c r="P1035" s="4">
        <f t="shared" si="276"/>
        <v>34</v>
      </c>
      <c r="Q1035" s="4">
        <f t="shared" si="277"/>
        <v>12</v>
      </c>
      <c r="R1035" s="4">
        <f t="shared" si="278"/>
        <v>56</v>
      </c>
      <c r="S1035" s="102">
        <f t="shared" si="279"/>
        <v>34</v>
      </c>
      <c r="U1035" s="101">
        <f t="shared" si="280"/>
        <v>9</v>
      </c>
      <c r="V1035" s="4">
        <f t="shared" si="281"/>
        <v>46</v>
      </c>
      <c r="W1035" s="4">
        <f t="shared" si="282"/>
        <v>39</v>
      </c>
      <c r="X1035" s="4">
        <f t="shared" si="283"/>
        <v>46</v>
      </c>
      <c r="Y1035" s="4">
        <f t="shared" si="284"/>
        <v>9</v>
      </c>
      <c r="Z1035" s="4">
        <f t="shared" si="285"/>
        <v>78</v>
      </c>
      <c r="AA1035" s="102">
        <f t="shared" si="286"/>
        <v>46</v>
      </c>
      <c r="AC1035" s="100">
        <f t="shared" si="287"/>
        <v>0.98235337073333184</v>
      </c>
    </row>
    <row r="1036" spans="4:29" x14ac:dyDescent="0.35">
      <c r="D1036">
        <f t="shared" si="288"/>
        <v>1032</v>
      </c>
      <c r="E1036" s="101">
        <v>7</v>
      </c>
      <c r="F1036" s="4">
        <v>3</v>
      </c>
      <c r="G1036" s="4">
        <v>6</v>
      </c>
      <c r="H1036" s="4">
        <v>5</v>
      </c>
      <c r="I1036" s="4">
        <v>6</v>
      </c>
      <c r="J1036" s="4">
        <v>6</v>
      </c>
      <c r="K1036" s="102">
        <v>2</v>
      </c>
      <c r="M1036" s="101">
        <f t="shared" si="273"/>
        <v>29</v>
      </c>
      <c r="N1036" s="4">
        <f t="shared" si="274"/>
        <v>23</v>
      </c>
      <c r="O1036" s="4">
        <f t="shared" si="275"/>
        <v>45</v>
      </c>
      <c r="P1036" s="4">
        <f t="shared" si="276"/>
        <v>30</v>
      </c>
      <c r="Q1036" s="4">
        <f t="shared" si="277"/>
        <v>45</v>
      </c>
      <c r="R1036" s="4">
        <f t="shared" si="278"/>
        <v>45</v>
      </c>
      <c r="S1036" s="102">
        <f t="shared" si="279"/>
        <v>56</v>
      </c>
      <c r="U1036" s="101">
        <f t="shared" si="280"/>
        <v>41</v>
      </c>
      <c r="V1036" s="4">
        <f t="shared" si="281"/>
        <v>39</v>
      </c>
      <c r="W1036" s="4">
        <f t="shared" si="282"/>
        <v>71</v>
      </c>
      <c r="X1036" s="4">
        <f t="shared" si="283"/>
        <v>39</v>
      </c>
      <c r="Y1036" s="4">
        <f t="shared" si="284"/>
        <v>71</v>
      </c>
      <c r="Z1036" s="4">
        <f t="shared" si="285"/>
        <v>71</v>
      </c>
      <c r="AA1036" s="102">
        <f t="shared" si="286"/>
        <v>78</v>
      </c>
      <c r="AC1036" s="100">
        <f t="shared" si="287"/>
        <v>0.96439580232969047</v>
      </c>
    </row>
    <row r="1037" spans="4:29" x14ac:dyDescent="0.35">
      <c r="D1037">
        <f t="shared" si="288"/>
        <v>1033</v>
      </c>
      <c r="E1037" s="101">
        <v>2</v>
      </c>
      <c r="F1037" s="4">
        <v>7</v>
      </c>
      <c r="G1037" s="4">
        <v>4</v>
      </c>
      <c r="H1037" s="4">
        <v>6</v>
      </c>
      <c r="I1037" s="4">
        <v>6</v>
      </c>
      <c r="J1037" s="4">
        <v>1</v>
      </c>
      <c r="K1037" s="102">
        <v>5</v>
      </c>
      <c r="M1037" s="101">
        <f t="shared" si="273"/>
        <v>56</v>
      </c>
      <c r="N1037" s="4">
        <f t="shared" si="274"/>
        <v>29</v>
      </c>
      <c r="O1037" s="4">
        <f t="shared" si="275"/>
        <v>12</v>
      </c>
      <c r="P1037" s="4">
        <f t="shared" si="276"/>
        <v>45</v>
      </c>
      <c r="Q1037" s="4">
        <f t="shared" si="277"/>
        <v>45</v>
      </c>
      <c r="R1037" s="4">
        <f t="shared" si="278"/>
        <v>34</v>
      </c>
      <c r="S1037" s="102">
        <f t="shared" si="279"/>
        <v>30</v>
      </c>
      <c r="U1037" s="101">
        <f t="shared" si="280"/>
        <v>78</v>
      </c>
      <c r="V1037" s="4">
        <f t="shared" si="281"/>
        <v>41</v>
      </c>
      <c r="W1037" s="4">
        <f t="shared" si="282"/>
        <v>9</v>
      </c>
      <c r="X1037" s="4">
        <f t="shared" si="283"/>
        <v>71</v>
      </c>
      <c r="Y1037" s="4">
        <f t="shared" si="284"/>
        <v>71</v>
      </c>
      <c r="Z1037" s="4">
        <f t="shared" si="285"/>
        <v>46</v>
      </c>
      <c r="AA1037" s="102">
        <f t="shared" si="286"/>
        <v>39</v>
      </c>
      <c r="AC1037" s="100">
        <f t="shared" si="287"/>
        <v>0.98536666061791645</v>
      </c>
    </row>
    <row r="1038" spans="4:29" x14ac:dyDescent="0.35">
      <c r="D1038">
        <f t="shared" si="288"/>
        <v>1034</v>
      </c>
      <c r="E1038" s="101">
        <v>3</v>
      </c>
      <c r="F1038" s="4">
        <v>7</v>
      </c>
      <c r="G1038" s="4">
        <v>2</v>
      </c>
      <c r="H1038" s="4">
        <v>4</v>
      </c>
      <c r="I1038" s="4">
        <v>5</v>
      </c>
      <c r="J1038" s="4">
        <v>7</v>
      </c>
      <c r="K1038" s="102">
        <v>1</v>
      </c>
      <c r="M1038" s="101">
        <f t="shared" si="273"/>
        <v>23</v>
      </c>
      <c r="N1038" s="4">
        <f t="shared" si="274"/>
        <v>29</v>
      </c>
      <c r="O1038" s="4">
        <f t="shared" si="275"/>
        <v>56</v>
      </c>
      <c r="P1038" s="4">
        <f t="shared" si="276"/>
        <v>12</v>
      </c>
      <c r="Q1038" s="4">
        <f t="shared" si="277"/>
        <v>30</v>
      </c>
      <c r="R1038" s="4">
        <f t="shared" si="278"/>
        <v>29</v>
      </c>
      <c r="S1038" s="102">
        <f t="shared" si="279"/>
        <v>34</v>
      </c>
      <c r="U1038" s="101">
        <f t="shared" si="280"/>
        <v>39</v>
      </c>
      <c r="V1038" s="4">
        <f t="shared" si="281"/>
        <v>41</v>
      </c>
      <c r="W1038" s="4">
        <f t="shared" si="282"/>
        <v>78</v>
      </c>
      <c r="X1038" s="4">
        <f t="shared" si="283"/>
        <v>9</v>
      </c>
      <c r="Y1038" s="4">
        <f t="shared" si="284"/>
        <v>39</v>
      </c>
      <c r="Z1038" s="4">
        <f t="shared" si="285"/>
        <v>41</v>
      </c>
      <c r="AA1038" s="102">
        <f t="shared" si="286"/>
        <v>46</v>
      </c>
      <c r="AC1038" s="100">
        <f t="shared" si="287"/>
        <v>0.97709452528133589</v>
      </c>
    </row>
    <row r="1039" spans="4:29" x14ac:dyDescent="0.35">
      <c r="D1039">
        <f t="shared" si="288"/>
        <v>1035</v>
      </c>
      <c r="E1039" s="101">
        <v>4</v>
      </c>
      <c r="F1039" s="4">
        <v>3</v>
      </c>
      <c r="G1039" s="4">
        <v>5</v>
      </c>
      <c r="H1039" s="4">
        <v>3</v>
      </c>
      <c r="I1039" s="4">
        <v>4</v>
      </c>
      <c r="J1039" s="4">
        <v>3</v>
      </c>
      <c r="K1039" s="102">
        <v>6</v>
      </c>
      <c r="M1039" s="101">
        <f t="shared" si="273"/>
        <v>12</v>
      </c>
      <c r="N1039" s="4">
        <f t="shared" si="274"/>
        <v>23</v>
      </c>
      <c r="O1039" s="4">
        <f t="shared" si="275"/>
        <v>30</v>
      </c>
      <c r="P1039" s="4">
        <f t="shared" si="276"/>
        <v>23</v>
      </c>
      <c r="Q1039" s="4">
        <f t="shared" si="277"/>
        <v>12</v>
      </c>
      <c r="R1039" s="4">
        <f t="shared" si="278"/>
        <v>23</v>
      </c>
      <c r="S1039" s="102">
        <f t="shared" si="279"/>
        <v>45</v>
      </c>
      <c r="U1039" s="101">
        <f t="shared" si="280"/>
        <v>9</v>
      </c>
      <c r="V1039" s="4">
        <f t="shared" si="281"/>
        <v>39</v>
      </c>
      <c r="W1039" s="4">
        <f t="shared" si="282"/>
        <v>39</v>
      </c>
      <c r="X1039" s="4">
        <f t="shared" si="283"/>
        <v>39</v>
      </c>
      <c r="Y1039" s="4">
        <f t="shared" si="284"/>
        <v>9</v>
      </c>
      <c r="Z1039" s="4">
        <f t="shared" si="285"/>
        <v>39</v>
      </c>
      <c r="AA1039" s="102">
        <f t="shared" si="286"/>
        <v>71</v>
      </c>
      <c r="AC1039" s="100">
        <f t="shared" si="287"/>
        <v>0.96452565259472212</v>
      </c>
    </row>
    <row r="1040" spans="4:29" x14ac:dyDescent="0.35">
      <c r="D1040">
        <f t="shared" si="288"/>
        <v>1036</v>
      </c>
      <c r="E1040" s="101">
        <v>7</v>
      </c>
      <c r="F1040" s="4">
        <v>3</v>
      </c>
      <c r="G1040" s="4">
        <v>7</v>
      </c>
      <c r="H1040" s="4">
        <v>2</v>
      </c>
      <c r="I1040" s="4">
        <v>6</v>
      </c>
      <c r="J1040" s="4">
        <v>3</v>
      </c>
      <c r="K1040" s="102">
        <v>5</v>
      </c>
      <c r="M1040" s="101">
        <f t="shared" si="273"/>
        <v>29</v>
      </c>
      <c r="N1040" s="4">
        <f t="shared" si="274"/>
        <v>23</v>
      </c>
      <c r="O1040" s="4">
        <f t="shared" si="275"/>
        <v>29</v>
      </c>
      <c r="P1040" s="4">
        <f t="shared" si="276"/>
        <v>56</v>
      </c>
      <c r="Q1040" s="4">
        <f t="shared" si="277"/>
        <v>45</v>
      </c>
      <c r="R1040" s="4">
        <f t="shared" si="278"/>
        <v>23</v>
      </c>
      <c r="S1040" s="102">
        <f t="shared" si="279"/>
        <v>30</v>
      </c>
      <c r="U1040" s="101">
        <f t="shared" si="280"/>
        <v>41</v>
      </c>
      <c r="V1040" s="4">
        <f t="shared" si="281"/>
        <v>39</v>
      </c>
      <c r="W1040" s="4">
        <f t="shared" si="282"/>
        <v>41</v>
      </c>
      <c r="X1040" s="4">
        <f t="shared" si="283"/>
        <v>78</v>
      </c>
      <c r="Y1040" s="4">
        <f t="shared" si="284"/>
        <v>71</v>
      </c>
      <c r="Z1040" s="4">
        <f t="shared" si="285"/>
        <v>39</v>
      </c>
      <c r="AA1040" s="102">
        <f t="shared" si="286"/>
        <v>39</v>
      </c>
      <c r="AC1040" s="100">
        <f t="shared" si="287"/>
        <v>0.96770834546480822</v>
      </c>
    </row>
    <row r="1041" spans="4:29" x14ac:dyDescent="0.35">
      <c r="D1041">
        <f t="shared" si="288"/>
        <v>1037</v>
      </c>
      <c r="E1041" s="101">
        <v>2</v>
      </c>
      <c r="F1041" s="4">
        <v>4</v>
      </c>
      <c r="G1041" s="4">
        <v>3</v>
      </c>
      <c r="H1041" s="4">
        <v>2</v>
      </c>
      <c r="I1041" s="4">
        <v>6</v>
      </c>
      <c r="J1041" s="4">
        <v>1</v>
      </c>
      <c r="K1041" s="102">
        <v>5</v>
      </c>
      <c r="M1041" s="101">
        <f t="shared" si="273"/>
        <v>56</v>
      </c>
      <c r="N1041" s="4">
        <f t="shared" si="274"/>
        <v>12</v>
      </c>
      <c r="O1041" s="4">
        <f t="shared" si="275"/>
        <v>23</v>
      </c>
      <c r="P1041" s="4">
        <f t="shared" si="276"/>
        <v>56</v>
      </c>
      <c r="Q1041" s="4">
        <f t="shared" si="277"/>
        <v>45</v>
      </c>
      <c r="R1041" s="4">
        <f t="shared" si="278"/>
        <v>34</v>
      </c>
      <c r="S1041" s="102">
        <f t="shared" si="279"/>
        <v>30</v>
      </c>
      <c r="U1041" s="101">
        <f t="shared" si="280"/>
        <v>78</v>
      </c>
      <c r="V1041" s="4">
        <f t="shared" si="281"/>
        <v>9</v>
      </c>
      <c r="W1041" s="4">
        <f t="shared" si="282"/>
        <v>39</v>
      </c>
      <c r="X1041" s="4">
        <f t="shared" si="283"/>
        <v>78</v>
      </c>
      <c r="Y1041" s="4">
        <f t="shared" si="284"/>
        <v>71</v>
      </c>
      <c r="Z1041" s="4">
        <f t="shared" si="285"/>
        <v>46</v>
      </c>
      <c r="AA1041" s="102">
        <f t="shared" si="286"/>
        <v>39</v>
      </c>
      <c r="AC1041" s="100">
        <f t="shared" si="287"/>
        <v>0.97891074760359631</v>
      </c>
    </row>
    <row r="1042" spans="4:29" x14ac:dyDescent="0.35">
      <c r="D1042">
        <f t="shared" si="288"/>
        <v>1038</v>
      </c>
      <c r="E1042" s="101">
        <v>1</v>
      </c>
      <c r="F1042" s="4">
        <v>4</v>
      </c>
      <c r="G1042" s="4">
        <v>2</v>
      </c>
      <c r="H1042" s="4">
        <v>7</v>
      </c>
      <c r="I1042" s="4">
        <v>6</v>
      </c>
      <c r="J1042" s="4">
        <v>6</v>
      </c>
      <c r="K1042" s="102">
        <v>5</v>
      </c>
      <c r="M1042" s="101">
        <f t="shared" si="273"/>
        <v>34</v>
      </c>
      <c r="N1042" s="4">
        <f t="shared" si="274"/>
        <v>12</v>
      </c>
      <c r="O1042" s="4">
        <f t="shared" si="275"/>
        <v>56</v>
      </c>
      <c r="P1042" s="4">
        <f t="shared" si="276"/>
        <v>29</v>
      </c>
      <c r="Q1042" s="4">
        <f t="shared" si="277"/>
        <v>45</v>
      </c>
      <c r="R1042" s="4">
        <f t="shared" si="278"/>
        <v>45</v>
      </c>
      <c r="S1042" s="102">
        <f t="shared" si="279"/>
        <v>30</v>
      </c>
      <c r="U1042" s="101">
        <f t="shared" si="280"/>
        <v>46</v>
      </c>
      <c r="V1042" s="4">
        <f t="shared" si="281"/>
        <v>9</v>
      </c>
      <c r="W1042" s="4">
        <f t="shared" si="282"/>
        <v>78</v>
      </c>
      <c r="X1042" s="4">
        <f t="shared" si="283"/>
        <v>41</v>
      </c>
      <c r="Y1042" s="4">
        <f t="shared" si="284"/>
        <v>71</v>
      </c>
      <c r="Z1042" s="4">
        <f t="shared" si="285"/>
        <v>71</v>
      </c>
      <c r="AA1042" s="102">
        <f t="shared" si="286"/>
        <v>39</v>
      </c>
      <c r="AC1042" s="100">
        <f t="shared" si="287"/>
        <v>0.98536666061791645</v>
      </c>
    </row>
    <row r="1043" spans="4:29" x14ac:dyDescent="0.35">
      <c r="D1043">
        <f t="shared" si="288"/>
        <v>1039</v>
      </c>
      <c r="E1043" s="101">
        <v>3</v>
      </c>
      <c r="F1043" s="4">
        <v>1</v>
      </c>
      <c r="G1043" s="4">
        <v>5</v>
      </c>
      <c r="H1043" s="4">
        <v>7</v>
      </c>
      <c r="I1043" s="4">
        <v>2</v>
      </c>
      <c r="J1043" s="4">
        <v>4</v>
      </c>
      <c r="K1043" s="102">
        <v>1</v>
      </c>
      <c r="M1043" s="101">
        <f t="shared" si="273"/>
        <v>23</v>
      </c>
      <c r="N1043" s="4">
        <f t="shared" si="274"/>
        <v>34</v>
      </c>
      <c r="O1043" s="4">
        <f t="shared" si="275"/>
        <v>30</v>
      </c>
      <c r="P1043" s="4">
        <f t="shared" si="276"/>
        <v>29</v>
      </c>
      <c r="Q1043" s="4">
        <f t="shared" si="277"/>
        <v>56</v>
      </c>
      <c r="R1043" s="4">
        <f t="shared" si="278"/>
        <v>12</v>
      </c>
      <c r="S1043" s="102">
        <f t="shared" si="279"/>
        <v>34</v>
      </c>
      <c r="U1043" s="101">
        <f t="shared" si="280"/>
        <v>39</v>
      </c>
      <c r="V1043" s="4">
        <f t="shared" si="281"/>
        <v>46</v>
      </c>
      <c r="W1043" s="4">
        <f t="shared" si="282"/>
        <v>39</v>
      </c>
      <c r="X1043" s="4">
        <f t="shared" si="283"/>
        <v>41</v>
      </c>
      <c r="Y1043" s="4">
        <f t="shared" si="284"/>
        <v>78</v>
      </c>
      <c r="Z1043" s="4">
        <f t="shared" si="285"/>
        <v>9</v>
      </c>
      <c r="AA1043" s="102">
        <f t="shared" si="286"/>
        <v>46</v>
      </c>
      <c r="AC1043" s="100">
        <f t="shared" si="287"/>
        <v>0.97744931327594864</v>
      </c>
    </row>
    <row r="1044" spans="4:29" x14ac:dyDescent="0.35">
      <c r="D1044">
        <f t="shared" si="288"/>
        <v>1040</v>
      </c>
      <c r="E1044" s="101">
        <v>1</v>
      </c>
      <c r="F1044" s="4">
        <v>6</v>
      </c>
      <c r="G1044" s="4">
        <v>2</v>
      </c>
      <c r="H1044" s="4">
        <v>3</v>
      </c>
      <c r="I1044" s="4">
        <v>1</v>
      </c>
      <c r="J1044" s="4">
        <v>6</v>
      </c>
      <c r="K1044" s="102">
        <v>2</v>
      </c>
      <c r="M1044" s="101">
        <f t="shared" si="273"/>
        <v>34</v>
      </c>
      <c r="N1044" s="4">
        <f t="shared" si="274"/>
        <v>45</v>
      </c>
      <c r="O1044" s="4">
        <f t="shared" si="275"/>
        <v>56</v>
      </c>
      <c r="P1044" s="4">
        <f t="shared" si="276"/>
        <v>23</v>
      </c>
      <c r="Q1044" s="4">
        <f t="shared" si="277"/>
        <v>34</v>
      </c>
      <c r="R1044" s="4">
        <f t="shared" si="278"/>
        <v>45</v>
      </c>
      <c r="S1044" s="102">
        <f t="shared" si="279"/>
        <v>56</v>
      </c>
      <c r="U1044" s="101">
        <f t="shared" si="280"/>
        <v>46</v>
      </c>
      <c r="V1044" s="4">
        <f t="shared" si="281"/>
        <v>71</v>
      </c>
      <c r="W1044" s="4">
        <f t="shared" si="282"/>
        <v>78</v>
      </c>
      <c r="X1044" s="4">
        <f t="shared" si="283"/>
        <v>39</v>
      </c>
      <c r="Y1044" s="4">
        <f t="shared" si="284"/>
        <v>46</v>
      </c>
      <c r="Z1044" s="4">
        <f t="shared" si="285"/>
        <v>71</v>
      </c>
      <c r="AA1044" s="102">
        <f t="shared" si="286"/>
        <v>78</v>
      </c>
      <c r="AC1044" s="100">
        <f t="shared" si="287"/>
        <v>0.96290515431238688</v>
      </c>
    </row>
    <row r="1045" spans="4:29" x14ac:dyDescent="0.35">
      <c r="D1045">
        <f t="shared" si="288"/>
        <v>1041</v>
      </c>
      <c r="E1045" s="101">
        <v>1</v>
      </c>
      <c r="F1045" s="4">
        <v>5</v>
      </c>
      <c r="G1045" s="4">
        <v>5</v>
      </c>
      <c r="H1045" s="4">
        <v>7</v>
      </c>
      <c r="I1045" s="4">
        <v>1</v>
      </c>
      <c r="J1045" s="4">
        <v>5</v>
      </c>
      <c r="K1045" s="102">
        <v>1</v>
      </c>
      <c r="M1045" s="101">
        <f t="shared" si="273"/>
        <v>34</v>
      </c>
      <c r="N1045" s="4">
        <f t="shared" si="274"/>
        <v>30</v>
      </c>
      <c r="O1045" s="4">
        <f t="shared" si="275"/>
        <v>30</v>
      </c>
      <c r="P1045" s="4">
        <f t="shared" si="276"/>
        <v>29</v>
      </c>
      <c r="Q1045" s="4">
        <f t="shared" si="277"/>
        <v>34</v>
      </c>
      <c r="R1045" s="4">
        <f t="shared" si="278"/>
        <v>30</v>
      </c>
      <c r="S1045" s="102">
        <f t="shared" si="279"/>
        <v>34</v>
      </c>
      <c r="U1045" s="101">
        <f t="shared" si="280"/>
        <v>46</v>
      </c>
      <c r="V1045" s="4">
        <f t="shared" si="281"/>
        <v>39</v>
      </c>
      <c r="W1045" s="4">
        <f t="shared" si="282"/>
        <v>39</v>
      </c>
      <c r="X1045" s="4">
        <f t="shared" si="283"/>
        <v>41</v>
      </c>
      <c r="Y1045" s="4">
        <f t="shared" si="284"/>
        <v>46</v>
      </c>
      <c r="Z1045" s="4">
        <f t="shared" si="285"/>
        <v>39</v>
      </c>
      <c r="AA1045" s="102">
        <f t="shared" si="286"/>
        <v>46</v>
      </c>
      <c r="AC1045" s="100">
        <f t="shared" si="287"/>
        <v>0.93758701479884554</v>
      </c>
    </row>
    <row r="1046" spans="4:29" x14ac:dyDescent="0.35">
      <c r="D1046">
        <f t="shared" si="288"/>
        <v>1042</v>
      </c>
      <c r="E1046" s="101">
        <v>5</v>
      </c>
      <c r="F1046" s="4">
        <v>7</v>
      </c>
      <c r="G1046" s="4">
        <v>4</v>
      </c>
      <c r="H1046" s="4">
        <v>2</v>
      </c>
      <c r="I1046" s="4">
        <v>3</v>
      </c>
      <c r="J1046" s="4">
        <v>5</v>
      </c>
      <c r="K1046" s="102">
        <v>5</v>
      </c>
      <c r="M1046" s="101">
        <f t="shared" si="273"/>
        <v>30</v>
      </c>
      <c r="N1046" s="4">
        <f t="shared" si="274"/>
        <v>29</v>
      </c>
      <c r="O1046" s="4">
        <f t="shared" si="275"/>
        <v>12</v>
      </c>
      <c r="P1046" s="4">
        <f t="shared" si="276"/>
        <v>56</v>
      </c>
      <c r="Q1046" s="4">
        <f t="shared" si="277"/>
        <v>23</v>
      </c>
      <c r="R1046" s="4">
        <f t="shared" si="278"/>
        <v>30</v>
      </c>
      <c r="S1046" s="102">
        <f t="shared" si="279"/>
        <v>30</v>
      </c>
      <c r="U1046" s="101">
        <f t="shared" si="280"/>
        <v>39</v>
      </c>
      <c r="V1046" s="4">
        <f t="shared" si="281"/>
        <v>41</v>
      </c>
      <c r="W1046" s="4">
        <f t="shared" si="282"/>
        <v>9</v>
      </c>
      <c r="X1046" s="4">
        <f t="shared" si="283"/>
        <v>78</v>
      </c>
      <c r="Y1046" s="4">
        <f t="shared" si="284"/>
        <v>39</v>
      </c>
      <c r="Z1046" s="4">
        <f t="shared" si="285"/>
        <v>39</v>
      </c>
      <c r="AA1046" s="102">
        <f t="shared" si="286"/>
        <v>39</v>
      </c>
      <c r="AC1046" s="100">
        <f t="shared" si="287"/>
        <v>0.9761006289308175</v>
      </c>
    </row>
    <row r="1047" spans="4:29" x14ac:dyDescent="0.35">
      <c r="D1047">
        <f t="shared" si="288"/>
        <v>1043</v>
      </c>
      <c r="E1047" s="101">
        <v>7</v>
      </c>
      <c r="F1047" s="4">
        <v>3</v>
      </c>
      <c r="G1047" s="4">
        <v>6</v>
      </c>
      <c r="H1047" s="4">
        <v>5</v>
      </c>
      <c r="I1047" s="4">
        <v>2</v>
      </c>
      <c r="J1047" s="4">
        <v>5</v>
      </c>
      <c r="K1047" s="102">
        <v>1</v>
      </c>
      <c r="M1047" s="101">
        <f t="shared" si="273"/>
        <v>29</v>
      </c>
      <c r="N1047" s="4">
        <f t="shared" si="274"/>
        <v>23</v>
      </c>
      <c r="O1047" s="4">
        <f t="shared" si="275"/>
        <v>45</v>
      </c>
      <c r="P1047" s="4">
        <f t="shared" si="276"/>
        <v>30</v>
      </c>
      <c r="Q1047" s="4">
        <f t="shared" si="277"/>
        <v>56</v>
      </c>
      <c r="R1047" s="4">
        <f t="shared" si="278"/>
        <v>30</v>
      </c>
      <c r="S1047" s="102">
        <f t="shared" si="279"/>
        <v>34</v>
      </c>
      <c r="U1047" s="101">
        <f t="shared" si="280"/>
        <v>41</v>
      </c>
      <c r="V1047" s="4">
        <f t="shared" si="281"/>
        <v>39</v>
      </c>
      <c r="W1047" s="4">
        <f t="shared" si="282"/>
        <v>71</v>
      </c>
      <c r="X1047" s="4">
        <f t="shared" si="283"/>
        <v>39</v>
      </c>
      <c r="Y1047" s="4">
        <f t="shared" si="284"/>
        <v>78</v>
      </c>
      <c r="Z1047" s="4">
        <f t="shared" si="285"/>
        <v>39</v>
      </c>
      <c r="AA1047" s="102">
        <f t="shared" si="286"/>
        <v>46</v>
      </c>
      <c r="AC1047" s="100">
        <f t="shared" si="287"/>
        <v>0.96267816560012387</v>
      </c>
    </row>
    <row r="1048" spans="4:29" x14ac:dyDescent="0.35">
      <c r="D1048">
        <f t="shared" si="288"/>
        <v>1044</v>
      </c>
      <c r="E1048" s="101">
        <v>5</v>
      </c>
      <c r="F1048" s="4">
        <v>6</v>
      </c>
      <c r="G1048" s="4">
        <v>6</v>
      </c>
      <c r="H1048" s="4">
        <v>6</v>
      </c>
      <c r="I1048" s="4">
        <v>7</v>
      </c>
      <c r="J1048" s="4">
        <v>1</v>
      </c>
      <c r="K1048" s="102">
        <v>2</v>
      </c>
      <c r="M1048" s="101">
        <f t="shared" si="273"/>
        <v>30</v>
      </c>
      <c r="N1048" s="4">
        <f t="shared" si="274"/>
        <v>45</v>
      </c>
      <c r="O1048" s="4">
        <f t="shared" si="275"/>
        <v>45</v>
      </c>
      <c r="P1048" s="4">
        <f t="shared" si="276"/>
        <v>45</v>
      </c>
      <c r="Q1048" s="4">
        <f t="shared" si="277"/>
        <v>29</v>
      </c>
      <c r="R1048" s="4">
        <f t="shared" si="278"/>
        <v>34</v>
      </c>
      <c r="S1048" s="102">
        <f t="shared" si="279"/>
        <v>56</v>
      </c>
      <c r="U1048" s="101">
        <f t="shared" si="280"/>
        <v>39</v>
      </c>
      <c r="V1048" s="4">
        <f t="shared" si="281"/>
        <v>71</v>
      </c>
      <c r="W1048" s="4">
        <f t="shared" si="282"/>
        <v>71</v>
      </c>
      <c r="X1048" s="4">
        <f t="shared" si="283"/>
        <v>71</v>
      </c>
      <c r="Y1048" s="4">
        <f t="shared" si="284"/>
        <v>41</v>
      </c>
      <c r="Z1048" s="4">
        <f t="shared" si="285"/>
        <v>46</v>
      </c>
      <c r="AA1048" s="102">
        <f t="shared" si="286"/>
        <v>78</v>
      </c>
      <c r="AC1048" s="100">
        <f t="shared" si="287"/>
        <v>0.96440367995674015</v>
      </c>
    </row>
    <row r="1049" spans="4:29" x14ac:dyDescent="0.35">
      <c r="D1049">
        <f t="shared" si="288"/>
        <v>1045</v>
      </c>
      <c r="E1049" s="101">
        <v>2</v>
      </c>
      <c r="F1049" s="4">
        <v>2</v>
      </c>
      <c r="G1049" s="4">
        <v>3</v>
      </c>
      <c r="H1049" s="4">
        <v>2</v>
      </c>
      <c r="I1049" s="4">
        <v>7</v>
      </c>
      <c r="J1049" s="4">
        <v>4</v>
      </c>
      <c r="K1049" s="102">
        <v>5</v>
      </c>
      <c r="M1049" s="101">
        <f t="shared" si="273"/>
        <v>56</v>
      </c>
      <c r="N1049" s="4">
        <f t="shared" si="274"/>
        <v>56</v>
      </c>
      <c r="O1049" s="4">
        <f t="shared" si="275"/>
        <v>23</v>
      </c>
      <c r="P1049" s="4">
        <f t="shared" si="276"/>
        <v>56</v>
      </c>
      <c r="Q1049" s="4">
        <f t="shared" si="277"/>
        <v>29</v>
      </c>
      <c r="R1049" s="4">
        <f t="shared" si="278"/>
        <v>12</v>
      </c>
      <c r="S1049" s="102">
        <f t="shared" si="279"/>
        <v>30</v>
      </c>
      <c r="U1049" s="101">
        <f t="shared" si="280"/>
        <v>78</v>
      </c>
      <c r="V1049" s="4">
        <f t="shared" si="281"/>
        <v>78</v>
      </c>
      <c r="W1049" s="4">
        <f t="shared" si="282"/>
        <v>39</v>
      </c>
      <c r="X1049" s="4">
        <f t="shared" si="283"/>
        <v>78</v>
      </c>
      <c r="Y1049" s="4">
        <f t="shared" si="284"/>
        <v>41</v>
      </c>
      <c r="Z1049" s="4">
        <f t="shared" si="285"/>
        <v>9</v>
      </c>
      <c r="AA1049" s="102">
        <f t="shared" si="286"/>
        <v>39</v>
      </c>
      <c r="AC1049" s="100">
        <f t="shared" si="287"/>
        <v>0.98737547405609283</v>
      </c>
    </row>
    <row r="1050" spans="4:29" x14ac:dyDescent="0.35">
      <c r="D1050">
        <f t="shared" si="288"/>
        <v>1046</v>
      </c>
      <c r="E1050" s="101">
        <v>3</v>
      </c>
      <c r="F1050" s="4">
        <v>3</v>
      </c>
      <c r="G1050" s="4">
        <v>1</v>
      </c>
      <c r="H1050" s="4">
        <v>1</v>
      </c>
      <c r="I1050" s="4">
        <v>4</v>
      </c>
      <c r="J1050" s="4">
        <v>4</v>
      </c>
      <c r="K1050" s="102">
        <v>1</v>
      </c>
      <c r="M1050" s="101">
        <f t="shared" si="273"/>
        <v>23</v>
      </c>
      <c r="N1050" s="4">
        <f t="shared" si="274"/>
        <v>23</v>
      </c>
      <c r="O1050" s="4">
        <f t="shared" si="275"/>
        <v>34</v>
      </c>
      <c r="P1050" s="4">
        <f t="shared" si="276"/>
        <v>34</v>
      </c>
      <c r="Q1050" s="4">
        <f t="shared" si="277"/>
        <v>12</v>
      </c>
      <c r="R1050" s="4">
        <f t="shared" si="278"/>
        <v>12</v>
      </c>
      <c r="S1050" s="102">
        <f t="shared" si="279"/>
        <v>34</v>
      </c>
      <c r="U1050" s="101">
        <f t="shared" si="280"/>
        <v>39</v>
      </c>
      <c r="V1050" s="4">
        <f t="shared" si="281"/>
        <v>39</v>
      </c>
      <c r="W1050" s="4">
        <f t="shared" si="282"/>
        <v>46</v>
      </c>
      <c r="X1050" s="4">
        <f t="shared" si="283"/>
        <v>46</v>
      </c>
      <c r="Y1050" s="4">
        <f t="shared" si="284"/>
        <v>9</v>
      </c>
      <c r="Z1050" s="4">
        <f t="shared" si="285"/>
        <v>9</v>
      </c>
      <c r="AA1050" s="102">
        <f t="shared" si="286"/>
        <v>46</v>
      </c>
      <c r="AC1050" s="100">
        <f t="shared" si="287"/>
        <v>0.9444891201130956</v>
      </c>
    </row>
    <row r="1051" spans="4:29" x14ac:dyDescent="0.35">
      <c r="D1051">
        <f t="shared" si="288"/>
        <v>1047</v>
      </c>
      <c r="E1051" s="101">
        <v>4</v>
      </c>
      <c r="F1051" s="4">
        <v>7</v>
      </c>
      <c r="G1051" s="4">
        <v>5</v>
      </c>
      <c r="H1051" s="4">
        <v>1</v>
      </c>
      <c r="I1051" s="4">
        <v>3</v>
      </c>
      <c r="J1051" s="4">
        <v>7</v>
      </c>
      <c r="K1051" s="102">
        <v>7</v>
      </c>
      <c r="M1051" s="101">
        <f t="shared" si="273"/>
        <v>12</v>
      </c>
      <c r="N1051" s="4">
        <f t="shared" si="274"/>
        <v>29</v>
      </c>
      <c r="O1051" s="4">
        <f t="shared" si="275"/>
        <v>30</v>
      </c>
      <c r="P1051" s="4">
        <f t="shared" si="276"/>
        <v>34</v>
      </c>
      <c r="Q1051" s="4">
        <f t="shared" si="277"/>
        <v>23</v>
      </c>
      <c r="R1051" s="4">
        <f t="shared" si="278"/>
        <v>29</v>
      </c>
      <c r="S1051" s="102">
        <f t="shared" si="279"/>
        <v>29</v>
      </c>
      <c r="U1051" s="101">
        <f t="shared" si="280"/>
        <v>9</v>
      </c>
      <c r="V1051" s="4">
        <f t="shared" si="281"/>
        <v>41</v>
      </c>
      <c r="W1051" s="4">
        <f t="shared" si="282"/>
        <v>39</v>
      </c>
      <c r="X1051" s="4">
        <f t="shared" si="283"/>
        <v>46</v>
      </c>
      <c r="Y1051" s="4">
        <f t="shared" si="284"/>
        <v>39</v>
      </c>
      <c r="Z1051" s="4">
        <f t="shared" si="285"/>
        <v>41</v>
      </c>
      <c r="AA1051" s="102">
        <f t="shared" si="286"/>
        <v>41</v>
      </c>
      <c r="AC1051" s="100">
        <f t="shared" si="287"/>
        <v>0.9437939365183533</v>
      </c>
    </row>
    <row r="1052" spans="4:29" x14ac:dyDescent="0.35">
      <c r="D1052">
        <f t="shared" si="288"/>
        <v>1048</v>
      </c>
      <c r="E1052" s="101">
        <v>5</v>
      </c>
      <c r="F1052" s="4">
        <v>5</v>
      </c>
      <c r="G1052" s="4">
        <v>5</v>
      </c>
      <c r="H1052" s="4">
        <v>7</v>
      </c>
      <c r="I1052" s="4">
        <v>4</v>
      </c>
      <c r="J1052" s="4">
        <v>4</v>
      </c>
      <c r="K1052" s="102">
        <v>7</v>
      </c>
      <c r="M1052" s="101">
        <f t="shared" si="273"/>
        <v>30</v>
      </c>
      <c r="N1052" s="4">
        <f t="shared" si="274"/>
        <v>30</v>
      </c>
      <c r="O1052" s="4">
        <f t="shared" si="275"/>
        <v>30</v>
      </c>
      <c r="P1052" s="4">
        <f t="shared" si="276"/>
        <v>29</v>
      </c>
      <c r="Q1052" s="4">
        <f t="shared" si="277"/>
        <v>12</v>
      </c>
      <c r="R1052" s="4">
        <f t="shared" si="278"/>
        <v>12</v>
      </c>
      <c r="S1052" s="102">
        <f t="shared" si="279"/>
        <v>29</v>
      </c>
      <c r="U1052" s="101">
        <f t="shared" si="280"/>
        <v>39</v>
      </c>
      <c r="V1052" s="4">
        <f t="shared" si="281"/>
        <v>39</v>
      </c>
      <c r="W1052" s="4">
        <f t="shared" si="282"/>
        <v>39</v>
      </c>
      <c r="X1052" s="4">
        <f t="shared" si="283"/>
        <v>41</v>
      </c>
      <c r="Y1052" s="4">
        <f t="shared" si="284"/>
        <v>9</v>
      </c>
      <c r="Z1052" s="4">
        <f t="shared" si="285"/>
        <v>9</v>
      </c>
      <c r="AA1052" s="102">
        <f t="shared" si="286"/>
        <v>41</v>
      </c>
      <c r="AC1052" s="100">
        <f t="shared" si="287"/>
        <v>0.9937934738829014</v>
      </c>
    </row>
    <row r="1053" spans="4:29" x14ac:dyDescent="0.35">
      <c r="D1053">
        <f t="shared" si="288"/>
        <v>1049</v>
      </c>
      <c r="E1053" s="101">
        <v>6</v>
      </c>
      <c r="F1053" s="4">
        <v>7</v>
      </c>
      <c r="G1053" s="4">
        <v>5</v>
      </c>
      <c r="H1053" s="4">
        <v>7</v>
      </c>
      <c r="I1053" s="4">
        <v>5</v>
      </c>
      <c r="J1053" s="4">
        <v>6</v>
      </c>
      <c r="K1053" s="102">
        <v>2</v>
      </c>
      <c r="M1053" s="101">
        <f t="shared" si="273"/>
        <v>45</v>
      </c>
      <c r="N1053" s="4">
        <f t="shared" si="274"/>
        <v>29</v>
      </c>
      <c r="O1053" s="4">
        <f t="shared" si="275"/>
        <v>30</v>
      </c>
      <c r="P1053" s="4">
        <f t="shared" si="276"/>
        <v>29</v>
      </c>
      <c r="Q1053" s="4">
        <f t="shared" si="277"/>
        <v>30</v>
      </c>
      <c r="R1053" s="4">
        <f t="shared" si="278"/>
        <v>45</v>
      </c>
      <c r="S1053" s="102">
        <f t="shared" si="279"/>
        <v>56</v>
      </c>
      <c r="U1053" s="101">
        <f t="shared" si="280"/>
        <v>71</v>
      </c>
      <c r="V1053" s="4">
        <f t="shared" si="281"/>
        <v>41</v>
      </c>
      <c r="W1053" s="4">
        <f t="shared" si="282"/>
        <v>39</v>
      </c>
      <c r="X1053" s="4">
        <f t="shared" si="283"/>
        <v>41</v>
      </c>
      <c r="Y1053" s="4">
        <f t="shared" si="284"/>
        <v>39</v>
      </c>
      <c r="Z1053" s="4">
        <f t="shared" si="285"/>
        <v>71</v>
      </c>
      <c r="AA1053" s="102">
        <f t="shared" si="286"/>
        <v>78</v>
      </c>
      <c r="AC1053" s="100">
        <f t="shared" si="287"/>
        <v>0.97390487751645272</v>
      </c>
    </row>
    <row r="1054" spans="4:29" x14ac:dyDescent="0.35">
      <c r="D1054">
        <f t="shared" si="288"/>
        <v>1050</v>
      </c>
      <c r="E1054" s="101">
        <v>3</v>
      </c>
      <c r="F1054" s="4">
        <v>4</v>
      </c>
      <c r="G1054" s="4">
        <v>3</v>
      </c>
      <c r="H1054" s="4">
        <v>2</v>
      </c>
      <c r="I1054" s="4">
        <v>1</v>
      </c>
      <c r="J1054" s="4">
        <v>7</v>
      </c>
      <c r="K1054" s="102">
        <v>4</v>
      </c>
      <c r="M1054" s="101">
        <f t="shared" si="273"/>
        <v>23</v>
      </c>
      <c r="N1054" s="4">
        <f t="shared" si="274"/>
        <v>12</v>
      </c>
      <c r="O1054" s="4">
        <f t="shared" si="275"/>
        <v>23</v>
      </c>
      <c r="P1054" s="4">
        <f t="shared" si="276"/>
        <v>56</v>
      </c>
      <c r="Q1054" s="4">
        <f t="shared" si="277"/>
        <v>34</v>
      </c>
      <c r="R1054" s="4">
        <f t="shared" si="278"/>
        <v>29</v>
      </c>
      <c r="S1054" s="102">
        <f t="shared" si="279"/>
        <v>12</v>
      </c>
      <c r="U1054" s="101">
        <f t="shared" si="280"/>
        <v>39</v>
      </c>
      <c r="V1054" s="4">
        <f t="shared" si="281"/>
        <v>9</v>
      </c>
      <c r="W1054" s="4">
        <f t="shared" si="282"/>
        <v>39</v>
      </c>
      <c r="X1054" s="4">
        <f t="shared" si="283"/>
        <v>78</v>
      </c>
      <c r="Y1054" s="4">
        <f t="shared" si="284"/>
        <v>46</v>
      </c>
      <c r="Z1054" s="4">
        <f t="shared" si="285"/>
        <v>41</v>
      </c>
      <c r="AA1054" s="102">
        <f t="shared" si="286"/>
        <v>9</v>
      </c>
      <c r="AC1054" s="100">
        <f t="shared" si="287"/>
        <v>0.97016134702718893</v>
      </c>
    </row>
    <row r="1055" spans="4:29" x14ac:dyDescent="0.35">
      <c r="D1055">
        <f t="shared" si="288"/>
        <v>1051</v>
      </c>
      <c r="E1055" s="101">
        <v>7</v>
      </c>
      <c r="F1055" s="4">
        <v>4</v>
      </c>
      <c r="G1055" s="4">
        <v>2</v>
      </c>
      <c r="H1055" s="4">
        <v>5</v>
      </c>
      <c r="I1055" s="4">
        <v>7</v>
      </c>
      <c r="J1055" s="4">
        <v>1</v>
      </c>
      <c r="K1055" s="102">
        <v>6</v>
      </c>
      <c r="M1055" s="101">
        <f t="shared" si="273"/>
        <v>29</v>
      </c>
      <c r="N1055" s="4">
        <f t="shared" si="274"/>
        <v>12</v>
      </c>
      <c r="O1055" s="4">
        <f t="shared" si="275"/>
        <v>56</v>
      </c>
      <c r="P1055" s="4">
        <f t="shared" si="276"/>
        <v>30</v>
      </c>
      <c r="Q1055" s="4">
        <f t="shared" si="277"/>
        <v>29</v>
      </c>
      <c r="R1055" s="4">
        <f t="shared" si="278"/>
        <v>34</v>
      </c>
      <c r="S1055" s="102">
        <f t="shared" si="279"/>
        <v>45</v>
      </c>
      <c r="U1055" s="101">
        <f t="shared" si="280"/>
        <v>41</v>
      </c>
      <c r="V1055" s="4">
        <f t="shared" si="281"/>
        <v>9</v>
      </c>
      <c r="W1055" s="4">
        <f t="shared" si="282"/>
        <v>78</v>
      </c>
      <c r="X1055" s="4">
        <f t="shared" si="283"/>
        <v>39</v>
      </c>
      <c r="Y1055" s="4">
        <f t="shared" si="284"/>
        <v>41</v>
      </c>
      <c r="Z1055" s="4">
        <f t="shared" si="285"/>
        <v>46</v>
      </c>
      <c r="AA1055" s="102">
        <f t="shared" si="286"/>
        <v>71</v>
      </c>
      <c r="AC1055" s="100">
        <f t="shared" si="287"/>
        <v>0.98751607909185313</v>
      </c>
    </row>
    <row r="1056" spans="4:29" x14ac:dyDescent="0.35">
      <c r="D1056">
        <f t="shared" si="288"/>
        <v>1052</v>
      </c>
      <c r="E1056" s="101">
        <v>3</v>
      </c>
      <c r="F1056" s="4">
        <v>7</v>
      </c>
      <c r="G1056" s="4">
        <v>6</v>
      </c>
      <c r="H1056" s="4">
        <v>2</v>
      </c>
      <c r="I1056" s="4">
        <v>4</v>
      </c>
      <c r="J1056" s="4">
        <v>2</v>
      </c>
      <c r="K1056" s="102">
        <v>6</v>
      </c>
      <c r="M1056" s="101">
        <f t="shared" si="273"/>
        <v>23</v>
      </c>
      <c r="N1056" s="4">
        <f t="shared" si="274"/>
        <v>29</v>
      </c>
      <c r="O1056" s="4">
        <f t="shared" si="275"/>
        <v>45</v>
      </c>
      <c r="P1056" s="4">
        <f t="shared" si="276"/>
        <v>56</v>
      </c>
      <c r="Q1056" s="4">
        <f t="shared" si="277"/>
        <v>12</v>
      </c>
      <c r="R1056" s="4">
        <f t="shared" si="278"/>
        <v>56</v>
      </c>
      <c r="S1056" s="102">
        <f t="shared" si="279"/>
        <v>45</v>
      </c>
      <c r="U1056" s="101">
        <f t="shared" si="280"/>
        <v>39</v>
      </c>
      <c r="V1056" s="4">
        <f t="shared" si="281"/>
        <v>41</v>
      </c>
      <c r="W1056" s="4">
        <f t="shared" si="282"/>
        <v>71</v>
      </c>
      <c r="X1056" s="4">
        <f t="shared" si="283"/>
        <v>78</v>
      </c>
      <c r="Y1056" s="4">
        <f t="shared" si="284"/>
        <v>9</v>
      </c>
      <c r="Z1056" s="4">
        <f t="shared" si="285"/>
        <v>78</v>
      </c>
      <c r="AA1056" s="102">
        <f t="shared" si="286"/>
        <v>71</v>
      </c>
      <c r="AC1056" s="100">
        <f t="shared" si="287"/>
        <v>0.97761635748703524</v>
      </c>
    </row>
    <row r="1057" spans="4:29" x14ac:dyDescent="0.35">
      <c r="D1057">
        <f t="shared" si="288"/>
        <v>1053</v>
      </c>
      <c r="E1057" s="101">
        <v>5</v>
      </c>
      <c r="F1057" s="4">
        <v>4</v>
      </c>
      <c r="G1057" s="4">
        <v>2</v>
      </c>
      <c r="H1057" s="4">
        <v>1</v>
      </c>
      <c r="I1057" s="4">
        <v>3</v>
      </c>
      <c r="J1057" s="4">
        <v>2</v>
      </c>
      <c r="K1057" s="102">
        <v>5</v>
      </c>
      <c r="M1057" s="101">
        <f t="shared" si="273"/>
        <v>30</v>
      </c>
      <c r="N1057" s="4">
        <f t="shared" si="274"/>
        <v>12</v>
      </c>
      <c r="O1057" s="4">
        <f t="shared" si="275"/>
        <v>56</v>
      </c>
      <c r="P1057" s="4">
        <f t="shared" si="276"/>
        <v>34</v>
      </c>
      <c r="Q1057" s="4">
        <f t="shared" si="277"/>
        <v>23</v>
      </c>
      <c r="R1057" s="4">
        <f t="shared" si="278"/>
        <v>56</v>
      </c>
      <c r="S1057" s="102">
        <f t="shared" si="279"/>
        <v>30</v>
      </c>
      <c r="U1057" s="101">
        <f t="shared" si="280"/>
        <v>39</v>
      </c>
      <c r="V1057" s="4">
        <f t="shared" si="281"/>
        <v>9</v>
      </c>
      <c r="W1057" s="4">
        <f t="shared" si="282"/>
        <v>78</v>
      </c>
      <c r="X1057" s="4">
        <f t="shared" si="283"/>
        <v>46</v>
      </c>
      <c r="Y1057" s="4">
        <f t="shared" si="284"/>
        <v>39</v>
      </c>
      <c r="Z1057" s="4">
        <f t="shared" si="285"/>
        <v>78</v>
      </c>
      <c r="AA1057" s="102">
        <f t="shared" si="286"/>
        <v>39</v>
      </c>
      <c r="AC1057" s="100">
        <f t="shared" si="287"/>
        <v>0.98468578611408175</v>
      </c>
    </row>
    <row r="1058" spans="4:29" x14ac:dyDescent="0.35">
      <c r="D1058">
        <f t="shared" si="288"/>
        <v>1054</v>
      </c>
      <c r="E1058" s="101">
        <v>1</v>
      </c>
      <c r="F1058" s="4">
        <v>2</v>
      </c>
      <c r="G1058" s="4">
        <v>1</v>
      </c>
      <c r="H1058" s="4">
        <v>5</v>
      </c>
      <c r="I1058" s="4">
        <v>3</v>
      </c>
      <c r="J1058" s="4">
        <v>6</v>
      </c>
      <c r="K1058" s="102">
        <v>3</v>
      </c>
      <c r="M1058" s="101">
        <f t="shared" si="273"/>
        <v>34</v>
      </c>
      <c r="N1058" s="4">
        <f t="shared" si="274"/>
        <v>56</v>
      </c>
      <c r="O1058" s="4">
        <f t="shared" si="275"/>
        <v>34</v>
      </c>
      <c r="P1058" s="4">
        <f t="shared" si="276"/>
        <v>30</v>
      </c>
      <c r="Q1058" s="4">
        <f t="shared" si="277"/>
        <v>23</v>
      </c>
      <c r="R1058" s="4">
        <f t="shared" si="278"/>
        <v>45</v>
      </c>
      <c r="S1058" s="102">
        <f t="shared" si="279"/>
        <v>23</v>
      </c>
      <c r="U1058" s="101">
        <f t="shared" si="280"/>
        <v>46</v>
      </c>
      <c r="V1058" s="4">
        <f t="shared" si="281"/>
        <v>78</v>
      </c>
      <c r="W1058" s="4">
        <f t="shared" si="282"/>
        <v>46</v>
      </c>
      <c r="X1058" s="4">
        <f t="shared" si="283"/>
        <v>39</v>
      </c>
      <c r="Y1058" s="4">
        <f t="shared" si="284"/>
        <v>39</v>
      </c>
      <c r="Z1058" s="4">
        <f t="shared" si="285"/>
        <v>71</v>
      </c>
      <c r="AA1058" s="102">
        <f t="shared" si="286"/>
        <v>39</v>
      </c>
      <c r="AC1058" s="100">
        <f t="shared" si="287"/>
        <v>0.9580476865848323</v>
      </c>
    </row>
    <row r="1059" spans="4:29" x14ac:dyDescent="0.35">
      <c r="D1059">
        <f t="shared" si="288"/>
        <v>1055</v>
      </c>
      <c r="E1059" s="101">
        <v>6</v>
      </c>
      <c r="F1059" s="4">
        <v>4</v>
      </c>
      <c r="G1059" s="4">
        <v>5</v>
      </c>
      <c r="H1059" s="4">
        <v>6</v>
      </c>
      <c r="I1059" s="4">
        <v>2</v>
      </c>
      <c r="J1059" s="4">
        <v>7</v>
      </c>
      <c r="K1059" s="102">
        <v>1</v>
      </c>
      <c r="M1059" s="101">
        <f t="shared" si="273"/>
        <v>45</v>
      </c>
      <c r="N1059" s="4">
        <f t="shared" si="274"/>
        <v>12</v>
      </c>
      <c r="O1059" s="4">
        <f t="shared" si="275"/>
        <v>30</v>
      </c>
      <c r="P1059" s="4">
        <f t="shared" si="276"/>
        <v>45</v>
      </c>
      <c r="Q1059" s="4">
        <f t="shared" si="277"/>
        <v>56</v>
      </c>
      <c r="R1059" s="4">
        <f t="shared" si="278"/>
        <v>29</v>
      </c>
      <c r="S1059" s="102">
        <f t="shared" si="279"/>
        <v>34</v>
      </c>
      <c r="U1059" s="101">
        <f t="shared" si="280"/>
        <v>71</v>
      </c>
      <c r="V1059" s="4">
        <f t="shared" si="281"/>
        <v>9</v>
      </c>
      <c r="W1059" s="4">
        <f t="shared" si="282"/>
        <v>39</v>
      </c>
      <c r="X1059" s="4">
        <f t="shared" si="283"/>
        <v>71</v>
      </c>
      <c r="Y1059" s="4">
        <f t="shared" si="284"/>
        <v>78</v>
      </c>
      <c r="Z1059" s="4">
        <f t="shared" si="285"/>
        <v>41</v>
      </c>
      <c r="AA1059" s="102">
        <f t="shared" si="286"/>
        <v>46</v>
      </c>
      <c r="AC1059" s="100">
        <f t="shared" si="287"/>
        <v>0.98536666061791622</v>
      </c>
    </row>
    <row r="1060" spans="4:29" x14ac:dyDescent="0.35">
      <c r="D1060">
        <f t="shared" si="288"/>
        <v>1056</v>
      </c>
      <c r="E1060" s="101">
        <v>5</v>
      </c>
      <c r="F1060" s="4">
        <v>1</v>
      </c>
      <c r="G1060" s="4">
        <v>2</v>
      </c>
      <c r="H1060" s="4">
        <v>6</v>
      </c>
      <c r="I1060" s="4">
        <v>5</v>
      </c>
      <c r="J1060" s="4">
        <v>5</v>
      </c>
      <c r="K1060" s="102">
        <v>2</v>
      </c>
      <c r="M1060" s="101">
        <f t="shared" si="273"/>
        <v>30</v>
      </c>
      <c r="N1060" s="4">
        <f t="shared" si="274"/>
        <v>34</v>
      </c>
      <c r="O1060" s="4">
        <f t="shared" si="275"/>
        <v>56</v>
      </c>
      <c r="P1060" s="4">
        <f t="shared" si="276"/>
        <v>45</v>
      </c>
      <c r="Q1060" s="4">
        <f t="shared" si="277"/>
        <v>30</v>
      </c>
      <c r="R1060" s="4">
        <f t="shared" si="278"/>
        <v>30</v>
      </c>
      <c r="S1060" s="102">
        <f t="shared" si="279"/>
        <v>56</v>
      </c>
      <c r="U1060" s="101">
        <f t="shared" si="280"/>
        <v>39</v>
      </c>
      <c r="V1060" s="4">
        <f t="shared" si="281"/>
        <v>46</v>
      </c>
      <c r="W1060" s="4">
        <f t="shared" si="282"/>
        <v>78</v>
      </c>
      <c r="X1060" s="4">
        <f t="shared" si="283"/>
        <v>71</v>
      </c>
      <c r="Y1060" s="4">
        <f t="shared" si="284"/>
        <v>39</v>
      </c>
      <c r="Z1060" s="4">
        <f t="shared" si="285"/>
        <v>39</v>
      </c>
      <c r="AA1060" s="102">
        <f t="shared" si="286"/>
        <v>78</v>
      </c>
      <c r="AC1060" s="100">
        <f t="shared" si="287"/>
        <v>0.98279494837500048</v>
      </c>
    </row>
    <row r="1061" spans="4:29" x14ac:dyDescent="0.35">
      <c r="D1061">
        <f t="shared" si="288"/>
        <v>1057</v>
      </c>
      <c r="E1061" s="101">
        <v>7</v>
      </c>
      <c r="F1061" s="4">
        <v>3</v>
      </c>
      <c r="G1061" s="4">
        <v>3</v>
      </c>
      <c r="H1061" s="4">
        <v>6</v>
      </c>
      <c r="I1061" s="4">
        <v>3</v>
      </c>
      <c r="J1061" s="4">
        <v>1</v>
      </c>
      <c r="K1061" s="102">
        <v>6</v>
      </c>
      <c r="M1061" s="101">
        <f t="shared" si="273"/>
        <v>29</v>
      </c>
      <c r="N1061" s="4">
        <f t="shared" si="274"/>
        <v>23</v>
      </c>
      <c r="O1061" s="4">
        <f t="shared" si="275"/>
        <v>23</v>
      </c>
      <c r="P1061" s="4">
        <f t="shared" si="276"/>
        <v>45</v>
      </c>
      <c r="Q1061" s="4">
        <f t="shared" si="277"/>
        <v>23</v>
      </c>
      <c r="R1061" s="4">
        <f t="shared" si="278"/>
        <v>34</v>
      </c>
      <c r="S1061" s="102">
        <f t="shared" si="279"/>
        <v>45</v>
      </c>
      <c r="U1061" s="101">
        <f t="shared" si="280"/>
        <v>41</v>
      </c>
      <c r="V1061" s="4">
        <f t="shared" si="281"/>
        <v>39</v>
      </c>
      <c r="W1061" s="4">
        <f t="shared" si="282"/>
        <v>39</v>
      </c>
      <c r="X1061" s="4">
        <f t="shared" si="283"/>
        <v>71</v>
      </c>
      <c r="Y1061" s="4">
        <f t="shared" si="284"/>
        <v>39</v>
      </c>
      <c r="Z1061" s="4">
        <f t="shared" si="285"/>
        <v>46</v>
      </c>
      <c r="AA1061" s="102">
        <f t="shared" si="286"/>
        <v>71</v>
      </c>
      <c r="AC1061" s="100">
        <f t="shared" si="287"/>
        <v>0.9654744095309068</v>
      </c>
    </row>
    <row r="1062" spans="4:29" x14ac:dyDescent="0.35">
      <c r="D1062">
        <f t="shared" si="288"/>
        <v>1058</v>
      </c>
      <c r="E1062" s="101">
        <v>6</v>
      </c>
      <c r="F1062" s="4">
        <v>2</v>
      </c>
      <c r="G1062" s="4">
        <v>2</v>
      </c>
      <c r="H1062" s="4">
        <v>2</v>
      </c>
      <c r="I1062" s="4">
        <v>2</v>
      </c>
      <c r="J1062" s="4">
        <v>3</v>
      </c>
      <c r="K1062" s="102">
        <v>6</v>
      </c>
      <c r="M1062" s="101">
        <f t="shared" si="273"/>
        <v>45</v>
      </c>
      <c r="N1062" s="4">
        <f t="shared" si="274"/>
        <v>56</v>
      </c>
      <c r="O1062" s="4">
        <f t="shared" si="275"/>
        <v>56</v>
      </c>
      <c r="P1062" s="4">
        <f t="shared" si="276"/>
        <v>56</v>
      </c>
      <c r="Q1062" s="4">
        <f t="shared" si="277"/>
        <v>56</v>
      </c>
      <c r="R1062" s="4">
        <f t="shared" si="278"/>
        <v>23</v>
      </c>
      <c r="S1062" s="102">
        <f t="shared" si="279"/>
        <v>45</v>
      </c>
      <c r="U1062" s="101">
        <f t="shared" si="280"/>
        <v>71</v>
      </c>
      <c r="V1062" s="4">
        <f t="shared" si="281"/>
        <v>78</v>
      </c>
      <c r="W1062" s="4">
        <f t="shared" si="282"/>
        <v>78</v>
      </c>
      <c r="X1062" s="4">
        <f t="shared" si="283"/>
        <v>78</v>
      </c>
      <c r="Y1062" s="4">
        <f t="shared" si="284"/>
        <v>78</v>
      </c>
      <c r="Z1062" s="4">
        <f t="shared" si="285"/>
        <v>39</v>
      </c>
      <c r="AA1062" s="102">
        <f t="shared" si="286"/>
        <v>71</v>
      </c>
      <c r="AC1062" s="100">
        <f t="shared" si="287"/>
        <v>0.97931905176375311</v>
      </c>
    </row>
    <row r="1063" spans="4:29" x14ac:dyDescent="0.35">
      <c r="D1063">
        <f t="shared" si="288"/>
        <v>1059</v>
      </c>
      <c r="E1063" s="101">
        <v>5</v>
      </c>
      <c r="F1063" s="4">
        <v>4</v>
      </c>
      <c r="G1063" s="4">
        <v>3</v>
      </c>
      <c r="H1063" s="4">
        <v>7</v>
      </c>
      <c r="I1063" s="4">
        <v>5</v>
      </c>
      <c r="J1063" s="4">
        <v>7</v>
      </c>
      <c r="K1063" s="102">
        <v>7</v>
      </c>
      <c r="M1063" s="101">
        <f t="shared" si="273"/>
        <v>30</v>
      </c>
      <c r="N1063" s="4">
        <f t="shared" si="274"/>
        <v>12</v>
      </c>
      <c r="O1063" s="4">
        <f t="shared" si="275"/>
        <v>23</v>
      </c>
      <c r="P1063" s="4">
        <f t="shared" si="276"/>
        <v>29</v>
      </c>
      <c r="Q1063" s="4">
        <f t="shared" si="277"/>
        <v>30</v>
      </c>
      <c r="R1063" s="4">
        <f t="shared" si="278"/>
        <v>29</v>
      </c>
      <c r="S1063" s="102">
        <f t="shared" si="279"/>
        <v>29</v>
      </c>
      <c r="U1063" s="101">
        <f t="shared" si="280"/>
        <v>39</v>
      </c>
      <c r="V1063" s="4">
        <f t="shared" si="281"/>
        <v>9</v>
      </c>
      <c r="W1063" s="4">
        <f t="shared" si="282"/>
        <v>39</v>
      </c>
      <c r="X1063" s="4">
        <f t="shared" si="283"/>
        <v>41</v>
      </c>
      <c r="Y1063" s="4">
        <f t="shared" si="284"/>
        <v>39</v>
      </c>
      <c r="Z1063" s="4">
        <f t="shared" si="285"/>
        <v>41</v>
      </c>
      <c r="AA1063" s="102">
        <f t="shared" si="286"/>
        <v>41</v>
      </c>
      <c r="AC1063" s="100">
        <f t="shared" si="287"/>
        <v>0.93585348776583932</v>
      </c>
    </row>
    <row r="1064" spans="4:29" x14ac:dyDescent="0.35">
      <c r="D1064">
        <f t="shared" si="288"/>
        <v>1060</v>
      </c>
      <c r="E1064" s="101">
        <v>5</v>
      </c>
      <c r="F1064" s="4">
        <v>3</v>
      </c>
      <c r="G1064" s="4">
        <v>2</v>
      </c>
      <c r="H1064" s="4">
        <v>4</v>
      </c>
      <c r="I1064" s="4">
        <v>4</v>
      </c>
      <c r="J1064" s="4">
        <v>2</v>
      </c>
      <c r="K1064" s="102">
        <v>3</v>
      </c>
      <c r="M1064" s="101">
        <f t="shared" si="273"/>
        <v>30</v>
      </c>
      <c r="N1064" s="4">
        <f t="shared" si="274"/>
        <v>23</v>
      </c>
      <c r="O1064" s="4">
        <f t="shared" si="275"/>
        <v>56</v>
      </c>
      <c r="P1064" s="4">
        <f t="shared" si="276"/>
        <v>12</v>
      </c>
      <c r="Q1064" s="4">
        <f t="shared" si="277"/>
        <v>12</v>
      </c>
      <c r="R1064" s="4">
        <f t="shared" si="278"/>
        <v>56</v>
      </c>
      <c r="S1064" s="102">
        <f t="shared" si="279"/>
        <v>23</v>
      </c>
      <c r="U1064" s="101">
        <f t="shared" si="280"/>
        <v>39</v>
      </c>
      <c r="V1064" s="4">
        <f t="shared" si="281"/>
        <v>39</v>
      </c>
      <c r="W1064" s="4">
        <f t="shared" si="282"/>
        <v>78</v>
      </c>
      <c r="X1064" s="4">
        <f t="shared" si="283"/>
        <v>9</v>
      </c>
      <c r="Y1064" s="4">
        <f t="shared" si="284"/>
        <v>9</v>
      </c>
      <c r="Z1064" s="4">
        <f t="shared" si="285"/>
        <v>78</v>
      </c>
      <c r="AA1064" s="102">
        <f t="shared" si="286"/>
        <v>39</v>
      </c>
      <c r="AC1064" s="100">
        <f t="shared" si="287"/>
        <v>0.97834389754476181</v>
      </c>
    </row>
    <row r="1065" spans="4:29" x14ac:dyDescent="0.35">
      <c r="D1065">
        <f t="shared" si="288"/>
        <v>1061</v>
      </c>
      <c r="E1065" s="101">
        <v>5</v>
      </c>
      <c r="F1065" s="4">
        <v>1</v>
      </c>
      <c r="G1065" s="4">
        <v>6</v>
      </c>
      <c r="H1065" s="4">
        <v>1</v>
      </c>
      <c r="I1065" s="4">
        <v>7</v>
      </c>
      <c r="J1065" s="4">
        <v>3</v>
      </c>
      <c r="K1065" s="102">
        <v>3</v>
      </c>
      <c r="M1065" s="101">
        <f t="shared" si="273"/>
        <v>30</v>
      </c>
      <c r="N1065" s="4">
        <f t="shared" si="274"/>
        <v>34</v>
      </c>
      <c r="O1065" s="4">
        <f t="shared" si="275"/>
        <v>45</v>
      </c>
      <c r="P1065" s="4">
        <f t="shared" si="276"/>
        <v>34</v>
      </c>
      <c r="Q1065" s="4">
        <f t="shared" si="277"/>
        <v>29</v>
      </c>
      <c r="R1065" s="4">
        <f t="shared" si="278"/>
        <v>23</v>
      </c>
      <c r="S1065" s="102">
        <f t="shared" si="279"/>
        <v>23</v>
      </c>
      <c r="U1065" s="101">
        <f t="shared" si="280"/>
        <v>39</v>
      </c>
      <c r="V1065" s="4">
        <f t="shared" si="281"/>
        <v>46</v>
      </c>
      <c r="W1065" s="4">
        <f t="shared" si="282"/>
        <v>71</v>
      </c>
      <c r="X1065" s="4">
        <f t="shared" si="283"/>
        <v>46</v>
      </c>
      <c r="Y1065" s="4">
        <f t="shared" si="284"/>
        <v>41</v>
      </c>
      <c r="Z1065" s="4">
        <f t="shared" si="285"/>
        <v>39</v>
      </c>
      <c r="AA1065" s="102">
        <f t="shared" si="286"/>
        <v>39</v>
      </c>
      <c r="AC1065" s="100">
        <f t="shared" si="287"/>
        <v>0.91137993333661271</v>
      </c>
    </row>
    <row r="1066" spans="4:29" x14ac:dyDescent="0.35">
      <c r="D1066">
        <f t="shared" si="288"/>
        <v>1062</v>
      </c>
      <c r="E1066" s="101">
        <v>5</v>
      </c>
      <c r="F1066" s="4">
        <v>2</v>
      </c>
      <c r="G1066" s="4">
        <v>1</v>
      </c>
      <c r="H1066" s="4">
        <v>7</v>
      </c>
      <c r="I1066" s="4">
        <v>4</v>
      </c>
      <c r="J1066" s="4">
        <v>7</v>
      </c>
      <c r="K1066" s="102">
        <v>5</v>
      </c>
      <c r="M1066" s="101">
        <f t="shared" si="273"/>
        <v>30</v>
      </c>
      <c r="N1066" s="4">
        <f t="shared" si="274"/>
        <v>56</v>
      </c>
      <c r="O1066" s="4">
        <f t="shared" si="275"/>
        <v>34</v>
      </c>
      <c r="P1066" s="4">
        <f t="shared" si="276"/>
        <v>29</v>
      </c>
      <c r="Q1066" s="4">
        <f t="shared" si="277"/>
        <v>12</v>
      </c>
      <c r="R1066" s="4">
        <f t="shared" si="278"/>
        <v>29</v>
      </c>
      <c r="S1066" s="102">
        <f t="shared" si="279"/>
        <v>30</v>
      </c>
      <c r="U1066" s="101">
        <f t="shared" si="280"/>
        <v>39</v>
      </c>
      <c r="V1066" s="4">
        <f t="shared" si="281"/>
        <v>78</v>
      </c>
      <c r="W1066" s="4">
        <f t="shared" si="282"/>
        <v>46</v>
      </c>
      <c r="X1066" s="4">
        <f t="shared" si="283"/>
        <v>41</v>
      </c>
      <c r="Y1066" s="4">
        <f t="shared" si="284"/>
        <v>9</v>
      </c>
      <c r="Z1066" s="4">
        <f t="shared" si="285"/>
        <v>41</v>
      </c>
      <c r="AA1066" s="102">
        <f t="shared" si="286"/>
        <v>39</v>
      </c>
      <c r="AC1066" s="100">
        <f t="shared" si="287"/>
        <v>0.99398979657724063</v>
      </c>
    </row>
    <row r="1067" spans="4:29" x14ac:dyDescent="0.35">
      <c r="D1067">
        <f t="shared" si="288"/>
        <v>1063</v>
      </c>
      <c r="E1067" s="101">
        <v>3</v>
      </c>
      <c r="F1067" s="4">
        <v>1</v>
      </c>
      <c r="G1067" s="4">
        <v>6</v>
      </c>
      <c r="H1067" s="4">
        <v>1</v>
      </c>
      <c r="I1067" s="4">
        <v>5</v>
      </c>
      <c r="J1067" s="4">
        <v>5</v>
      </c>
      <c r="K1067" s="102">
        <v>4</v>
      </c>
      <c r="M1067" s="101">
        <f t="shared" si="273"/>
        <v>23</v>
      </c>
      <c r="N1067" s="4">
        <f t="shared" si="274"/>
        <v>34</v>
      </c>
      <c r="O1067" s="4">
        <f t="shared" si="275"/>
        <v>45</v>
      </c>
      <c r="P1067" s="4">
        <f t="shared" si="276"/>
        <v>34</v>
      </c>
      <c r="Q1067" s="4">
        <f t="shared" si="277"/>
        <v>30</v>
      </c>
      <c r="R1067" s="4">
        <f t="shared" si="278"/>
        <v>30</v>
      </c>
      <c r="S1067" s="102">
        <f t="shared" si="279"/>
        <v>12</v>
      </c>
      <c r="U1067" s="101">
        <f t="shared" si="280"/>
        <v>39</v>
      </c>
      <c r="V1067" s="4">
        <f t="shared" si="281"/>
        <v>46</v>
      </c>
      <c r="W1067" s="4">
        <f t="shared" si="282"/>
        <v>71</v>
      </c>
      <c r="X1067" s="4">
        <f t="shared" si="283"/>
        <v>46</v>
      </c>
      <c r="Y1067" s="4">
        <f t="shared" si="284"/>
        <v>39</v>
      </c>
      <c r="Z1067" s="4">
        <f t="shared" si="285"/>
        <v>39</v>
      </c>
      <c r="AA1067" s="102">
        <f t="shared" si="286"/>
        <v>9</v>
      </c>
      <c r="AC1067" s="100">
        <f t="shared" si="287"/>
        <v>0.96661408707124852</v>
      </c>
    </row>
    <row r="1068" spans="4:29" x14ac:dyDescent="0.35">
      <c r="D1068">
        <f t="shared" si="288"/>
        <v>1064</v>
      </c>
      <c r="E1068" s="101">
        <v>3</v>
      </c>
      <c r="F1068" s="4">
        <v>1</v>
      </c>
      <c r="G1068" s="4">
        <v>7</v>
      </c>
      <c r="H1068" s="4">
        <v>1</v>
      </c>
      <c r="I1068" s="4">
        <v>4</v>
      </c>
      <c r="J1068" s="4">
        <v>6</v>
      </c>
      <c r="K1068" s="102">
        <v>4</v>
      </c>
      <c r="M1068" s="101">
        <f t="shared" si="273"/>
        <v>23</v>
      </c>
      <c r="N1068" s="4">
        <f t="shared" si="274"/>
        <v>34</v>
      </c>
      <c r="O1068" s="4">
        <f t="shared" si="275"/>
        <v>29</v>
      </c>
      <c r="P1068" s="4">
        <f t="shared" si="276"/>
        <v>34</v>
      </c>
      <c r="Q1068" s="4">
        <f t="shared" si="277"/>
        <v>12</v>
      </c>
      <c r="R1068" s="4">
        <f t="shared" si="278"/>
        <v>45</v>
      </c>
      <c r="S1068" s="102">
        <f t="shared" si="279"/>
        <v>12</v>
      </c>
      <c r="U1068" s="101">
        <f t="shared" si="280"/>
        <v>39</v>
      </c>
      <c r="V1068" s="4">
        <f t="shared" si="281"/>
        <v>46</v>
      </c>
      <c r="W1068" s="4">
        <f t="shared" si="282"/>
        <v>41</v>
      </c>
      <c r="X1068" s="4">
        <f t="shared" si="283"/>
        <v>46</v>
      </c>
      <c r="Y1068" s="4">
        <f t="shared" si="284"/>
        <v>9</v>
      </c>
      <c r="Z1068" s="4">
        <f t="shared" si="285"/>
        <v>71</v>
      </c>
      <c r="AA1068" s="102">
        <f t="shared" si="286"/>
        <v>9</v>
      </c>
      <c r="AC1068" s="100">
        <f t="shared" si="287"/>
        <v>0.98021077047189542</v>
      </c>
    </row>
    <row r="1069" spans="4:29" x14ac:dyDescent="0.35">
      <c r="D1069">
        <f t="shared" si="288"/>
        <v>1065</v>
      </c>
      <c r="E1069" s="101">
        <v>6</v>
      </c>
      <c r="F1069" s="4">
        <v>6</v>
      </c>
      <c r="G1069" s="4">
        <v>4</v>
      </c>
      <c r="H1069" s="4">
        <v>6</v>
      </c>
      <c r="I1069" s="4">
        <v>5</v>
      </c>
      <c r="J1069" s="4">
        <v>3</v>
      </c>
      <c r="K1069" s="102">
        <v>4</v>
      </c>
      <c r="M1069" s="101">
        <f t="shared" si="273"/>
        <v>45</v>
      </c>
      <c r="N1069" s="4">
        <f t="shared" si="274"/>
        <v>45</v>
      </c>
      <c r="O1069" s="4">
        <f t="shared" si="275"/>
        <v>12</v>
      </c>
      <c r="P1069" s="4">
        <f t="shared" si="276"/>
        <v>45</v>
      </c>
      <c r="Q1069" s="4">
        <f t="shared" si="277"/>
        <v>30</v>
      </c>
      <c r="R1069" s="4">
        <f t="shared" si="278"/>
        <v>23</v>
      </c>
      <c r="S1069" s="102">
        <f t="shared" si="279"/>
        <v>12</v>
      </c>
      <c r="U1069" s="101">
        <f t="shared" si="280"/>
        <v>71</v>
      </c>
      <c r="V1069" s="4">
        <f t="shared" si="281"/>
        <v>71</v>
      </c>
      <c r="W1069" s="4">
        <f t="shared" si="282"/>
        <v>9</v>
      </c>
      <c r="X1069" s="4">
        <f t="shared" si="283"/>
        <v>71</v>
      </c>
      <c r="Y1069" s="4">
        <f t="shared" si="284"/>
        <v>39</v>
      </c>
      <c r="Z1069" s="4">
        <f t="shared" si="285"/>
        <v>39</v>
      </c>
      <c r="AA1069" s="102">
        <f t="shared" si="286"/>
        <v>9</v>
      </c>
      <c r="AC1069" s="100">
        <f t="shared" si="287"/>
        <v>0.98991254518288674</v>
      </c>
    </row>
    <row r="1070" spans="4:29" x14ac:dyDescent="0.35">
      <c r="D1070">
        <f t="shared" si="288"/>
        <v>1066</v>
      </c>
      <c r="E1070" s="101">
        <v>3</v>
      </c>
      <c r="F1070" s="4">
        <v>2</v>
      </c>
      <c r="G1070" s="4">
        <v>7</v>
      </c>
      <c r="H1070" s="4">
        <v>7</v>
      </c>
      <c r="I1070" s="4">
        <v>2</v>
      </c>
      <c r="J1070" s="4">
        <v>7</v>
      </c>
      <c r="K1070" s="102">
        <v>3</v>
      </c>
      <c r="M1070" s="101">
        <f t="shared" si="273"/>
        <v>23</v>
      </c>
      <c r="N1070" s="4">
        <f t="shared" si="274"/>
        <v>56</v>
      </c>
      <c r="O1070" s="4">
        <f t="shared" si="275"/>
        <v>29</v>
      </c>
      <c r="P1070" s="4">
        <f t="shared" si="276"/>
        <v>29</v>
      </c>
      <c r="Q1070" s="4">
        <f t="shared" si="277"/>
        <v>56</v>
      </c>
      <c r="R1070" s="4">
        <f t="shared" si="278"/>
        <v>29</v>
      </c>
      <c r="S1070" s="102">
        <f t="shared" si="279"/>
        <v>23</v>
      </c>
      <c r="U1070" s="101">
        <f t="shared" si="280"/>
        <v>39</v>
      </c>
      <c r="V1070" s="4">
        <f t="shared" si="281"/>
        <v>78</v>
      </c>
      <c r="W1070" s="4">
        <f t="shared" si="282"/>
        <v>41</v>
      </c>
      <c r="X1070" s="4">
        <f t="shared" si="283"/>
        <v>41</v>
      </c>
      <c r="Y1070" s="4">
        <f t="shared" si="284"/>
        <v>78</v>
      </c>
      <c r="Z1070" s="4">
        <f t="shared" si="285"/>
        <v>41</v>
      </c>
      <c r="AA1070" s="102">
        <f t="shared" si="286"/>
        <v>39</v>
      </c>
      <c r="AC1070" s="100">
        <f t="shared" si="287"/>
        <v>0.9907048067958576</v>
      </c>
    </row>
    <row r="1071" spans="4:29" x14ac:dyDescent="0.35">
      <c r="D1071">
        <f t="shared" si="288"/>
        <v>1067</v>
      </c>
      <c r="E1071" s="101">
        <v>1</v>
      </c>
      <c r="F1071" s="4">
        <v>7</v>
      </c>
      <c r="G1071" s="4">
        <v>2</v>
      </c>
      <c r="H1071" s="4">
        <v>7</v>
      </c>
      <c r="I1071" s="4">
        <v>5</v>
      </c>
      <c r="J1071" s="4">
        <v>2</v>
      </c>
      <c r="K1071" s="102">
        <v>4</v>
      </c>
      <c r="M1071" s="101">
        <f t="shared" si="273"/>
        <v>34</v>
      </c>
      <c r="N1071" s="4">
        <f t="shared" si="274"/>
        <v>29</v>
      </c>
      <c r="O1071" s="4">
        <f t="shared" si="275"/>
        <v>56</v>
      </c>
      <c r="P1071" s="4">
        <f t="shared" si="276"/>
        <v>29</v>
      </c>
      <c r="Q1071" s="4">
        <f t="shared" si="277"/>
        <v>30</v>
      </c>
      <c r="R1071" s="4">
        <f t="shared" si="278"/>
        <v>56</v>
      </c>
      <c r="S1071" s="102">
        <f t="shared" si="279"/>
        <v>12</v>
      </c>
      <c r="U1071" s="101">
        <f t="shared" si="280"/>
        <v>46</v>
      </c>
      <c r="V1071" s="4">
        <f t="shared" si="281"/>
        <v>41</v>
      </c>
      <c r="W1071" s="4">
        <f t="shared" si="282"/>
        <v>78</v>
      </c>
      <c r="X1071" s="4">
        <f t="shared" si="283"/>
        <v>41</v>
      </c>
      <c r="Y1071" s="4">
        <f t="shared" si="284"/>
        <v>39</v>
      </c>
      <c r="Z1071" s="4">
        <f t="shared" si="285"/>
        <v>78</v>
      </c>
      <c r="AA1071" s="102">
        <f t="shared" si="286"/>
        <v>9</v>
      </c>
      <c r="AC1071" s="100">
        <f t="shared" si="287"/>
        <v>0.99563477313938265</v>
      </c>
    </row>
    <row r="1072" spans="4:29" x14ac:dyDescent="0.35">
      <c r="D1072">
        <f t="shared" si="288"/>
        <v>1068</v>
      </c>
      <c r="E1072" s="101">
        <v>5</v>
      </c>
      <c r="F1072" s="4">
        <v>1</v>
      </c>
      <c r="G1072" s="4">
        <v>7</v>
      </c>
      <c r="H1072" s="4">
        <v>6</v>
      </c>
      <c r="I1072" s="4">
        <v>5</v>
      </c>
      <c r="J1072" s="4">
        <v>5</v>
      </c>
      <c r="K1072" s="102">
        <v>2</v>
      </c>
      <c r="M1072" s="101">
        <f t="shared" si="273"/>
        <v>30</v>
      </c>
      <c r="N1072" s="4">
        <f t="shared" si="274"/>
        <v>34</v>
      </c>
      <c r="O1072" s="4">
        <f t="shared" si="275"/>
        <v>29</v>
      </c>
      <c r="P1072" s="4">
        <f t="shared" si="276"/>
        <v>45</v>
      </c>
      <c r="Q1072" s="4">
        <f t="shared" si="277"/>
        <v>30</v>
      </c>
      <c r="R1072" s="4">
        <f t="shared" si="278"/>
        <v>30</v>
      </c>
      <c r="S1072" s="102">
        <f t="shared" si="279"/>
        <v>56</v>
      </c>
      <c r="U1072" s="101">
        <f t="shared" si="280"/>
        <v>39</v>
      </c>
      <c r="V1072" s="4">
        <f t="shared" si="281"/>
        <v>46</v>
      </c>
      <c r="W1072" s="4">
        <f t="shared" si="282"/>
        <v>41</v>
      </c>
      <c r="X1072" s="4">
        <f t="shared" si="283"/>
        <v>71</v>
      </c>
      <c r="Y1072" s="4">
        <f t="shared" si="284"/>
        <v>39</v>
      </c>
      <c r="Z1072" s="4">
        <f t="shared" si="285"/>
        <v>39</v>
      </c>
      <c r="AA1072" s="102">
        <f t="shared" si="286"/>
        <v>78</v>
      </c>
      <c r="AC1072" s="100">
        <f t="shared" si="287"/>
        <v>0.97875412349816082</v>
      </c>
    </row>
    <row r="1073" spans="4:29" x14ac:dyDescent="0.35">
      <c r="D1073">
        <f t="shared" si="288"/>
        <v>1069</v>
      </c>
      <c r="E1073" s="101">
        <v>7</v>
      </c>
      <c r="F1073" s="4">
        <v>6</v>
      </c>
      <c r="G1073" s="4">
        <v>7</v>
      </c>
      <c r="H1073" s="4">
        <v>6</v>
      </c>
      <c r="I1073" s="4">
        <v>6</v>
      </c>
      <c r="J1073" s="4">
        <v>6</v>
      </c>
      <c r="K1073" s="102">
        <v>6</v>
      </c>
      <c r="M1073" s="101">
        <f t="shared" si="273"/>
        <v>29</v>
      </c>
      <c r="N1073" s="4">
        <f t="shared" si="274"/>
        <v>45</v>
      </c>
      <c r="O1073" s="4">
        <f t="shared" si="275"/>
        <v>29</v>
      </c>
      <c r="P1073" s="4">
        <f t="shared" si="276"/>
        <v>45</v>
      </c>
      <c r="Q1073" s="4">
        <f t="shared" si="277"/>
        <v>45</v>
      </c>
      <c r="R1073" s="4">
        <f t="shared" si="278"/>
        <v>45</v>
      </c>
      <c r="S1073" s="102">
        <f t="shared" si="279"/>
        <v>45</v>
      </c>
      <c r="U1073" s="101">
        <f t="shared" si="280"/>
        <v>41</v>
      </c>
      <c r="V1073" s="4">
        <f t="shared" si="281"/>
        <v>71</v>
      </c>
      <c r="W1073" s="4">
        <f t="shared" si="282"/>
        <v>41</v>
      </c>
      <c r="X1073" s="4">
        <f t="shared" si="283"/>
        <v>71</v>
      </c>
      <c r="Y1073" s="4">
        <f t="shared" si="284"/>
        <v>71</v>
      </c>
      <c r="Z1073" s="4">
        <f t="shared" si="285"/>
        <v>71</v>
      </c>
      <c r="AA1073" s="102">
        <f t="shared" si="286"/>
        <v>71</v>
      </c>
      <c r="AC1073" s="100">
        <f t="shared" si="287"/>
        <v>1</v>
      </c>
    </row>
    <row r="1074" spans="4:29" x14ac:dyDescent="0.35">
      <c r="D1074">
        <f t="shared" si="288"/>
        <v>1070</v>
      </c>
      <c r="E1074" s="101">
        <v>4</v>
      </c>
      <c r="F1074" s="4">
        <v>1</v>
      </c>
      <c r="G1074" s="4">
        <v>3</v>
      </c>
      <c r="H1074" s="4">
        <v>2</v>
      </c>
      <c r="I1074" s="4">
        <v>2</v>
      </c>
      <c r="J1074" s="4">
        <v>1</v>
      </c>
      <c r="K1074" s="102">
        <v>5</v>
      </c>
      <c r="M1074" s="101">
        <f t="shared" si="273"/>
        <v>12</v>
      </c>
      <c r="N1074" s="4">
        <f t="shared" si="274"/>
        <v>34</v>
      </c>
      <c r="O1074" s="4">
        <f t="shared" si="275"/>
        <v>23</v>
      </c>
      <c r="P1074" s="4">
        <f t="shared" si="276"/>
        <v>56</v>
      </c>
      <c r="Q1074" s="4">
        <f t="shared" si="277"/>
        <v>56</v>
      </c>
      <c r="R1074" s="4">
        <f t="shared" si="278"/>
        <v>34</v>
      </c>
      <c r="S1074" s="102">
        <f t="shared" si="279"/>
        <v>30</v>
      </c>
      <c r="U1074" s="101">
        <f t="shared" si="280"/>
        <v>9</v>
      </c>
      <c r="V1074" s="4">
        <f t="shared" si="281"/>
        <v>46</v>
      </c>
      <c r="W1074" s="4">
        <f t="shared" si="282"/>
        <v>39</v>
      </c>
      <c r="X1074" s="4">
        <f t="shared" si="283"/>
        <v>78</v>
      </c>
      <c r="Y1074" s="4">
        <f t="shared" si="284"/>
        <v>78</v>
      </c>
      <c r="Z1074" s="4">
        <f t="shared" si="285"/>
        <v>46</v>
      </c>
      <c r="AA1074" s="102">
        <f t="shared" si="286"/>
        <v>39</v>
      </c>
      <c r="AC1074" s="100">
        <f t="shared" si="287"/>
        <v>0.98467764161726312</v>
      </c>
    </row>
    <row r="1075" spans="4:29" x14ac:dyDescent="0.35">
      <c r="D1075">
        <f t="shared" si="288"/>
        <v>1071</v>
      </c>
      <c r="E1075" s="101">
        <v>2</v>
      </c>
      <c r="F1075" s="4">
        <v>1</v>
      </c>
      <c r="G1075" s="4">
        <v>6</v>
      </c>
      <c r="H1075" s="4">
        <v>3</v>
      </c>
      <c r="I1075" s="4">
        <v>7</v>
      </c>
      <c r="J1075" s="4">
        <v>7</v>
      </c>
      <c r="K1075" s="102">
        <v>3</v>
      </c>
      <c r="M1075" s="101">
        <f t="shared" si="273"/>
        <v>56</v>
      </c>
      <c r="N1075" s="4">
        <f t="shared" si="274"/>
        <v>34</v>
      </c>
      <c r="O1075" s="4">
        <f t="shared" si="275"/>
        <v>45</v>
      </c>
      <c r="P1075" s="4">
        <f t="shared" si="276"/>
        <v>23</v>
      </c>
      <c r="Q1075" s="4">
        <f t="shared" si="277"/>
        <v>29</v>
      </c>
      <c r="R1075" s="4">
        <f t="shared" si="278"/>
        <v>29</v>
      </c>
      <c r="S1075" s="102">
        <f t="shared" si="279"/>
        <v>23</v>
      </c>
      <c r="U1075" s="101">
        <f t="shared" si="280"/>
        <v>78</v>
      </c>
      <c r="V1075" s="4">
        <f t="shared" si="281"/>
        <v>46</v>
      </c>
      <c r="W1075" s="4">
        <f t="shared" si="282"/>
        <v>71</v>
      </c>
      <c r="X1075" s="4">
        <f t="shared" si="283"/>
        <v>39</v>
      </c>
      <c r="Y1075" s="4">
        <f t="shared" si="284"/>
        <v>41</v>
      </c>
      <c r="Z1075" s="4">
        <f t="shared" si="285"/>
        <v>41</v>
      </c>
      <c r="AA1075" s="102">
        <f t="shared" si="286"/>
        <v>39</v>
      </c>
      <c r="AC1075" s="100">
        <f t="shared" si="287"/>
        <v>0.97113136796524313</v>
      </c>
    </row>
    <row r="1076" spans="4:29" x14ac:dyDescent="0.35">
      <c r="D1076">
        <f t="shared" si="288"/>
        <v>1072</v>
      </c>
      <c r="E1076" s="101">
        <v>2</v>
      </c>
      <c r="F1076" s="4">
        <v>2</v>
      </c>
      <c r="G1076" s="4">
        <v>5</v>
      </c>
      <c r="H1076" s="4">
        <v>4</v>
      </c>
      <c r="I1076" s="4">
        <v>7</v>
      </c>
      <c r="J1076" s="4">
        <v>5</v>
      </c>
      <c r="K1076" s="102">
        <v>6</v>
      </c>
      <c r="M1076" s="101">
        <f t="shared" si="273"/>
        <v>56</v>
      </c>
      <c r="N1076" s="4">
        <f t="shared" si="274"/>
        <v>56</v>
      </c>
      <c r="O1076" s="4">
        <f t="shared" si="275"/>
        <v>30</v>
      </c>
      <c r="P1076" s="4">
        <f t="shared" si="276"/>
        <v>12</v>
      </c>
      <c r="Q1076" s="4">
        <f t="shared" si="277"/>
        <v>29</v>
      </c>
      <c r="R1076" s="4">
        <f t="shared" si="278"/>
        <v>30</v>
      </c>
      <c r="S1076" s="102">
        <f t="shared" si="279"/>
        <v>45</v>
      </c>
      <c r="U1076" s="101">
        <f t="shared" si="280"/>
        <v>78</v>
      </c>
      <c r="V1076" s="4">
        <f t="shared" si="281"/>
        <v>78</v>
      </c>
      <c r="W1076" s="4">
        <f t="shared" si="282"/>
        <v>39</v>
      </c>
      <c r="X1076" s="4">
        <f t="shared" si="283"/>
        <v>9</v>
      </c>
      <c r="Y1076" s="4">
        <f t="shared" si="284"/>
        <v>41</v>
      </c>
      <c r="Z1076" s="4">
        <f t="shared" si="285"/>
        <v>39</v>
      </c>
      <c r="AA1076" s="102">
        <f t="shared" si="286"/>
        <v>71</v>
      </c>
      <c r="AC1076" s="100">
        <f t="shared" si="287"/>
        <v>0.98904432499094996</v>
      </c>
    </row>
    <row r="1077" spans="4:29" x14ac:dyDescent="0.35">
      <c r="D1077">
        <f t="shared" si="288"/>
        <v>1073</v>
      </c>
      <c r="E1077" s="101">
        <v>6</v>
      </c>
      <c r="F1077" s="4">
        <v>4</v>
      </c>
      <c r="G1077" s="4">
        <v>4</v>
      </c>
      <c r="H1077" s="4">
        <v>5</v>
      </c>
      <c r="I1077" s="4">
        <v>1</v>
      </c>
      <c r="J1077" s="4">
        <v>7</v>
      </c>
      <c r="K1077" s="102">
        <v>4</v>
      </c>
      <c r="M1077" s="101">
        <f t="shared" si="273"/>
        <v>45</v>
      </c>
      <c r="N1077" s="4">
        <f t="shared" si="274"/>
        <v>12</v>
      </c>
      <c r="O1077" s="4">
        <f t="shared" si="275"/>
        <v>12</v>
      </c>
      <c r="P1077" s="4">
        <f t="shared" si="276"/>
        <v>30</v>
      </c>
      <c r="Q1077" s="4">
        <f t="shared" si="277"/>
        <v>34</v>
      </c>
      <c r="R1077" s="4">
        <f t="shared" si="278"/>
        <v>29</v>
      </c>
      <c r="S1077" s="102">
        <f t="shared" si="279"/>
        <v>12</v>
      </c>
      <c r="U1077" s="101">
        <f t="shared" si="280"/>
        <v>71</v>
      </c>
      <c r="V1077" s="4">
        <f t="shared" si="281"/>
        <v>9</v>
      </c>
      <c r="W1077" s="4">
        <f t="shared" si="282"/>
        <v>9</v>
      </c>
      <c r="X1077" s="4">
        <f t="shared" si="283"/>
        <v>39</v>
      </c>
      <c r="Y1077" s="4">
        <f t="shared" si="284"/>
        <v>46</v>
      </c>
      <c r="Z1077" s="4">
        <f t="shared" si="285"/>
        <v>41</v>
      </c>
      <c r="AA1077" s="102">
        <f t="shared" si="286"/>
        <v>9</v>
      </c>
      <c r="AC1077" s="100">
        <f t="shared" si="287"/>
        <v>0.99699252603067701</v>
      </c>
    </row>
    <row r="1078" spans="4:29" x14ac:dyDescent="0.35">
      <c r="D1078">
        <f t="shared" si="288"/>
        <v>1074</v>
      </c>
      <c r="E1078" s="101">
        <v>3</v>
      </c>
      <c r="F1078" s="4">
        <v>1</v>
      </c>
      <c r="G1078" s="4">
        <v>6</v>
      </c>
      <c r="H1078" s="4">
        <v>6</v>
      </c>
      <c r="I1078" s="4">
        <v>3</v>
      </c>
      <c r="J1078" s="4">
        <v>3</v>
      </c>
      <c r="K1078" s="102">
        <v>7</v>
      </c>
      <c r="M1078" s="101">
        <f t="shared" si="273"/>
        <v>23</v>
      </c>
      <c r="N1078" s="4">
        <f t="shared" si="274"/>
        <v>34</v>
      </c>
      <c r="O1078" s="4">
        <f t="shared" si="275"/>
        <v>45</v>
      </c>
      <c r="P1078" s="4">
        <f t="shared" si="276"/>
        <v>45</v>
      </c>
      <c r="Q1078" s="4">
        <f t="shared" si="277"/>
        <v>23</v>
      </c>
      <c r="R1078" s="4">
        <f t="shared" si="278"/>
        <v>23</v>
      </c>
      <c r="S1078" s="102">
        <f t="shared" si="279"/>
        <v>29</v>
      </c>
      <c r="U1078" s="101">
        <f t="shared" si="280"/>
        <v>39</v>
      </c>
      <c r="V1078" s="4">
        <f t="shared" si="281"/>
        <v>46</v>
      </c>
      <c r="W1078" s="4">
        <f t="shared" si="282"/>
        <v>71</v>
      </c>
      <c r="X1078" s="4">
        <f t="shared" si="283"/>
        <v>71</v>
      </c>
      <c r="Y1078" s="4">
        <f t="shared" si="284"/>
        <v>39</v>
      </c>
      <c r="Z1078" s="4">
        <f t="shared" si="285"/>
        <v>39</v>
      </c>
      <c r="AA1078" s="102">
        <f t="shared" si="286"/>
        <v>41</v>
      </c>
      <c r="AC1078" s="100">
        <f t="shared" si="287"/>
        <v>0.9654744095309068</v>
      </c>
    </row>
    <row r="1079" spans="4:29" x14ac:dyDescent="0.35">
      <c r="D1079">
        <f t="shared" si="288"/>
        <v>1075</v>
      </c>
      <c r="E1079" s="101">
        <v>2</v>
      </c>
      <c r="F1079" s="4">
        <v>3</v>
      </c>
      <c r="G1079" s="4">
        <v>1</v>
      </c>
      <c r="H1079" s="4">
        <v>7</v>
      </c>
      <c r="I1079" s="4">
        <v>1</v>
      </c>
      <c r="J1079" s="4">
        <v>4</v>
      </c>
      <c r="K1079" s="102">
        <v>6</v>
      </c>
      <c r="M1079" s="101">
        <f t="shared" si="273"/>
        <v>56</v>
      </c>
      <c r="N1079" s="4">
        <f t="shared" si="274"/>
        <v>23</v>
      </c>
      <c r="O1079" s="4">
        <f t="shared" si="275"/>
        <v>34</v>
      </c>
      <c r="P1079" s="4">
        <f t="shared" si="276"/>
        <v>29</v>
      </c>
      <c r="Q1079" s="4">
        <f t="shared" si="277"/>
        <v>34</v>
      </c>
      <c r="R1079" s="4">
        <f t="shared" si="278"/>
        <v>12</v>
      </c>
      <c r="S1079" s="102">
        <f t="shared" si="279"/>
        <v>45</v>
      </c>
      <c r="U1079" s="101">
        <f t="shared" si="280"/>
        <v>78</v>
      </c>
      <c r="V1079" s="4">
        <f t="shared" si="281"/>
        <v>39</v>
      </c>
      <c r="W1079" s="4">
        <f t="shared" si="282"/>
        <v>46</v>
      </c>
      <c r="X1079" s="4">
        <f t="shared" si="283"/>
        <v>41</v>
      </c>
      <c r="Y1079" s="4">
        <f t="shared" si="284"/>
        <v>46</v>
      </c>
      <c r="Z1079" s="4">
        <f t="shared" si="285"/>
        <v>9</v>
      </c>
      <c r="AA1079" s="102">
        <f t="shared" si="286"/>
        <v>71</v>
      </c>
      <c r="AC1079" s="100">
        <f t="shared" si="287"/>
        <v>0.97551853574507996</v>
      </c>
    </row>
    <row r="1080" spans="4:29" x14ac:dyDescent="0.35">
      <c r="D1080">
        <f t="shared" si="288"/>
        <v>1076</v>
      </c>
      <c r="E1080" s="101">
        <v>3</v>
      </c>
      <c r="F1080" s="4">
        <v>5</v>
      </c>
      <c r="G1080" s="4">
        <v>4</v>
      </c>
      <c r="H1080" s="4">
        <v>1</v>
      </c>
      <c r="I1080" s="4">
        <v>7</v>
      </c>
      <c r="J1080" s="4">
        <v>2</v>
      </c>
      <c r="K1080" s="102">
        <v>6</v>
      </c>
      <c r="M1080" s="101">
        <f t="shared" si="273"/>
        <v>23</v>
      </c>
      <c r="N1080" s="4">
        <f t="shared" si="274"/>
        <v>30</v>
      </c>
      <c r="O1080" s="4">
        <f t="shared" si="275"/>
        <v>12</v>
      </c>
      <c r="P1080" s="4">
        <f t="shared" si="276"/>
        <v>34</v>
      </c>
      <c r="Q1080" s="4">
        <f t="shared" si="277"/>
        <v>29</v>
      </c>
      <c r="R1080" s="4">
        <f t="shared" si="278"/>
        <v>56</v>
      </c>
      <c r="S1080" s="102">
        <f t="shared" si="279"/>
        <v>45</v>
      </c>
      <c r="U1080" s="101">
        <f t="shared" si="280"/>
        <v>39</v>
      </c>
      <c r="V1080" s="4">
        <f t="shared" si="281"/>
        <v>39</v>
      </c>
      <c r="W1080" s="4">
        <f t="shared" si="282"/>
        <v>9</v>
      </c>
      <c r="X1080" s="4">
        <f t="shared" si="283"/>
        <v>46</v>
      </c>
      <c r="Y1080" s="4">
        <f t="shared" si="284"/>
        <v>41</v>
      </c>
      <c r="Z1080" s="4">
        <f t="shared" si="285"/>
        <v>78</v>
      </c>
      <c r="AA1080" s="102">
        <f t="shared" si="286"/>
        <v>71</v>
      </c>
      <c r="AC1080" s="100">
        <f t="shared" si="287"/>
        <v>0.9752921131375446</v>
      </c>
    </row>
    <row r="1081" spans="4:29" x14ac:dyDescent="0.35">
      <c r="D1081">
        <f t="shared" si="288"/>
        <v>1077</v>
      </c>
      <c r="E1081" s="101">
        <v>1</v>
      </c>
      <c r="F1081" s="4">
        <v>5</v>
      </c>
      <c r="G1081" s="4">
        <v>5</v>
      </c>
      <c r="H1081" s="4">
        <v>7</v>
      </c>
      <c r="I1081" s="4">
        <v>6</v>
      </c>
      <c r="J1081" s="4">
        <v>6</v>
      </c>
      <c r="K1081" s="102">
        <v>3</v>
      </c>
      <c r="M1081" s="101">
        <f t="shared" si="273"/>
        <v>34</v>
      </c>
      <c r="N1081" s="4">
        <f t="shared" si="274"/>
        <v>30</v>
      </c>
      <c r="O1081" s="4">
        <f t="shared" si="275"/>
        <v>30</v>
      </c>
      <c r="P1081" s="4">
        <f t="shared" si="276"/>
        <v>29</v>
      </c>
      <c r="Q1081" s="4">
        <f t="shared" si="277"/>
        <v>45</v>
      </c>
      <c r="R1081" s="4">
        <f t="shared" si="278"/>
        <v>45</v>
      </c>
      <c r="S1081" s="102">
        <f t="shared" si="279"/>
        <v>23</v>
      </c>
      <c r="U1081" s="101">
        <f t="shared" si="280"/>
        <v>46</v>
      </c>
      <c r="V1081" s="4">
        <f t="shared" si="281"/>
        <v>39</v>
      </c>
      <c r="W1081" s="4">
        <f t="shared" si="282"/>
        <v>39</v>
      </c>
      <c r="X1081" s="4">
        <f t="shared" si="283"/>
        <v>41</v>
      </c>
      <c r="Y1081" s="4">
        <f t="shared" si="284"/>
        <v>71</v>
      </c>
      <c r="Z1081" s="4">
        <f t="shared" si="285"/>
        <v>71</v>
      </c>
      <c r="AA1081" s="102">
        <f t="shared" si="286"/>
        <v>39</v>
      </c>
      <c r="AC1081" s="100">
        <f t="shared" si="287"/>
        <v>0.95363934593372013</v>
      </c>
    </row>
    <row r="1082" spans="4:29" x14ac:dyDescent="0.35">
      <c r="D1082">
        <f t="shared" si="288"/>
        <v>1078</v>
      </c>
      <c r="E1082" s="101">
        <v>7</v>
      </c>
      <c r="F1082" s="4">
        <v>1</v>
      </c>
      <c r="G1082" s="4">
        <v>6</v>
      </c>
      <c r="H1082" s="4">
        <v>6</v>
      </c>
      <c r="I1082" s="4">
        <v>5</v>
      </c>
      <c r="J1082" s="4">
        <v>6</v>
      </c>
      <c r="K1082" s="102">
        <v>2</v>
      </c>
      <c r="M1082" s="101">
        <f t="shared" si="273"/>
        <v>29</v>
      </c>
      <c r="N1082" s="4">
        <f t="shared" si="274"/>
        <v>34</v>
      </c>
      <c r="O1082" s="4">
        <f t="shared" si="275"/>
        <v>45</v>
      </c>
      <c r="P1082" s="4">
        <f t="shared" si="276"/>
        <v>45</v>
      </c>
      <c r="Q1082" s="4">
        <f t="shared" si="277"/>
        <v>30</v>
      </c>
      <c r="R1082" s="4">
        <f t="shared" si="278"/>
        <v>45</v>
      </c>
      <c r="S1082" s="102">
        <f t="shared" si="279"/>
        <v>56</v>
      </c>
      <c r="U1082" s="101">
        <f t="shared" si="280"/>
        <v>41</v>
      </c>
      <c r="V1082" s="4">
        <f t="shared" si="281"/>
        <v>46</v>
      </c>
      <c r="W1082" s="4">
        <f t="shared" si="282"/>
        <v>71</v>
      </c>
      <c r="X1082" s="4">
        <f t="shared" si="283"/>
        <v>71</v>
      </c>
      <c r="Y1082" s="4">
        <f t="shared" si="284"/>
        <v>39</v>
      </c>
      <c r="Z1082" s="4">
        <f t="shared" si="285"/>
        <v>71</v>
      </c>
      <c r="AA1082" s="102">
        <f t="shared" si="286"/>
        <v>78</v>
      </c>
      <c r="AC1082" s="100">
        <f t="shared" si="287"/>
        <v>0.96440367995674015</v>
      </c>
    </row>
    <row r="1083" spans="4:29" x14ac:dyDescent="0.35">
      <c r="D1083">
        <f t="shared" si="288"/>
        <v>1079</v>
      </c>
      <c r="E1083" s="101">
        <v>2</v>
      </c>
      <c r="F1083" s="4">
        <v>5</v>
      </c>
      <c r="G1083" s="4">
        <v>7</v>
      </c>
      <c r="H1083" s="4">
        <v>3</v>
      </c>
      <c r="I1083" s="4">
        <v>5</v>
      </c>
      <c r="J1083" s="4">
        <v>2</v>
      </c>
      <c r="K1083" s="102">
        <v>1</v>
      </c>
      <c r="M1083" s="101">
        <f t="shared" si="273"/>
        <v>56</v>
      </c>
      <c r="N1083" s="4">
        <f t="shared" si="274"/>
        <v>30</v>
      </c>
      <c r="O1083" s="4">
        <f t="shared" si="275"/>
        <v>29</v>
      </c>
      <c r="P1083" s="4">
        <f t="shared" si="276"/>
        <v>23</v>
      </c>
      <c r="Q1083" s="4">
        <f t="shared" si="277"/>
        <v>30</v>
      </c>
      <c r="R1083" s="4">
        <f t="shared" si="278"/>
        <v>56</v>
      </c>
      <c r="S1083" s="102">
        <f t="shared" si="279"/>
        <v>34</v>
      </c>
      <c r="U1083" s="101">
        <f t="shared" si="280"/>
        <v>78</v>
      </c>
      <c r="V1083" s="4">
        <f t="shared" si="281"/>
        <v>39</v>
      </c>
      <c r="W1083" s="4">
        <f t="shared" si="282"/>
        <v>41</v>
      </c>
      <c r="X1083" s="4">
        <f t="shared" si="283"/>
        <v>39</v>
      </c>
      <c r="Y1083" s="4">
        <f t="shared" si="284"/>
        <v>39</v>
      </c>
      <c r="Z1083" s="4">
        <f t="shared" si="285"/>
        <v>78</v>
      </c>
      <c r="AA1083" s="102">
        <f t="shared" si="286"/>
        <v>46</v>
      </c>
      <c r="AC1083" s="100">
        <f t="shared" si="287"/>
        <v>0.98424428431570321</v>
      </c>
    </row>
    <row r="1084" spans="4:29" x14ac:dyDescent="0.35">
      <c r="D1084">
        <f t="shared" si="288"/>
        <v>1080</v>
      </c>
      <c r="E1084" s="101">
        <v>2</v>
      </c>
      <c r="F1084" s="4">
        <v>4</v>
      </c>
      <c r="G1084" s="4">
        <v>3</v>
      </c>
      <c r="H1084" s="4">
        <v>4</v>
      </c>
      <c r="I1084" s="4">
        <v>1</v>
      </c>
      <c r="J1084" s="4">
        <v>7</v>
      </c>
      <c r="K1084" s="102">
        <v>2</v>
      </c>
      <c r="M1084" s="101">
        <f t="shared" si="273"/>
        <v>56</v>
      </c>
      <c r="N1084" s="4">
        <f t="shared" si="274"/>
        <v>12</v>
      </c>
      <c r="O1084" s="4">
        <f t="shared" si="275"/>
        <v>23</v>
      </c>
      <c r="P1084" s="4">
        <f t="shared" si="276"/>
        <v>12</v>
      </c>
      <c r="Q1084" s="4">
        <f t="shared" si="277"/>
        <v>34</v>
      </c>
      <c r="R1084" s="4">
        <f t="shared" si="278"/>
        <v>29</v>
      </c>
      <c r="S1084" s="102">
        <f t="shared" si="279"/>
        <v>56</v>
      </c>
      <c r="U1084" s="101">
        <f t="shared" si="280"/>
        <v>78</v>
      </c>
      <c r="V1084" s="4">
        <f t="shared" si="281"/>
        <v>9</v>
      </c>
      <c r="W1084" s="4">
        <f t="shared" si="282"/>
        <v>39</v>
      </c>
      <c r="X1084" s="4">
        <f t="shared" si="283"/>
        <v>9</v>
      </c>
      <c r="Y1084" s="4">
        <f t="shared" si="284"/>
        <v>46</v>
      </c>
      <c r="Z1084" s="4">
        <f t="shared" si="285"/>
        <v>41</v>
      </c>
      <c r="AA1084" s="102">
        <f t="shared" si="286"/>
        <v>78</v>
      </c>
      <c r="AC1084" s="100">
        <f t="shared" si="287"/>
        <v>0.98636655389013406</v>
      </c>
    </row>
    <row r="1085" spans="4:29" x14ac:dyDescent="0.35">
      <c r="D1085">
        <f t="shared" si="288"/>
        <v>1081</v>
      </c>
      <c r="E1085" s="101">
        <v>5</v>
      </c>
      <c r="F1085" s="4">
        <v>1</v>
      </c>
      <c r="G1085" s="4">
        <v>5</v>
      </c>
      <c r="H1085" s="4">
        <v>3</v>
      </c>
      <c r="I1085" s="4">
        <v>5</v>
      </c>
      <c r="J1085" s="4">
        <v>3</v>
      </c>
      <c r="K1085" s="102">
        <v>3</v>
      </c>
      <c r="M1085" s="101">
        <f t="shared" si="273"/>
        <v>30</v>
      </c>
      <c r="N1085" s="4">
        <f t="shared" si="274"/>
        <v>34</v>
      </c>
      <c r="O1085" s="4">
        <f t="shared" si="275"/>
        <v>30</v>
      </c>
      <c r="P1085" s="4">
        <f t="shared" si="276"/>
        <v>23</v>
      </c>
      <c r="Q1085" s="4">
        <f t="shared" si="277"/>
        <v>30</v>
      </c>
      <c r="R1085" s="4">
        <f t="shared" si="278"/>
        <v>23</v>
      </c>
      <c r="S1085" s="102">
        <f t="shared" si="279"/>
        <v>23</v>
      </c>
      <c r="U1085" s="101">
        <f t="shared" si="280"/>
        <v>39</v>
      </c>
      <c r="V1085" s="4">
        <f t="shared" si="281"/>
        <v>46</v>
      </c>
      <c r="W1085" s="4">
        <f t="shared" si="282"/>
        <v>39</v>
      </c>
      <c r="X1085" s="4">
        <f t="shared" si="283"/>
        <v>39</v>
      </c>
      <c r="Y1085" s="4">
        <f t="shared" si="284"/>
        <v>39</v>
      </c>
      <c r="Z1085" s="4">
        <f t="shared" si="285"/>
        <v>39</v>
      </c>
      <c r="AA1085" s="102">
        <f t="shared" si="286"/>
        <v>39</v>
      </c>
      <c r="AC1085" s="100">
        <f t="shared" si="287"/>
        <v>0.62938601872251654</v>
      </c>
    </row>
    <row r="1086" spans="4:29" x14ac:dyDescent="0.35">
      <c r="D1086">
        <f t="shared" si="288"/>
        <v>1082</v>
      </c>
      <c r="E1086" s="101">
        <v>1</v>
      </c>
      <c r="F1086" s="4">
        <v>4</v>
      </c>
      <c r="G1086" s="4">
        <v>7</v>
      </c>
      <c r="H1086" s="4">
        <v>4</v>
      </c>
      <c r="I1086" s="4">
        <v>1</v>
      </c>
      <c r="J1086" s="4">
        <v>4</v>
      </c>
      <c r="K1086" s="102">
        <v>2</v>
      </c>
      <c r="M1086" s="101">
        <f t="shared" si="273"/>
        <v>34</v>
      </c>
      <c r="N1086" s="4">
        <f t="shared" si="274"/>
        <v>12</v>
      </c>
      <c r="O1086" s="4">
        <f t="shared" si="275"/>
        <v>29</v>
      </c>
      <c r="P1086" s="4">
        <f t="shared" si="276"/>
        <v>12</v>
      </c>
      <c r="Q1086" s="4">
        <f t="shared" si="277"/>
        <v>34</v>
      </c>
      <c r="R1086" s="4">
        <f t="shared" si="278"/>
        <v>12</v>
      </c>
      <c r="S1086" s="102">
        <f t="shared" si="279"/>
        <v>56</v>
      </c>
      <c r="U1086" s="101">
        <f t="shared" si="280"/>
        <v>46</v>
      </c>
      <c r="V1086" s="4">
        <f t="shared" si="281"/>
        <v>9</v>
      </c>
      <c r="W1086" s="4">
        <f t="shared" si="282"/>
        <v>41</v>
      </c>
      <c r="X1086" s="4">
        <f t="shared" si="283"/>
        <v>9</v>
      </c>
      <c r="Y1086" s="4">
        <f t="shared" si="284"/>
        <v>46</v>
      </c>
      <c r="Z1086" s="4">
        <f t="shared" si="285"/>
        <v>9</v>
      </c>
      <c r="AA1086" s="102">
        <f t="shared" si="286"/>
        <v>78</v>
      </c>
      <c r="AC1086" s="100">
        <f t="shared" si="287"/>
        <v>0.99704732734958845</v>
      </c>
    </row>
    <row r="1087" spans="4:29" x14ac:dyDescent="0.35">
      <c r="D1087">
        <f t="shared" si="288"/>
        <v>1083</v>
      </c>
      <c r="E1087" s="101">
        <v>4</v>
      </c>
      <c r="F1087" s="4">
        <v>2</v>
      </c>
      <c r="G1087" s="4">
        <v>4</v>
      </c>
      <c r="H1087" s="4">
        <v>2</v>
      </c>
      <c r="I1087" s="4">
        <v>2</v>
      </c>
      <c r="J1087" s="4">
        <v>2</v>
      </c>
      <c r="K1087" s="102">
        <v>6</v>
      </c>
      <c r="M1087" s="101">
        <f t="shared" si="273"/>
        <v>12</v>
      </c>
      <c r="N1087" s="4">
        <f t="shared" si="274"/>
        <v>56</v>
      </c>
      <c r="O1087" s="4">
        <f t="shared" si="275"/>
        <v>12</v>
      </c>
      <c r="P1087" s="4">
        <f t="shared" si="276"/>
        <v>56</v>
      </c>
      <c r="Q1087" s="4">
        <f t="shared" si="277"/>
        <v>56</v>
      </c>
      <c r="R1087" s="4">
        <f t="shared" si="278"/>
        <v>56</v>
      </c>
      <c r="S1087" s="102">
        <f t="shared" si="279"/>
        <v>45</v>
      </c>
      <c r="U1087" s="101">
        <f t="shared" si="280"/>
        <v>9</v>
      </c>
      <c r="V1087" s="4">
        <f t="shared" si="281"/>
        <v>78</v>
      </c>
      <c r="W1087" s="4">
        <f t="shared" si="282"/>
        <v>9</v>
      </c>
      <c r="X1087" s="4">
        <f t="shared" si="283"/>
        <v>78</v>
      </c>
      <c r="Y1087" s="4">
        <f t="shared" si="284"/>
        <v>78</v>
      </c>
      <c r="Z1087" s="4">
        <f t="shared" si="285"/>
        <v>78</v>
      </c>
      <c r="AA1087" s="102">
        <f t="shared" si="286"/>
        <v>71</v>
      </c>
      <c r="AC1087" s="100">
        <f t="shared" si="287"/>
        <v>0.99315094120598268</v>
      </c>
    </row>
    <row r="1088" spans="4:29" x14ac:dyDescent="0.35">
      <c r="D1088">
        <f t="shared" si="288"/>
        <v>1084</v>
      </c>
      <c r="E1088" s="101">
        <v>2</v>
      </c>
      <c r="F1088" s="4">
        <v>1</v>
      </c>
      <c r="G1088" s="4">
        <v>3</v>
      </c>
      <c r="H1088" s="4">
        <v>3</v>
      </c>
      <c r="I1088" s="4">
        <v>6</v>
      </c>
      <c r="J1088" s="4">
        <v>1</v>
      </c>
      <c r="K1088" s="102">
        <v>3</v>
      </c>
      <c r="M1088" s="101">
        <f t="shared" si="273"/>
        <v>56</v>
      </c>
      <c r="N1088" s="4">
        <f t="shared" si="274"/>
        <v>34</v>
      </c>
      <c r="O1088" s="4">
        <f t="shared" si="275"/>
        <v>23</v>
      </c>
      <c r="P1088" s="4">
        <f t="shared" si="276"/>
        <v>23</v>
      </c>
      <c r="Q1088" s="4">
        <f t="shared" si="277"/>
        <v>45</v>
      </c>
      <c r="R1088" s="4">
        <f t="shared" si="278"/>
        <v>34</v>
      </c>
      <c r="S1088" s="102">
        <f t="shared" si="279"/>
        <v>23</v>
      </c>
      <c r="U1088" s="101">
        <f t="shared" si="280"/>
        <v>78</v>
      </c>
      <c r="V1088" s="4">
        <f t="shared" si="281"/>
        <v>46</v>
      </c>
      <c r="W1088" s="4">
        <f t="shared" si="282"/>
        <v>39</v>
      </c>
      <c r="X1088" s="4">
        <f t="shared" si="283"/>
        <v>39</v>
      </c>
      <c r="Y1088" s="4">
        <f t="shared" si="284"/>
        <v>71</v>
      </c>
      <c r="Z1088" s="4">
        <f t="shared" si="285"/>
        <v>46</v>
      </c>
      <c r="AA1088" s="102">
        <f t="shared" si="286"/>
        <v>39</v>
      </c>
      <c r="AC1088" s="100">
        <f t="shared" si="287"/>
        <v>0.9689897387847648</v>
      </c>
    </row>
    <row r="1089" spans="4:29" x14ac:dyDescent="0.35">
      <c r="D1089">
        <f t="shared" si="288"/>
        <v>1085</v>
      </c>
      <c r="E1089" s="101">
        <v>1</v>
      </c>
      <c r="F1089" s="4">
        <v>6</v>
      </c>
      <c r="G1089" s="4">
        <v>7</v>
      </c>
      <c r="H1089" s="4">
        <v>5</v>
      </c>
      <c r="I1089" s="4">
        <v>7</v>
      </c>
      <c r="J1089" s="4">
        <v>3</v>
      </c>
      <c r="K1089" s="102">
        <v>4</v>
      </c>
      <c r="M1089" s="101">
        <f t="shared" si="273"/>
        <v>34</v>
      </c>
      <c r="N1089" s="4">
        <f t="shared" si="274"/>
        <v>45</v>
      </c>
      <c r="O1089" s="4">
        <f t="shared" si="275"/>
        <v>29</v>
      </c>
      <c r="P1089" s="4">
        <f t="shared" si="276"/>
        <v>30</v>
      </c>
      <c r="Q1089" s="4">
        <f t="shared" si="277"/>
        <v>29</v>
      </c>
      <c r="R1089" s="4">
        <f t="shared" si="278"/>
        <v>23</v>
      </c>
      <c r="S1089" s="102">
        <f t="shared" si="279"/>
        <v>12</v>
      </c>
      <c r="U1089" s="101">
        <f t="shared" si="280"/>
        <v>46</v>
      </c>
      <c r="V1089" s="4">
        <f t="shared" si="281"/>
        <v>71</v>
      </c>
      <c r="W1089" s="4">
        <f t="shared" si="282"/>
        <v>41</v>
      </c>
      <c r="X1089" s="4">
        <f t="shared" si="283"/>
        <v>39</v>
      </c>
      <c r="Y1089" s="4">
        <f t="shared" si="284"/>
        <v>41</v>
      </c>
      <c r="Z1089" s="4">
        <f t="shared" si="285"/>
        <v>39</v>
      </c>
      <c r="AA1089" s="102">
        <f t="shared" si="286"/>
        <v>9</v>
      </c>
      <c r="AC1089" s="100">
        <f t="shared" si="287"/>
        <v>0.97166056163722336</v>
      </c>
    </row>
    <row r="1090" spans="4:29" x14ac:dyDescent="0.35">
      <c r="D1090">
        <f t="shared" si="288"/>
        <v>1086</v>
      </c>
      <c r="E1090" s="101">
        <v>1</v>
      </c>
      <c r="F1090" s="4">
        <v>5</v>
      </c>
      <c r="G1090" s="4">
        <v>1</v>
      </c>
      <c r="H1090" s="4">
        <v>3</v>
      </c>
      <c r="I1090" s="4">
        <v>5</v>
      </c>
      <c r="J1090" s="4">
        <v>1</v>
      </c>
      <c r="K1090" s="102">
        <v>2</v>
      </c>
      <c r="M1090" s="101">
        <f t="shared" si="273"/>
        <v>34</v>
      </c>
      <c r="N1090" s="4">
        <f t="shared" si="274"/>
        <v>30</v>
      </c>
      <c r="O1090" s="4">
        <f t="shared" si="275"/>
        <v>34</v>
      </c>
      <c r="P1090" s="4">
        <f t="shared" si="276"/>
        <v>23</v>
      </c>
      <c r="Q1090" s="4">
        <f t="shared" si="277"/>
        <v>30</v>
      </c>
      <c r="R1090" s="4">
        <f t="shared" si="278"/>
        <v>34</v>
      </c>
      <c r="S1090" s="102">
        <f t="shared" si="279"/>
        <v>56</v>
      </c>
      <c r="U1090" s="101">
        <f t="shared" si="280"/>
        <v>46</v>
      </c>
      <c r="V1090" s="4">
        <f t="shared" si="281"/>
        <v>39</v>
      </c>
      <c r="W1090" s="4">
        <f t="shared" si="282"/>
        <v>46</v>
      </c>
      <c r="X1090" s="4">
        <f t="shared" si="283"/>
        <v>39</v>
      </c>
      <c r="Y1090" s="4">
        <f t="shared" si="284"/>
        <v>39</v>
      </c>
      <c r="Z1090" s="4">
        <f t="shared" si="285"/>
        <v>46</v>
      </c>
      <c r="AA1090" s="102">
        <f t="shared" si="286"/>
        <v>78</v>
      </c>
      <c r="AC1090" s="100">
        <f t="shared" si="287"/>
        <v>0.97183451626018835</v>
      </c>
    </row>
    <row r="1091" spans="4:29" x14ac:dyDescent="0.35">
      <c r="D1091">
        <f t="shared" si="288"/>
        <v>1087</v>
      </c>
      <c r="E1091" s="101">
        <v>2</v>
      </c>
      <c r="F1091" s="4">
        <v>4</v>
      </c>
      <c r="G1091" s="4">
        <v>5</v>
      </c>
      <c r="H1091" s="4">
        <v>4</v>
      </c>
      <c r="I1091" s="4">
        <v>3</v>
      </c>
      <c r="J1091" s="4">
        <v>5</v>
      </c>
      <c r="K1091" s="102">
        <v>7</v>
      </c>
      <c r="M1091" s="101">
        <f t="shared" si="273"/>
        <v>56</v>
      </c>
      <c r="N1091" s="4">
        <f t="shared" si="274"/>
        <v>12</v>
      </c>
      <c r="O1091" s="4">
        <f t="shared" si="275"/>
        <v>30</v>
      </c>
      <c r="P1091" s="4">
        <f t="shared" si="276"/>
        <v>12</v>
      </c>
      <c r="Q1091" s="4">
        <f t="shared" si="277"/>
        <v>23</v>
      </c>
      <c r="R1091" s="4">
        <f t="shared" si="278"/>
        <v>30</v>
      </c>
      <c r="S1091" s="102">
        <f t="shared" si="279"/>
        <v>29</v>
      </c>
      <c r="U1091" s="101">
        <f t="shared" si="280"/>
        <v>78</v>
      </c>
      <c r="V1091" s="4">
        <f t="shared" si="281"/>
        <v>9</v>
      </c>
      <c r="W1091" s="4">
        <f t="shared" si="282"/>
        <v>39</v>
      </c>
      <c r="X1091" s="4">
        <f t="shared" si="283"/>
        <v>9</v>
      </c>
      <c r="Y1091" s="4">
        <f t="shared" si="284"/>
        <v>39</v>
      </c>
      <c r="Z1091" s="4">
        <f t="shared" si="285"/>
        <v>39</v>
      </c>
      <c r="AA1091" s="102">
        <f t="shared" si="286"/>
        <v>41</v>
      </c>
      <c r="AC1091" s="100">
        <f t="shared" si="287"/>
        <v>0.98004267098804021</v>
      </c>
    </row>
    <row r="1092" spans="4:29" x14ac:dyDescent="0.35">
      <c r="D1092">
        <f t="shared" si="288"/>
        <v>1088</v>
      </c>
      <c r="E1092" s="101">
        <v>2</v>
      </c>
      <c r="F1092" s="4">
        <v>3</v>
      </c>
      <c r="G1092" s="4">
        <v>3</v>
      </c>
      <c r="H1092" s="4">
        <v>7</v>
      </c>
      <c r="I1092" s="4">
        <v>7</v>
      </c>
      <c r="J1092" s="4">
        <v>7</v>
      </c>
      <c r="K1092" s="102">
        <v>2</v>
      </c>
      <c r="M1092" s="101">
        <f t="shared" si="273"/>
        <v>56</v>
      </c>
      <c r="N1092" s="4">
        <f t="shared" si="274"/>
        <v>23</v>
      </c>
      <c r="O1092" s="4">
        <f t="shared" si="275"/>
        <v>23</v>
      </c>
      <c r="P1092" s="4">
        <f t="shared" si="276"/>
        <v>29</v>
      </c>
      <c r="Q1092" s="4">
        <f t="shared" si="277"/>
        <v>29</v>
      </c>
      <c r="R1092" s="4">
        <f t="shared" si="278"/>
        <v>29</v>
      </c>
      <c r="S1092" s="102">
        <f t="shared" si="279"/>
        <v>56</v>
      </c>
      <c r="U1092" s="101">
        <f t="shared" si="280"/>
        <v>78</v>
      </c>
      <c r="V1092" s="4">
        <f t="shared" si="281"/>
        <v>39</v>
      </c>
      <c r="W1092" s="4">
        <f t="shared" si="282"/>
        <v>39</v>
      </c>
      <c r="X1092" s="4">
        <f t="shared" si="283"/>
        <v>41</v>
      </c>
      <c r="Y1092" s="4">
        <f t="shared" si="284"/>
        <v>41</v>
      </c>
      <c r="Z1092" s="4">
        <f t="shared" si="285"/>
        <v>41</v>
      </c>
      <c r="AA1092" s="102">
        <f t="shared" si="286"/>
        <v>78</v>
      </c>
      <c r="AC1092" s="100">
        <f t="shared" si="287"/>
        <v>0.9907048067958576</v>
      </c>
    </row>
    <row r="1093" spans="4:29" x14ac:dyDescent="0.35">
      <c r="D1093">
        <f t="shared" si="288"/>
        <v>1089</v>
      </c>
      <c r="E1093" s="101">
        <v>1</v>
      </c>
      <c r="F1093" s="4">
        <v>2</v>
      </c>
      <c r="G1093" s="4">
        <v>7</v>
      </c>
      <c r="H1093" s="4">
        <v>2</v>
      </c>
      <c r="I1093" s="4">
        <v>1</v>
      </c>
      <c r="J1093" s="4">
        <v>2</v>
      </c>
      <c r="K1093" s="102">
        <v>2</v>
      </c>
      <c r="M1093" s="101">
        <f t="shared" si="273"/>
        <v>34</v>
      </c>
      <c r="N1093" s="4">
        <f t="shared" si="274"/>
        <v>56</v>
      </c>
      <c r="O1093" s="4">
        <f t="shared" si="275"/>
        <v>29</v>
      </c>
      <c r="P1093" s="4">
        <f t="shared" si="276"/>
        <v>56</v>
      </c>
      <c r="Q1093" s="4">
        <f t="shared" si="277"/>
        <v>34</v>
      </c>
      <c r="R1093" s="4">
        <f t="shared" si="278"/>
        <v>56</v>
      </c>
      <c r="S1093" s="102">
        <f t="shared" si="279"/>
        <v>56</v>
      </c>
      <c r="U1093" s="101">
        <f t="shared" si="280"/>
        <v>46</v>
      </c>
      <c r="V1093" s="4">
        <f t="shared" si="281"/>
        <v>78</v>
      </c>
      <c r="W1093" s="4">
        <f t="shared" si="282"/>
        <v>41</v>
      </c>
      <c r="X1093" s="4">
        <f t="shared" si="283"/>
        <v>78</v>
      </c>
      <c r="Y1093" s="4">
        <f t="shared" si="284"/>
        <v>46</v>
      </c>
      <c r="Z1093" s="4">
        <f t="shared" si="285"/>
        <v>78</v>
      </c>
      <c r="AA1093" s="102">
        <f t="shared" si="286"/>
        <v>78</v>
      </c>
      <c r="AC1093" s="100">
        <f t="shared" si="287"/>
        <v>0.99925348200731701</v>
      </c>
    </row>
    <row r="1094" spans="4:29" x14ac:dyDescent="0.35">
      <c r="D1094">
        <f t="shared" si="288"/>
        <v>1090</v>
      </c>
      <c r="E1094" s="101">
        <v>2</v>
      </c>
      <c r="F1094" s="4">
        <v>2</v>
      </c>
      <c r="G1094" s="4">
        <v>7</v>
      </c>
      <c r="H1094" s="4">
        <v>7</v>
      </c>
      <c r="I1094" s="4">
        <v>6</v>
      </c>
      <c r="J1094" s="4">
        <v>6</v>
      </c>
      <c r="K1094" s="102">
        <v>5</v>
      </c>
      <c r="M1094" s="101">
        <f t="shared" ref="M1094:M1157" si="289">INDEX($A$5:$A$11,E1094)</f>
        <v>56</v>
      </c>
      <c r="N1094" s="4">
        <f t="shared" ref="N1094:N1157" si="290">INDEX($A$5:$A$11,F1094)</f>
        <v>56</v>
      </c>
      <c r="O1094" s="4">
        <f t="shared" ref="O1094:O1157" si="291">INDEX($A$5:$A$11,G1094)</f>
        <v>29</v>
      </c>
      <c r="P1094" s="4">
        <f t="shared" ref="P1094:P1157" si="292">INDEX($A$5:$A$11,H1094)</f>
        <v>29</v>
      </c>
      <c r="Q1094" s="4">
        <f t="shared" ref="Q1094:Q1157" si="293">INDEX($A$5:$A$11,I1094)</f>
        <v>45</v>
      </c>
      <c r="R1094" s="4">
        <f t="shared" ref="R1094:R1157" si="294">INDEX($A$5:$A$11,J1094)</f>
        <v>45</v>
      </c>
      <c r="S1094" s="102">
        <f t="shared" ref="S1094:S1157" si="295">INDEX($A$5:$A$11,K1094)</f>
        <v>30</v>
      </c>
      <c r="U1094" s="101">
        <f t="shared" ref="U1094:U1157" si="296">INDEX($B$5:$B$11,E1094)</f>
        <v>78</v>
      </c>
      <c r="V1094" s="4">
        <f t="shared" ref="V1094:V1157" si="297">INDEX($B$5:$B$11,F1094)</f>
        <v>78</v>
      </c>
      <c r="W1094" s="4">
        <f t="shared" ref="W1094:W1157" si="298">INDEX($B$5:$B$11,G1094)</f>
        <v>41</v>
      </c>
      <c r="X1094" s="4">
        <f t="shared" ref="X1094:X1157" si="299">INDEX($B$5:$B$11,H1094)</f>
        <v>41</v>
      </c>
      <c r="Y1094" s="4">
        <f t="shared" ref="Y1094:Y1157" si="300">INDEX($B$5:$B$11,I1094)</f>
        <v>71</v>
      </c>
      <c r="Z1094" s="4">
        <f t="shared" ref="Z1094:Z1157" si="301">INDEX($B$5:$B$11,J1094)</f>
        <v>71</v>
      </c>
      <c r="AA1094" s="102">
        <f t="shared" ref="AA1094:AA1157" si="302">INDEX($B$5:$B$11,K1094)</f>
        <v>39</v>
      </c>
      <c r="AC1094" s="100">
        <f t="shared" ref="AC1094:AC1157" si="303">CORREL(M1094:S1094,U1094:AA1094)</f>
        <v>0.97333563699818659</v>
      </c>
    </row>
    <row r="1095" spans="4:29" x14ac:dyDescent="0.35">
      <c r="D1095">
        <f t="shared" ref="D1095:D1158" si="304">D1094+1</f>
        <v>1091</v>
      </c>
      <c r="E1095" s="101">
        <v>6</v>
      </c>
      <c r="F1095" s="4">
        <v>4</v>
      </c>
      <c r="G1095" s="4">
        <v>1</v>
      </c>
      <c r="H1095" s="4">
        <v>1</v>
      </c>
      <c r="I1095" s="4">
        <v>4</v>
      </c>
      <c r="J1095" s="4">
        <v>4</v>
      </c>
      <c r="K1095" s="102">
        <v>2</v>
      </c>
      <c r="M1095" s="101">
        <f t="shared" si="289"/>
        <v>45</v>
      </c>
      <c r="N1095" s="4">
        <f t="shared" si="290"/>
        <v>12</v>
      </c>
      <c r="O1095" s="4">
        <f t="shared" si="291"/>
        <v>34</v>
      </c>
      <c r="P1095" s="4">
        <f t="shared" si="292"/>
        <v>34</v>
      </c>
      <c r="Q1095" s="4">
        <f t="shared" si="293"/>
        <v>12</v>
      </c>
      <c r="R1095" s="4">
        <f t="shared" si="294"/>
        <v>12</v>
      </c>
      <c r="S1095" s="102">
        <f t="shared" si="295"/>
        <v>56</v>
      </c>
      <c r="U1095" s="101">
        <f t="shared" si="296"/>
        <v>71</v>
      </c>
      <c r="V1095" s="4">
        <f t="shared" si="297"/>
        <v>9</v>
      </c>
      <c r="W1095" s="4">
        <f t="shared" si="298"/>
        <v>46</v>
      </c>
      <c r="X1095" s="4">
        <f t="shared" si="299"/>
        <v>46</v>
      </c>
      <c r="Y1095" s="4">
        <f t="shared" si="300"/>
        <v>9</v>
      </c>
      <c r="Z1095" s="4">
        <f t="shared" si="301"/>
        <v>9</v>
      </c>
      <c r="AA1095" s="102">
        <f t="shared" si="302"/>
        <v>78</v>
      </c>
      <c r="AC1095" s="100">
        <f t="shared" si="303"/>
        <v>0.99376179727796976</v>
      </c>
    </row>
    <row r="1096" spans="4:29" x14ac:dyDescent="0.35">
      <c r="D1096">
        <f t="shared" si="304"/>
        <v>1092</v>
      </c>
      <c r="E1096" s="101">
        <v>6</v>
      </c>
      <c r="F1096" s="4">
        <v>4</v>
      </c>
      <c r="G1096" s="4">
        <v>4</v>
      </c>
      <c r="H1096" s="4">
        <v>6</v>
      </c>
      <c r="I1096" s="4">
        <v>4</v>
      </c>
      <c r="J1096" s="4">
        <v>3</v>
      </c>
      <c r="K1096" s="102">
        <v>3</v>
      </c>
      <c r="M1096" s="101">
        <f t="shared" si="289"/>
        <v>45</v>
      </c>
      <c r="N1096" s="4">
        <f t="shared" si="290"/>
        <v>12</v>
      </c>
      <c r="O1096" s="4">
        <f t="shared" si="291"/>
        <v>12</v>
      </c>
      <c r="P1096" s="4">
        <f t="shared" si="292"/>
        <v>45</v>
      </c>
      <c r="Q1096" s="4">
        <f t="shared" si="293"/>
        <v>12</v>
      </c>
      <c r="R1096" s="4">
        <f t="shared" si="294"/>
        <v>23</v>
      </c>
      <c r="S1096" s="102">
        <f t="shared" si="295"/>
        <v>23</v>
      </c>
      <c r="U1096" s="101">
        <f t="shared" si="296"/>
        <v>71</v>
      </c>
      <c r="V1096" s="4">
        <f t="shared" si="297"/>
        <v>9</v>
      </c>
      <c r="W1096" s="4">
        <f t="shared" si="298"/>
        <v>9</v>
      </c>
      <c r="X1096" s="4">
        <f t="shared" si="299"/>
        <v>71</v>
      </c>
      <c r="Y1096" s="4">
        <f t="shared" si="300"/>
        <v>9</v>
      </c>
      <c r="Z1096" s="4">
        <f t="shared" si="301"/>
        <v>39</v>
      </c>
      <c r="AA1096" s="102">
        <f t="shared" si="302"/>
        <v>39</v>
      </c>
      <c r="AC1096" s="100">
        <f t="shared" si="303"/>
        <v>0.98660366100734687</v>
      </c>
    </row>
    <row r="1097" spans="4:29" x14ac:dyDescent="0.35">
      <c r="D1097">
        <f t="shared" si="304"/>
        <v>1093</v>
      </c>
      <c r="E1097" s="101">
        <v>3</v>
      </c>
      <c r="F1097" s="4">
        <v>3</v>
      </c>
      <c r="G1097" s="4">
        <v>2</v>
      </c>
      <c r="H1097" s="4">
        <v>6</v>
      </c>
      <c r="I1097" s="4">
        <v>1</v>
      </c>
      <c r="J1097" s="4">
        <v>2</v>
      </c>
      <c r="K1097" s="102">
        <v>5</v>
      </c>
      <c r="M1097" s="101">
        <f t="shared" si="289"/>
        <v>23</v>
      </c>
      <c r="N1097" s="4">
        <f t="shared" si="290"/>
        <v>23</v>
      </c>
      <c r="O1097" s="4">
        <f t="shared" si="291"/>
        <v>56</v>
      </c>
      <c r="P1097" s="4">
        <f t="shared" si="292"/>
        <v>45</v>
      </c>
      <c r="Q1097" s="4">
        <f t="shared" si="293"/>
        <v>34</v>
      </c>
      <c r="R1097" s="4">
        <f t="shared" si="294"/>
        <v>56</v>
      </c>
      <c r="S1097" s="102">
        <f t="shared" si="295"/>
        <v>30</v>
      </c>
      <c r="U1097" s="101">
        <f t="shared" si="296"/>
        <v>39</v>
      </c>
      <c r="V1097" s="4">
        <f t="shared" si="297"/>
        <v>39</v>
      </c>
      <c r="W1097" s="4">
        <f t="shared" si="298"/>
        <v>78</v>
      </c>
      <c r="X1097" s="4">
        <f t="shared" si="299"/>
        <v>71</v>
      </c>
      <c r="Y1097" s="4">
        <f t="shared" si="300"/>
        <v>46</v>
      </c>
      <c r="Z1097" s="4">
        <f t="shared" si="301"/>
        <v>78</v>
      </c>
      <c r="AA1097" s="102">
        <f t="shared" si="302"/>
        <v>39</v>
      </c>
      <c r="AC1097" s="100">
        <f t="shared" si="303"/>
        <v>0.97273126225198758</v>
      </c>
    </row>
    <row r="1098" spans="4:29" x14ac:dyDescent="0.35">
      <c r="D1098">
        <f t="shared" si="304"/>
        <v>1094</v>
      </c>
      <c r="E1098" s="101">
        <v>4</v>
      </c>
      <c r="F1098" s="4">
        <v>5</v>
      </c>
      <c r="G1098" s="4">
        <v>2</v>
      </c>
      <c r="H1098" s="4">
        <v>5</v>
      </c>
      <c r="I1098" s="4">
        <v>5</v>
      </c>
      <c r="J1098" s="4">
        <v>1</v>
      </c>
      <c r="K1098" s="102">
        <v>3</v>
      </c>
      <c r="M1098" s="101">
        <f t="shared" si="289"/>
        <v>12</v>
      </c>
      <c r="N1098" s="4">
        <f t="shared" si="290"/>
        <v>30</v>
      </c>
      <c r="O1098" s="4">
        <f t="shared" si="291"/>
        <v>56</v>
      </c>
      <c r="P1098" s="4">
        <f t="shared" si="292"/>
        <v>30</v>
      </c>
      <c r="Q1098" s="4">
        <f t="shared" si="293"/>
        <v>30</v>
      </c>
      <c r="R1098" s="4">
        <f t="shared" si="294"/>
        <v>34</v>
      </c>
      <c r="S1098" s="102">
        <f t="shared" si="295"/>
        <v>23</v>
      </c>
      <c r="U1098" s="101">
        <f t="shared" si="296"/>
        <v>9</v>
      </c>
      <c r="V1098" s="4">
        <f t="shared" si="297"/>
        <v>39</v>
      </c>
      <c r="W1098" s="4">
        <f t="shared" si="298"/>
        <v>78</v>
      </c>
      <c r="X1098" s="4">
        <f t="shared" si="299"/>
        <v>39</v>
      </c>
      <c r="Y1098" s="4">
        <f t="shared" si="300"/>
        <v>39</v>
      </c>
      <c r="Z1098" s="4">
        <f t="shared" si="301"/>
        <v>46</v>
      </c>
      <c r="AA1098" s="102">
        <f t="shared" si="302"/>
        <v>39</v>
      </c>
      <c r="AC1098" s="100">
        <f t="shared" si="303"/>
        <v>0.97724398115851874</v>
      </c>
    </row>
    <row r="1099" spans="4:29" x14ac:dyDescent="0.35">
      <c r="D1099">
        <f t="shared" si="304"/>
        <v>1095</v>
      </c>
      <c r="E1099" s="101">
        <v>7</v>
      </c>
      <c r="F1099" s="4">
        <v>5</v>
      </c>
      <c r="G1099" s="4">
        <v>5</v>
      </c>
      <c r="H1099" s="4">
        <v>3</v>
      </c>
      <c r="I1099" s="4">
        <v>4</v>
      </c>
      <c r="J1099" s="4">
        <v>7</v>
      </c>
      <c r="K1099" s="102">
        <v>5</v>
      </c>
      <c r="M1099" s="101">
        <f t="shared" si="289"/>
        <v>29</v>
      </c>
      <c r="N1099" s="4">
        <f t="shared" si="290"/>
        <v>30</v>
      </c>
      <c r="O1099" s="4">
        <f t="shared" si="291"/>
        <v>30</v>
      </c>
      <c r="P1099" s="4">
        <f t="shared" si="292"/>
        <v>23</v>
      </c>
      <c r="Q1099" s="4">
        <f t="shared" si="293"/>
        <v>12</v>
      </c>
      <c r="R1099" s="4">
        <f t="shared" si="294"/>
        <v>29</v>
      </c>
      <c r="S1099" s="102">
        <f t="shared" si="295"/>
        <v>30</v>
      </c>
      <c r="U1099" s="101">
        <f t="shared" si="296"/>
        <v>41</v>
      </c>
      <c r="V1099" s="4">
        <f t="shared" si="297"/>
        <v>39</v>
      </c>
      <c r="W1099" s="4">
        <f t="shared" si="298"/>
        <v>39</v>
      </c>
      <c r="X1099" s="4">
        <f t="shared" si="299"/>
        <v>39</v>
      </c>
      <c r="Y1099" s="4">
        <f t="shared" si="300"/>
        <v>9</v>
      </c>
      <c r="Z1099" s="4">
        <f t="shared" si="301"/>
        <v>41</v>
      </c>
      <c r="AA1099" s="102">
        <f t="shared" si="302"/>
        <v>39</v>
      </c>
      <c r="AC1099" s="100">
        <f t="shared" si="303"/>
        <v>0.92940821097636983</v>
      </c>
    </row>
    <row r="1100" spans="4:29" x14ac:dyDescent="0.35">
      <c r="D1100">
        <f t="shared" si="304"/>
        <v>1096</v>
      </c>
      <c r="E1100" s="101">
        <v>6</v>
      </c>
      <c r="F1100" s="4">
        <v>5</v>
      </c>
      <c r="G1100" s="4">
        <v>5</v>
      </c>
      <c r="H1100" s="4">
        <v>5</v>
      </c>
      <c r="I1100" s="4">
        <v>7</v>
      </c>
      <c r="J1100" s="4">
        <v>6</v>
      </c>
      <c r="K1100" s="102">
        <v>2</v>
      </c>
      <c r="M1100" s="101">
        <f t="shared" si="289"/>
        <v>45</v>
      </c>
      <c r="N1100" s="4">
        <f t="shared" si="290"/>
        <v>30</v>
      </c>
      <c r="O1100" s="4">
        <f t="shared" si="291"/>
        <v>30</v>
      </c>
      <c r="P1100" s="4">
        <f t="shared" si="292"/>
        <v>30</v>
      </c>
      <c r="Q1100" s="4">
        <f t="shared" si="293"/>
        <v>29</v>
      </c>
      <c r="R1100" s="4">
        <f t="shared" si="294"/>
        <v>45</v>
      </c>
      <c r="S1100" s="102">
        <f t="shared" si="295"/>
        <v>56</v>
      </c>
      <c r="U1100" s="101">
        <f t="shared" si="296"/>
        <v>71</v>
      </c>
      <c r="V1100" s="4">
        <f t="shared" si="297"/>
        <v>39</v>
      </c>
      <c r="W1100" s="4">
        <f t="shared" si="298"/>
        <v>39</v>
      </c>
      <c r="X1100" s="4">
        <f t="shared" si="299"/>
        <v>39</v>
      </c>
      <c r="Y1100" s="4">
        <f t="shared" si="300"/>
        <v>41</v>
      </c>
      <c r="Z1100" s="4">
        <f t="shared" si="301"/>
        <v>71</v>
      </c>
      <c r="AA1100" s="102">
        <f t="shared" si="302"/>
        <v>78</v>
      </c>
      <c r="AC1100" s="100">
        <f t="shared" si="303"/>
        <v>0.97345955619820501</v>
      </c>
    </row>
    <row r="1101" spans="4:29" x14ac:dyDescent="0.35">
      <c r="D1101">
        <f t="shared" si="304"/>
        <v>1097</v>
      </c>
      <c r="E1101" s="101">
        <v>2</v>
      </c>
      <c r="F1101" s="4">
        <v>2</v>
      </c>
      <c r="G1101" s="4">
        <v>3</v>
      </c>
      <c r="H1101" s="4">
        <v>5</v>
      </c>
      <c r="I1101" s="4">
        <v>3</v>
      </c>
      <c r="J1101" s="4">
        <v>1</v>
      </c>
      <c r="K1101" s="102">
        <v>4</v>
      </c>
      <c r="M1101" s="101">
        <f t="shared" si="289"/>
        <v>56</v>
      </c>
      <c r="N1101" s="4">
        <f t="shared" si="290"/>
        <v>56</v>
      </c>
      <c r="O1101" s="4">
        <f t="shared" si="291"/>
        <v>23</v>
      </c>
      <c r="P1101" s="4">
        <f t="shared" si="292"/>
        <v>30</v>
      </c>
      <c r="Q1101" s="4">
        <f t="shared" si="293"/>
        <v>23</v>
      </c>
      <c r="R1101" s="4">
        <f t="shared" si="294"/>
        <v>34</v>
      </c>
      <c r="S1101" s="102">
        <f t="shared" si="295"/>
        <v>12</v>
      </c>
      <c r="U1101" s="101">
        <f t="shared" si="296"/>
        <v>78</v>
      </c>
      <c r="V1101" s="4">
        <f t="shared" si="297"/>
        <v>78</v>
      </c>
      <c r="W1101" s="4">
        <f t="shared" si="298"/>
        <v>39</v>
      </c>
      <c r="X1101" s="4">
        <f t="shared" si="299"/>
        <v>39</v>
      </c>
      <c r="Y1101" s="4">
        <f t="shared" si="300"/>
        <v>39</v>
      </c>
      <c r="Z1101" s="4">
        <f t="shared" si="301"/>
        <v>46</v>
      </c>
      <c r="AA1101" s="102">
        <f t="shared" si="302"/>
        <v>9</v>
      </c>
      <c r="AC1101" s="100">
        <f t="shared" si="303"/>
        <v>0.97654110178447284</v>
      </c>
    </row>
    <row r="1102" spans="4:29" x14ac:dyDescent="0.35">
      <c r="D1102">
        <f t="shared" si="304"/>
        <v>1098</v>
      </c>
      <c r="E1102" s="101">
        <v>1</v>
      </c>
      <c r="F1102" s="4">
        <v>6</v>
      </c>
      <c r="G1102" s="4">
        <v>4</v>
      </c>
      <c r="H1102" s="4">
        <v>5</v>
      </c>
      <c r="I1102" s="4">
        <v>1</v>
      </c>
      <c r="J1102" s="4">
        <v>3</v>
      </c>
      <c r="K1102" s="102">
        <v>5</v>
      </c>
      <c r="M1102" s="101">
        <f t="shared" si="289"/>
        <v>34</v>
      </c>
      <c r="N1102" s="4">
        <f t="shared" si="290"/>
        <v>45</v>
      </c>
      <c r="O1102" s="4">
        <f t="shared" si="291"/>
        <v>12</v>
      </c>
      <c r="P1102" s="4">
        <f t="shared" si="292"/>
        <v>30</v>
      </c>
      <c r="Q1102" s="4">
        <f t="shared" si="293"/>
        <v>34</v>
      </c>
      <c r="R1102" s="4">
        <f t="shared" si="294"/>
        <v>23</v>
      </c>
      <c r="S1102" s="102">
        <f t="shared" si="295"/>
        <v>30</v>
      </c>
      <c r="U1102" s="101">
        <f t="shared" si="296"/>
        <v>46</v>
      </c>
      <c r="V1102" s="4">
        <f t="shared" si="297"/>
        <v>71</v>
      </c>
      <c r="W1102" s="4">
        <f t="shared" si="298"/>
        <v>9</v>
      </c>
      <c r="X1102" s="4">
        <f t="shared" si="299"/>
        <v>39</v>
      </c>
      <c r="Y1102" s="4">
        <f t="shared" si="300"/>
        <v>46</v>
      </c>
      <c r="Z1102" s="4">
        <f t="shared" si="301"/>
        <v>39</v>
      </c>
      <c r="AA1102" s="102">
        <f t="shared" si="302"/>
        <v>39</v>
      </c>
      <c r="AC1102" s="100">
        <f t="shared" si="303"/>
        <v>0.9666140870712483</v>
      </c>
    </row>
    <row r="1103" spans="4:29" x14ac:dyDescent="0.35">
      <c r="D1103">
        <f t="shared" si="304"/>
        <v>1099</v>
      </c>
      <c r="E1103" s="101">
        <v>7</v>
      </c>
      <c r="F1103" s="4">
        <v>7</v>
      </c>
      <c r="G1103" s="4">
        <v>3</v>
      </c>
      <c r="H1103" s="4">
        <v>1</v>
      </c>
      <c r="I1103" s="4">
        <v>2</v>
      </c>
      <c r="J1103" s="4">
        <v>1</v>
      </c>
      <c r="K1103" s="102">
        <v>1</v>
      </c>
      <c r="M1103" s="101">
        <f t="shared" si="289"/>
        <v>29</v>
      </c>
      <c r="N1103" s="4">
        <f t="shared" si="290"/>
        <v>29</v>
      </c>
      <c r="O1103" s="4">
        <f t="shared" si="291"/>
        <v>23</v>
      </c>
      <c r="P1103" s="4">
        <f t="shared" si="292"/>
        <v>34</v>
      </c>
      <c r="Q1103" s="4">
        <f t="shared" si="293"/>
        <v>56</v>
      </c>
      <c r="R1103" s="4">
        <f t="shared" si="294"/>
        <v>34</v>
      </c>
      <c r="S1103" s="102">
        <f t="shared" si="295"/>
        <v>34</v>
      </c>
      <c r="U1103" s="101">
        <f t="shared" si="296"/>
        <v>41</v>
      </c>
      <c r="V1103" s="4">
        <f t="shared" si="297"/>
        <v>41</v>
      </c>
      <c r="W1103" s="4">
        <f t="shared" si="298"/>
        <v>39</v>
      </c>
      <c r="X1103" s="4">
        <f t="shared" si="299"/>
        <v>46</v>
      </c>
      <c r="Y1103" s="4">
        <f t="shared" si="300"/>
        <v>78</v>
      </c>
      <c r="Z1103" s="4">
        <f t="shared" si="301"/>
        <v>46</v>
      </c>
      <c r="AA1103" s="102">
        <f t="shared" si="302"/>
        <v>46</v>
      </c>
      <c r="AC1103" s="100">
        <f t="shared" si="303"/>
        <v>0.98066902963498448</v>
      </c>
    </row>
    <row r="1104" spans="4:29" x14ac:dyDescent="0.35">
      <c r="D1104">
        <f t="shared" si="304"/>
        <v>1100</v>
      </c>
      <c r="E1104" s="101">
        <v>7</v>
      </c>
      <c r="F1104" s="4">
        <v>5</v>
      </c>
      <c r="G1104" s="4">
        <v>1</v>
      </c>
      <c r="H1104" s="4">
        <v>3</v>
      </c>
      <c r="I1104" s="4">
        <v>2</v>
      </c>
      <c r="J1104" s="4">
        <v>5</v>
      </c>
      <c r="K1104" s="102">
        <v>4</v>
      </c>
      <c r="M1104" s="101">
        <f t="shared" si="289"/>
        <v>29</v>
      </c>
      <c r="N1104" s="4">
        <f t="shared" si="290"/>
        <v>30</v>
      </c>
      <c r="O1104" s="4">
        <f t="shared" si="291"/>
        <v>34</v>
      </c>
      <c r="P1104" s="4">
        <f t="shared" si="292"/>
        <v>23</v>
      </c>
      <c r="Q1104" s="4">
        <f t="shared" si="293"/>
        <v>56</v>
      </c>
      <c r="R1104" s="4">
        <f t="shared" si="294"/>
        <v>30</v>
      </c>
      <c r="S1104" s="102">
        <f t="shared" si="295"/>
        <v>12</v>
      </c>
      <c r="U1104" s="101">
        <f t="shared" si="296"/>
        <v>41</v>
      </c>
      <c r="V1104" s="4">
        <f t="shared" si="297"/>
        <v>39</v>
      </c>
      <c r="W1104" s="4">
        <f t="shared" si="298"/>
        <v>46</v>
      </c>
      <c r="X1104" s="4">
        <f t="shared" si="299"/>
        <v>39</v>
      </c>
      <c r="Y1104" s="4">
        <f t="shared" si="300"/>
        <v>78</v>
      </c>
      <c r="Z1104" s="4">
        <f t="shared" si="301"/>
        <v>39</v>
      </c>
      <c r="AA1104" s="102">
        <f t="shared" si="302"/>
        <v>9</v>
      </c>
      <c r="AC1104" s="100">
        <f t="shared" si="303"/>
        <v>0.97680827001719739</v>
      </c>
    </row>
    <row r="1105" spans="4:29" x14ac:dyDescent="0.35">
      <c r="D1105">
        <f t="shared" si="304"/>
        <v>1101</v>
      </c>
      <c r="E1105" s="101">
        <v>6</v>
      </c>
      <c r="F1105" s="4">
        <v>7</v>
      </c>
      <c r="G1105" s="4">
        <v>6</v>
      </c>
      <c r="H1105" s="4">
        <v>4</v>
      </c>
      <c r="I1105" s="4">
        <v>6</v>
      </c>
      <c r="J1105" s="4">
        <v>7</v>
      </c>
      <c r="K1105" s="102">
        <v>4</v>
      </c>
      <c r="M1105" s="101">
        <f t="shared" si="289"/>
        <v>45</v>
      </c>
      <c r="N1105" s="4">
        <f t="shared" si="290"/>
        <v>29</v>
      </c>
      <c r="O1105" s="4">
        <f t="shared" si="291"/>
        <v>45</v>
      </c>
      <c r="P1105" s="4">
        <f t="shared" si="292"/>
        <v>12</v>
      </c>
      <c r="Q1105" s="4">
        <f t="shared" si="293"/>
        <v>45</v>
      </c>
      <c r="R1105" s="4">
        <f t="shared" si="294"/>
        <v>29</v>
      </c>
      <c r="S1105" s="102">
        <f t="shared" si="295"/>
        <v>12</v>
      </c>
      <c r="U1105" s="101">
        <f t="shared" si="296"/>
        <v>71</v>
      </c>
      <c r="V1105" s="4">
        <f t="shared" si="297"/>
        <v>41</v>
      </c>
      <c r="W1105" s="4">
        <f t="shared" si="298"/>
        <v>71</v>
      </c>
      <c r="X1105" s="4">
        <f t="shared" si="299"/>
        <v>9</v>
      </c>
      <c r="Y1105" s="4">
        <f t="shared" si="300"/>
        <v>71</v>
      </c>
      <c r="Z1105" s="4">
        <f t="shared" si="301"/>
        <v>41</v>
      </c>
      <c r="AA1105" s="102">
        <f t="shared" si="302"/>
        <v>9</v>
      </c>
      <c r="AC1105" s="100">
        <f t="shared" si="303"/>
        <v>0.9999994407428352</v>
      </c>
    </row>
    <row r="1106" spans="4:29" x14ac:dyDescent="0.35">
      <c r="D1106">
        <f t="shared" si="304"/>
        <v>1102</v>
      </c>
      <c r="E1106" s="101">
        <v>2</v>
      </c>
      <c r="F1106" s="4">
        <v>7</v>
      </c>
      <c r="G1106" s="4">
        <v>6</v>
      </c>
      <c r="H1106" s="4">
        <v>7</v>
      </c>
      <c r="I1106" s="4">
        <v>1</v>
      </c>
      <c r="J1106" s="4">
        <v>2</v>
      </c>
      <c r="K1106" s="102">
        <v>5</v>
      </c>
      <c r="M1106" s="101">
        <f t="shared" si="289"/>
        <v>56</v>
      </c>
      <c r="N1106" s="4">
        <f t="shared" si="290"/>
        <v>29</v>
      </c>
      <c r="O1106" s="4">
        <f t="shared" si="291"/>
        <v>45</v>
      </c>
      <c r="P1106" s="4">
        <f t="shared" si="292"/>
        <v>29</v>
      </c>
      <c r="Q1106" s="4">
        <f t="shared" si="293"/>
        <v>34</v>
      </c>
      <c r="R1106" s="4">
        <f t="shared" si="294"/>
        <v>56</v>
      </c>
      <c r="S1106" s="102">
        <f t="shared" si="295"/>
        <v>30</v>
      </c>
      <c r="U1106" s="101">
        <f t="shared" si="296"/>
        <v>78</v>
      </c>
      <c r="V1106" s="4">
        <f t="shared" si="297"/>
        <v>41</v>
      </c>
      <c r="W1106" s="4">
        <f t="shared" si="298"/>
        <v>71</v>
      </c>
      <c r="X1106" s="4">
        <f t="shared" si="299"/>
        <v>41</v>
      </c>
      <c r="Y1106" s="4">
        <f t="shared" si="300"/>
        <v>46</v>
      </c>
      <c r="Z1106" s="4">
        <f t="shared" si="301"/>
        <v>78</v>
      </c>
      <c r="AA1106" s="102">
        <f t="shared" si="302"/>
        <v>39</v>
      </c>
      <c r="AC1106" s="100">
        <f t="shared" si="303"/>
        <v>0.9824168814030334</v>
      </c>
    </row>
    <row r="1107" spans="4:29" x14ac:dyDescent="0.35">
      <c r="D1107">
        <f t="shared" si="304"/>
        <v>1103</v>
      </c>
      <c r="E1107" s="101">
        <v>1</v>
      </c>
      <c r="F1107" s="4">
        <v>1</v>
      </c>
      <c r="G1107" s="4">
        <v>3</v>
      </c>
      <c r="H1107" s="4">
        <v>2</v>
      </c>
      <c r="I1107" s="4">
        <v>1</v>
      </c>
      <c r="J1107" s="4">
        <v>2</v>
      </c>
      <c r="K1107" s="102">
        <v>7</v>
      </c>
      <c r="M1107" s="101">
        <f t="shared" si="289"/>
        <v>34</v>
      </c>
      <c r="N1107" s="4">
        <f t="shared" si="290"/>
        <v>34</v>
      </c>
      <c r="O1107" s="4">
        <f t="shared" si="291"/>
        <v>23</v>
      </c>
      <c r="P1107" s="4">
        <f t="shared" si="292"/>
        <v>56</v>
      </c>
      <c r="Q1107" s="4">
        <f t="shared" si="293"/>
        <v>34</v>
      </c>
      <c r="R1107" s="4">
        <f t="shared" si="294"/>
        <v>56</v>
      </c>
      <c r="S1107" s="102">
        <f t="shared" si="295"/>
        <v>29</v>
      </c>
      <c r="U1107" s="101">
        <f t="shared" si="296"/>
        <v>46</v>
      </c>
      <c r="V1107" s="4">
        <f t="shared" si="297"/>
        <v>46</v>
      </c>
      <c r="W1107" s="4">
        <f t="shared" si="298"/>
        <v>39</v>
      </c>
      <c r="X1107" s="4">
        <f t="shared" si="299"/>
        <v>78</v>
      </c>
      <c r="Y1107" s="4">
        <f t="shared" si="300"/>
        <v>46</v>
      </c>
      <c r="Z1107" s="4">
        <f t="shared" si="301"/>
        <v>78</v>
      </c>
      <c r="AA1107" s="102">
        <f t="shared" si="302"/>
        <v>41</v>
      </c>
      <c r="AC1107" s="100">
        <f t="shared" si="303"/>
        <v>0.98727469232454845</v>
      </c>
    </row>
    <row r="1108" spans="4:29" x14ac:dyDescent="0.35">
      <c r="D1108">
        <f t="shared" si="304"/>
        <v>1104</v>
      </c>
      <c r="E1108" s="101">
        <v>3</v>
      </c>
      <c r="F1108" s="4">
        <v>2</v>
      </c>
      <c r="G1108" s="4">
        <v>1</v>
      </c>
      <c r="H1108" s="4">
        <v>2</v>
      </c>
      <c r="I1108" s="4">
        <v>3</v>
      </c>
      <c r="J1108" s="4">
        <v>3</v>
      </c>
      <c r="K1108" s="102">
        <v>1</v>
      </c>
      <c r="M1108" s="101">
        <f t="shared" si="289"/>
        <v>23</v>
      </c>
      <c r="N1108" s="4">
        <f t="shared" si="290"/>
        <v>56</v>
      </c>
      <c r="O1108" s="4">
        <f t="shared" si="291"/>
        <v>34</v>
      </c>
      <c r="P1108" s="4">
        <f t="shared" si="292"/>
        <v>56</v>
      </c>
      <c r="Q1108" s="4">
        <f t="shared" si="293"/>
        <v>23</v>
      </c>
      <c r="R1108" s="4">
        <f t="shared" si="294"/>
        <v>23</v>
      </c>
      <c r="S1108" s="102">
        <f t="shared" si="295"/>
        <v>34</v>
      </c>
      <c r="U1108" s="101">
        <f t="shared" si="296"/>
        <v>39</v>
      </c>
      <c r="V1108" s="4">
        <f t="shared" si="297"/>
        <v>78</v>
      </c>
      <c r="W1108" s="4">
        <f t="shared" si="298"/>
        <v>46</v>
      </c>
      <c r="X1108" s="4">
        <f t="shared" si="299"/>
        <v>78</v>
      </c>
      <c r="Y1108" s="4">
        <f t="shared" si="300"/>
        <v>39</v>
      </c>
      <c r="Z1108" s="4">
        <f t="shared" si="301"/>
        <v>39</v>
      </c>
      <c r="AA1108" s="102">
        <f t="shared" si="302"/>
        <v>46</v>
      </c>
      <c r="AC1108" s="100">
        <f t="shared" si="303"/>
        <v>0.986663613188693</v>
      </c>
    </row>
    <row r="1109" spans="4:29" x14ac:dyDescent="0.35">
      <c r="D1109">
        <f t="shared" si="304"/>
        <v>1105</v>
      </c>
      <c r="E1109" s="101">
        <v>4</v>
      </c>
      <c r="F1109" s="4">
        <v>1</v>
      </c>
      <c r="G1109" s="4">
        <v>4</v>
      </c>
      <c r="H1109" s="4">
        <v>5</v>
      </c>
      <c r="I1109" s="4">
        <v>7</v>
      </c>
      <c r="J1109" s="4">
        <v>3</v>
      </c>
      <c r="K1109" s="102">
        <v>6</v>
      </c>
      <c r="M1109" s="101">
        <f t="shared" si="289"/>
        <v>12</v>
      </c>
      <c r="N1109" s="4">
        <f t="shared" si="290"/>
        <v>34</v>
      </c>
      <c r="O1109" s="4">
        <f t="shared" si="291"/>
        <v>12</v>
      </c>
      <c r="P1109" s="4">
        <f t="shared" si="292"/>
        <v>30</v>
      </c>
      <c r="Q1109" s="4">
        <f t="shared" si="293"/>
        <v>29</v>
      </c>
      <c r="R1109" s="4">
        <f t="shared" si="294"/>
        <v>23</v>
      </c>
      <c r="S1109" s="102">
        <f t="shared" si="295"/>
        <v>45</v>
      </c>
      <c r="U1109" s="101">
        <f t="shared" si="296"/>
        <v>9</v>
      </c>
      <c r="V1109" s="4">
        <f t="shared" si="297"/>
        <v>46</v>
      </c>
      <c r="W1109" s="4">
        <f t="shared" si="298"/>
        <v>9</v>
      </c>
      <c r="X1109" s="4">
        <f t="shared" si="299"/>
        <v>39</v>
      </c>
      <c r="Y1109" s="4">
        <f t="shared" si="300"/>
        <v>41</v>
      </c>
      <c r="Z1109" s="4">
        <f t="shared" si="301"/>
        <v>39</v>
      </c>
      <c r="AA1109" s="102">
        <f t="shared" si="302"/>
        <v>71</v>
      </c>
      <c r="AC1109" s="100">
        <f t="shared" si="303"/>
        <v>0.97979228258216355</v>
      </c>
    </row>
    <row r="1110" spans="4:29" x14ac:dyDescent="0.35">
      <c r="D1110">
        <f t="shared" si="304"/>
        <v>1106</v>
      </c>
      <c r="E1110" s="101">
        <v>5</v>
      </c>
      <c r="F1110" s="4">
        <v>4</v>
      </c>
      <c r="G1110" s="4">
        <v>2</v>
      </c>
      <c r="H1110" s="4">
        <v>5</v>
      </c>
      <c r="I1110" s="4">
        <v>7</v>
      </c>
      <c r="J1110" s="4">
        <v>2</v>
      </c>
      <c r="K1110" s="102">
        <v>2</v>
      </c>
      <c r="M1110" s="101">
        <f t="shared" si="289"/>
        <v>30</v>
      </c>
      <c r="N1110" s="4">
        <f t="shared" si="290"/>
        <v>12</v>
      </c>
      <c r="O1110" s="4">
        <f t="shared" si="291"/>
        <v>56</v>
      </c>
      <c r="P1110" s="4">
        <f t="shared" si="292"/>
        <v>30</v>
      </c>
      <c r="Q1110" s="4">
        <f t="shared" si="293"/>
        <v>29</v>
      </c>
      <c r="R1110" s="4">
        <f t="shared" si="294"/>
        <v>56</v>
      </c>
      <c r="S1110" s="102">
        <f t="shared" si="295"/>
        <v>56</v>
      </c>
      <c r="U1110" s="101">
        <f t="shared" si="296"/>
        <v>39</v>
      </c>
      <c r="V1110" s="4">
        <f t="shared" si="297"/>
        <v>9</v>
      </c>
      <c r="W1110" s="4">
        <f t="shared" si="298"/>
        <v>78</v>
      </c>
      <c r="X1110" s="4">
        <f t="shared" si="299"/>
        <v>39</v>
      </c>
      <c r="Y1110" s="4">
        <f t="shared" si="300"/>
        <v>41</v>
      </c>
      <c r="Z1110" s="4">
        <f t="shared" si="301"/>
        <v>78</v>
      </c>
      <c r="AA1110" s="102">
        <f t="shared" si="302"/>
        <v>78</v>
      </c>
      <c r="AC1110" s="100">
        <f t="shared" si="303"/>
        <v>0.99768384224370277</v>
      </c>
    </row>
    <row r="1111" spans="4:29" x14ac:dyDescent="0.35">
      <c r="D1111">
        <f t="shared" si="304"/>
        <v>1107</v>
      </c>
      <c r="E1111" s="101">
        <v>4</v>
      </c>
      <c r="F1111" s="4">
        <v>7</v>
      </c>
      <c r="G1111" s="4">
        <v>2</v>
      </c>
      <c r="H1111" s="4">
        <v>4</v>
      </c>
      <c r="I1111" s="4">
        <v>7</v>
      </c>
      <c r="J1111" s="4">
        <v>2</v>
      </c>
      <c r="K1111" s="102">
        <v>4</v>
      </c>
      <c r="M1111" s="101">
        <f t="shared" si="289"/>
        <v>12</v>
      </c>
      <c r="N1111" s="4">
        <f t="shared" si="290"/>
        <v>29</v>
      </c>
      <c r="O1111" s="4">
        <f t="shared" si="291"/>
        <v>56</v>
      </c>
      <c r="P1111" s="4">
        <f t="shared" si="292"/>
        <v>12</v>
      </c>
      <c r="Q1111" s="4">
        <f t="shared" si="293"/>
        <v>29</v>
      </c>
      <c r="R1111" s="4">
        <f t="shared" si="294"/>
        <v>56</v>
      </c>
      <c r="S1111" s="102">
        <f t="shared" si="295"/>
        <v>12</v>
      </c>
      <c r="U1111" s="101">
        <f t="shared" si="296"/>
        <v>9</v>
      </c>
      <c r="V1111" s="4">
        <f t="shared" si="297"/>
        <v>41</v>
      </c>
      <c r="W1111" s="4">
        <f t="shared" si="298"/>
        <v>78</v>
      </c>
      <c r="X1111" s="4">
        <f t="shared" si="299"/>
        <v>9</v>
      </c>
      <c r="Y1111" s="4">
        <f t="shared" si="300"/>
        <v>41</v>
      </c>
      <c r="Z1111" s="4">
        <f t="shared" si="301"/>
        <v>78</v>
      </c>
      <c r="AA1111" s="102">
        <f t="shared" si="302"/>
        <v>9</v>
      </c>
      <c r="AC1111" s="100">
        <f t="shared" si="303"/>
        <v>0.99644530743745829</v>
      </c>
    </row>
    <row r="1112" spans="4:29" x14ac:dyDescent="0.35">
      <c r="D1112">
        <f t="shared" si="304"/>
        <v>1108</v>
      </c>
      <c r="E1112" s="101">
        <v>6</v>
      </c>
      <c r="F1112" s="4">
        <v>2</v>
      </c>
      <c r="G1112" s="4">
        <v>2</v>
      </c>
      <c r="H1112" s="4">
        <v>7</v>
      </c>
      <c r="I1112" s="4">
        <v>5</v>
      </c>
      <c r="J1112" s="4">
        <v>2</v>
      </c>
      <c r="K1112" s="102">
        <v>2</v>
      </c>
      <c r="M1112" s="101">
        <f t="shared" si="289"/>
        <v>45</v>
      </c>
      <c r="N1112" s="4">
        <f t="shared" si="290"/>
        <v>56</v>
      </c>
      <c r="O1112" s="4">
        <f t="shared" si="291"/>
        <v>56</v>
      </c>
      <c r="P1112" s="4">
        <f t="shared" si="292"/>
        <v>29</v>
      </c>
      <c r="Q1112" s="4">
        <f t="shared" si="293"/>
        <v>30</v>
      </c>
      <c r="R1112" s="4">
        <f t="shared" si="294"/>
        <v>56</v>
      </c>
      <c r="S1112" s="102">
        <f t="shared" si="295"/>
        <v>56</v>
      </c>
      <c r="U1112" s="101">
        <f t="shared" si="296"/>
        <v>71</v>
      </c>
      <c r="V1112" s="4">
        <f t="shared" si="297"/>
        <v>78</v>
      </c>
      <c r="W1112" s="4">
        <f t="shared" si="298"/>
        <v>78</v>
      </c>
      <c r="X1112" s="4">
        <f t="shared" si="299"/>
        <v>41</v>
      </c>
      <c r="Y1112" s="4">
        <f t="shared" si="300"/>
        <v>39</v>
      </c>
      <c r="Z1112" s="4">
        <f t="shared" si="301"/>
        <v>78</v>
      </c>
      <c r="AA1112" s="102">
        <f t="shared" si="302"/>
        <v>78</v>
      </c>
      <c r="AC1112" s="100">
        <f t="shared" si="303"/>
        <v>0.98153391447856242</v>
      </c>
    </row>
    <row r="1113" spans="4:29" x14ac:dyDescent="0.35">
      <c r="D1113">
        <f t="shared" si="304"/>
        <v>1109</v>
      </c>
      <c r="E1113" s="101">
        <v>2</v>
      </c>
      <c r="F1113" s="4">
        <v>4</v>
      </c>
      <c r="G1113" s="4">
        <v>4</v>
      </c>
      <c r="H1113" s="4">
        <v>4</v>
      </c>
      <c r="I1113" s="4">
        <v>4</v>
      </c>
      <c r="J1113" s="4">
        <v>3</v>
      </c>
      <c r="K1113" s="102">
        <v>3</v>
      </c>
      <c r="M1113" s="101">
        <f t="shared" si="289"/>
        <v>56</v>
      </c>
      <c r="N1113" s="4">
        <f t="shared" si="290"/>
        <v>12</v>
      </c>
      <c r="O1113" s="4">
        <f t="shared" si="291"/>
        <v>12</v>
      </c>
      <c r="P1113" s="4">
        <f t="shared" si="292"/>
        <v>12</v>
      </c>
      <c r="Q1113" s="4">
        <f t="shared" si="293"/>
        <v>12</v>
      </c>
      <c r="R1113" s="4">
        <f t="shared" si="294"/>
        <v>23</v>
      </c>
      <c r="S1113" s="102">
        <f t="shared" si="295"/>
        <v>23</v>
      </c>
      <c r="U1113" s="101">
        <f t="shared" si="296"/>
        <v>78</v>
      </c>
      <c r="V1113" s="4">
        <f t="shared" si="297"/>
        <v>9</v>
      </c>
      <c r="W1113" s="4">
        <f t="shared" si="298"/>
        <v>9</v>
      </c>
      <c r="X1113" s="4">
        <f t="shared" si="299"/>
        <v>9</v>
      </c>
      <c r="Y1113" s="4">
        <f t="shared" si="300"/>
        <v>9</v>
      </c>
      <c r="Z1113" s="4">
        <f t="shared" si="301"/>
        <v>39</v>
      </c>
      <c r="AA1113" s="102">
        <f t="shared" si="302"/>
        <v>39</v>
      </c>
      <c r="AC1113" s="100">
        <f t="shared" si="303"/>
        <v>0.97197638866183211</v>
      </c>
    </row>
    <row r="1114" spans="4:29" x14ac:dyDescent="0.35">
      <c r="D1114">
        <f t="shared" si="304"/>
        <v>1110</v>
      </c>
      <c r="E1114" s="101">
        <v>5</v>
      </c>
      <c r="F1114" s="4">
        <v>4</v>
      </c>
      <c r="G1114" s="4">
        <v>3</v>
      </c>
      <c r="H1114" s="4">
        <v>4</v>
      </c>
      <c r="I1114" s="4">
        <v>6</v>
      </c>
      <c r="J1114" s="4">
        <v>3</v>
      </c>
      <c r="K1114" s="102">
        <v>6</v>
      </c>
      <c r="M1114" s="101">
        <f t="shared" si="289"/>
        <v>30</v>
      </c>
      <c r="N1114" s="4">
        <f t="shared" si="290"/>
        <v>12</v>
      </c>
      <c r="O1114" s="4">
        <f t="shared" si="291"/>
        <v>23</v>
      </c>
      <c r="P1114" s="4">
        <f t="shared" si="292"/>
        <v>12</v>
      </c>
      <c r="Q1114" s="4">
        <f t="shared" si="293"/>
        <v>45</v>
      </c>
      <c r="R1114" s="4">
        <f t="shared" si="294"/>
        <v>23</v>
      </c>
      <c r="S1114" s="102">
        <f t="shared" si="295"/>
        <v>45</v>
      </c>
      <c r="U1114" s="101">
        <f t="shared" si="296"/>
        <v>39</v>
      </c>
      <c r="V1114" s="4">
        <f t="shared" si="297"/>
        <v>9</v>
      </c>
      <c r="W1114" s="4">
        <f t="shared" si="298"/>
        <v>39</v>
      </c>
      <c r="X1114" s="4">
        <f t="shared" si="299"/>
        <v>9</v>
      </c>
      <c r="Y1114" s="4">
        <f t="shared" si="300"/>
        <v>71</v>
      </c>
      <c r="Z1114" s="4">
        <f t="shared" si="301"/>
        <v>39</v>
      </c>
      <c r="AA1114" s="102">
        <f t="shared" si="302"/>
        <v>71</v>
      </c>
      <c r="AC1114" s="100">
        <f t="shared" si="303"/>
        <v>0.98024191087925461</v>
      </c>
    </row>
    <row r="1115" spans="4:29" x14ac:dyDescent="0.35">
      <c r="D1115">
        <f t="shared" si="304"/>
        <v>1111</v>
      </c>
      <c r="E1115" s="101">
        <v>7</v>
      </c>
      <c r="F1115" s="4">
        <v>2</v>
      </c>
      <c r="G1115" s="4">
        <v>1</v>
      </c>
      <c r="H1115" s="4">
        <v>7</v>
      </c>
      <c r="I1115" s="4">
        <v>5</v>
      </c>
      <c r="J1115" s="4">
        <v>4</v>
      </c>
      <c r="K1115" s="102">
        <v>7</v>
      </c>
      <c r="M1115" s="101">
        <f t="shared" si="289"/>
        <v>29</v>
      </c>
      <c r="N1115" s="4">
        <f t="shared" si="290"/>
        <v>56</v>
      </c>
      <c r="O1115" s="4">
        <f t="shared" si="291"/>
        <v>34</v>
      </c>
      <c r="P1115" s="4">
        <f t="shared" si="292"/>
        <v>29</v>
      </c>
      <c r="Q1115" s="4">
        <f t="shared" si="293"/>
        <v>30</v>
      </c>
      <c r="R1115" s="4">
        <f t="shared" si="294"/>
        <v>12</v>
      </c>
      <c r="S1115" s="102">
        <f t="shared" si="295"/>
        <v>29</v>
      </c>
      <c r="U1115" s="101">
        <f t="shared" si="296"/>
        <v>41</v>
      </c>
      <c r="V1115" s="4">
        <f t="shared" si="297"/>
        <v>78</v>
      </c>
      <c r="W1115" s="4">
        <f t="shared" si="298"/>
        <v>46</v>
      </c>
      <c r="X1115" s="4">
        <f t="shared" si="299"/>
        <v>41</v>
      </c>
      <c r="Y1115" s="4">
        <f t="shared" si="300"/>
        <v>39</v>
      </c>
      <c r="Z1115" s="4">
        <f t="shared" si="301"/>
        <v>9</v>
      </c>
      <c r="AA1115" s="102">
        <f t="shared" si="302"/>
        <v>41</v>
      </c>
      <c r="AC1115" s="100">
        <f t="shared" si="303"/>
        <v>0.99269961775548055</v>
      </c>
    </row>
    <row r="1116" spans="4:29" x14ac:dyDescent="0.35">
      <c r="D1116">
        <f t="shared" si="304"/>
        <v>1112</v>
      </c>
      <c r="E1116" s="101">
        <v>6</v>
      </c>
      <c r="F1116" s="4">
        <v>6</v>
      </c>
      <c r="G1116" s="4">
        <v>3</v>
      </c>
      <c r="H1116" s="4">
        <v>4</v>
      </c>
      <c r="I1116" s="4">
        <v>5</v>
      </c>
      <c r="J1116" s="4">
        <v>3</v>
      </c>
      <c r="K1116" s="102">
        <v>2</v>
      </c>
      <c r="M1116" s="101">
        <f t="shared" si="289"/>
        <v>45</v>
      </c>
      <c r="N1116" s="4">
        <f t="shared" si="290"/>
        <v>45</v>
      </c>
      <c r="O1116" s="4">
        <f t="shared" si="291"/>
        <v>23</v>
      </c>
      <c r="P1116" s="4">
        <f t="shared" si="292"/>
        <v>12</v>
      </c>
      <c r="Q1116" s="4">
        <f t="shared" si="293"/>
        <v>30</v>
      </c>
      <c r="R1116" s="4">
        <f t="shared" si="294"/>
        <v>23</v>
      </c>
      <c r="S1116" s="102">
        <f t="shared" si="295"/>
        <v>56</v>
      </c>
      <c r="U1116" s="101">
        <f t="shared" si="296"/>
        <v>71</v>
      </c>
      <c r="V1116" s="4">
        <f t="shared" si="297"/>
        <v>71</v>
      </c>
      <c r="W1116" s="4">
        <f t="shared" si="298"/>
        <v>39</v>
      </c>
      <c r="X1116" s="4">
        <f t="shared" si="299"/>
        <v>9</v>
      </c>
      <c r="Y1116" s="4">
        <f t="shared" si="300"/>
        <v>39</v>
      </c>
      <c r="Z1116" s="4">
        <f t="shared" si="301"/>
        <v>39</v>
      </c>
      <c r="AA1116" s="102">
        <f t="shared" si="302"/>
        <v>78</v>
      </c>
      <c r="AC1116" s="100">
        <f t="shared" si="303"/>
        <v>0.97105498268871882</v>
      </c>
    </row>
    <row r="1117" spans="4:29" x14ac:dyDescent="0.35">
      <c r="D1117">
        <f t="shared" si="304"/>
        <v>1113</v>
      </c>
      <c r="E1117" s="101">
        <v>4</v>
      </c>
      <c r="F1117" s="4">
        <v>3</v>
      </c>
      <c r="G1117" s="4">
        <v>6</v>
      </c>
      <c r="H1117" s="4">
        <v>3</v>
      </c>
      <c r="I1117" s="4">
        <v>7</v>
      </c>
      <c r="J1117" s="4">
        <v>7</v>
      </c>
      <c r="K1117" s="102">
        <v>5</v>
      </c>
      <c r="M1117" s="101">
        <f t="shared" si="289"/>
        <v>12</v>
      </c>
      <c r="N1117" s="4">
        <f t="shared" si="290"/>
        <v>23</v>
      </c>
      <c r="O1117" s="4">
        <f t="shared" si="291"/>
        <v>45</v>
      </c>
      <c r="P1117" s="4">
        <f t="shared" si="292"/>
        <v>23</v>
      </c>
      <c r="Q1117" s="4">
        <f t="shared" si="293"/>
        <v>29</v>
      </c>
      <c r="R1117" s="4">
        <f t="shared" si="294"/>
        <v>29</v>
      </c>
      <c r="S1117" s="102">
        <f t="shared" si="295"/>
        <v>30</v>
      </c>
      <c r="U1117" s="101">
        <f t="shared" si="296"/>
        <v>9</v>
      </c>
      <c r="V1117" s="4">
        <f t="shared" si="297"/>
        <v>39</v>
      </c>
      <c r="W1117" s="4">
        <f t="shared" si="298"/>
        <v>71</v>
      </c>
      <c r="X1117" s="4">
        <f t="shared" si="299"/>
        <v>39</v>
      </c>
      <c r="Y1117" s="4">
        <f t="shared" si="300"/>
        <v>41</v>
      </c>
      <c r="Z1117" s="4">
        <f t="shared" si="301"/>
        <v>41</v>
      </c>
      <c r="AA1117" s="102">
        <f t="shared" si="302"/>
        <v>39</v>
      </c>
      <c r="AC1117" s="100">
        <f t="shared" si="303"/>
        <v>0.96212647274523555</v>
      </c>
    </row>
    <row r="1118" spans="4:29" x14ac:dyDescent="0.35">
      <c r="D1118">
        <f t="shared" si="304"/>
        <v>1114</v>
      </c>
      <c r="E1118" s="101">
        <v>3</v>
      </c>
      <c r="F1118" s="4">
        <v>7</v>
      </c>
      <c r="G1118" s="4">
        <v>6</v>
      </c>
      <c r="H1118" s="4">
        <v>2</v>
      </c>
      <c r="I1118" s="4">
        <v>1</v>
      </c>
      <c r="J1118" s="4">
        <v>7</v>
      </c>
      <c r="K1118" s="102">
        <v>6</v>
      </c>
      <c r="M1118" s="101">
        <f t="shared" si="289"/>
        <v>23</v>
      </c>
      <c r="N1118" s="4">
        <f t="shared" si="290"/>
        <v>29</v>
      </c>
      <c r="O1118" s="4">
        <f t="shared" si="291"/>
        <v>45</v>
      </c>
      <c r="P1118" s="4">
        <f t="shared" si="292"/>
        <v>56</v>
      </c>
      <c r="Q1118" s="4">
        <f t="shared" si="293"/>
        <v>34</v>
      </c>
      <c r="R1118" s="4">
        <f t="shared" si="294"/>
        <v>29</v>
      </c>
      <c r="S1118" s="102">
        <f t="shared" si="295"/>
        <v>45</v>
      </c>
      <c r="U1118" s="101">
        <f t="shared" si="296"/>
        <v>39</v>
      </c>
      <c r="V1118" s="4">
        <f t="shared" si="297"/>
        <v>41</v>
      </c>
      <c r="W1118" s="4">
        <f t="shared" si="298"/>
        <v>71</v>
      </c>
      <c r="X1118" s="4">
        <f t="shared" si="299"/>
        <v>78</v>
      </c>
      <c r="Y1118" s="4">
        <f t="shared" si="300"/>
        <v>46</v>
      </c>
      <c r="Z1118" s="4">
        <f t="shared" si="301"/>
        <v>41</v>
      </c>
      <c r="AA1118" s="102">
        <f t="shared" si="302"/>
        <v>71</v>
      </c>
      <c r="AC1118" s="100">
        <f t="shared" si="303"/>
        <v>0.96834228722097015</v>
      </c>
    </row>
    <row r="1119" spans="4:29" x14ac:dyDescent="0.35">
      <c r="D1119">
        <f t="shared" si="304"/>
        <v>1115</v>
      </c>
      <c r="E1119" s="101">
        <v>3</v>
      </c>
      <c r="F1119" s="4">
        <v>7</v>
      </c>
      <c r="G1119" s="4">
        <v>7</v>
      </c>
      <c r="H1119" s="4">
        <v>2</v>
      </c>
      <c r="I1119" s="4">
        <v>5</v>
      </c>
      <c r="J1119" s="4">
        <v>5</v>
      </c>
      <c r="K1119" s="102">
        <v>6</v>
      </c>
      <c r="M1119" s="101">
        <f t="shared" si="289"/>
        <v>23</v>
      </c>
      <c r="N1119" s="4">
        <f t="shared" si="290"/>
        <v>29</v>
      </c>
      <c r="O1119" s="4">
        <f t="shared" si="291"/>
        <v>29</v>
      </c>
      <c r="P1119" s="4">
        <f t="shared" si="292"/>
        <v>56</v>
      </c>
      <c r="Q1119" s="4">
        <f t="shared" si="293"/>
        <v>30</v>
      </c>
      <c r="R1119" s="4">
        <f t="shared" si="294"/>
        <v>30</v>
      </c>
      <c r="S1119" s="102">
        <f t="shared" si="295"/>
        <v>45</v>
      </c>
      <c r="U1119" s="101">
        <f t="shared" si="296"/>
        <v>39</v>
      </c>
      <c r="V1119" s="4">
        <f t="shared" si="297"/>
        <v>41</v>
      </c>
      <c r="W1119" s="4">
        <f t="shared" si="298"/>
        <v>41</v>
      </c>
      <c r="X1119" s="4">
        <f t="shared" si="299"/>
        <v>78</v>
      </c>
      <c r="Y1119" s="4">
        <f t="shared" si="300"/>
        <v>39</v>
      </c>
      <c r="Z1119" s="4">
        <f t="shared" si="301"/>
        <v>39</v>
      </c>
      <c r="AA1119" s="102">
        <f t="shared" si="302"/>
        <v>71</v>
      </c>
      <c r="AC1119" s="100">
        <f t="shared" si="303"/>
        <v>0.96622632499708161</v>
      </c>
    </row>
    <row r="1120" spans="4:29" x14ac:dyDescent="0.35">
      <c r="D1120">
        <f t="shared" si="304"/>
        <v>1116</v>
      </c>
      <c r="E1120" s="101">
        <v>3</v>
      </c>
      <c r="F1120" s="4">
        <v>6</v>
      </c>
      <c r="G1120" s="4">
        <v>5</v>
      </c>
      <c r="H1120" s="4">
        <v>1</v>
      </c>
      <c r="I1120" s="4">
        <v>7</v>
      </c>
      <c r="J1120" s="4">
        <v>6</v>
      </c>
      <c r="K1120" s="102">
        <v>5</v>
      </c>
      <c r="M1120" s="101">
        <f t="shared" si="289"/>
        <v>23</v>
      </c>
      <c r="N1120" s="4">
        <f t="shared" si="290"/>
        <v>45</v>
      </c>
      <c r="O1120" s="4">
        <f t="shared" si="291"/>
        <v>30</v>
      </c>
      <c r="P1120" s="4">
        <f t="shared" si="292"/>
        <v>34</v>
      </c>
      <c r="Q1120" s="4">
        <f t="shared" si="293"/>
        <v>29</v>
      </c>
      <c r="R1120" s="4">
        <f t="shared" si="294"/>
        <v>45</v>
      </c>
      <c r="S1120" s="102">
        <f t="shared" si="295"/>
        <v>30</v>
      </c>
      <c r="U1120" s="101">
        <f t="shared" si="296"/>
        <v>39</v>
      </c>
      <c r="V1120" s="4">
        <f t="shared" si="297"/>
        <v>71</v>
      </c>
      <c r="W1120" s="4">
        <f t="shared" si="298"/>
        <v>39</v>
      </c>
      <c r="X1120" s="4">
        <f t="shared" si="299"/>
        <v>46</v>
      </c>
      <c r="Y1120" s="4">
        <f t="shared" si="300"/>
        <v>41</v>
      </c>
      <c r="Z1120" s="4">
        <f t="shared" si="301"/>
        <v>71</v>
      </c>
      <c r="AA1120" s="102">
        <f t="shared" si="302"/>
        <v>39</v>
      </c>
      <c r="AC1120" s="100">
        <f t="shared" si="303"/>
        <v>0.95363934593372013</v>
      </c>
    </row>
    <row r="1121" spans="4:29" x14ac:dyDescent="0.35">
      <c r="D1121">
        <f t="shared" si="304"/>
        <v>1117</v>
      </c>
      <c r="E1121" s="101">
        <v>3</v>
      </c>
      <c r="F1121" s="4">
        <v>1</v>
      </c>
      <c r="G1121" s="4">
        <v>2</v>
      </c>
      <c r="H1121" s="4">
        <v>2</v>
      </c>
      <c r="I1121" s="4">
        <v>7</v>
      </c>
      <c r="J1121" s="4">
        <v>4</v>
      </c>
      <c r="K1121" s="102">
        <v>3</v>
      </c>
      <c r="M1121" s="101">
        <f t="shared" si="289"/>
        <v>23</v>
      </c>
      <c r="N1121" s="4">
        <f t="shared" si="290"/>
        <v>34</v>
      </c>
      <c r="O1121" s="4">
        <f t="shared" si="291"/>
        <v>56</v>
      </c>
      <c r="P1121" s="4">
        <f t="shared" si="292"/>
        <v>56</v>
      </c>
      <c r="Q1121" s="4">
        <f t="shared" si="293"/>
        <v>29</v>
      </c>
      <c r="R1121" s="4">
        <f t="shared" si="294"/>
        <v>12</v>
      </c>
      <c r="S1121" s="102">
        <f t="shared" si="295"/>
        <v>23</v>
      </c>
      <c r="U1121" s="101">
        <f t="shared" si="296"/>
        <v>39</v>
      </c>
      <c r="V1121" s="4">
        <f t="shared" si="297"/>
        <v>46</v>
      </c>
      <c r="W1121" s="4">
        <f t="shared" si="298"/>
        <v>78</v>
      </c>
      <c r="X1121" s="4">
        <f t="shared" si="299"/>
        <v>78</v>
      </c>
      <c r="Y1121" s="4">
        <f t="shared" si="300"/>
        <v>41</v>
      </c>
      <c r="Z1121" s="4">
        <f t="shared" si="301"/>
        <v>9</v>
      </c>
      <c r="AA1121" s="102">
        <f t="shared" si="302"/>
        <v>39</v>
      </c>
      <c r="AC1121" s="100">
        <f t="shared" si="303"/>
        <v>0.97790832421655949</v>
      </c>
    </row>
    <row r="1122" spans="4:29" x14ac:dyDescent="0.35">
      <c r="D1122">
        <f t="shared" si="304"/>
        <v>1118</v>
      </c>
      <c r="E1122" s="101">
        <v>6</v>
      </c>
      <c r="F1122" s="4">
        <v>6</v>
      </c>
      <c r="G1122" s="4">
        <v>7</v>
      </c>
      <c r="H1122" s="4">
        <v>6</v>
      </c>
      <c r="I1122" s="4">
        <v>2</v>
      </c>
      <c r="J1122" s="4">
        <v>3</v>
      </c>
      <c r="K1122" s="102">
        <v>3</v>
      </c>
      <c r="M1122" s="101">
        <f t="shared" si="289"/>
        <v>45</v>
      </c>
      <c r="N1122" s="4">
        <f t="shared" si="290"/>
        <v>45</v>
      </c>
      <c r="O1122" s="4">
        <f t="shared" si="291"/>
        <v>29</v>
      </c>
      <c r="P1122" s="4">
        <f t="shared" si="292"/>
        <v>45</v>
      </c>
      <c r="Q1122" s="4">
        <f t="shared" si="293"/>
        <v>56</v>
      </c>
      <c r="R1122" s="4">
        <f t="shared" si="294"/>
        <v>23</v>
      </c>
      <c r="S1122" s="102">
        <f t="shared" si="295"/>
        <v>23</v>
      </c>
      <c r="U1122" s="101">
        <f t="shared" si="296"/>
        <v>71</v>
      </c>
      <c r="V1122" s="4">
        <f t="shared" si="297"/>
        <v>71</v>
      </c>
      <c r="W1122" s="4">
        <f t="shared" si="298"/>
        <v>41</v>
      </c>
      <c r="X1122" s="4">
        <f t="shared" si="299"/>
        <v>71</v>
      </c>
      <c r="Y1122" s="4">
        <f t="shared" si="300"/>
        <v>78</v>
      </c>
      <c r="Z1122" s="4">
        <f t="shared" si="301"/>
        <v>39</v>
      </c>
      <c r="AA1122" s="102">
        <f t="shared" si="302"/>
        <v>39</v>
      </c>
      <c r="AC1122" s="100">
        <f t="shared" si="303"/>
        <v>0.97872449972997311</v>
      </c>
    </row>
    <row r="1123" spans="4:29" x14ac:dyDescent="0.35">
      <c r="D1123">
        <f t="shared" si="304"/>
        <v>1119</v>
      </c>
      <c r="E1123" s="101">
        <v>2</v>
      </c>
      <c r="F1123" s="4">
        <v>1</v>
      </c>
      <c r="G1123" s="4">
        <v>2</v>
      </c>
      <c r="H1123" s="4">
        <v>6</v>
      </c>
      <c r="I1123" s="4">
        <v>4</v>
      </c>
      <c r="J1123" s="4">
        <v>2</v>
      </c>
      <c r="K1123" s="102">
        <v>4</v>
      </c>
      <c r="M1123" s="101">
        <f t="shared" si="289"/>
        <v>56</v>
      </c>
      <c r="N1123" s="4">
        <f t="shared" si="290"/>
        <v>34</v>
      </c>
      <c r="O1123" s="4">
        <f t="shared" si="291"/>
        <v>56</v>
      </c>
      <c r="P1123" s="4">
        <f t="shared" si="292"/>
        <v>45</v>
      </c>
      <c r="Q1123" s="4">
        <f t="shared" si="293"/>
        <v>12</v>
      </c>
      <c r="R1123" s="4">
        <f t="shared" si="294"/>
        <v>56</v>
      </c>
      <c r="S1123" s="102">
        <f t="shared" si="295"/>
        <v>12</v>
      </c>
      <c r="U1123" s="101">
        <f t="shared" si="296"/>
        <v>78</v>
      </c>
      <c r="V1123" s="4">
        <f t="shared" si="297"/>
        <v>46</v>
      </c>
      <c r="W1123" s="4">
        <f t="shared" si="298"/>
        <v>78</v>
      </c>
      <c r="X1123" s="4">
        <f t="shared" si="299"/>
        <v>71</v>
      </c>
      <c r="Y1123" s="4">
        <f t="shared" si="300"/>
        <v>9</v>
      </c>
      <c r="Z1123" s="4">
        <f t="shared" si="301"/>
        <v>78</v>
      </c>
      <c r="AA1123" s="102">
        <f t="shared" si="302"/>
        <v>9</v>
      </c>
      <c r="AC1123" s="100">
        <f t="shared" si="303"/>
        <v>0.99287200980986068</v>
      </c>
    </row>
    <row r="1124" spans="4:29" x14ac:dyDescent="0.35">
      <c r="D1124">
        <f t="shared" si="304"/>
        <v>1120</v>
      </c>
      <c r="E1124" s="101">
        <v>4</v>
      </c>
      <c r="F1124" s="4">
        <v>6</v>
      </c>
      <c r="G1124" s="4">
        <v>5</v>
      </c>
      <c r="H1124" s="4">
        <v>2</v>
      </c>
      <c r="I1124" s="4">
        <v>2</v>
      </c>
      <c r="J1124" s="4">
        <v>1</v>
      </c>
      <c r="K1124" s="102">
        <v>2</v>
      </c>
      <c r="M1124" s="101">
        <f t="shared" si="289"/>
        <v>12</v>
      </c>
      <c r="N1124" s="4">
        <f t="shared" si="290"/>
        <v>45</v>
      </c>
      <c r="O1124" s="4">
        <f t="shared" si="291"/>
        <v>30</v>
      </c>
      <c r="P1124" s="4">
        <f t="shared" si="292"/>
        <v>56</v>
      </c>
      <c r="Q1124" s="4">
        <f t="shared" si="293"/>
        <v>56</v>
      </c>
      <c r="R1124" s="4">
        <f t="shared" si="294"/>
        <v>34</v>
      </c>
      <c r="S1124" s="102">
        <f t="shared" si="295"/>
        <v>56</v>
      </c>
      <c r="U1124" s="101">
        <f t="shared" si="296"/>
        <v>9</v>
      </c>
      <c r="V1124" s="4">
        <f t="shared" si="297"/>
        <v>71</v>
      </c>
      <c r="W1124" s="4">
        <f t="shared" si="298"/>
        <v>39</v>
      </c>
      <c r="X1124" s="4">
        <f t="shared" si="299"/>
        <v>78</v>
      </c>
      <c r="Y1124" s="4">
        <f t="shared" si="300"/>
        <v>78</v>
      </c>
      <c r="Z1124" s="4">
        <f t="shared" si="301"/>
        <v>46</v>
      </c>
      <c r="AA1124" s="102">
        <f t="shared" si="302"/>
        <v>78</v>
      </c>
      <c r="AC1124" s="100">
        <f t="shared" si="303"/>
        <v>0.99007195584571095</v>
      </c>
    </row>
    <row r="1125" spans="4:29" x14ac:dyDescent="0.35">
      <c r="D1125">
        <f t="shared" si="304"/>
        <v>1121</v>
      </c>
      <c r="E1125" s="101">
        <v>4</v>
      </c>
      <c r="F1125" s="4">
        <v>5</v>
      </c>
      <c r="G1125" s="4">
        <v>3</v>
      </c>
      <c r="H1125" s="4">
        <v>6</v>
      </c>
      <c r="I1125" s="4">
        <v>4</v>
      </c>
      <c r="J1125" s="4">
        <v>3</v>
      </c>
      <c r="K1125" s="102">
        <v>5</v>
      </c>
      <c r="M1125" s="101">
        <f t="shared" si="289"/>
        <v>12</v>
      </c>
      <c r="N1125" s="4">
        <f t="shared" si="290"/>
        <v>30</v>
      </c>
      <c r="O1125" s="4">
        <f t="shared" si="291"/>
        <v>23</v>
      </c>
      <c r="P1125" s="4">
        <f t="shared" si="292"/>
        <v>45</v>
      </c>
      <c r="Q1125" s="4">
        <f t="shared" si="293"/>
        <v>12</v>
      </c>
      <c r="R1125" s="4">
        <f t="shared" si="294"/>
        <v>23</v>
      </c>
      <c r="S1125" s="102">
        <f t="shared" si="295"/>
        <v>30</v>
      </c>
      <c r="U1125" s="101">
        <f t="shared" si="296"/>
        <v>9</v>
      </c>
      <c r="V1125" s="4">
        <f t="shared" si="297"/>
        <v>39</v>
      </c>
      <c r="W1125" s="4">
        <f t="shared" si="298"/>
        <v>39</v>
      </c>
      <c r="X1125" s="4">
        <f t="shared" si="299"/>
        <v>71</v>
      </c>
      <c r="Y1125" s="4">
        <f t="shared" si="300"/>
        <v>9</v>
      </c>
      <c r="Z1125" s="4">
        <f t="shared" si="301"/>
        <v>39</v>
      </c>
      <c r="AA1125" s="102">
        <f t="shared" si="302"/>
        <v>39</v>
      </c>
      <c r="AC1125" s="100">
        <f t="shared" si="303"/>
        <v>0.96646686264333859</v>
      </c>
    </row>
    <row r="1126" spans="4:29" x14ac:dyDescent="0.35">
      <c r="D1126">
        <f t="shared" si="304"/>
        <v>1122</v>
      </c>
      <c r="E1126" s="101">
        <v>1</v>
      </c>
      <c r="F1126" s="4">
        <v>5</v>
      </c>
      <c r="G1126" s="4">
        <v>6</v>
      </c>
      <c r="H1126" s="4">
        <v>7</v>
      </c>
      <c r="I1126" s="4">
        <v>5</v>
      </c>
      <c r="J1126" s="4">
        <v>5</v>
      </c>
      <c r="K1126" s="102">
        <v>2</v>
      </c>
      <c r="M1126" s="101">
        <f t="shared" si="289"/>
        <v>34</v>
      </c>
      <c r="N1126" s="4">
        <f t="shared" si="290"/>
        <v>30</v>
      </c>
      <c r="O1126" s="4">
        <f t="shared" si="291"/>
        <v>45</v>
      </c>
      <c r="P1126" s="4">
        <f t="shared" si="292"/>
        <v>29</v>
      </c>
      <c r="Q1126" s="4">
        <f t="shared" si="293"/>
        <v>30</v>
      </c>
      <c r="R1126" s="4">
        <f t="shared" si="294"/>
        <v>30</v>
      </c>
      <c r="S1126" s="102">
        <f t="shared" si="295"/>
        <v>56</v>
      </c>
      <c r="U1126" s="101">
        <f t="shared" si="296"/>
        <v>46</v>
      </c>
      <c r="V1126" s="4">
        <f t="shared" si="297"/>
        <v>39</v>
      </c>
      <c r="W1126" s="4">
        <f t="shared" si="298"/>
        <v>71</v>
      </c>
      <c r="X1126" s="4">
        <f t="shared" si="299"/>
        <v>41</v>
      </c>
      <c r="Y1126" s="4">
        <f t="shared" si="300"/>
        <v>39</v>
      </c>
      <c r="Z1126" s="4">
        <f t="shared" si="301"/>
        <v>39</v>
      </c>
      <c r="AA1126" s="102">
        <f t="shared" si="302"/>
        <v>78</v>
      </c>
      <c r="AC1126" s="100">
        <f t="shared" si="303"/>
        <v>0.97875412349816082</v>
      </c>
    </row>
    <row r="1127" spans="4:29" x14ac:dyDescent="0.35">
      <c r="D1127">
        <f t="shared" si="304"/>
        <v>1123</v>
      </c>
      <c r="E1127" s="101">
        <v>1</v>
      </c>
      <c r="F1127" s="4">
        <v>4</v>
      </c>
      <c r="G1127" s="4">
        <v>1</v>
      </c>
      <c r="H1127" s="4">
        <v>5</v>
      </c>
      <c r="I1127" s="4">
        <v>4</v>
      </c>
      <c r="J1127" s="4">
        <v>7</v>
      </c>
      <c r="K1127" s="102">
        <v>5</v>
      </c>
      <c r="M1127" s="101">
        <f t="shared" si="289"/>
        <v>34</v>
      </c>
      <c r="N1127" s="4">
        <f t="shared" si="290"/>
        <v>12</v>
      </c>
      <c r="O1127" s="4">
        <f t="shared" si="291"/>
        <v>34</v>
      </c>
      <c r="P1127" s="4">
        <f t="shared" si="292"/>
        <v>30</v>
      </c>
      <c r="Q1127" s="4">
        <f t="shared" si="293"/>
        <v>12</v>
      </c>
      <c r="R1127" s="4">
        <f t="shared" si="294"/>
        <v>29</v>
      </c>
      <c r="S1127" s="102">
        <f t="shared" si="295"/>
        <v>30</v>
      </c>
      <c r="U1127" s="101">
        <f t="shared" si="296"/>
        <v>46</v>
      </c>
      <c r="V1127" s="4">
        <f t="shared" si="297"/>
        <v>9</v>
      </c>
      <c r="W1127" s="4">
        <f t="shared" si="298"/>
        <v>46</v>
      </c>
      <c r="X1127" s="4">
        <f t="shared" si="299"/>
        <v>39</v>
      </c>
      <c r="Y1127" s="4">
        <f t="shared" si="300"/>
        <v>9</v>
      </c>
      <c r="Z1127" s="4">
        <f t="shared" si="301"/>
        <v>41</v>
      </c>
      <c r="AA1127" s="102">
        <f t="shared" si="302"/>
        <v>39</v>
      </c>
      <c r="AC1127" s="100">
        <f t="shared" si="303"/>
        <v>0.99677357481253293</v>
      </c>
    </row>
    <row r="1128" spans="4:29" x14ac:dyDescent="0.35">
      <c r="D1128">
        <f t="shared" si="304"/>
        <v>1124</v>
      </c>
      <c r="E1128" s="101">
        <v>4</v>
      </c>
      <c r="F1128" s="4">
        <v>7</v>
      </c>
      <c r="G1128" s="4">
        <v>7</v>
      </c>
      <c r="H1128" s="4">
        <v>6</v>
      </c>
      <c r="I1128" s="4">
        <v>3</v>
      </c>
      <c r="J1128" s="4">
        <v>4</v>
      </c>
      <c r="K1128" s="102">
        <v>3</v>
      </c>
      <c r="M1128" s="101">
        <f t="shared" si="289"/>
        <v>12</v>
      </c>
      <c r="N1128" s="4">
        <f t="shared" si="290"/>
        <v>29</v>
      </c>
      <c r="O1128" s="4">
        <f t="shared" si="291"/>
        <v>29</v>
      </c>
      <c r="P1128" s="4">
        <f t="shared" si="292"/>
        <v>45</v>
      </c>
      <c r="Q1128" s="4">
        <f t="shared" si="293"/>
        <v>23</v>
      </c>
      <c r="R1128" s="4">
        <f t="shared" si="294"/>
        <v>12</v>
      </c>
      <c r="S1128" s="102">
        <f t="shared" si="295"/>
        <v>23</v>
      </c>
      <c r="U1128" s="101">
        <f t="shared" si="296"/>
        <v>9</v>
      </c>
      <c r="V1128" s="4">
        <f t="shared" si="297"/>
        <v>41</v>
      </c>
      <c r="W1128" s="4">
        <f t="shared" si="298"/>
        <v>41</v>
      </c>
      <c r="X1128" s="4">
        <f t="shared" si="299"/>
        <v>71</v>
      </c>
      <c r="Y1128" s="4">
        <f t="shared" si="300"/>
        <v>39</v>
      </c>
      <c r="Z1128" s="4">
        <f t="shared" si="301"/>
        <v>9</v>
      </c>
      <c r="AA1128" s="102">
        <f t="shared" si="302"/>
        <v>39</v>
      </c>
      <c r="AC1128" s="100">
        <f t="shared" si="303"/>
        <v>0.9774658861789044</v>
      </c>
    </row>
    <row r="1129" spans="4:29" x14ac:dyDescent="0.35">
      <c r="D1129">
        <f t="shared" si="304"/>
        <v>1125</v>
      </c>
      <c r="E1129" s="101">
        <v>3</v>
      </c>
      <c r="F1129" s="4">
        <v>6</v>
      </c>
      <c r="G1129" s="4">
        <v>2</v>
      </c>
      <c r="H1129" s="4">
        <v>4</v>
      </c>
      <c r="I1129" s="4">
        <v>4</v>
      </c>
      <c r="J1129" s="4">
        <v>5</v>
      </c>
      <c r="K1129" s="102">
        <v>1</v>
      </c>
      <c r="M1129" s="101">
        <f t="shared" si="289"/>
        <v>23</v>
      </c>
      <c r="N1129" s="4">
        <f t="shared" si="290"/>
        <v>45</v>
      </c>
      <c r="O1129" s="4">
        <f t="shared" si="291"/>
        <v>56</v>
      </c>
      <c r="P1129" s="4">
        <f t="shared" si="292"/>
        <v>12</v>
      </c>
      <c r="Q1129" s="4">
        <f t="shared" si="293"/>
        <v>12</v>
      </c>
      <c r="R1129" s="4">
        <f t="shared" si="294"/>
        <v>30</v>
      </c>
      <c r="S1129" s="102">
        <f t="shared" si="295"/>
        <v>34</v>
      </c>
      <c r="U1129" s="101">
        <f t="shared" si="296"/>
        <v>39</v>
      </c>
      <c r="V1129" s="4">
        <f t="shared" si="297"/>
        <v>71</v>
      </c>
      <c r="W1129" s="4">
        <f t="shared" si="298"/>
        <v>78</v>
      </c>
      <c r="X1129" s="4">
        <f t="shared" si="299"/>
        <v>9</v>
      </c>
      <c r="Y1129" s="4">
        <f t="shared" si="300"/>
        <v>9</v>
      </c>
      <c r="Z1129" s="4">
        <f t="shared" si="301"/>
        <v>39</v>
      </c>
      <c r="AA1129" s="102">
        <f t="shared" si="302"/>
        <v>46</v>
      </c>
      <c r="AC1129" s="100">
        <f t="shared" si="303"/>
        <v>0.9804889176358853</v>
      </c>
    </row>
    <row r="1130" spans="4:29" x14ac:dyDescent="0.35">
      <c r="D1130">
        <f t="shared" si="304"/>
        <v>1126</v>
      </c>
      <c r="E1130" s="101">
        <v>4</v>
      </c>
      <c r="F1130" s="4">
        <v>1</v>
      </c>
      <c r="G1130" s="4">
        <v>4</v>
      </c>
      <c r="H1130" s="4">
        <v>4</v>
      </c>
      <c r="I1130" s="4">
        <v>1</v>
      </c>
      <c r="J1130" s="4">
        <v>1</v>
      </c>
      <c r="K1130" s="102">
        <v>5</v>
      </c>
      <c r="M1130" s="101">
        <f t="shared" si="289"/>
        <v>12</v>
      </c>
      <c r="N1130" s="4">
        <f t="shared" si="290"/>
        <v>34</v>
      </c>
      <c r="O1130" s="4">
        <f t="shared" si="291"/>
        <v>12</v>
      </c>
      <c r="P1130" s="4">
        <f t="shared" si="292"/>
        <v>12</v>
      </c>
      <c r="Q1130" s="4">
        <f t="shared" si="293"/>
        <v>34</v>
      </c>
      <c r="R1130" s="4">
        <f t="shared" si="294"/>
        <v>34</v>
      </c>
      <c r="S1130" s="102">
        <f t="shared" si="295"/>
        <v>30</v>
      </c>
      <c r="U1130" s="101">
        <f t="shared" si="296"/>
        <v>9</v>
      </c>
      <c r="V1130" s="4">
        <f t="shared" si="297"/>
        <v>46</v>
      </c>
      <c r="W1130" s="4">
        <f t="shared" si="298"/>
        <v>9</v>
      </c>
      <c r="X1130" s="4">
        <f t="shared" si="299"/>
        <v>9</v>
      </c>
      <c r="Y1130" s="4">
        <f t="shared" si="300"/>
        <v>46</v>
      </c>
      <c r="Z1130" s="4">
        <f t="shared" si="301"/>
        <v>46</v>
      </c>
      <c r="AA1130" s="102">
        <f t="shared" si="302"/>
        <v>39</v>
      </c>
      <c r="AC1130" s="100">
        <f t="shared" si="303"/>
        <v>0.99998609315883802</v>
      </c>
    </row>
    <row r="1131" spans="4:29" x14ac:dyDescent="0.35">
      <c r="D1131">
        <f t="shared" si="304"/>
        <v>1127</v>
      </c>
      <c r="E1131" s="101">
        <v>3</v>
      </c>
      <c r="F1131" s="4">
        <v>5</v>
      </c>
      <c r="G1131" s="4">
        <v>2</v>
      </c>
      <c r="H1131" s="4">
        <v>6</v>
      </c>
      <c r="I1131" s="4">
        <v>5</v>
      </c>
      <c r="J1131" s="4">
        <v>1</v>
      </c>
      <c r="K1131" s="102">
        <v>3</v>
      </c>
      <c r="M1131" s="101">
        <f t="shared" si="289"/>
        <v>23</v>
      </c>
      <c r="N1131" s="4">
        <f t="shared" si="290"/>
        <v>30</v>
      </c>
      <c r="O1131" s="4">
        <f t="shared" si="291"/>
        <v>56</v>
      </c>
      <c r="P1131" s="4">
        <f t="shared" si="292"/>
        <v>45</v>
      </c>
      <c r="Q1131" s="4">
        <f t="shared" si="293"/>
        <v>30</v>
      </c>
      <c r="R1131" s="4">
        <f t="shared" si="294"/>
        <v>34</v>
      </c>
      <c r="S1131" s="102">
        <f t="shared" si="295"/>
        <v>23</v>
      </c>
      <c r="U1131" s="101">
        <f t="shared" si="296"/>
        <v>39</v>
      </c>
      <c r="V1131" s="4">
        <f t="shared" si="297"/>
        <v>39</v>
      </c>
      <c r="W1131" s="4">
        <f t="shared" si="298"/>
        <v>78</v>
      </c>
      <c r="X1131" s="4">
        <f t="shared" si="299"/>
        <v>71</v>
      </c>
      <c r="Y1131" s="4">
        <f t="shared" si="300"/>
        <v>39</v>
      </c>
      <c r="Z1131" s="4">
        <f t="shared" si="301"/>
        <v>46</v>
      </c>
      <c r="AA1131" s="102">
        <f t="shared" si="302"/>
        <v>39</v>
      </c>
      <c r="AC1131" s="100">
        <f t="shared" si="303"/>
        <v>0.95623612959597837</v>
      </c>
    </row>
    <row r="1132" spans="4:29" x14ac:dyDescent="0.35">
      <c r="D1132">
        <f t="shared" si="304"/>
        <v>1128</v>
      </c>
      <c r="E1132" s="101">
        <v>3</v>
      </c>
      <c r="F1132" s="4">
        <v>6</v>
      </c>
      <c r="G1132" s="4">
        <v>1</v>
      </c>
      <c r="H1132" s="4">
        <v>1</v>
      </c>
      <c r="I1132" s="4">
        <v>4</v>
      </c>
      <c r="J1132" s="4">
        <v>3</v>
      </c>
      <c r="K1132" s="102">
        <v>2</v>
      </c>
      <c r="M1132" s="101">
        <f t="shared" si="289"/>
        <v>23</v>
      </c>
      <c r="N1132" s="4">
        <f t="shared" si="290"/>
        <v>45</v>
      </c>
      <c r="O1132" s="4">
        <f t="shared" si="291"/>
        <v>34</v>
      </c>
      <c r="P1132" s="4">
        <f t="shared" si="292"/>
        <v>34</v>
      </c>
      <c r="Q1132" s="4">
        <f t="shared" si="293"/>
        <v>12</v>
      </c>
      <c r="R1132" s="4">
        <f t="shared" si="294"/>
        <v>23</v>
      </c>
      <c r="S1132" s="102">
        <f t="shared" si="295"/>
        <v>56</v>
      </c>
      <c r="U1132" s="101">
        <f t="shared" si="296"/>
        <v>39</v>
      </c>
      <c r="V1132" s="4">
        <f t="shared" si="297"/>
        <v>71</v>
      </c>
      <c r="W1132" s="4">
        <f t="shared" si="298"/>
        <v>46</v>
      </c>
      <c r="X1132" s="4">
        <f t="shared" si="299"/>
        <v>46</v>
      </c>
      <c r="Y1132" s="4">
        <f t="shared" si="300"/>
        <v>9</v>
      </c>
      <c r="Z1132" s="4">
        <f t="shared" si="301"/>
        <v>39</v>
      </c>
      <c r="AA1132" s="102">
        <f t="shared" si="302"/>
        <v>78</v>
      </c>
      <c r="AC1132" s="100">
        <f t="shared" si="303"/>
        <v>0.96777299965954111</v>
      </c>
    </row>
    <row r="1133" spans="4:29" x14ac:dyDescent="0.35">
      <c r="D1133">
        <f t="shared" si="304"/>
        <v>1129</v>
      </c>
      <c r="E1133" s="101">
        <v>2</v>
      </c>
      <c r="F1133" s="4">
        <v>5</v>
      </c>
      <c r="G1133" s="4">
        <v>1</v>
      </c>
      <c r="H1133" s="4">
        <v>3</v>
      </c>
      <c r="I1133" s="4">
        <v>6</v>
      </c>
      <c r="J1133" s="4">
        <v>4</v>
      </c>
      <c r="K1133" s="102">
        <v>2</v>
      </c>
      <c r="M1133" s="101">
        <f t="shared" si="289"/>
        <v>56</v>
      </c>
      <c r="N1133" s="4">
        <f t="shared" si="290"/>
        <v>30</v>
      </c>
      <c r="O1133" s="4">
        <f t="shared" si="291"/>
        <v>34</v>
      </c>
      <c r="P1133" s="4">
        <f t="shared" si="292"/>
        <v>23</v>
      </c>
      <c r="Q1133" s="4">
        <f t="shared" si="293"/>
        <v>45</v>
      </c>
      <c r="R1133" s="4">
        <f t="shared" si="294"/>
        <v>12</v>
      </c>
      <c r="S1133" s="102">
        <f t="shared" si="295"/>
        <v>56</v>
      </c>
      <c r="U1133" s="101">
        <f t="shared" si="296"/>
        <v>78</v>
      </c>
      <c r="V1133" s="4">
        <f t="shared" si="297"/>
        <v>39</v>
      </c>
      <c r="W1133" s="4">
        <f t="shared" si="298"/>
        <v>46</v>
      </c>
      <c r="X1133" s="4">
        <f t="shared" si="299"/>
        <v>39</v>
      </c>
      <c r="Y1133" s="4">
        <f t="shared" si="300"/>
        <v>71</v>
      </c>
      <c r="Z1133" s="4">
        <f t="shared" si="301"/>
        <v>9</v>
      </c>
      <c r="AA1133" s="102">
        <f t="shared" si="302"/>
        <v>78</v>
      </c>
      <c r="AC1133" s="100">
        <f t="shared" si="303"/>
        <v>0.97891074760359642</v>
      </c>
    </row>
    <row r="1134" spans="4:29" x14ac:dyDescent="0.35">
      <c r="D1134">
        <f t="shared" si="304"/>
        <v>1130</v>
      </c>
      <c r="E1134" s="101">
        <v>6</v>
      </c>
      <c r="F1134" s="4">
        <v>7</v>
      </c>
      <c r="G1134" s="4">
        <v>6</v>
      </c>
      <c r="H1134" s="4">
        <v>2</v>
      </c>
      <c r="I1134" s="4">
        <v>6</v>
      </c>
      <c r="J1134" s="4">
        <v>5</v>
      </c>
      <c r="K1134" s="102">
        <v>2</v>
      </c>
      <c r="M1134" s="101">
        <f t="shared" si="289"/>
        <v>45</v>
      </c>
      <c r="N1134" s="4">
        <f t="shared" si="290"/>
        <v>29</v>
      </c>
      <c r="O1134" s="4">
        <f t="shared" si="291"/>
        <v>45</v>
      </c>
      <c r="P1134" s="4">
        <f t="shared" si="292"/>
        <v>56</v>
      </c>
      <c r="Q1134" s="4">
        <f t="shared" si="293"/>
        <v>45</v>
      </c>
      <c r="R1134" s="4">
        <f t="shared" si="294"/>
        <v>30</v>
      </c>
      <c r="S1134" s="102">
        <f t="shared" si="295"/>
        <v>56</v>
      </c>
      <c r="U1134" s="101">
        <f t="shared" si="296"/>
        <v>71</v>
      </c>
      <c r="V1134" s="4">
        <f t="shared" si="297"/>
        <v>41</v>
      </c>
      <c r="W1134" s="4">
        <f t="shared" si="298"/>
        <v>71</v>
      </c>
      <c r="X1134" s="4">
        <f t="shared" si="299"/>
        <v>78</v>
      </c>
      <c r="Y1134" s="4">
        <f t="shared" si="300"/>
        <v>71</v>
      </c>
      <c r="Z1134" s="4">
        <f t="shared" si="301"/>
        <v>39</v>
      </c>
      <c r="AA1134" s="102">
        <f t="shared" si="302"/>
        <v>78</v>
      </c>
      <c r="AC1134" s="100">
        <f t="shared" si="303"/>
        <v>0.95886588633599812</v>
      </c>
    </row>
    <row r="1135" spans="4:29" x14ac:dyDescent="0.35">
      <c r="D1135">
        <f t="shared" si="304"/>
        <v>1131</v>
      </c>
      <c r="E1135" s="101">
        <v>3</v>
      </c>
      <c r="F1135" s="4">
        <v>3</v>
      </c>
      <c r="G1135" s="4">
        <v>7</v>
      </c>
      <c r="H1135" s="4">
        <v>6</v>
      </c>
      <c r="I1135" s="4">
        <v>1</v>
      </c>
      <c r="J1135" s="4">
        <v>4</v>
      </c>
      <c r="K1135" s="102">
        <v>5</v>
      </c>
      <c r="M1135" s="101">
        <f t="shared" si="289"/>
        <v>23</v>
      </c>
      <c r="N1135" s="4">
        <f t="shared" si="290"/>
        <v>23</v>
      </c>
      <c r="O1135" s="4">
        <f t="shared" si="291"/>
        <v>29</v>
      </c>
      <c r="P1135" s="4">
        <f t="shared" si="292"/>
        <v>45</v>
      </c>
      <c r="Q1135" s="4">
        <f t="shared" si="293"/>
        <v>34</v>
      </c>
      <c r="R1135" s="4">
        <f t="shared" si="294"/>
        <v>12</v>
      </c>
      <c r="S1135" s="102">
        <f t="shared" si="295"/>
        <v>30</v>
      </c>
      <c r="U1135" s="101">
        <f t="shared" si="296"/>
        <v>39</v>
      </c>
      <c r="V1135" s="4">
        <f t="shared" si="297"/>
        <v>39</v>
      </c>
      <c r="W1135" s="4">
        <f t="shared" si="298"/>
        <v>41</v>
      </c>
      <c r="X1135" s="4">
        <f t="shared" si="299"/>
        <v>71</v>
      </c>
      <c r="Y1135" s="4">
        <f t="shared" si="300"/>
        <v>46</v>
      </c>
      <c r="Z1135" s="4">
        <f t="shared" si="301"/>
        <v>9</v>
      </c>
      <c r="AA1135" s="102">
        <f t="shared" si="302"/>
        <v>39</v>
      </c>
      <c r="AC1135" s="100">
        <f t="shared" si="303"/>
        <v>0.95663510890125902</v>
      </c>
    </row>
    <row r="1136" spans="4:29" x14ac:dyDescent="0.35">
      <c r="D1136">
        <f t="shared" si="304"/>
        <v>1132</v>
      </c>
      <c r="E1136" s="101">
        <v>4</v>
      </c>
      <c r="F1136" s="4">
        <v>3</v>
      </c>
      <c r="G1136" s="4">
        <v>1</v>
      </c>
      <c r="H1136" s="4">
        <v>1</v>
      </c>
      <c r="I1136" s="4">
        <v>1</v>
      </c>
      <c r="J1136" s="4">
        <v>6</v>
      </c>
      <c r="K1136" s="102">
        <v>4</v>
      </c>
      <c r="M1136" s="101">
        <f t="shared" si="289"/>
        <v>12</v>
      </c>
      <c r="N1136" s="4">
        <f t="shared" si="290"/>
        <v>23</v>
      </c>
      <c r="O1136" s="4">
        <f t="shared" si="291"/>
        <v>34</v>
      </c>
      <c r="P1136" s="4">
        <f t="shared" si="292"/>
        <v>34</v>
      </c>
      <c r="Q1136" s="4">
        <f t="shared" si="293"/>
        <v>34</v>
      </c>
      <c r="R1136" s="4">
        <f t="shared" si="294"/>
        <v>45</v>
      </c>
      <c r="S1136" s="102">
        <f t="shared" si="295"/>
        <v>12</v>
      </c>
      <c r="U1136" s="101">
        <f t="shared" si="296"/>
        <v>9</v>
      </c>
      <c r="V1136" s="4">
        <f t="shared" si="297"/>
        <v>39</v>
      </c>
      <c r="W1136" s="4">
        <f t="shared" si="298"/>
        <v>46</v>
      </c>
      <c r="X1136" s="4">
        <f t="shared" si="299"/>
        <v>46</v>
      </c>
      <c r="Y1136" s="4">
        <f t="shared" si="300"/>
        <v>46</v>
      </c>
      <c r="Z1136" s="4">
        <f t="shared" si="301"/>
        <v>71</v>
      </c>
      <c r="AA1136" s="102">
        <f t="shared" si="302"/>
        <v>9</v>
      </c>
      <c r="AC1136" s="100">
        <f t="shared" si="303"/>
        <v>0.97875671765289929</v>
      </c>
    </row>
    <row r="1137" spans="4:29" x14ac:dyDescent="0.35">
      <c r="D1137">
        <f t="shared" si="304"/>
        <v>1133</v>
      </c>
      <c r="E1137" s="101">
        <v>1</v>
      </c>
      <c r="F1137" s="4">
        <v>6</v>
      </c>
      <c r="G1137" s="4">
        <v>5</v>
      </c>
      <c r="H1137" s="4">
        <v>6</v>
      </c>
      <c r="I1137" s="4">
        <v>4</v>
      </c>
      <c r="J1137" s="4">
        <v>5</v>
      </c>
      <c r="K1137" s="102">
        <v>2</v>
      </c>
      <c r="M1137" s="101">
        <f t="shared" si="289"/>
        <v>34</v>
      </c>
      <c r="N1137" s="4">
        <f t="shared" si="290"/>
        <v>45</v>
      </c>
      <c r="O1137" s="4">
        <f t="shared" si="291"/>
        <v>30</v>
      </c>
      <c r="P1137" s="4">
        <f t="shared" si="292"/>
        <v>45</v>
      </c>
      <c r="Q1137" s="4">
        <f t="shared" si="293"/>
        <v>12</v>
      </c>
      <c r="R1137" s="4">
        <f t="shared" si="294"/>
        <v>30</v>
      </c>
      <c r="S1137" s="102">
        <f t="shared" si="295"/>
        <v>56</v>
      </c>
      <c r="U1137" s="101">
        <f t="shared" si="296"/>
        <v>46</v>
      </c>
      <c r="V1137" s="4">
        <f t="shared" si="297"/>
        <v>71</v>
      </c>
      <c r="W1137" s="4">
        <f t="shared" si="298"/>
        <v>39</v>
      </c>
      <c r="X1137" s="4">
        <f t="shared" si="299"/>
        <v>71</v>
      </c>
      <c r="Y1137" s="4">
        <f t="shared" si="300"/>
        <v>9</v>
      </c>
      <c r="Z1137" s="4">
        <f t="shared" si="301"/>
        <v>39</v>
      </c>
      <c r="AA1137" s="102">
        <f t="shared" si="302"/>
        <v>78</v>
      </c>
      <c r="AC1137" s="100">
        <f t="shared" si="303"/>
        <v>0.98583479361874682</v>
      </c>
    </row>
    <row r="1138" spans="4:29" x14ac:dyDescent="0.35">
      <c r="D1138">
        <f t="shared" si="304"/>
        <v>1134</v>
      </c>
      <c r="E1138" s="101">
        <v>5</v>
      </c>
      <c r="F1138" s="4">
        <v>4</v>
      </c>
      <c r="G1138" s="4">
        <v>3</v>
      </c>
      <c r="H1138" s="4">
        <v>7</v>
      </c>
      <c r="I1138" s="4">
        <v>2</v>
      </c>
      <c r="J1138" s="4">
        <v>3</v>
      </c>
      <c r="K1138" s="102">
        <v>4</v>
      </c>
      <c r="M1138" s="101">
        <f t="shared" si="289"/>
        <v>30</v>
      </c>
      <c r="N1138" s="4">
        <f t="shared" si="290"/>
        <v>12</v>
      </c>
      <c r="O1138" s="4">
        <f t="shared" si="291"/>
        <v>23</v>
      </c>
      <c r="P1138" s="4">
        <f t="shared" si="292"/>
        <v>29</v>
      </c>
      <c r="Q1138" s="4">
        <f t="shared" si="293"/>
        <v>56</v>
      </c>
      <c r="R1138" s="4">
        <f t="shared" si="294"/>
        <v>23</v>
      </c>
      <c r="S1138" s="102">
        <f t="shared" si="295"/>
        <v>12</v>
      </c>
      <c r="U1138" s="101">
        <f t="shared" si="296"/>
        <v>39</v>
      </c>
      <c r="V1138" s="4">
        <f t="shared" si="297"/>
        <v>9</v>
      </c>
      <c r="W1138" s="4">
        <f t="shared" si="298"/>
        <v>39</v>
      </c>
      <c r="X1138" s="4">
        <f t="shared" si="299"/>
        <v>41</v>
      </c>
      <c r="Y1138" s="4">
        <f t="shared" si="300"/>
        <v>78</v>
      </c>
      <c r="Z1138" s="4">
        <f t="shared" si="301"/>
        <v>39</v>
      </c>
      <c r="AA1138" s="102">
        <f t="shared" si="302"/>
        <v>9</v>
      </c>
      <c r="AC1138" s="100">
        <f t="shared" si="303"/>
        <v>0.96874243570870699</v>
      </c>
    </row>
    <row r="1139" spans="4:29" x14ac:dyDescent="0.35">
      <c r="D1139">
        <f t="shared" si="304"/>
        <v>1135</v>
      </c>
      <c r="E1139" s="101">
        <v>1</v>
      </c>
      <c r="F1139" s="4">
        <v>2</v>
      </c>
      <c r="G1139" s="4">
        <v>4</v>
      </c>
      <c r="H1139" s="4">
        <v>4</v>
      </c>
      <c r="I1139" s="4">
        <v>6</v>
      </c>
      <c r="J1139" s="4">
        <v>2</v>
      </c>
      <c r="K1139" s="102">
        <v>6</v>
      </c>
      <c r="M1139" s="101">
        <f t="shared" si="289"/>
        <v>34</v>
      </c>
      <c r="N1139" s="4">
        <f t="shared" si="290"/>
        <v>56</v>
      </c>
      <c r="O1139" s="4">
        <f t="shared" si="291"/>
        <v>12</v>
      </c>
      <c r="P1139" s="4">
        <f t="shared" si="292"/>
        <v>12</v>
      </c>
      <c r="Q1139" s="4">
        <f t="shared" si="293"/>
        <v>45</v>
      </c>
      <c r="R1139" s="4">
        <f t="shared" si="294"/>
        <v>56</v>
      </c>
      <c r="S1139" s="102">
        <f t="shared" si="295"/>
        <v>45</v>
      </c>
      <c r="U1139" s="101">
        <f t="shared" si="296"/>
        <v>46</v>
      </c>
      <c r="V1139" s="4">
        <f t="shared" si="297"/>
        <v>78</v>
      </c>
      <c r="W1139" s="4">
        <f t="shared" si="298"/>
        <v>9</v>
      </c>
      <c r="X1139" s="4">
        <f t="shared" si="299"/>
        <v>9</v>
      </c>
      <c r="Y1139" s="4">
        <f t="shared" si="300"/>
        <v>71</v>
      </c>
      <c r="Z1139" s="4">
        <f t="shared" si="301"/>
        <v>78</v>
      </c>
      <c r="AA1139" s="102">
        <f t="shared" si="302"/>
        <v>71</v>
      </c>
      <c r="AC1139" s="100">
        <f t="shared" si="303"/>
        <v>0.98877264034766277</v>
      </c>
    </row>
    <row r="1140" spans="4:29" x14ac:dyDescent="0.35">
      <c r="D1140">
        <f t="shared" si="304"/>
        <v>1136</v>
      </c>
      <c r="E1140" s="101">
        <v>7</v>
      </c>
      <c r="F1140" s="4">
        <v>7</v>
      </c>
      <c r="G1140" s="4">
        <v>7</v>
      </c>
      <c r="H1140" s="4">
        <v>7</v>
      </c>
      <c r="I1140" s="4">
        <v>1</v>
      </c>
      <c r="J1140" s="4">
        <v>2</v>
      </c>
      <c r="K1140" s="102">
        <v>2</v>
      </c>
      <c r="M1140" s="101">
        <f t="shared" si="289"/>
        <v>29</v>
      </c>
      <c r="N1140" s="4">
        <f t="shared" si="290"/>
        <v>29</v>
      </c>
      <c r="O1140" s="4">
        <f t="shared" si="291"/>
        <v>29</v>
      </c>
      <c r="P1140" s="4">
        <f t="shared" si="292"/>
        <v>29</v>
      </c>
      <c r="Q1140" s="4">
        <f t="shared" si="293"/>
        <v>34</v>
      </c>
      <c r="R1140" s="4">
        <f t="shared" si="294"/>
        <v>56</v>
      </c>
      <c r="S1140" s="102">
        <f t="shared" si="295"/>
        <v>56</v>
      </c>
      <c r="U1140" s="101">
        <f t="shared" si="296"/>
        <v>41</v>
      </c>
      <c r="V1140" s="4">
        <f t="shared" si="297"/>
        <v>41</v>
      </c>
      <c r="W1140" s="4">
        <f t="shared" si="298"/>
        <v>41</v>
      </c>
      <c r="X1140" s="4">
        <f t="shared" si="299"/>
        <v>41</v>
      </c>
      <c r="Y1140" s="4">
        <f t="shared" si="300"/>
        <v>46</v>
      </c>
      <c r="Z1140" s="4">
        <f t="shared" si="301"/>
        <v>78</v>
      </c>
      <c r="AA1140" s="102">
        <f t="shared" si="302"/>
        <v>78</v>
      </c>
      <c r="AC1140" s="100">
        <f t="shared" si="303"/>
        <v>0.99922527795354488</v>
      </c>
    </row>
    <row r="1141" spans="4:29" x14ac:dyDescent="0.35">
      <c r="D1141">
        <f t="shared" si="304"/>
        <v>1137</v>
      </c>
      <c r="E1141" s="101">
        <v>2</v>
      </c>
      <c r="F1141" s="4">
        <v>2</v>
      </c>
      <c r="G1141" s="4">
        <v>5</v>
      </c>
      <c r="H1141" s="4">
        <v>1</v>
      </c>
      <c r="I1141" s="4">
        <v>3</v>
      </c>
      <c r="J1141" s="4">
        <v>3</v>
      </c>
      <c r="K1141" s="102">
        <v>6</v>
      </c>
      <c r="M1141" s="101">
        <f t="shared" si="289"/>
        <v>56</v>
      </c>
      <c r="N1141" s="4">
        <f t="shared" si="290"/>
        <v>56</v>
      </c>
      <c r="O1141" s="4">
        <f t="shared" si="291"/>
        <v>30</v>
      </c>
      <c r="P1141" s="4">
        <f t="shared" si="292"/>
        <v>34</v>
      </c>
      <c r="Q1141" s="4">
        <f t="shared" si="293"/>
        <v>23</v>
      </c>
      <c r="R1141" s="4">
        <f t="shared" si="294"/>
        <v>23</v>
      </c>
      <c r="S1141" s="102">
        <f t="shared" si="295"/>
        <v>45</v>
      </c>
      <c r="U1141" s="101">
        <f t="shared" si="296"/>
        <v>78</v>
      </c>
      <c r="V1141" s="4">
        <f t="shared" si="297"/>
        <v>78</v>
      </c>
      <c r="W1141" s="4">
        <f t="shared" si="298"/>
        <v>39</v>
      </c>
      <c r="X1141" s="4">
        <f t="shared" si="299"/>
        <v>46</v>
      </c>
      <c r="Y1141" s="4">
        <f t="shared" si="300"/>
        <v>39</v>
      </c>
      <c r="Z1141" s="4">
        <f t="shared" si="301"/>
        <v>39</v>
      </c>
      <c r="AA1141" s="102">
        <f t="shared" si="302"/>
        <v>71</v>
      </c>
      <c r="AC1141" s="100">
        <f t="shared" si="303"/>
        <v>0.97273126225198769</v>
      </c>
    </row>
    <row r="1142" spans="4:29" x14ac:dyDescent="0.35">
      <c r="D1142">
        <f t="shared" si="304"/>
        <v>1138</v>
      </c>
      <c r="E1142" s="101">
        <v>2</v>
      </c>
      <c r="F1142" s="4">
        <v>4</v>
      </c>
      <c r="G1142" s="4">
        <v>3</v>
      </c>
      <c r="H1142" s="4">
        <v>7</v>
      </c>
      <c r="I1142" s="4">
        <v>6</v>
      </c>
      <c r="J1142" s="4">
        <v>1</v>
      </c>
      <c r="K1142" s="102">
        <v>7</v>
      </c>
      <c r="M1142" s="101">
        <f t="shared" si="289"/>
        <v>56</v>
      </c>
      <c r="N1142" s="4">
        <f t="shared" si="290"/>
        <v>12</v>
      </c>
      <c r="O1142" s="4">
        <f t="shared" si="291"/>
        <v>23</v>
      </c>
      <c r="P1142" s="4">
        <f t="shared" si="292"/>
        <v>29</v>
      </c>
      <c r="Q1142" s="4">
        <f t="shared" si="293"/>
        <v>45</v>
      </c>
      <c r="R1142" s="4">
        <f t="shared" si="294"/>
        <v>34</v>
      </c>
      <c r="S1142" s="102">
        <f t="shared" si="295"/>
        <v>29</v>
      </c>
      <c r="U1142" s="101">
        <f t="shared" si="296"/>
        <v>78</v>
      </c>
      <c r="V1142" s="4">
        <f t="shared" si="297"/>
        <v>9</v>
      </c>
      <c r="W1142" s="4">
        <f t="shared" si="298"/>
        <v>39</v>
      </c>
      <c r="X1142" s="4">
        <f t="shared" si="299"/>
        <v>41</v>
      </c>
      <c r="Y1142" s="4">
        <f t="shared" si="300"/>
        <v>71</v>
      </c>
      <c r="Z1142" s="4">
        <f t="shared" si="301"/>
        <v>46</v>
      </c>
      <c r="AA1142" s="102">
        <f t="shared" si="302"/>
        <v>41</v>
      </c>
      <c r="AC1142" s="100">
        <f t="shared" si="303"/>
        <v>0.97674572809751137</v>
      </c>
    </row>
    <row r="1143" spans="4:29" x14ac:dyDescent="0.35">
      <c r="D1143">
        <f t="shared" si="304"/>
        <v>1139</v>
      </c>
      <c r="E1143" s="101">
        <v>7</v>
      </c>
      <c r="F1143" s="4">
        <v>5</v>
      </c>
      <c r="G1143" s="4">
        <v>5</v>
      </c>
      <c r="H1143" s="4">
        <v>7</v>
      </c>
      <c r="I1143" s="4">
        <v>4</v>
      </c>
      <c r="J1143" s="4">
        <v>1</v>
      </c>
      <c r="K1143" s="102">
        <v>7</v>
      </c>
      <c r="M1143" s="101">
        <f t="shared" si="289"/>
        <v>29</v>
      </c>
      <c r="N1143" s="4">
        <f t="shared" si="290"/>
        <v>30</v>
      </c>
      <c r="O1143" s="4">
        <f t="shared" si="291"/>
        <v>30</v>
      </c>
      <c r="P1143" s="4">
        <f t="shared" si="292"/>
        <v>29</v>
      </c>
      <c r="Q1143" s="4">
        <f t="shared" si="293"/>
        <v>12</v>
      </c>
      <c r="R1143" s="4">
        <f t="shared" si="294"/>
        <v>34</v>
      </c>
      <c r="S1143" s="102">
        <f t="shared" si="295"/>
        <v>29</v>
      </c>
      <c r="U1143" s="101">
        <f t="shared" si="296"/>
        <v>41</v>
      </c>
      <c r="V1143" s="4">
        <f t="shared" si="297"/>
        <v>39</v>
      </c>
      <c r="W1143" s="4">
        <f t="shared" si="298"/>
        <v>39</v>
      </c>
      <c r="X1143" s="4">
        <f t="shared" si="299"/>
        <v>41</v>
      </c>
      <c r="Y1143" s="4">
        <f t="shared" si="300"/>
        <v>9</v>
      </c>
      <c r="Z1143" s="4">
        <f t="shared" si="301"/>
        <v>46</v>
      </c>
      <c r="AA1143" s="102">
        <f t="shared" si="302"/>
        <v>41</v>
      </c>
      <c r="AC1143" s="100">
        <f t="shared" si="303"/>
        <v>0.98849639442492176</v>
      </c>
    </row>
    <row r="1144" spans="4:29" x14ac:dyDescent="0.35">
      <c r="D1144">
        <f t="shared" si="304"/>
        <v>1140</v>
      </c>
      <c r="E1144" s="101">
        <v>3</v>
      </c>
      <c r="F1144" s="4">
        <v>7</v>
      </c>
      <c r="G1144" s="4">
        <v>6</v>
      </c>
      <c r="H1144" s="4">
        <v>4</v>
      </c>
      <c r="I1144" s="4">
        <v>5</v>
      </c>
      <c r="J1144" s="4">
        <v>5</v>
      </c>
      <c r="K1144" s="102">
        <v>2</v>
      </c>
      <c r="M1144" s="101">
        <f t="shared" si="289"/>
        <v>23</v>
      </c>
      <c r="N1144" s="4">
        <f t="shared" si="290"/>
        <v>29</v>
      </c>
      <c r="O1144" s="4">
        <f t="shared" si="291"/>
        <v>45</v>
      </c>
      <c r="P1144" s="4">
        <f t="shared" si="292"/>
        <v>12</v>
      </c>
      <c r="Q1144" s="4">
        <f t="shared" si="293"/>
        <v>30</v>
      </c>
      <c r="R1144" s="4">
        <f t="shared" si="294"/>
        <v>30</v>
      </c>
      <c r="S1144" s="102">
        <f t="shared" si="295"/>
        <v>56</v>
      </c>
      <c r="U1144" s="101">
        <f t="shared" si="296"/>
        <v>39</v>
      </c>
      <c r="V1144" s="4">
        <f t="shared" si="297"/>
        <v>41</v>
      </c>
      <c r="W1144" s="4">
        <f t="shared" si="298"/>
        <v>71</v>
      </c>
      <c r="X1144" s="4">
        <f t="shared" si="299"/>
        <v>9</v>
      </c>
      <c r="Y1144" s="4">
        <f t="shared" si="300"/>
        <v>39</v>
      </c>
      <c r="Z1144" s="4">
        <f t="shared" si="301"/>
        <v>39</v>
      </c>
      <c r="AA1144" s="102">
        <f t="shared" si="302"/>
        <v>78</v>
      </c>
      <c r="AC1144" s="100">
        <f t="shared" si="303"/>
        <v>0.97502143550041642</v>
      </c>
    </row>
    <row r="1145" spans="4:29" x14ac:dyDescent="0.35">
      <c r="D1145">
        <f t="shared" si="304"/>
        <v>1141</v>
      </c>
      <c r="E1145" s="101">
        <v>1</v>
      </c>
      <c r="F1145" s="4">
        <v>5</v>
      </c>
      <c r="G1145" s="4">
        <v>5</v>
      </c>
      <c r="H1145" s="4">
        <v>6</v>
      </c>
      <c r="I1145" s="4">
        <v>6</v>
      </c>
      <c r="J1145" s="4">
        <v>4</v>
      </c>
      <c r="K1145" s="102">
        <v>7</v>
      </c>
      <c r="M1145" s="101">
        <f t="shared" si="289"/>
        <v>34</v>
      </c>
      <c r="N1145" s="4">
        <f t="shared" si="290"/>
        <v>30</v>
      </c>
      <c r="O1145" s="4">
        <f t="shared" si="291"/>
        <v>30</v>
      </c>
      <c r="P1145" s="4">
        <f t="shared" si="292"/>
        <v>45</v>
      </c>
      <c r="Q1145" s="4">
        <f t="shared" si="293"/>
        <v>45</v>
      </c>
      <c r="R1145" s="4">
        <f t="shared" si="294"/>
        <v>12</v>
      </c>
      <c r="S1145" s="102">
        <f t="shared" si="295"/>
        <v>29</v>
      </c>
      <c r="U1145" s="101">
        <f t="shared" si="296"/>
        <v>46</v>
      </c>
      <c r="V1145" s="4">
        <f t="shared" si="297"/>
        <v>39</v>
      </c>
      <c r="W1145" s="4">
        <f t="shared" si="298"/>
        <v>39</v>
      </c>
      <c r="X1145" s="4">
        <f t="shared" si="299"/>
        <v>71</v>
      </c>
      <c r="Y1145" s="4">
        <f t="shared" si="300"/>
        <v>71</v>
      </c>
      <c r="Z1145" s="4">
        <f t="shared" si="301"/>
        <v>9</v>
      </c>
      <c r="AA1145" s="102">
        <f t="shared" si="302"/>
        <v>41</v>
      </c>
      <c r="AC1145" s="100">
        <f t="shared" si="303"/>
        <v>0.99494667847113982</v>
      </c>
    </row>
    <row r="1146" spans="4:29" x14ac:dyDescent="0.35">
      <c r="D1146">
        <f t="shared" si="304"/>
        <v>1142</v>
      </c>
      <c r="E1146" s="101">
        <v>2</v>
      </c>
      <c r="F1146" s="4">
        <v>4</v>
      </c>
      <c r="G1146" s="4">
        <v>5</v>
      </c>
      <c r="H1146" s="4">
        <v>4</v>
      </c>
      <c r="I1146" s="4">
        <v>3</v>
      </c>
      <c r="J1146" s="4">
        <v>3</v>
      </c>
      <c r="K1146" s="102">
        <v>7</v>
      </c>
      <c r="M1146" s="101">
        <f t="shared" si="289"/>
        <v>56</v>
      </c>
      <c r="N1146" s="4">
        <f t="shared" si="290"/>
        <v>12</v>
      </c>
      <c r="O1146" s="4">
        <f t="shared" si="291"/>
        <v>30</v>
      </c>
      <c r="P1146" s="4">
        <f t="shared" si="292"/>
        <v>12</v>
      </c>
      <c r="Q1146" s="4">
        <f t="shared" si="293"/>
        <v>23</v>
      </c>
      <c r="R1146" s="4">
        <f t="shared" si="294"/>
        <v>23</v>
      </c>
      <c r="S1146" s="102">
        <f t="shared" si="295"/>
        <v>29</v>
      </c>
      <c r="U1146" s="101">
        <f t="shared" si="296"/>
        <v>78</v>
      </c>
      <c r="V1146" s="4">
        <f t="shared" si="297"/>
        <v>9</v>
      </c>
      <c r="W1146" s="4">
        <f t="shared" si="298"/>
        <v>39</v>
      </c>
      <c r="X1146" s="4">
        <f t="shared" si="299"/>
        <v>9</v>
      </c>
      <c r="Y1146" s="4">
        <f t="shared" si="300"/>
        <v>39</v>
      </c>
      <c r="Z1146" s="4">
        <f t="shared" si="301"/>
        <v>39</v>
      </c>
      <c r="AA1146" s="102">
        <f t="shared" si="302"/>
        <v>41</v>
      </c>
      <c r="AC1146" s="100">
        <f t="shared" si="303"/>
        <v>0.96874243570870699</v>
      </c>
    </row>
    <row r="1147" spans="4:29" x14ac:dyDescent="0.35">
      <c r="D1147">
        <f t="shared" si="304"/>
        <v>1143</v>
      </c>
      <c r="E1147" s="101">
        <v>5</v>
      </c>
      <c r="F1147" s="4">
        <v>7</v>
      </c>
      <c r="G1147" s="4">
        <v>1</v>
      </c>
      <c r="H1147" s="4">
        <v>7</v>
      </c>
      <c r="I1147" s="4">
        <v>6</v>
      </c>
      <c r="J1147" s="4">
        <v>2</v>
      </c>
      <c r="K1147" s="102">
        <v>2</v>
      </c>
      <c r="M1147" s="101">
        <f t="shared" si="289"/>
        <v>30</v>
      </c>
      <c r="N1147" s="4">
        <f t="shared" si="290"/>
        <v>29</v>
      </c>
      <c r="O1147" s="4">
        <f t="shared" si="291"/>
        <v>34</v>
      </c>
      <c r="P1147" s="4">
        <f t="shared" si="292"/>
        <v>29</v>
      </c>
      <c r="Q1147" s="4">
        <f t="shared" si="293"/>
        <v>45</v>
      </c>
      <c r="R1147" s="4">
        <f t="shared" si="294"/>
        <v>56</v>
      </c>
      <c r="S1147" s="102">
        <f t="shared" si="295"/>
        <v>56</v>
      </c>
      <c r="U1147" s="101">
        <f t="shared" si="296"/>
        <v>39</v>
      </c>
      <c r="V1147" s="4">
        <f t="shared" si="297"/>
        <v>41</v>
      </c>
      <c r="W1147" s="4">
        <f t="shared" si="298"/>
        <v>46</v>
      </c>
      <c r="X1147" s="4">
        <f t="shared" si="299"/>
        <v>41</v>
      </c>
      <c r="Y1147" s="4">
        <f t="shared" si="300"/>
        <v>71</v>
      </c>
      <c r="Z1147" s="4">
        <f t="shared" si="301"/>
        <v>78</v>
      </c>
      <c r="AA1147" s="102">
        <f t="shared" si="302"/>
        <v>78</v>
      </c>
      <c r="AC1147" s="100">
        <f t="shared" si="303"/>
        <v>0.9824168814030334</v>
      </c>
    </row>
    <row r="1148" spans="4:29" x14ac:dyDescent="0.35">
      <c r="D1148">
        <f t="shared" si="304"/>
        <v>1144</v>
      </c>
      <c r="E1148" s="101">
        <v>1</v>
      </c>
      <c r="F1148" s="4">
        <v>1</v>
      </c>
      <c r="G1148" s="4">
        <v>1</v>
      </c>
      <c r="H1148" s="4">
        <v>4</v>
      </c>
      <c r="I1148" s="4">
        <v>7</v>
      </c>
      <c r="J1148" s="4">
        <v>7</v>
      </c>
      <c r="K1148" s="102">
        <v>3</v>
      </c>
      <c r="M1148" s="101">
        <f t="shared" si="289"/>
        <v>34</v>
      </c>
      <c r="N1148" s="4">
        <f t="shared" si="290"/>
        <v>34</v>
      </c>
      <c r="O1148" s="4">
        <f t="shared" si="291"/>
        <v>34</v>
      </c>
      <c r="P1148" s="4">
        <f t="shared" si="292"/>
        <v>12</v>
      </c>
      <c r="Q1148" s="4">
        <f t="shared" si="293"/>
        <v>29</v>
      </c>
      <c r="R1148" s="4">
        <f t="shared" si="294"/>
        <v>29</v>
      </c>
      <c r="S1148" s="102">
        <f t="shared" si="295"/>
        <v>23</v>
      </c>
      <c r="U1148" s="101">
        <f t="shared" si="296"/>
        <v>46</v>
      </c>
      <c r="V1148" s="4">
        <f t="shared" si="297"/>
        <v>46</v>
      </c>
      <c r="W1148" s="4">
        <f t="shared" si="298"/>
        <v>46</v>
      </c>
      <c r="X1148" s="4">
        <f t="shared" si="299"/>
        <v>9</v>
      </c>
      <c r="Y1148" s="4">
        <f t="shared" si="300"/>
        <v>41</v>
      </c>
      <c r="Z1148" s="4">
        <f t="shared" si="301"/>
        <v>41</v>
      </c>
      <c r="AA1148" s="102">
        <f t="shared" si="302"/>
        <v>39</v>
      </c>
      <c r="AC1148" s="100">
        <f t="shared" si="303"/>
        <v>0.95043425784894831</v>
      </c>
    </row>
    <row r="1149" spans="4:29" x14ac:dyDescent="0.35">
      <c r="D1149">
        <f t="shared" si="304"/>
        <v>1145</v>
      </c>
      <c r="E1149" s="101">
        <v>2</v>
      </c>
      <c r="F1149" s="4">
        <v>4</v>
      </c>
      <c r="G1149" s="4">
        <v>6</v>
      </c>
      <c r="H1149" s="4">
        <v>2</v>
      </c>
      <c r="I1149" s="4">
        <v>6</v>
      </c>
      <c r="J1149" s="4">
        <v>5</v>
      </c>
      <c r="K1149" s="102">
        <v>1</v>
      </c>
      <c r="M1149" s="101">
        <f t="shared" si="289"/>
        <v>56</v>
      </c>
      <c r="N1149" s="4">
        <f t="shared" si="290"/>
        <v>12</v>
      </c>
      <c r="O1149" s="4">
        <f t="shared" si="291"/>
        <v>45</v>
      </c>
      <c r="P1149" s="4">
        <f t="shared" si="292"/>
        <v>56</v>
      </c>
      <c r="Q1149" s="4">
        <f t="shared" si="293"/>
        <v>45</v>
      </c>
      <c r="R1149" s="4">
        <f t="shared" si="294"/>
        <v>30</v>
      </c>
      <c r="S1149" s="102">
        <f t="shared" si="295"/>
        <v>34</v>
      </c>
      <c r="U1149" s="101">
        <f t="shared" si="296"/>
        <v>78</v>
      </c>
      <c r="V1149" s="4">
        <f t="shared" si="297"/>
        <v>9</v>
      </c>
      <c r="W1149" s="4">
        <f t="shared" si="298"/>
        <v>71</v>
      </c>
      <c r="X1149" s="4">
        <f t="shared" si="299"/>
        <v>78</v>
      </c>
      <c r="Y1149" s="4">
        <f t="shared" si="300"/>
        <v>71</v>
      </c>
      <c r="Z1149" s="4">
        <f t="shared" si="301"/>
        <v>39</v>
      </c>
      <c r="AA1149" s="102">
        <f t="shared" si="302"/>
        <v>46</v>
      </c>
      <c r="AC1149" s="100">
        <f t="shared" si="303"/>
        <v>0.98395226878976649</v>
      </c>
    </row>
    <row r="1150" spans="4:29" x14ac:dyDescent="0.35">
      <c r="D1150">
        <f t="shared" si="304"/>
        <v>1146</v>
      </c>
      <c r="E1150" s="101">
        <v>1</v>
      </c>
      <c r="F1150" s="4">
        <v>2</v>
      </c>
      <c r="G1150" s="4">
        <v>1</v>
      </c>
      <c r="H1150" s="4">
        <v>4</v>
      </c>
      <c r="I1150" s="4">
        <v>4</v>
      </c>
      <c r="J1150" s="4">
        <v>3</v>
      </c>
      <c r="K1150" s="102">
        <v>6</v>
      </c>
      <c r="M1150" s="101">
        <f t="shared" si="289"/>
        <v>34</v>
      </c>
      <c r="N1150" s="4">
        <f t="shared" si="290"/>
        <v>56</v>
      </c>
      <c r="O1150" s="4">
        <f t="shared" si="291"/>
        <v>34</v>
      </c>
      <c r="P1150" s="4">
        <f t="shared" si="292"/>
        <v>12</v>
      </c>
      <c r="Q1150" s="4">
        <f t="shared" si="293"/>
        <v>12</v>
      </c>
      <c r="R1150" s="4">
        <f t="shared" si="294"/>
        <v>23</v>
      </c>
      <c r="S1150" s="102">
        <f t="shared" si="295"/>
        <v>45</v>
      </c>
      <c r="U1150" s="101">
        <f t="shared" si="296"/>
        <v>46</v>
      </c>
      <c r="V1150" s="4">
        <f t="shared" si="297"/>
        <v>78</v>
      </c>
      <c r="W1150" s="4">
        <f t="shared" si="298"/>
        <v>46</v>
      </c>
      <c r="X1150" s="4">
        <f t="shared" si="299"/>
        <v>9</v>
      </c>
      <c r="Y1150" s="4">
        <f t="shared" si="300"/>
        <v>9</v>
      </c>
      <c r="Z1150" s="4">
        <f t="shared" si="301"/>
        <v>39</v>
      </c>
      <c r="AA1150" s="102">
        <f t="shared" si="302"/>
        <v>71</v>
      </c>
      <c r="AC1150" s="100">
        <f t="shared" si="303"/>
        <v>0.98076549627803611</v>
      </c>
    </row>
    <row r="1151" spans="4:29" x14ac:dyDescent="0.35">
      <c r="D1151">
        <f t="shared" si="304"/>
        <v>1147</v>
      </c>
      <c r="E1151" s="101">
        <v>3</v>
      </c>
      <c r="F1151" s="4">
        <v>7</v>
      </c>
      <c r="G1151" s="4">
        <v>1</v>
      </c>
      <c r="H1151" s="4">
        <v>4</v>
      </c>
      <c r="I1151" s="4">
        <v>1</v>
      </c>
      <c r="J1151" s="4">
        <v>5</v>
      </c>
      <c r="K1151" s="102">
        <v>1</v>
      </c>
      <c r="M1151" s="101">
        <f t="shared" si="289"/>
        <v>23</v>
      </c>
      <c r="N1151" s="4">
        <f t="shared" si="290"/>
        <v>29</v>
      </c>
      <c r="O1151" s="4">
        <f t="shared" si="291"/>
        <v>34</v>
      </c>
      <c r="P1151" s="4">
        <f t="shared" si="292"/>
        <v>12</v>
      </c>
      <c r="Q1151" s="4">
        <f t="shared" si="293"/>
        <v>34</v>
      </c>
      <c r="R1151" s="4">
        <f t="shared" si="294"/>
        <v>30</v>
      </c>
      <c r="S1151" s="102">
        <f t="shared" si="295"/>
        <v>34</v>
      </c>
      <c r="U1151" s="101">
        <f t="shared" si="296"/>
        <v>39</v>
      </c>
      <c r="V1151" s="4">
        <f t="shared" si="297"/>
        <v>41</v>
      </c>
      <c r="W1151" s="4">
        <f t="shared" si="298"/>
        <v>46</v>
      </c>
      <c r="X1151" s="4">
        <f t="shared" si="299"/>
        <v>9</v>
      </c>
      <c r="Y1151" s="4">
        <f t="shared" si="300"/>
        <v>46</v>
      </c>
      <c r="Z1151" s="4">
        <f t="shared" si="301"/>
        <v>39</v>
      </c>
      <c r="AA1151" s="102">
        <f t="shared" si="302"/>
        <v>46</v>
      </c>
      <c r="AC1151" s="100">
        <f t="shared" si="303"/>
        <v>0.9479931932166632</v>
      </c>
    </row>
    <row r="1152" spans="4:29" x14ac:dyDescent="0.35">
      <c r="D1152">
        <f t="shared" si="304"/>
        <v>1148</v>
      </c>
      <c r="E1152" s="101">
        <v>7</v>
      </c>
      <c r="F1152" s="4">
        <v>7</v>
      </c>
      <c r="G1152" s="4">
        <v>6</v>
      </c>
      <c r="H1152" s="4">
        <v>4</v>
      </c>
      <c r="I1152" s="4">
        <v>5</v>
      </c>
      <c r="J1152" s="4">
        <v>3</v>
      </c>
      <c r="K1152" s="102">
        <v>7</v>
      </c>
      <c r="M1152" s="101">
        <f t="shared" si="289"/>
        <v>29</v>
      </c>
      <c r="N1152" s="4">
        <f t="shared" si="290"/>
        <v>29</v>
      </c>
      <c r="O1152" s="4">
        <f t="shared" si="291"/>
        <v>45</v>
      </c>
      <c r="P1152" s="4">
        <f t="shared" si="292"/>
        <v>12</v>
      </c>
      <c r="Q1152" s="4">
        <f t="shared" si="293"/>
        <v>30</v>
      </c>
      <c r="R1152" s="4">
        <f t="shared" si="294"/>
        <v>23</v>
      </c>
      <c r="S1152" s="102">
        <f t="shared" si="295"/>
        <v>29</v>
      </c>
      <c r="U1152" s="101">
        <f t="shared" si="296"/>
        <v>41</v>
      </c>
      <c r="V1152" s="4">
        <f t="shared" si="297"/>
        <v>41</v>
      </c>
      <c r="W1152" s="4">
        <f t="shared" si="298"/>
        <v>71</v>
      </c>
      <c r="X1152" s="4">
        <f t="shared" si="299"/>
        <v>9</v>
      </c>
      <c r="Y1152" s="4">
        <f t="shared" si="300"/>
        <v>39</v>
      </c>
      <c r="Z1152" s="4">
        <f t="shared" si="301"/>
        <v>39</v>
      </c>
      <c r="AA1152" s="102">
        <f t="shared" si="302"/>
        <v>41</v>
      </c>
      <c r="AC1152" s="100">
        <f t="shared" si="303"/>
        <v>0.97587946873048625</v>
      </c>
    </row>
    <row r="1153" spans="4:29" x14ac:dyDescent="0.35">
      <c r="D1153">
        <f t="shared" si="304"/>
        <v>1149</v>
      </c>
      <c r="E1153" s="101">
        <v>3</v>
      </c>
      <c r="F1153" s="4">
        <v>5</v>
      </c>
      <c r="G1153" s="4">
        <v>6</v>
      </c>
      <c r="H1153" s="4">
        <v>3</v>
      </c>
      <c r="I1153" s="4">
        <v>2</v>
      </c>
      <c r="J1153" s="4">
        <v>7</v>
      </c>
      <c r="K1153" s="102">
        <v>5</v>
      </c>
      <c r="M1153" s="101">
        <f t="shared" si="289"/>
        <v>23</v>
      </c>
      <c r="N1153" s="4">
        <f t="shared" si="290"/>
        <v>30</v>
      </c>
      <c r="O1153" s="4">
        <f t="shared" si="291"/>
        <v>45</v>
      </c>
      <c r="P1153" s="4">
        <f t="shared" si="292"/>
        <v>23</v>
      </c>
      <c r="Q1153" s="4">
        <f t="shared" si="293"/>
        <v>56</v>
      </c>
      <c r="R1153" s="4">
        <f t="shared" si="294"/>
        <v>29</v>
      </c>
      <c r="S1153" s="102">
        <f t="shared" si="295"/>
        <v>30</v>
      </c>
      <c r="U1153" s="101">
        <f t="shared" si="296"/>
        <v>39</v>
      </c>
      <c r="V1153" s="4">
        <f t="shared" si="297"/>
        <v>39</v>
      </c>
      <c r="W1153" s="4">
        <f t="shared" si="298"/>
        <v>71</v>
      </c>
      <c r="X1153" s="4">
        <f t="shared" si="299"/>
        <v>39</v>
      </c>
      <c r="Y1153" s="4">
        <f t="shared" si="300"/>
        <v>78</v>
      </c>
      <c r="Z1153" s="4">
        <f t="shared" si="301"/>
        <v>41</v>
      </c>
      <c r="AA1153" s="102">
        <f t="shared" si="302"/>
        <v>39</v>
      </c>
      <c r="AC1153" s="100">
        <f t="shared" si="303"/>
        <v>0.96065817426764866</v>
      </c>
    </row>
    <row r="1154" spans="4:29" x14ac:dyDescent="0.35">
      <c r="D1154">
        <f t="shared" si="304"/>
        <v>1150</v>
      </c>
      <c r="E1154" s="101">
        <v>4</v>
      </c>
      <c r="F1154" s="4">
        <v>5</v>
      </c>
      <c r="G1154" s="4">
        <v>5</v>
      </c>
      <c r="H1154" s="4">
        <v>7</v>
      </c>
      <c r="I1154" s="4">
        <v>6</v>
      </c>
      <c r="J1154" s="4">
        <v>1</v>
      </c>
      <c r="K1154" s="102">
        <v>1</v>
      </c>
      <c r="M1154" s="101">
        <f t="shared" si="289"/>
        <v>12</v>
      </c>
      <c r="N1154" s="4">
        <f t="shared" si="290"/>
        <v>30</v>
      </c>
      <c r="O1154" s="4">
        <f t="shared" si="291"/>
        <v>30</v>
      </c>
      <c r="P1154" s="4">
        <f t="shared" si="292"/>
        <v>29</v>
      </c>
      <c r="Q1154" s="4">
        <f t="shared" si="293"/>
        <v>45</v>
      </c>
      <c r="R1154" s="4">
        <f t="shared" si="294"/>
        <v>34</v>
      </c>
      <c r="S1154" s="102">
        <f t="shared" si="295"/>
        <v>34</v>
      </c>
      <c r="U1154" s="101">
        <f t="shared" si="296"/>
        <v>9</v>
      </c>
      <c r="V1154" s="4">
        <f t="shared" si="297"/>
        <v>39</v>
      </c>
      <c r="W1154" s="4">
        <f t="shared" si="298"/>
        <v>39</v>
      </c>
      <c r="X1154" s="4">
        <f t="shared" si="299"/>
        <v>41</v>
      </c>
      <c r="Y1154" s="4">
        <f t="shared" si="300"/>
        <v>71</v>
      </c>
      <c r="Z1154" s="4">
        <f t="shared" si="301"/>
        <v>46</v>
      </c>
      <c r="AA1154" s="102">
        <f t="shared" si="302"/>
        <v>46</v>
      </c>
      <c r="AC1154" s="100">
        <f t="shared" si="303"/>
        <v>0.99292565496971408</v>
      </c>
    </row>
    <row r="1155" spans="4:29" x14ac:dyDescent="0.35">
      <c r="D1155">
        <f t="shared" si="304"/>
        <v>1151</v>
      </c>
      <c r="E1155" s="101">
        <v>4</v>
      </c>
      <c r="F1155" s="4">
        <v>7</v>
      </c>
      <c r="G1155" s="4">
        <v>4</v>
      </c>
      <c r="H1155" s="4">
        <v>6</v>
      </c>
      <c r="I1155" s="4">
        <v>7</v>
      </c>
      <c r="J1155" s="4">
        <v>2</v>
      </c>
      <c r="K1155" s="102">
        <v>5</v>
      </c>
      <c r="M1155" s="101">
        <f t="shared" si="289"/>
        <v>12</v>
      </c>
      <c r="N1155" s="4">
        <f t="shared" si="290"/>
        <v>29</v>
      </c>
      <c r="O1155" s="4">
        <f t="shared" si="291"/>
        <v>12</v>
      </c>
      <c r="P1155" s="4">
        <f t="shared" si="292"/>
        <v>45</v>
      </c>
      <c r="Q1155" s="4">
        <f t="shared" si="293"/>
        <v>29</v>
      </c>
      <c r="R1155" s="4">
        <f t="shared" si="294"/>
        <v>56</v>
      </c>
      <c r="S1155" s="102">
        <f t="shared" si="295"/>
        <v>30</v>
      </c>
      <c r="U1155" s="101">
        <f t="shared" si="296"/>
        <v>9</v>
      </c>
      <c r="V1155" s="4">
        <f t="shared" si="297"/>
        <v>41</v>
      </c>
      <c r="W1155" s="4">
        <f t="shared" si="298"/>
        <v>9</v>
      </c>
      <c r="X1155" s="4">
        <f t="shared" si="299"/>
        <v>71</v>
      </c>
      <c r="Y1155" s="4">
        <f t="shared" si="300"/>
        <v>41</v>
      </c>
      <c r="Z1155" s="4">
        <f t="shared" si="301"/>
        <v>78</v>
      </c>
      <c r="AA1155" s="102">
        <f t="shared" si="302"/>
        <v>39</v>
      </c>
      <c r="AC1155" s="100">
        <f t="shared" si="303"/>
        <v>0.99068286286054319</v>
      </c>
    </row>
    <row r="1156" spans="4:29" x14ac:dyDescent="0.35">
      <c r="D1156">
        <f t="shared" si="304"/>
        <v>1152</v>
      </c>
      <c r="E1156" s="101">
        <v>3</v>
      </c>
      <c r="F1156" s="4">
        <v>1</v>
      </c>
      <c r="G1156" s="4">
        <v>3</v>
      </c>
      <c r="H1156" s="4">
        <v>6</v>
      </c>
      <c r="I1156" s="4">
        <v>5</v>
      </c>
      <c r="J1156" s="4">
        <v>1</v>
      </c>
      <c r="K1156" s="102">
        <v>5</v>
      </c>
      <c r="M1156" s="101">
        <f t="shared" si="289"/>
        <v>23</v>
      </c>
      <c r="N1156" s="4">
        <f t="shared" si="290"/>
        <v>34</v>
      </c>
      <c r="O1156" s="4">
        <f t="shared" si="291"/>
        <v>23</v>
      </c>
      <c r="P1156" s="4">
        <f t="shared" si="292"/>
        <v>45</v>
      </c>
      <c r="Q1156" s="4">
        <f t="shared" si="293"/>
        <v>30</v>
      </c>
      <c r="R1156" s="4">
        <f t="shared" si="294"/>
        <v>34</v>
      </c>
      <c r="S1156" s="102">
        <f t="shared" si="295"/>
        <v>30</v>
      </c>
      <c r="U1156" s="101">
        <f t="shared" si="296"/>
        <v>39</v>
      </c>
      <c r="V1156" s="4">
        <f t="shared" si="297"/>
        <v>46</v>
      </c>
      <c r="W1156" s="4">
        <f t="shared" si="298"/>
        <v>39</v>
      </c>
      <c r="X1156" s="4">
        <f t="shared" si="299"/>
        <v>71</v>
      </c>
      <c r="Y1156" s="4">
        <f t="shared" si="300"/>
        <v>39</v>
      </c>
      <c r="Z1156" s="4">
        <f t="shared" si="301"/>
        <v>46</v>
      </c>
      <c r="AA1156" s="102">
        <f t="shared" si="302"/>
        <v>39</v>
      </c>
      <c r="AC1156" s="100">
        <f t="shared" si="303"/>
        <v>0.89874984547833658</v>
      </c>
    </row>
    <row r="1157" spans="4:29" x14ac:dyDescent="0.35">
      <c r="D1157">
        <f t="shared" si="304"/>
        <v>1153</v>
      </c>
      <c r="E1157" s="101">
        <v>4</v>
      </c>
      <c r="F1157" s="4">
        <v>6</v>
      </c>
      <c r="G1157" s="4">
        <v>3</v>
      </c>
      <c r="H1157" s="4">
        <v>2</v>
      </c>
      <c r="I1157" s="4">
        <v>2</v>
      </c>
      <c r="J1157" s="4">
        <v>1</v>
      </c>
      <c r="K1157" s="102">
        <v>4</v>
      </c>
      <c r="M1157" s="101">
        <f t="shared" si="289"/>
        <v>12</v>
      </c>
      <c r="N1157" s="4">
        <f t="shared" si="290"/>
        <v>45</v>
      </c>
      <c r="O1157" s="4">
        <f t="shared" si="291"/>
        <v>23</v>
      </c>
      <c r="P1157" s="4">
        <f t="shared" si="292"/>
        <v>56</v>
      </c>
      <c r="Q1157" s="4">
        <f t="shared" si="293"/>
        <v>56</v>
      </c>
      <c r="R1157" s="4">
        <f t="shared" si="294"/>
        <v>34</v>
      </c>
      <c r="S1157" s="102">
        <f t="shared" si="295"/>
        <v>12</v>
      </c>
      <c r="U1157" s="101">
        <f t="shared" si="296"/>
        <v>9</v>
      </c>
      <c r="V1157" s="4">
        <f t="shared" si="297"/>
        <v>71</v>
      </c>
      <c r="W1157" s="4">
        <f t="shared" si="298"/>
        <v>39</v>
      </c>
      <c r="X1157" s="4">
        <f t="shared" si="299"/>
        <v>78</v>
      </c>
      <c r="Y1157" s="4">
        <f t="shared" si="300"/>
        <v>78</v>
      </c>
      <c r="Z1157" s="4">
        <f t="shared" si="301"/>
        <v>46</v>
      </c>
      <c r="AA1157" s="102">
        <f t="shared" si="302"/>
        <v>9</v>
      </c>
      <c r="AC1157" s="100">
        <f t="shared" si="303"/>
        <v>0.98329099951932075</v>
      </c>
    </row>
    <row r="1158" spans="4:29" x14ac:dyDescent="0.35">
      <c r="D1158">
        <f t="shared" si="304"/>
        <v>1154</v>
      </c>
      <c r="E1158" s="101">
        <v>1</v>
      </c>
      <c r="F1158" s="4">
        <v>2</v>
      </c>
      <c r="G1158" s="4">
        <v>1</v>
      </c>
      <c r="H1158" s="4">
        <v>5</v>
      </c>
      <c r="I1158" s="4">
        <v>5</v>
      </c>
      <c r="J1158" s="4">
        <v>1</v>
      </c>
      <c r="K1158" s="102">
        <v>7</v>
      </c>
      <c r="M1158" s="101">
        <f t="shared" ref="M1158:M1221" si="305">INDEX($A$5:$A$11,E1158)</f>
        <v>34</v>
      </c>
      <c r="N1158" s="4">
        <f t="shared" ref="N1158:N1221" si="306">INDEX($A$5:$A$11,F1158)</f>
        <v>56</v>
      </c>
      <c r="O1158" s="4">
        <f t="shared" ref="O1158:O1221" si="307">INDEX($A$5:$A$11,G1158)</f>
        <v>34</v>
      </c>
      <c r="P1158" s="4">
        <f t="shared" ref="P1158:P1221" si="308">INDEX($A$5:$A$11,H1158)</f>
        <v>30</v>
      </c>
      <c r="Q1158" s="4">
        <f t="shared" ref="Q1158:Q1221" si="309">INDEX($A$5:$A$11,I1158)</f>
        <v>30</v>
      </c>
      <c r="R1158" s="4">
        <f t="shared" ref="R1158:R1221" si="310">INDEX($A$5:$A$11,J1158)</f>
        <v>34</v>
      </c>
      <c r="S1158" s="102">
        <f t="shared" ref="S1158:S1221" si="311">INDEX($A$5:$A$11,K1158)</f>
        <v>29</v>
      </c>
      <c r="U1158" s="101">
        <f t="shared" ref="U1158:U1221" si="312">INDEX($B$5:$B$11,E1158)</f>
        <v>46</v>
      </c>
      <c r="V1158" s="4">
        <f t="shared" ref="V1158:V1221" si="313">INDEX($B$5:$B$11,F1158)</f>
        <v>78</v>
      </c>
      <c r="W1158" s="4">
        <f t="shared" ref="W1158:W1221" si="314">INDEX($B$5:$B$11,G1158)</f>
        <v>46</v>
      </c>
      <c r="X1158" s="4">
        <f t="shared" ref="X1158:X1221" si="315">INDEX($B$5:$B$11,H1158)</f>
        <v>39</v>
      </c>
      <c r="Y1158" s="4">
        <f t="shared" ref="Y1158:Y1221" si="316">INDEX($B$5:$B$11,I1158)</f>
        <v>39</v>
      </c>
      <c r="Z1158" s="4">
        <f t="shared" ref="Z1158:Z1221" si="317">INDEX($B$5:$B$11,J1158)</f>
        <v>46</v>
      </c>
      <c r="AA1158" s="102">
        <f t="shared" ref="AA1158:AA1221" si="318">INDEX($B$5:$B$11,K1158)</f>
        <v>41</v>
      </c>
      <c r="AC1158" s="100">
        <f t="shared" ref="AC1158:AC1221" si="319">CORREL(M1158:S1158,U1158:AA1158)</f>
        <v>0.99645299622732775</v>
      </c>
    </row>
    <row r="1159" spans="4:29" x14ac:dyDescent="0.35">
      <c r="D1159">
        <f t="shared" ref="D1159:D1222" si="320">D1158+1</f>
        <v>1155</v>
      </c>
      <c r="E1159" s="101">
        <v>1</v>
      </c>
      <c r="F1159" s="4">
        <v>6</v>
      </c>
      <c r="G1159" s="4">
        <v>6</v>
      </c>
      <c r="H1159" s="4">
        <v>1</v>
      </c>
      <c r="I1159" s="4">
        <v>2</v>
      </c>
      <c r="J1159" s="4">
        <v>7</v>
      </c>
      <c r="K1159" s="102">
        <v>3</v>
      </c>
      <c r="M1159" s="101">
        <f t="shared" si="305"/>
        <v>34</v>
      </c>
      <c r="N1159" s="4">
        <f t="shared" si="306"/>
        <v>45</v>
      </c>
      <c r="O1159" s="4">
        <f t="shared" si="307"/>
        <v>45</v>
      </c>
      <c r="P1159" s="4">
        <f t="shared" si="308"/>
        <v>34</v>
      </c>
      <c r="Q1159" s="4">
        <f t="shared" si="309"/>
        <v>56</v>
      </c>
      <c r="R1159" s="4">
        <f t="shared" si="310"/>
        <v>29</v>
      </c>
      <c r="S1159" s="102">
        <f t="shared" si="311"/>
        <v>23</v>
      </c>
      <c r="U1159" s="101">
        <f t="shared" si="312"/>
        <v>46</v>
      </c>
      <c r="V1159" s="4">
        <f t="shared" si="313"/>
        <v>71</v>
      </c>
      <c r="W1159" s="4">
        <f t="shared" si="314"/>
        <v>71</v>
      </c>
      <c r="X1159" s="4">
        <f t="shared" si="315"/>
        <v>46</v>
      </c>
      <c r="Y1159" s="4">
        <f t="shared" si="316"/>
        <v>78</v>
      </c>
      <c r="Z1159" s="4">
        <f t="shared" si="317"/>
        <v>41</v>
      </c>
      <c r="AA1159" s="102">
        <f t="shared" si="318"/>
        <v>39</v>
      </c>
      <c r="AC1159" s="100">
        <f t="shared" si="319"/>
        <v>0.96145037134318745</v>
      </c>
    </row>
    <row r="1160" spans="4:29" x14ac:dyDescent="0.35">
      <c r="D1160">
        <f t="shared" si="320"/>
        <v>1156</v>
      </c>
      <c r="E1160" s="101">
        <v>2</v>
      </c>
      <c r="F1160" s="4">
        <v>2</v>
      </c>
      <c r="G1160" s="4">
        <v>3</v>
      </c>
      <c r="H1160" s="4">
        <v>3</v>
      </c>
      <c r="I1160" s="4">
        <v>6</v>
      </c>
      <c r="J1160" s="4">
        <v>6</v>
      </c>
      <c r="K1160" s="102">
        <v>7</v>
      </c>
      <c r="M1160" s="101">
        <f t="shared" si="305"/>
        <v>56</v>
      </c>
      <c r="N1160" s="4">
        <f t="shared" si="306"/>
        <v>56</v>
      </c>
      <c r="O1160" s="4">
        <f t="shared" si="307"/>
        <v>23</v>
      </c>
      <c r="P1160" s="4">
        <f t="shared" si="308"/>
        <v>23</v>
      </c>
      <c r="Q1160" s="4">
        <f t="shared" si="309"/>
        <v>45</v>
      </c>
      <c r="R1160" s="4">
        <f t="shared" si="310"/>
        <v>45</v>
      </c>
      <c r="S1160" s="102">
        <f t="shared" si="311"/>
        <v>29</v>
      </c>
      <c r="U1160" s="101">
        <f t="shared" si="312"/>
        <v>78</v>
      </c>
      <c r="V1160" s="4">
        <f t="shared" si="313"/>
        <v>78</v>
      </c>
      <c r="W1160" s="4">
        <f t="shared" si="314"/>
        <v>39</v>
      </c>
      <c r="X1160" s="4">
        <f t="shared" si="315"/>
        <v>39</v>
      </c>
      <c r="Y1160" s="4">
        <f t="shared" si="316"/>
        <v>71</v>
      </c>
      <c r="Z1160" s="4">
        <f t="shared" si="317"/>
        <v>71</v>
      </c>
      <c r="AA1160" s="102">
        <f t="shared" si="318"/>
        <v>41</v>
      </c>
      <c r="AC1160" s="100">
        <f t="shared" si="319"/>
        <v>0.98108886294109454</v>
      </c>
    </row>
    <row r="1161" spans="4:29" x14ac:dyDescent="0.35">
      <c r="D1161">
        <f t="shared" si="320"/>
        <v>1157</v>
      </c>
      <c r="E1161" s="101">
        <v>6</v>
      </c>
      <c r="F1161" s="4">
        <v>6</v>
      </c>
      <c r="G1161" s="4">
        <v>3</v>
      </c>
      <c r="H1161" s="4">
        <v>4</v>
      </c>
      <c r="I1161" s="4">
        <v>5</v>
      </c>
      <c r="J1161" s="4">
        <v>5</v>
      </c>
      <c r="K1161" s="102">
        <v>3</v>
      </c>
      <c r="M1161" s="101">
        <f t="shared" si="305"/>
        <v>45</v>
      </c>
      <c r="N1161" s="4">
        <f t="shared" si="306"/>
        <v>45</v>
      </c>
      <c r="O1161" s="4">
        <f t="shared" si="307"/>
        <v>23</v>
      </c>
      <c r="P1161" s="4">
        <f t="shared" si="308"/>
        <v>12</v>
      </c>
      <c r="Q1161" s="4">
        <f t="shared" si="309"/>
        <v>30</v>
      </c>
      <c r="R1161" s="4">
        <f t="shared" si="310"/>
        <v>30</v>
      </c>
      <c r="S1161" s="102">
        <f t="shared" si="311"/>
        <v>23</v>
      </c>
      <c r="U1161" s="101">
        <f t="shared" si="312"/>
        <v>71</v>
      </c>
      <c r="V1161" s="4">
        <f t="shared" si="313"/>
        <v>71</v>
      </c>
      <c r="W1161" s="4">
        <f t="shared" si="314"/>
        <v>39</v>
      </c>
      <c r="X1161" s="4">
        <f t="shared" si="315"/>
        <v>9</v>
      </c>
      <c r="Y1161" s="4">
        <f t="shared" si="316"/>
        <v>39</v>
      </c>
      <c r="Z1161" s="4">
        <f t="shared" si="317"/>
        <v>39</v>
      </c>
      <c r="AA1161" s="102">
        <f t="shared" si="318"/>
        <v>39</v>
      </c>
      <c r="AC1161" s="100">
        <f t="shared" si="319"/>
        <v>0.96946784883265791</v>
      </c>
    </row>
    <row r="1162" spans="4:29" x14ac:dyDescent="0.35">
      <c r="D1162">
        <f t="shared" si="320"/>
        <v>1158</v>
      </c>
      <c r="E1162" s="101">
        <v>7</v>
      </c>
      <c r="F1162" s="4">
        <v>5</v>
      </c>
      <c r="G1162" s="4">
        <v>3</v>
      </c>
      <c r="H1162" s="4">
        <v>6</v>
      </c>
      <c r="I1162" s="4">
        <v>2</v>
      </c>
      <c r="J1162" s="4">
        <v>4</v>
      </c>
      <c r="K1162" s="102">
        <v>6</v>
      </c>
      <c r="M1162" s="101">
        <f t="shared" si="305"/>
        <v>29</v>
      </c>
      <c r="N1162" s="4">
        <f t="shared" si="306"/>
        <v>30</v>
      </c>
      <c r="O1162" s="4">
        <f t="shared" si="307"/>
        <v>23</v>
      </c>
      <c r="P1162" s="4">
        <f t="shared" si="308"/>
        <v>45</v>
      </c>
      <c r="Q1162" s="4">
        <f t="shared" si="309"/>
        <v>56</v>
      </c>
      <c r="R1162" s="4">
        <f t="shared" si="310"/>
        <v>12</v>
      </c>
      <c r="S1162" s="102">
        <f t="shared" si="311"/>
        <v>45</v>
      </c>
      <c r="U1162" s="101">
        <f t="shared" si="312"/>
        <v>41</v>
      </c>
      <c r="V1162" s="4">
        <f t="shared" si="313"/>
        <v>39</v>
      </c>
      <c r="W1162" s="4">
        <f t="shared" si="314"/>
        <v>39</v>
      </c>
      <c r="X1162" s="4">
        <f t="shared" si="315"/>
        <v>71</v>
      </c>
      <c r="Y1162" s="4">
        <f t="shared" si="316"/>
        <v>78</v>
      </c>
      <c r="Z1162" s="4">
        <f t="shared" si="317"/>
        <v>9</v>
      </c>
      <c r="AA1162" s="102">
        <f t="shared" si="318"/>
        <v>71</v>
      </c>
      <c r="AC1162" s="100">
        <f t="shared" si="319"/>
        <v>0.9764985512361638</v>
      </c>
    </row>
    <row r="1163" spans="4:29" x14ac:dyDescent="0.35">
      <c r="D1163">
        <f t="shared" si="320"/>
        <v>1159</v>
      </c>
      <c r="E1163" s="101">
        <v>3</v>
      </c>
      <c r="F1163" s="4">
        <v>4</v>
      </c>
      <c r="G1163" s="4">
        <v>3</v>
      </c>
      <c r="H1163" s="4">
        <v>1</v>
      </c>
      <c r="I1163" s="4">
        <v>6</v>
      </c>
      <c r="J1163" s="4">
        <v>3</v>
      </c>
      <c r="K1163" s="102">
        <v>6</v>
      </c>
      <c r="M1163" s="101">
        <f t="shared" si="305"/>
        <v>23</v>
      </c>
      <c r="N1163" s="4">
        <f t="shared" si="306"/>
        <v>12</v>
      </c>
      <c r="O1163" s="4">
        <f t="shared" si="307"/>
        <v>23</v>
      </c>
      <c r="P1163" s="4">
        <f t="shared" si="308"/>
        <v>34</v>
      </c>
      <c r="Q1163" s="4">
        <f t="shared" si="309"/>
        <v>45</v>
      </c>
      <c r="R1163" s="4">
        <f t="shared" si="310"/>
        <v>23</v>
      </c>
      <c r="S1163" s="102">
        <f t="shared" si="311"/>
        <v>45</v>
      </c>
      <c r="U1163" s="101">
        <f t="shared" si="312"/>
        <v>39</v>
      </c>
      <c r="V1163" s="4">
        <f t="shared" si="313"/>
        <v>9</v>
      </c>
      <c r="W1163" s="4">
        <f t="shared" si="314"/>
        <v>39</v>
      </c>
      <c r="X1163" s="4">
        <f t="shared" si="315"/>
        <v>46</v>
      </c>
      <c r="Y1163" s="4">
        <f t="shared" si="316"/>
        <v>71</v>
      </c>
      <c r="Z1163" s="4">
        <f t="shared" si="317"/>
        <v>39</v>
      </c>
      <c r="AA1163" s="102">
        <f t="shared" si="318"/>
        <v>71</v>
      </c>
      <c r="AC1163" s="100">
        <f t="shared" si="319"/>
        <v>0.97077955991185028</v>
      </c>
    </row>
    <row r="1164" spans="4:29" x14ac:dyDescent="0.35">
      <c r="D1164">
        <f t="shared" si="320"/>
        <v>1160</v>
      </c>
      <c r="E1164" s="101">
        <v>7</v>
      </c>
      <c r="F1164" s="4">
        <v>3</v>
      </c>
      <c r="G1164" s="4">
        <v>5</v>
      </c>
      <c r="H1164" s="4">
        <v>2</v>
      </c>
      <c r="I1164" s="4">
        <v>6</v>
      </c>
      <c r="J1164" s="4">
        <v>2</v>
      </c>
      <c r="K1164" s="102">
        <v>2</v>
      </c>
      <c r="M1164" s="101">
        <f t="shared" si="305"/>
        <v>29</v>
      </c>
      <c r="N1164" s="4">
        <f t="shared" si="306"/>
        <v>23</v>
      </c>
      <c r="O1164" s="4">
        <f t="shared" si="307"/>
        <v>30</v>
      </c>
      <c r="P1164" s="4">
        <f t="shared" si="308"/>
        <v>56</v>
      </c>
      <c r="Q1164" s="4">
        <f t="shared" si="309"/>
        <v>45</v>
      </c>
      <c r="R1164" s="4">
        <f t="shared" si="310"/>
        <v>56</v>
      </c>
      <c r="S1164" s="102">
        <f t="shared" si="311"/>
        <v>56</v>
      </c>
      <c r="U1164" s="101">
        <f t="shared" si="312"/>
        <v>41</v>
      </c>
      <c r="V1164" s="4">
        <f t="shared" si="313"/>
        <v>39</v>
      </c>
      <c r="W1164" s="4">
        <f t="shared" si="314"/>
        <v>39</v>
      </c>
      <c r="X1164" s="4">
        <f t="shared" si="315"/>
        <v>78</v>
      </c>
      <c r="Y1164" s="4">
        <f t="shared" si="316"/>
        <v>71</v>
      </c>
      <c r="Z1164" s="4">
        <f t="shared" si="317"/>
        <v>78</v>
      </c>
      <c r="AA1164" s="102">
        <f t="shared" si="318"/>
        <v>78</v>
      </c>
      <c r="AC1164" s="100">
        <f t="shared" si="319"/>
        <v>0.97925487423723556</v>
      </c>
    </row>
    <row r="1165" spans="4:29" x14ac:dyDescent="0.35">
      <c r="D1165">
        <f t="shared" si="320"/>
        <v>1161</v>
      </c>
      <c r="E1165" s="101">
        <v>6</v>
      </c>
      <c r="F1165" s="4">
        <v>7</v>
      </c>
      <c r="G1165" s="4">
        <v>7</v>
      </c>
      <c r="H1165" s="4">
        <v>7</v>
      </c>
      <c r="I1165" s="4">
        <v>4</v>
      </c>
      <c r="J1165" s="4">
        <v>1</v>
      </c>
      <c r="K1165" s="102">
        <v>5</v>
      </c>
      <c r="M1165" s="101">
        <f t="shared" si="305"/>
        <v>45</v>
      </c>
      <c r="N1165" s="4">
        <f t="shared" si="306"/>
        <v>29</v>
      </c>
      <c r="O1165" s="4">
        <f t="shared" si="307"/>
        <v>29</v>
      </c>
      <c r="P1165" s="4">
        <f t="shared" si="308"/>
        <v>29</v>
      </c>
      <c r="Q1165" s="4">
        <f t="shared" si="309"/>
        <v>12</v>
      </c>
      <c r="R1165" s="4">
        <f t="shared" si="310"/>
        <v>34</v>
      </c>
      <c r="S1165" s="102">
        <f t="shared" si="311"/>
        <v>30</v>
      </c>
      <c r="U1165" s="101">
        <f t="shared" si="312"/>
        <v>71</v>
      </c>
      <c r="V1165" s="4">
        <f t="shared" si="313"/>
        <v>41</v>
      </c>
      <c r="W1165" s="4">
        <f t="shared" si="314"/>
        <v>41</v>
      </c>
      <c r="X1165" s="4">
        <f t="shared" si="315"/>
        <v>41</v>
      </c>
      <c r="Y1165" s="4">
        <f t="shared" si="316"/>
        <v>9</v>
      </c>
      <c r="Z1165" s="4">
        <f t="shared" si="317"/>
        <v>46</v>
      </c>
      <c r="AA1165" s="102">
        <f t="shared" si="318"/>
        <v>39</v>
      </c>
      <c r="AC1165" s="100">
        <f t="shared" si="319"/>
        <v>0.99393837458475109</v>
      </c>
    </row>
    <row r="1166" spans="4:29" x14ac:dyDescent="0.35">
      <c r="D1166">
        <f t="shared" si="320"/>
        <v>1162</v>
      </c>
      <c r="E1166" s="101">
        <v>7</v>
      </c>
      <c r="F1166" s="4">
        <v>7</v>
      </c>
      <c r="G1166" s="4">
        <v>1</v>
      </c>
      <c r="H1166" s="4">
        <v>3</v>
      </c>
      <c r="I1166" s="4">
        <v>6</v>
      </c>
      <c r="J1166" s="4">
        <v>1</v>
      </c>
      <c r="K1166" s="102">
        <v>5</v>
      </c>
      <c r="M1166" s="101">
        <f t="shared" si="305"/>
        <v>29</v>
      </c>
      <c r="N1166" s="4">
        <f t="shared" si="306"/>
        <v>29</v>
      </c>
      <c r="O1166" s="4">
        <f t="shared" si="307"/>
        <v>34</v>
      </c>
      <c r="P1166" s="4">
        <f t="shared" si="308"/>
        <v>23</v>
      </c>
      <c r="Q1166" s="4">
        <f t="shared" si="309"/>
        <v>45</v>
      </c>
      <c r="R1166" s="4">
        <f t="shared" si="310"/>
        <v>34</v>
      </c>
      <c r="S1166" s="102">
        <f t="shared" si="311"/>
        <v>30</v>
      </c>
      <c r="U1166" s="101">
        <f t="shared" si="312"/>
        <v>41</v>
      </c>
      <c r="V1166" s="4">
        <f t="shared" si="313"/>
        <v>41</v>
      </c>
      <c r="W1166" s="4">
        <f t="shared" si="314"/>
        <v>46</v>
      </c>
      <c r="X1166" s="4">
        <f t="shared" si="315"/>
        <v>39</v>
      </c>
      <c r="Y1166" s="4">
        <f t="shared" si="316"/>
        <v>71</v>
      </c>
      <c r="Z1166" s="4">
        <f t="shared" si="317"/>
        <v>46</v>
      </c>
      <c r="AA1166" s="102">
        <f t="shared" si="318"/>
        <v>39</v>
      </c>
      <c r="AC1166" s="100">
        <f t="shared" si="319"/>
        <v>0.92865653364747114</v>
      </c>
    </row>
    <row r="1167" spans="4:29" x14ac:dyDescent="0.35">
      <c r="D1167">
        <f t="shared" si="320"/>
        <v>1163</v>
      </c>
      <c r="E1167" s="101">
        <v>1</v>
      </c>
      <c r="F1167" s="4">
        <v>6</v>
      </c>
      <c r="G1167" s="4">
        <v>1</v>
      </c>
      <c r="H1167" s="4">
        <v>3</v>
      </c>
      <c r="I1167" s="4">
        <v>2</v>
      </c>
      <c r="J1167" s="4">
        <v>7</v>
      </c>
      <c r="K1167" s="102">
        <v>1</v>
      </c>
      <c r="M1167" s="101">
        <f t="shared" si="305"/>
        <v>34</v>
      </c>
      <c r="N1167" s="4">
        <f t="shared" si="306"/>
        <v>45</v>
      </c>
      <c r="O1167" s="4">
        <f t="shared" si="307"/>
        <v>34</v>
      </c>
      <c r="P1167" s="4">
        <f t="shared" si="308"/>
        <v>23</v>
      </c>
      <c r="Q1167" s="4">
        <f t="shared" si="309"/>
        <v>56</v>
      </c>
      <c r="R1167" s="4">
        <f t="shared" si="310"/>
        <v>29</v>
      </c>
      <c r="S1167" s="102">
        <f t="shared" si="311"/>
        <v>34</v>
      </c>
      <c r="U1167" s="101">
        <f t="shared" si="312"/>
        <v>46</v>
      </c>
      <c r="V1167" s="4">
        <f t="shared" si="313"/>
        <v>71</v>
      </c>
      <c r="W1167" s="4">
        <f t="shared" si="314"/>
        <v>46</v>
      </c>
      <c r="X1167" s="4">
        <f t="shared" si="315"/>
        <v>39</v>
      </c>
      <c r="Y1167" s="4">
        <f t="shared" si="316"/>
        <v>78</v>
      </c>
      <c r="Z1167" s="4">
        <f t="shared" si="317"/>
        <v>41</v>
      </c>
      <c r="AA1167" s="102">
        <f t="shared" si="318"/>
        <v>46</v>
      </c>
      <c r="AC1167" s="100">
        <f t="shared" si="319"/>
        <v>0.96330875570072017</v>
      </c>
    </row>
    <row r="1168" spans="4:29" x14ac:dyDescent="0.35">
      <c r="D1168">
        <f t="shared" si="320"/>
        <v>1164</v>
      </c>
      <c r="E1168" s="101">
        <v>4</v>
      </c>
      <c r="F1168" s="4">
        <v>1</v>
      </c>
      <c r="G1168" s="4">
        <v>7</v>
      </c>
      <c r="H1168" s="4">
        <v>3</v>
      </c>
      <c r="I1168" s="4">
        <v>7</v>
      </c>
      <c r="J1168" s="4">
        <v>1</v>
      </c>
      <c r="K1168" s="102">
        <v>7</v>
      </c>
      <c r="M1168" s="101">
        <f t="shared" si="305"/>
        <v>12</v>
      </c>
      <c r="N1168" s="4">
        <f t="shared" si="306"/>
        <v>34</v>
      </c>
      <c r="O1168" s="4">
        <f t="shared" si="307"/>
        <v>29</v>
      </c>
      <c r="P1168" s="4">
        <f t="shared" si="308"/>
        <v>23</v>
      </c>
      <c r="Q1168" s="4">
        <f t="shared" si="309"/>
        <v>29</v>
      </c>
      <c r="R1168" s="4">
        <f t="shared" si="310"/>
        <v>34</v>
      </c>
      <c r="S1168" s="102">
        <f t="shared" si="311"/>
        <v>29</v>
      </c>
      <c r="U1168" s="101">
        <f t="shared" si="312"/>
        <v>9</v>
      </c>
      <c r="V1168" s="4">
        <f t="shared" si="313"/>
        <v>46</v>
      </c>
      <c r="W1168" s="4">
        <f t="shared" si="314"/>
        <v>41</v>
      </c>
      <c r="X1168" s="4">
        <f t="shared" si="315"/>
        <v>39</v>
      </c>
      <c r="Y1168" s="4">
        <f t="shared" si="316"/>
        <v>41</v>
      </c>
      <c r="Z1168" s="4">
        <f t="shared" si="317"/>
        <v>46</v>
      </c>
      <c r="AA1168" s="102">
        <f t="shared" si="318"/>
        <v>41</v>
      </c>
      <c r="AC1168" s="100">
        <f t="shared" si="319"/>
        <v>0.94986520716664657</v>
      </c>
    </row>
    <row r="1169" spans="4:29" x14ac:dyDescent="0.35">
      <c r="D1169">
        <f t="shared" si="320"/>
        <v>1165</v>
      </c>
      <c r="E1169" s="101">
        <v>2</v>
      </c>
      <c r="F1169" s="4">
        <v>7</v>
      </c>
      <c r="G1169" s="4">
        <v>5</v>
      </c>
      <c r="H1169" s="4">
        <v>4</v>
      </c>
      <c r="I1169" s="4">
        <v>2</v>
      </c>
      <c r="J1169" s="4">
        <v>2</v>
      </c>
      <c r="K1169" s="102">
        <v>6</v>
      </c>
      <c r="M1169" s="101">
        <f t="shared" si="305"/>
        <v>56</v>
      </c>
      <c r="N1169" s="4">
        <f t="shared" si="306"/>
        <v>29</v>
      </c>
      <c r="O1169" s="4">
        <f t="shared" si="307"/>
        <v>30</v>
      </c>
      <c r="P1169" s="4">
        <f t="shared" si="308"/>
        <v>12</v>
      </c>
      <c r="Q1169" s="4">
        <f t="shared" si="309"/>
        <v>56</v>
      </c>
      <c r="R1169" s="4">
        <f t="shared" si="310"/>
        <v>56</v>
      </c>
      <c r="S1169" s="102">
        <f t="shared" si="311"/>
        <v>45</v>
      </c>
      <c r="U1169" s="101">
        <f t="shared" si="312"/>
        <v>78</v>
      </c>
      <c r="V1169" s="4">
        <f t="shared" si="313"/>
        <v>41</v>
      </c>
      <c r="W1169" s="4">
        <f t="shared" si="314"/>
        <v>39</v>
      </c>
      <c r="X1169" s="4">
        <f t="shared" si="315"/>
        <v>9</v>
      </c>
      <c r="Y1169" s="4">
        <f t="shared" si="316"/>
        <v>78</v>
      </c>
      <c r="Z1169" s="4">
        <f t="shared" si="317"/>
        <v>78</v>
      </c>
      <c r="AA1169" s="102">
        <f t="shared" si="318"/>
        <v>71</v>
      </c>
      <c r="AC1169" s="100">
        <f t="shared" si="319"/>
        <v>0.98937726106300583</v>
      </c>
    </row>
    <row r="1170" spans="4:29" x14ac:dyDescent="0.35">
      <c r="D1170">
        <f t="shared" si="320"/>
        <v>1166</v>
      </c>
      <c r="E1170" s="101">
        <v>3</v>
      </c>
      <c r="F1170" s="4">
        <v>2</v>
      </c>
      <c r="G1170" s="4">
        <v>3</v>
      </c>
      <c r="H1170" s="4">
        <v>2</v>
      </c>
      <c r="I1170" s="4">
        <v>5</v>
      </c>
      <c r="J1170" s="4">
        <v>6</v>
      </c>
      <c r="K1170" s="102">
        <v>1</v>
      </c>
      <c r="M1170" s="101">
        <f t="shared" si="305"/>
        <v>23</v>
      </c>
      <c r="N1170" s="4">
        <f t="shared" si="306"/>
        <v>56</v>
      </c>
      <c r="O1170" s="4">
        <f t="shared" si="307"/>
        <v>23</v>
      </c>
      <c r="P1170" s="4">
        <f t="shared" si="308"/>
        <v>56</v>
      </c>
      <c r="Q1170" s="4">
        <f t="shared" si="309"/>
        <v>30</v>
      </c>
      <c r="R1170" s="4">
        <f t="shared" si="310"/>
        <v>45</v>
      </c>
      <c r="S1170" s="102">
        <f t="shared" si="311"/>
        <v>34</v>
      </c>
      <c r="U1170" s="101">
        <f t="shared" si="312"/>
        <v>39</v>
      </c>
      <c r="V1170" s="4">
        <f t="shared" si="313"/>
        <v>78</v>
      </c>
      <c r="W1170" s="4">
        <f t="shared" si="314"/>
        <v>39</v>
      </c>
      <c r="X1170" s="4">
        <f t="shared" si="315"/>
        <v>78</v>
      </c>
      <c r="Y1170" s="4">
        <f t="shared" si="316"/>
        <v>39</v>
      </c>
      <c r="Z1170" s="4">
        <f t="shared" si="317"/>
        <v>71</v>
      </c>
      <c r="AA1170" s="102">
        <f t="shared" si="318"/>
        <v>46</v>
      </c>
      <c r="AC1170" s="100">
        <f t="shared" si="319"/>
        <v>0.97273126225198769</v>
      </c>
    </row>
    <row r="1171" spans="4:29" x14ac:dyDescent="0.35">
      <c r="D1171">
        <f t="shared" si="320"/>
        <v>1167</v>
      </c>
      <c r="E1171" s="101">
        <v>7</v>
      </c>
      <c r="F1171" s="4">
        <v>3</v>
      </c>
      <c r="G1171" s="4">
        <v>7</v>
      </c>
      <c r="H1171" s="4">
        <v>6</v>
      </c>
      <c r="I1171" s="4">
        <v>1</v>
      </c>
      <c r="J1171" s="4">
        <v>2</v>
      </c>
      <c r="K1171" s="102">
        <v>4</v>
      </c>
      <c r="M1171" s="101">
        <f t="shared" si="305"/>
        <v>29</v>
      </c>
      <c r="N1171" s="4">
        <f t="shared" si="306"/>
        <v>23</v>
      </c>
      <c r="O1171" s="4">
        <f t="shared" si="307"/>
        <v>29</v>
      </c>
      <c r="P1171" s="4">
        <f t="shared" si="308"/>
        <v>45</v>
      </c>
      <c r="Q1171" s="4">
        <f t="shared" si="309"/>
        <v>34</v>
      </c>
      <c r="R1171" s="4">
        <f t="shared" si="310"/>
        <v>56</v>
      </c>
      <c r="S1171" s="102">
        <f t="shared" si="311"/>
        <v>12</v>
      </c>
      <c r="U1171" s="101">
        <f t="shared" si="312"/>
        <v>41</v>
      </c>
      <c r="V1171" s="4">
        <f t="shared" si="313"/>
        <v>39</v>
      </c>
      <c r="W1171" s="4">
        <f t="shared" si="314"/>
        <v>41</v>
      </c>
      <c r="X1171" s="4">
        <f t="shared" si="315"/>
        <v>71</v>
      </c>
      <c r="Y1171" s="4">
        <f t="shared" si="316"/>
        <v>46</v>
      </c>
      <c r="Z1171" s="4">
        <f t="shared" si="317"/>
        <v>78</v>
      </c>
      <c r="AA1171" s="102">
        <f t="shared" si="318"/>
        <v>9</v>
      </c>
      <c r="AC1171" s="100">
        <f t="shared" si="319"/>
        <v>0.97674572809751137</v>
      </c>
    </row>
    <row r="1172" spans="4:29" x14ac:dyDescent="0.35">
      <c r="D1172">
        <f t="shared" si="320"/>
        <v>1168</v>
      </c>
      <c r="E1172" s="101">
        <v>4</v>
      </c>
      <c r="F1172" s="4">
        <v>3</v>
      </c>
      <c r="G1172" s="4">
        <v>4</v>
      </c>
      <c r="H1172" s="4">
        <v>6</v>
      </c>
      <c r="I1172" s="4">
        <v>1</v>
      </c>
      <c r="J1172" s="4">
        <v>1</v>
      </c>
      <c r="K1172" s="102">
        <v>2</v>
      </c>
      <c r="M1172" s="101">
        <f t="shared" si="305"/>
        <v>12</v>
      </c>
      <c r="N1172" s="4">
        <f t="shared" si="306"/>
        <v>23</v>
      </c>
      <c r="O1172" s="4">
        <f t="shared" si="307"/>
        <v>12</v>
      </c>
      <c r="P1172" s="4">
        <f t="shared" si="308"/>
        <v>45</v>
      </c>
      <c r="Q1172" s="4">
        <f t="shared" si="309"/>
        <v>34</v>
      </c>
      <c r="R1172" s="4">
        <f t="shared" si="310"/>
        <v>34</v>
      </c>
      <c r="S1172" s="102">
        <f t="shared" si="311"/>
        <v>56</v>
      </c>
      <c r="U1172" s="101">
        <f t="shared" si="312"/>
        <v>9</v>
      </c>
      <c r="V1172" s="4">
        <f t="shared" si="313"/>
        <v>39</v>
      </c>
      <c r="W1172" s="4">
        <f t="shared" si="314"/>
        <v>9</v>
      </c>
      <c r="X1172" s="4">
        <f t="shared" si="315"/>
        <v>71</v>
      </c>
      <c r="Y1172" s="4">
        <f t="shared" si="316"/>
        <v>46</v>
      </c>
      <c r="Z1172" s="4">
        <f t="shared" si="317"/>
        <v>46</v>
      </c>
      <c r="AA1172" s="102">
        <f t="shared" si="318"/>
        <v>78</v>
      </c>
      <c r="AC1172" s="100">
        <f t="shared" si="319"/>
        <v>0.98076549627803578</v>
      </c>
    </row>
    <row r="1173" spans="4:29" x14ac:dyDescent="0.35">
      <c r="D1173">
        <f t="shared" si="320"/>
        <v>1169</v>
      </c>
      <c r="E1173" s="101">
        <v>1</v>
      </c>
      <c r="F1173" s="4">
        <v>4</v>
      </c>
      <c r="G1173" s="4">
        <v>2</v>
      </c>
      <c r="H1173" s="4">
        <v>2</v>
      </c>
      <c r="I1173" s="4">
        <v>3</v>
      </c>
      <c r="J1173" s="4">
        <v>7</v>
      </c>
      <c r="K1173" s="102">
        <v>3</v>
      </c>
      <c r="M1173" s="101">
        <f t="shared" si="305"/>
        <v>34</v>
      </c>
      <c r="N1173" s="4">
        <f t="shared" si="306"/>
        <v>12</v>
      </c>
      <c r="O1173" s="4">
        <f t="shared" si="307"/>
        <v>56</v>
      </c>
      <c r="P1173" s="4">
        <f t="shared" si="308"/>
        <v>56</v>
      </c>
      <c r="Q1173" s="4">
        <f t="shared" si="309"/>
        <v>23</v>
      </c>
      <c r="R1173" s="4">
        <f t="shared" si="310"/>
        <v>29</v>
      </c>
      <c r="S1173" s="102">
        <f t="shared" si="311"/>
        <v>23</v>
      </c>
      <c r="U1173" s="101">
        <f t="shared" si="312"/>
        <v>46</v>
      </c>
      <c r="V1173" s="4">
        <f t="shared" si="313"/>
        <v>9</v>
      </c>
      <c r="W1173" s="4">
        <f t="shared" si="314"/>
        <v>78</v>
      </c>
      <c r="X1173" s="4">
        <f t="shared" si="315"/>
        <v>78</v>
      </c>
      <c r="Y1173" s="4">
        <f t="shared" si="316"/>
        <v>39</v>
      </c>
      <c r="Z1173" s="4">
        <f t="shared" si="317"/>
        <v>41</v>
      </c>
      <c r="AA1173" s="102">
        <f t="shared" si="318"/>
        <v>39</v>
      </c>
      <c r="AC1173" s="100">
        <f t="shared" si="319"/>
        <v>0.97790832421655949</v>
      </c>
    </row>
    <row r="1174" spans="4:29" x14ac:dyDescent="0.35">
      <c r="D1174">
        <f t="shared" si="320"/>
        <v>1170</v>
      </c>
      <c r="E1174" s="101">
        <v>5</v>
      </c>
      <c r="F1174" s="4">
        <v>3</v>
      </c>
      <c r="G1174" s="4">
        <v>2</v>
      </c>
      <c r="H1174" s="4">
        <v>6</v>
      </c>
      <c r="I1174" s="4">
        <v>4</v>
      </c>
      <c r="J1174" s="4">
        <v>3</v>
      </c>
      <c r="K1174" s="102">
        <v>2</v>
      </c>
      <c r="M1174" s="101">
        <f t="shared" si="305"/>
        <v>30</v>
      </c>
      <c r="N1174" s="4">
        <f t="shared" si="306"/>
        <v>23</v>
      </c>
      <c r="O1174" s="4">
        <f t="shared" si="307"/>
        <v>56</v>
      </c>
      <c r="P1174" s="4">
        <f t="shared" si="308"/>
        <v>45</v>
      </c>
      <c r="Q1174" s="4">
        <f t="shared" si="309"/>
        <v>12</v>
      </c>
      <c r="R1174" s="4">
        <f t="shared" si="310"/>
        <v>23</v>
      </c>
      <c r="S1174" s="102">
        <f t="shared" si="311"/>
        <v>56</v>
      </c>
      <c r="U1174" s="101">
        <f t="shared" si="312"/>
        <v>39</v>
      </c>
      <c r="V1174" s="4">
        <f t="shared" si="313"/>
        <v>39</v>
      </c>
      <c r="W1174" s="4">
        <f t="shared" si="314"/>
        <v>78</v>
      </c>
      <c r="X1174" s="4">
        <f t="shared" si="315"/>
        <v>71</v>
      </c>
      <c r="Y1174" s="4">
        <f t="shared" si="316"/>
        <v>9</v>
      </c>
      <c r="Z1174" s="4">
        <f t="shared" si="317"/>
        <v>39</v>
      </c>
      <c r="AA1174" s="102">
        <f t="shared" si="318"/>
        <v>78</v>
      </c>
      <c r="AC1174" s="100">
        <f t="shared" si="319"/>
        <v>0.9740610050852706</v>
      </c>
    </row>
    <row r="1175" spans="4:29" x14ac:dyDescent="0.35">
      <c r="D1175">
        <f t="shared" si="320"/>
        <v>1171</v>
      </c>
      <c r="E1175" s="101">
        <v>4</v>
      </c>
      <c r="F1175" s="4">
        <v>3</v>
      </c>
      <c r="G1175" s="4">
        <v>3</v>
      </c>
      <c r="H1175" s="4">
        <v>6</v>
      </c>
      <c r="I1175" s="4">
        <v>1</v>
      </c>
      <c r="J1175" s="4">
        <v>4</v>
      </c>
      <c r="K1175" s="102">
        <v>7</v>
      </c>
      <c r="M1175" s="101">
        <f t="shared" si="305"/>
        <v>12</v>
      </c>
      <c r="N1175" s="4">
        <f t="shared" si="306"/>
        <v>23</v>
      </c>
      <c r="O1175" s="4">
        <f t="shared" si="307"/>
        <v>23</v>
      </c>
      <c r="P1175" s="4">
        <f t="shared" si="308"/>
        <v>45</v>
      </c>
      <c r="Q1175" s="4">
        <f t="shared" si="309"/>
        <v>34</v>
      </c>
      <c r="R1175" s="4">
        <f t="shared" si="310"/>
        <v>12</v>
      </c>
      <c r="S1175" s="102">
        <f t="shared" si="311"/>
        <v>29</v>
      </c>
      <c r="U1175" s="101">
        <f t="shared" si="312"/>
        <v>9</v>
      </c>
      <c r="V1175" s="4">
        <f t="shared" si="313"/>
        <v>39</v>
      </c>
      <c r="W1175" s="4">
        <f t="shared" si="314"/>
        <v>39</v>
      </c>
      <c r="X1175" s="4">
        <f t="shared" si="315"/>
        <v>71</v>
      </c>
      <c r="Y1175" s="4">
        <f t="shared" si="316"/>
        <v>46</v>
      </c>
      <c r="Z1175" s="4">
        <f t="shared" si="317"/>
        <v>9</v>
      </c>
      <c r="AA1175" s="102">
        <f t="shared" si="318"/>
        <v>41</v>
      </c>
      <c r="AC1175" s="100">
        <f t="shared" si="319"/>
        <v>0.97211692508447489</v>
      </c>
    </row>
    <row r="1176" spans="4:29" x14ac:dyDescent="0.35">
      <c r="D1176">
        <f t="shared" si="320"/>
        <v>1172</v>
      </c>
      <c r="E1176" s="101">
        <v>1</v>
      </c>
      <c r="F1176" s="4">
        <v>2</v>
      </c>
      <c r="G1176" s="4">
        <v>3</v>
      </c>
      <c r="H1176" s="4">
        <v>5</v>
      </c>
      <c r="I1176" s="4">
        <v>7</v>
      </c>
      <c r="J1176" s="4">
        <v>1</v>
      </c>
      <c r="K1176" s="102">
        <v>6</v>
      </c>
      <c r="M1176" s="101">
        <f t="shared" si="305"/>
        <v>34</v>
      </c>
      <c r="N1176" s="4">
        <f t="shared" si="306"/>
        <v>56</v>
      </c>
      <c r="O1176" s="4">
        <f t="shared" si="307"/>
        <v>23</v>
      </c>
      <c r="P1176" s="4">
        <f t="shared" si="308"/>
        <v>30</v>
      </c>
      <c r="Q1176" s="4">
        <f t="shared" si="309"/>
        <v>29</v>
      </c>
      <c r="R1176" s="4">
        <f t="shared" si="310"/>
        <v>34</v>
      </c>
      <c r="S1176" s="102">
        <f t="shared" si="311"/>
        <v>45</v>
      </c>
      <c r="U1176" s="101">
        <f t="shared" si="312"/>
        <v>46</v>
      </c>
      <c r="V1176" s="4">
        <f t="shared" si="313"/>
        <v>78</v>
      </c>
      <c r="W1176" s="4">
        <f t="shared" si="314"/>
        <v>39</v>
      </c>
      <c r="X1176" s="4">
        <f t="shared" si="315"/>
        <v>39</v>
      </c>
      <c r="Y1176" s="4">
        <f t="shared" si="316"/>
        <v>41</v>
      </c>
      <c r="Z1176" s="4">
        <f t="shared" si="317"/>
        <v>46</v>
      </c>
      <c r="AA1176" s="102">
        <f t="shared" si="318"/>
        <v>71</v>
      </c>
      <c r="AC1176" s="100">
        <f t="shared" si="319"/>
        <v>0.9628701425561832</v>
      </c>
    </row>
    <row r="1177" spans="4:29" x14ac:dyDescent="0.35">
      <c r="D1177">
        <f t="shared" si="320"/>
        <v>1173</v>
      </c>
      <c r="E1177" s="101">
        <v>6</v>
      </c>
      <c r="F1177" s="4">
        <v>5</v>
      </c>
      <c r="G1177" s="4">
        <v>3</v>
      </c>
      <c r="H1177" s="4">
        <v>2</v>
      </c>
      <c r="I1177" s="4">
        <v>7</v>
      </c>
      <c r="J1177" s="4">
        <v>5</v>
      </c>
      <c r="K1177" s="102">
        <v>7</v>
      </c>
      <c r="M1177" s="101">
        <f t="shared" si="305"/>
        <v>45</v>
      </c>
      <c r="N1177" s="4">
        <f t="shared" si="306"/>
        <v>30</v>
      </c>
      <c r="O1177" s="4">
        <f t="shared" si="307"/>
        <v>23</v>
      </c>
      <c r="P1177" s="4">
        <f t="shared" si="308"/>
        <v>56</v>
      </c>
      <c r="Q1177" s="4">
        <f t="shared" si="309"/>
        <v>29</v>
      </c>
      <c r="R1177" s="4">
        <f t="shared" si="310"/>
        <v>30</v>
      </c>
      <c r="S1177" s="102">
        <f t="shared" si="311"/>
        <v>29</v>
      </c>
      <c r="U1177" s="101">
        <f t="shared" si="312"/>
        <v>71</v>
      </c>
      <c r="V1177" s="4">
        <f t="shared" si="313"/>
        <v>39</v>
      </c>
      <c r="W1177" s="4">
        <f t="shared" si="314"/>
        <v>39</v>
      </c>
      <c r="X1177" s="4">
        <f t="shared" si="315"/>
        <v>78</v>
      </c>
      <c r="Y1177" s="4">
        <f t="shared" si="316"/>
        <v>41</v>
      </c>
      <c r="Z1177" s="4">
        <f t="shared" si="317"/>
        <v>39</v>
      </c>
      <c r="AA1177" s="102">
        <f t="shared" si="318"/>
        <v>41</v>
      </c>
      <c r="AC1177" s="100">
        <f t="shared" si="319"/>
        <v>0.96622632499708161</v>
      </c>
    </row>
    <row r="1178" spans="4:29" x14ac:dyDescent="0.35">
      <c r="D1178">
        <f t="shared" si="320"/>
        <v>1174</v>
      </c>
      <c r="E1178" s="101">
        <v>2</v>
      </c>
      <c r="F1178" s="4">
        <v>3</v>
      </c>
      <c r="G1178" s="4">
        <v>6</v>
      </c>
      <c r="H1178" s="4">
        <v>2</v>
      </c>
      <c r="I1178" s="4">
        <v>7</v>
      </c>
      <c r="J1178" s="4">
        <v>4</v>
      </c>
      <c r="K1178" s="102">
        <v>2</v>
      </c>
      <c r="M1178" s="101">
        <f t="shared" si="305"/>
        <v>56</v>
      </c>
      <c r="N1178" s="4">
        <f t="shared" si="306"/>
        <v>23</v>
      </c>
      <c r="O1178" s="4">
        <f t="shared" si="307"/>
        <v>45</v>
      </c>
      <c r="P1178" s="4">
        <f t="shared" si="308"/>
        <v>56</v>
      </c>
      <c r="Q1178" s="4">
        <f t="shared" si="309"/>
        <v>29</v>
      </c>
      <c r="R1178" s="4">
        <f t="shared" si="310"/>
        <v>12</v>
      </c>
      <c r="S1178" s="102">
        <f t="shared" si="311"/>
        <v>56</v>
      </c>
      <c r="U1178" s="101">
        <f t="shared" si="312"/>
        <v>78</v>
      </c>
      <c r="V1178" s="4">
        <f t="shared" si="313"/>
        <v>39</v>
      </c>
      <c r="W1178" s="4">
        <f t="shared" si="314"/>
        <v>71</v>
      </c>
      <c r="X1178" s="4">
        <f t="shared" si="315"/>
        <v>78</v>
      </c>
      <c r="Y1178" s="4">
        <f t="shared" si="316"/>
        <v>41</v>
      </c>
      <c r="Z1178" s="4">
        <f t="shared" si="317"/>
        <v>9</v>
      </c>
      <c r="AA1178" s="102">
        <f t="shared" si="318"/>
        <v>78</v>
      </c>
      <c r="AC1178" s="100">
        <f t="shared" si="319"/>
        <v>0.98179205408281722</v>
      </c>
    </row>
    <row r="1179" spans="4:29" x14ac:dyDescent="0.35">
      <c r="D1179">
        <f t="shared" si="320"/>
        <v>1175</v>
      </c>
      <c r="E1179" s="101">
        <v>5</v>
      </c>
      <c r="F1179" s="4">
        <v>4</v>
      </c>
      <c r="G1179" s="4">
        <v>6</v>
      </c>
      <c r="H1179" s="4">
        <v>2</v>
      </c>
      <c r="I1179" s="4">
        <v>5</v>
      </c>
      <c r="J1179" s="4">
        <v>5</v>
      </c>
      <c r="K1179" s="102">
        <v>2</v>
      </c>
      <c r="M1179" s="101">
        <f t="shared" si="305"/>
        <v>30</v>
      </c>
      <c r="N1179" s="4">
        <f t="shared" si="306"/>
        <v>12</v>
      </c>
      <c r="O1179" s="4">
        <f t="shared" si="307"/>
        <v>45</v>
      </c>
      <c r="P1179" s="4">
        <f t="shared" si="308"/>
        <v>56</v>
      </c>
      <c r="Q1179" s="4">
        <f t="shared" si="309"/>
        <v>30</v>
      </c>
      <c r="R1179" s="4">
        <f t="shared" si="310"/>
        <v>30</v>
      </c>
      <c r="S1179" s="102">
        <f t="shared" si="311"/>
        <v>56</v>
      </c>
      <c r="U1179" s="101">
        <f t="shared" si="312"/>
        <v>39</v>
      </c>
      <c r="V1179" s="4">
        <f t="shared" si="313"/>
        <v>9</v>
      </c>
      <c r="W1179" s="4">
        <f t="shared" si="314"/>
        <v>71</v>
      </c>
      <c r="X1179" s="4">
        <f t="shared" si="315"/>
        <v>78</v>
      </c>
      <c r="Y1179" s="4">
        <f t="shared" si="316"/>
        <v>39</v>
      </c>
      <c r="Z1179" s="4">
        <f t="shared" si="317"/>
        <v>39</v>
      </c>
      <c r="AA1179" s="102">
        <f t="shared" si="318"/>
        <v>78</v>
      </c>
      <c r="AC1179" s="100">
        <f t="shared" si="319"/>
        <v>0.99025545395636616</v>
      </c>
    </row>
    <row r="1180" spans="4:29" x14ac:dyDescent="0.35">
      <c r="D1180">
        <f t="shared" si="320"/>
        <v>1176</v>
      </c>
      <c r="E1180" s="101">
        <v>7</v>
      </c>
      <c r="F1180" s="4">
        <v>2</v>
      </c>
      <c r="G1180" s="4">
        <v>4</v>
      </c>
      <c r="H1180" s="4">
        <v>7</v>
      </c>
      <c r="I1180" s="4">
        <v>1</v>
      </c>
      <c r="J1180" s="4">
        <v>4</v>
      </c>
      <c r="K1180" s="102">
        <v>6</v>
      </c>
      <c r="M1180" s="101">
        <f t="shared" si="305"/>
        <v>29</v>
      </c>
      <c r="N1180" s="4">
        <f t="shared" si="306"/>
        <v>56</v>
      </c>
      <c r="O1180" s="4">
        <f t="shared" si="307"/>
        <v>12</v>
      </c>
      <c r="P1180" s="4">
        <f t="shared" si="308"/>
        <v>29</v>
      </c>
      <c r="Q1180" s="4">
        <f t="shared" si="309"/>
        <v>34</v>
      </c>
      <c r="R1180" s="4">
        <f t="shared" si="310"/>
        <v>12</v>
      </c>
      <c r="S1180" s="102">
        <f t="shared" si="311"/>
        <v>45</v>
      </c>
      <c r="U1180" s="101">
        <f t="shared" si="312"/>
        <v>41</v>
      </c>
      <c r="V1180" s="4">
        <f t="shared" si="313"/>
        <v>78</v>
      </c>
      <c r="W1180" s="4">
        <f t="shared" si="314"/>
        <v>9</v>
      </c>
      <c r="X1180" s="4">
        <f t="shared" si="315"/>
        <v>41</v>
      </c>
      <c r="Y1180" s="4">
        <f t="shared" si="316"/>
        <v>46</v>
      </c>
      <c r="Z1180" s="4">
        <f t="shared" si="317"/>
        <v>9</v>
      </c>
      <c r="AA1180" s="102">
        <f t="shared" si="318"/>
        <v>71</v>
      </c>
      <c r="AC1180" s="100">
        <f t="shared" si="319"/>
        <v>0.99082367312610187</v>
      </c>
    </row>
    <row r="1181" spans="4:29" x14ac:dyDescent="0.35">
      <c r="D1181">
        <f t="shared" si="320"/>
        <v>1177</v>
      </c>
      <c r="E1181" s="101">
        <v>5</v>
      </c>
      <c r="F1181" s="4">
        <v>2</v>
      </c>
      <c r="G1181" s="4">
        <v>4</v>
      </c>
      <c r="H1181" s="4">
        <v>6</v>
      </c>
      <c r="I1181" s="4">
        <v>6</v>
      </c>
      <c r="J1181" s="4">
        <v>4</v>
      </c>
      <c r="K1181" s="102">
        <v>6</v>
      </c>
      <c r="M1181" s="101">
        <f t="shared" si="305"/>
        <v>30</v>
      </c>
      <c r="N1181" s="4">
        <f t="shared" si="306"/>
        <v>56</v>
      </c>
      <c r="O1181" s="4">
        <f t="shared" si="307"/>
        <v>12</v>
      </c>
      <c r="P1181" s="4">
        <f t="shared" si="308"/>
        <v>45</v>
      </c>
      <c r="Q1181" s="4">
        <f t="shared" si="309"/>
        <v>45</v>
      </c>
      <c r="R1181" s="4">
        <f t="shared" si="310"/>
        <v>12</v>
      </c>
      <c r="S1181" s="102">
        <f t="shared" si="311"/>
        <v>45</v>
      </c>
      <c r="U1181" s="101">
        <f t="shared" si="312"/>
        <v>39</v>
      </c>
      <c r="V1181" s="4">
        <f t="shared" si="313"/>
        <v>78</v>
      </c>
      <c r="W1181" s="4">
        <f t="shared" si="314"/>
        <v>9</v>
      </c>
      <c r="X1181" s="4">
        <f t="shared" si="315"/>
        <v>71</v>
      </c>
      <c r="Y1181" s="4">
        <f t="shared" si="316"/>
        <v>71</v>
      </c>
      <c r="Z1181" s="4">
        <f t="shared" si="317"/>
        <v>9</v>
      </c>
      <c r="AA1181" s="102">
        <f t="shared" si="318"/>
        <v>71</v>
      </c>
      <c r="AC1181" s="100">
        <f t="shared" si="319"/>
        <v>0.98935807693367595</v>
      </c>
    </row>
    <row r="1182" spans="4:29" x14ac:dyDescent="0.35">
      <c r="D1182">
        <f t="shared" si="320"/>
        <v>1178</v>
      </c>
      <c r="E1182" s="101">
        <v>2</v>
      </c>
      <c r="F1182" s="4">
        <v>7</v>
      </c>
      <c r="G1182" s="4">
        <v>7</v>
      </c>
      <c r="H1182" s="4">
        <v>2</v>
      </c>
      <c r="I1182" s="4">
        <v>1</v>
      </c>
      <c r="J1182" s="4">
        <v>1</v>
      </c>
      <c r="K1182" s="102">
        <v>7</v>
      </c>
      <c r="M1182" s="101">
        <f t="shared" si="305"/>
        <v>56</v>
      </c>
      <c r="N1182" s="4">
        <f t="shared" si="306"/>
        <v>29</v>
      </c>
      <c r="O1182" s="4">
        <f t="shared" si="307"/>
        <v>29</v>
      </c>
      <c r="P1182" s="4">
        <f t="shared" si="308"/>
        <v>56</v>
      </c>
      <c r="Q1182" s="4">
        <f t="shared" si="309"/>
        <v>34</v>
      </c>
      <c r="R1182" s="4">
        <f t="shared" si="310"/>
        <v>34</v>
      </c>
      <c r="S1182" s="102">
        <f t="shared" si="311"/>
        <v>29</v>
      </c>
      <c r="U1182" s="101">
        <f t="shared" si="312"/>
        <v>78</v>
      </c>
      <c r="V1182" s="4">
        <f t="shared" si="313"/>
        <v>41</v>
      </c>
      <c r="W1182" s="4">
        <f t="shared" si="314"/>
        <v>41</v>
      </c>
      <c r="X1182" s="4">
        <f t="shared" si="315"/>
        <v>78</v>
      </c>
      <c r="Y1182" s="4">
        <f t="shared" si="316"/>
        <v>46</v>
      </c>
      <c r="Z1182" s="4">
        <f t="shared" si="317"/>
        <v>46</v>
      </c>
      <c r="AA1182" s="102">
        <f t="shared" si="318"/>
        <v>41</v>
      </c>
      <c r="AC1182" s="100">
        <f t="shared" si="319"/>
        <v>0.99869466410294705</v>
      </c>
    </row>
    <row r="1183" spans="4:29" x14ac:dyDescent="0.35">
      <c r="D1183">
        <f t="shared" si="320"/>
        <v>1179</v>
      </c>
      <c r="E1183" s="101">
        <v>1</v>
      </c>
      <c r="F1183" s="4">
        <v>5</v>
      </c>
      <c r="G1183" s="4">
        <v>1</v>
      </c>
      <c r="H1183" s="4">
        <v>1</v>
      </c>
      <c r="I1183" s="4">
        <v>5</v>
      </c>
      <c r="J1183" s="4">
        <v>6</v>
      </c>
      <c r="K1183" s="102">
        <v>3</v>
      </c>
      <c r="M1183" s="101">
        <f t="shared" si="305"/>
        <v>34</v>
      </c>
      <c r="N1183" s="4">
        <f t="shared" si="306"/>
        <v>30</v>
      </c>
      <c r="O1183" s="4">
        <f t="shared" si="307"/>
        <v>34</v>
      </c>
      <c r="P1183" s="4">
        <f t="shared" si="308"/>
        <v>34</v>
      </c>
      <c r="Q1183" s="4">
        <f t="shared" si="309"/>
        <v>30</v>
      </c>
      <c r="R1183" s="4">
        <f t="shared" si="310"/>
        <v>45</v>
      </c>
      <c r="S1183" s="102">
        <f t="shared" si="311"/>
        <v>23</v>
      </c>
      <c r="U1183" s="101">
        <f t="shared" si="312"/>
        <v>46</v>
      </c>
      <c r="V1183" s="4">
        <f t="shared" si="313"/>
        <v>39</v>
      </c>
      <c r="W1183" s="4">
        <f t="shared" si="314"/>
        <v>46</v>
      </c>
      <c r="X1183" s="4">
        <f t="shared" si="315"/>
        <v>46</v>
      </c>
      <c r="Y1183" s="4">
        <f t="shared" si="316"/>
        <v>39</v>
      </c>
      <c r="Z1183" s="4">
        <f t="shared" si="317"/>
        <v>71</v>
      </c>
      <c r="AA1183" s="102">
        <f t="shared" si="318"/>
        <v>39</v>
      </c>
      <c r="AC1183" s="100">
        <f t="shared" si="319"/>
        <v>0.91375239960461907</v>
      </c>
    </row>
    <row r="1184" spans="4:29" x14ac:dyDescent="0.35">
      <c r="D1184">
        <f t="shared" si="320"/>
        <v>1180</v>
      </c>
      <c r="E1184" s="101">
        <v>2</v>
      </c>
      <c r="F1184" s="4">
        <v>2</v>
      </c>
      <c r="G1184" s="4">
        <v>3</v>
      </c>
      <c r="H1184" s="4">
        <v>5</v>
      </c>
      <c r="I1184" s="4">
        <v>5</v>
      </c>
      <c r="J1184" s="4">
        <v>5</v>
      </c>
      <c r="K1184" s="102">
        <v>3</v>
      </c>
      <c r="M1184" s="101">
        <f t="shared" si="305"/>
        <v>56</v>
      </c>
      <c r="N1184" s="4">
        <f t="shared" si="306"/>
        <v>56</v>
      </c>
      <c r="O1184" s="4">
        <f t="shared" si="307"/>
        <v>23</v>
      </c>
      <c r="P1184" s="4">
        <f t="shared" si="308"/>
        <v>30</v>
      </c>
      <c r="Q1184" s="4">
        <f t="shared" si="309"/>
        <v>30</v>
      </c>
      <c r="R1184" s="4">
        <f t="shared" si="310"/>
        <v>30</v>
      </c>
      <c r="S1184" s="102">
        <f t="shared" si="311"/>
        <v>23</v>
      </c>
      <c r="U1184" s="101">
        <f t="shared" si="312"/>
        <v>78</v>
      </c>
      <c r="V1184" s="4">
        <f t="shared" si="313"/>
        <v>78</v>
      </c>
      <c r="W1184" s="4">
        <f t="shared" si="314"/>
        <v>39</v>
      </c>
      <c r="X1184" s="4">
        <f t="shared" si="315"/>
        <v>39</v>
      </c>
      <c r="Y1184" s="4">
        <f t="shared" si="316"/>
        <v>39</v>
      </c>
      <c r="Z1184" s="4">
        <f t="shared" si="317"/>
        <v>39</v>
      </c>
      <c r="AA1184" s="102">
        <f t="shared" si="318"/>
        <v>39</v>
      </c>
      <c r="AC1184" s="100">
        <f t="shared" si="319"/>
        <v>0.97607492566400511</v>
      </c>
    </row>
    <row r="1185" spans="4:29" x14ac:dyDescent="0.35">
      <c r="D1185">
        <f t="shared" si="320"/>
        <v>1181</v>
      </c>
      <c r="E1185" s="101">
        <v>2</v>
      </c>
      <c r="F1185" s="4">
        <v>1</v>
      </c>
      <c r="G1185" s="4">
        <v>1</v>
      </c>
      <c r="H1185" s="4">
        <v>7</v>
      </c>
      <c r="I1185" s="4">
        <v>1</v>
      </c>
      <c r="J1185" s="4">
        <v>5</v>
      </c>
      <c r="K1185" s="102">
        <v>2</v>
      </c>
      <c r="M1185" s="101">
        <f t="shared" si="305"/>
        <v>56</v>
      </c>
      <c r="N1185" s="4">
        <f t="shared" si="306"/>
        <v>34</v>
      </c>
      <c r="O1185" s="4">
        <f t="shared" si="307"/>
        <v>34</v>
      </c>
      <c r="P1185" s="4">
        <f t="shared" si="308"/>
        <v>29</v>
      </c>
      <c r="Q1185" s="4">
        <f t="shared" si="309"/>
        <v>34</v>
      </c>
      <c r="R1185" s="4">
        <f t="shared" si="310"/>
        <v>30</v>
      </c>
      <c r="S1185" s="102">
        <f t="shared" si="311"/>
        <v>56</v>
      </c>
      <c r="U1185" s="101">
        <f t="shared" si="312"/>
        <v>78</v>
      </c>
      <c r="V1185" s="4">
        <f t="shared" si="313"/>
        <v>46</v>
      </c>
      <c r="W1185" s="4">
        <f t="shared" si="314"/>
        <v>46</v>
      </c>
      <c r="X1185" s="4">
        <f t="shared" si="315"/>
        <v>41</v>
      </c>
      <c r="Y1185" s="4">
        <f t="shared" si="316"/>
        <v>46</v>
      </c>
      <c r="Z1185" s="4">
        <f t="shared" si="317"/>
        <v>39</v>
      </c>
      <c r="AA1185" s="102">
        <f t="shared" si="318"/>
        <v>78</v>
      </c>
      <c r="AC1185" s="100">
        <f t="shared" si="319"/>
        <v>0.9982075793519396</v>
      </c>
    </row>
    <row r="1186" spans="4:29" x14ac:dyDescent="0.35">
      <c r="D1186">
        <f t="shared" si="320"/>
        <v>1182</v>
      </c>
      <c r="E1186" s="101">
        <v>3</v>
      </c>
      <c r="F1186" s="4">
        <v>5</v>
      </c>
      <c r="G1186" s="4">
        <v>3</v>
      </c>
      <c r="H1186" s="4">
        <v>5</v>
      </c>
      <c r="I1186" s="4">
        <v>3</v>
      </c>
      <c r="J1186" s="4">
        <v>2</v>
      </c>
      <c r="K1186" s="102">
        <v>7</v>
      </c>
      <c r="M1186" s="101">
        <f t="shared" si="305"/>
        <v>23</v>
      </c>
      <c r="N1186" s="4">
        <f t="shared" si="306"/>
        <v>30</v>
      </c>
      <c r="O1186" s="4">
        <f t="shared" si="307"/>
        <v>23</v>
      </c>
      <c r="P1186" s="4">
        <f t="shared" si="308"/>
        <v>30</v>
      </c>
      <c r="Q1186" s="4">
        <f t="shared" si="309"/>
        <v>23</v>
      </c>
      <c r="R1186" s="4">
        <f t="shared" si="310"/>
        <v>56</v>
      </c>
      <c r="S1186" s="102">
        <f t="shared" si="311"/>
        <v>29</v>
      </c>
      <c r="U1186" s="101">
        <f t="shared" si="312"/>
        <v>39</v>
      </c>
      <c r="V1186" s="4">
        <f t="shared" si="313"/>
        <v>39</v>
      </c>
      <c r="W1186" s="4">
        <f t="shared" si="314"/>
        <v>39</v>
      </c>
      <c r="X1186" s="4">
        <f t="shared" si="315"/>
        <v>39</v>
      </c>
      <c r="Y1186" s="4">
        <f t="shared" si="316"/>
        <v>39</v>
      </c>
      <c r="Z1186" s="4">
        <f t="shared" si="317"/>
        <v>78</v>
      </c>
      <c r="AA1186" s="102">
        <f t="shared" si="318"/>
        <v>41</v>
      </c>
      <c r="AC1186" s="100">
        <f t="shared" si="319"/>
        <v>0.96209999890403886</v>
      </c>
    </row>
    <row r="1187" spans="4:29" x14ac:dyDescent="0.35">
      <c r="D1187">
        <f t="shared" si="320"/>
        <v>1183</v>
      </c>
      <c r="E1187" s="101">
        <v>2</v>
      </c>
      <c r="F1187" s="4">
        <v>7</v>
      </c>
      <c r="G1187" s="4">
        <v>5</v>
      </c>
      <c r="H1187" s="4">
        <v>2</v>
      </c>
      <c r="I1187" s="4">
        <v>6</v>
      </c>
      <c r="J1187" s="4">
        <v>4</v>
      </c>
      <c r="K1187" s="102">
        <v>7</v>
      </c>
      <c r="M1187" s="101">
        <f t="shared" si="305"/>
        <v>56</v>
      </c>
      <c r="N1187" s="4">
        <f t="shared" si="306"/>
        <v>29</v>
      </c>
      <c r="O1187" s="4">
        <f t="shared" si="307"/>
        <v>30</v>
      </c>
      <c r="P1187" s="4">
        <f t="shared" si="308"/>
        <v>56</v>
      </c>
      <c r="Q1187" s="4">
        <f t="shared" si="309"/>
        <v>45</v>
      </c>
      <c r="R1187" s="4">
        <f t="shared" si="310"/>
        <v>12</v>
      </c>
      <c r="S1187" s="102">
        <f t="shared" si="311"/>
        <v>29</v>
      </c>
      <c r="U1187" s="101">
        <f t="shared" si="312"/>
        <v>78</v>
      </c>
      <c r="V1187" s="4">
        <f t="shared" si="313"/>
        <v>41</v>
      </c>
      <c r="W1187" s="4">
        <f t="shared" si="314"/>
        <v>39</v>
      </c>
      <c r="X1187" s="4">
        <f t="shared" si="315"/>
        <v>78</v>
      </c>
      <c r="Y1187" s="4">
        <f t="shared" si="316"/>
        <v>71</v>
      </c>
      <c r="Z1187" s="4">
        <f t="shared" si="317"/>
        <v>9</v>
      </c>
      <c r="AA1187" s="102">
        <f t="shared" si="318"/>
        <v>41</v>
      </c>
      <c r="AC1187" s="100">
        <f t="shared" si="319"/>
        <v>0.98838974223778464</v>
      </c>
    </row>
    <row r="1188" spans="4:29" x14ac:dyDescent="0.35">
      <c r="D1188">
        <f t="shared" si="320"/>
        <v>1184</v>
      </c>
      <c r="E1188" s="101">
        <v>4</v>
      </c>
      <c r="F1188" s="4">
        <v>5</v>
      </c>
      <c r="G1188" s="4">
        <v>2</v>
      </c>
      <c r="H1188" s="4">
        <v>6</v>
      </c>
      <c r="I1188" s="4">
        <v>5</v>
      </c>
      <c r="J1188" s="4">
        <v>4</v>
      </c>
      <c r="K1188" s="102">
        <v>7</v>
      </c>
      <c r="M1188" s="101">
        <f t="shared" si="305"/>
        <v>12</v>
      </c>
      <c r="N1188" s="4">
        <f t="shared" si="306"/>
        <v>30</v>
      </c>
      <c r="O1188" s="4">
        <f t="shared" si="307"/>
        <v>56</v>
      </c>
      <c r="P1188" s="4">
        <f t="shared" si="308"/>
        <v>45</v>
      </c>
      <c r="Q1188" s="4">
        <f t="shared" si="309"/>
        <v>30</v>
      </c>
      <c r="R1188" s="4">
        <f t="shared" si="310"/>
        <v>12</v>
      </c>
      <c r="S1188" s="102">
        <f t="shared" si="311"/>
        <v>29</v>
      </c>
      <c r="U1188" s="101">
        <f t="shared" si="312"/>
        <v>9</v>
      </c>
      <c r="V1188" s="4">
        <f t="shared" si="313"/>
        <v>39</v>
      </c>
      <c r="W1188" s="4">
        <f t="shared" si="314"/>
        <v>78</v>
      </c>
      <c r="X1188" s="4">
        <f t="shared" si="315"/>
        <v>71</v>
      </c>
      <c r="Y1188" s="4">
        <f t="shared" si="316"/>
        <v>39</v>
      </c>
      <c r="Z1188" s="4">
        <f t="shared" si="317"/>
        <v>9</v>
      </c>
      <c r="AA1188" s="102">
        <f t="shared" si="318"/>
        <v>41</v>
      </c>
      <c r="AC1188" s="100">
        <f t="shared" si="319"/>
        <v>0.99125073113172291</v>
      </c>
    </row>
    <row r="1189" spans="4:29" x14ac:dyDescent="0.35">
      <c r="D1189">
        <f t="shared" si="320"/>
        <v>1185</v>
      </c>
      <c r="E1189" s="101">
        <v>2</v>
      </c>
      <c r="F1189" s="4">
        <v>1</v>
      </c>
      <c r="G1189" s="4">
        <v>2</v>
      </c>
      <c r="H1189" s="4">
        <v>4</v>
      </c>
      <c r="I1189" s="4">
        <v>2</v>
      </c>
      <c r="J1189" s="4">
        <v>5</v>
      </c>
      <c r="K1189" s="102">
        <v>5</v>
      </c>
      <c r="M1189" s="101">
        <f t="shared" si="305"/>
        <v>56</v>
      </c>
      <c r="N1189" s="4">
        <f t="shared" si="306"/>
        <v>34</v>
      </c>
      <c r="O1189" s="4">
        <f t="shared" si="307"/>
        <v>56</v>
      </c>
      <c r="P1189" s="4">
        <f t="shared" si="308"/>
        <v>12</v>
      </c>
      <c r="Q1189" s="4">
        <f t="shared" si="309"/>
        <v>56</v>
      </c>
      <c r="R1189" s="4">
        <f t="shared" si="310"/>
        <v>30</v>
      </c>
      <c r="S1189" s="102">
        <f t="shared" si="311"/>
        <v>30</v>
      </c>
      <c r="U1189" s="101">
        <f t="shared" si="312"/>
        <v>78</v>
      </c>
      <c r="V1189" s="4">
        <f t="shared" si="313"/>
        <v>46</v>
      </c>
      <c r="W1189" s="4">
        <f t="shared" si="314"/>
        <v>78</v>
      </c>
      <c r="X1189" s="4">
        <f t="shared" si="315"/>
        <v>9</v>
      </c>
      <c r="Y1189" s="4">
        <f t="shared" si="316"/>
        <v>78</v>
      </c>
      <c r="Z1189" s="4">
        <f t="shared" si="317"/>
        <v>39</v>
      </c>
      <c r="AA1189" s="102">
        <f t="shared" si="318"/>
        <v>39</v>
      </c>
      <c r="AC1189" s="100">
        <f t="shared" si="319"/>
        <v>0.99927446179482937</v>
      </c>
    </row>
    <row r="1190" spans="4:29" x14ac:dyDescent="0.35">
      <c r="D1190">
        <f t="shared" si="320"/>
        <v>1186</v>
      </c>
      <c r="E1190" s="101">
        <v>6</v>
      </c>
      <c r="F1190" s="4">
        <v>2</v>
      </c>
      <c r="G1190" s="4">
        <v>2</v>
      </c>
      <c r="H1190" s="4">
        <v>4</v>
      </c>
      <c r="I1190" s="4">
        <v>4</v>
      </c>
      <c r="J1190" s="4">
        <v>3</v>
      </c>
      <c r="K1190" s="102">
        <v>4</v>
      </c>
      <c r="M1190" s="101">
        <f t="shared" si="305"/>
        <v>45</v>
      </c>
      <c r="N1190" s="4">
        <f t="shared" si="306"/>
        <v>56</v>
      </c>
      <c r="O1190" s="4">
        <f t="shared" si="307"/>
        <v>56</v>
      </c>
      <c r="P1190" s="4">
        <f t="shared" si="308"/>
        <v>12</v>
      </c>
      <c r="Q1190" s="4">
        <f t="shared" si="309"/>
        <v>12</v>
      </c>
      <c r="R1190" s="4">
        <f t="shared" si="310"/>
        <v>23</v>
      </c>
      <c r="S1190" s="102">
        <f t="shared" si="311"/>
        <v>12</v>
      </c>
      <c r="U1190" s="101">
        <f t="shared" si="312"/>
        <v>71</v>
      </c>
      <c r="V1190" s="4">
        <f t="shared" si="313"/>
        <v>78</v>
      </c>
      <c r="W1190" s="4">
        <f t="shared" si="314"/>
        <v>78</v>
      </c>
      <c r="X1190" s="4">
        <f t="shared" si="315"/>
        <v>9</v>
      </c>
      <c r="Y1190" s="4">
        <f t="shared" si="316"/>
        <v>9</v>
      </c>
      <c r="Z1190" s="4">
        <f t="shared" si="317"/>
        <v>39</v>
      </c>
      <c r="AA1190" s="102">
        <f t="shared" si="318"/>
        <v>9</v>
      </c>
      <c r="AC1190" s="100">
        <f t="shared" si="319"/>
        <v>0.98564113015847421</v>
      </c>
    </row>
    <row r="1191" spans="4:29" x14ac:dyDescent="0.35">
      <c r="D1191">
        <f t="shared" si="320"/>
        <v>1187</v>
      </c>
      <c r="E1191" s="101">
        <v>2</v>
      </c>
      <c r="F1191" s="4">
        <v>2</v>
      </c>
      <c r="G1191" s="4">
        <v>5</v>
      </c>
      <c r="H1191" s="4">
        <v>4</v>
      </c>
      <c r="I1191" s="4">
        <v>1</v>
      </c>
      <c r="J1191" s="4">
        <v>4</v>
      </c>
      <c r="K1191" s="102">
        <v>3</v>
      </c>
      <c r="M1191" s="101">
        <f t="shared" si="305"/>
        <v>56</v>
      </c>
      <c r="N1191" s="4">
        <f t="shared" si="306"/>
        <v>56</v>
      </c>
      <c r="O1191" s="4">
        <f t="shared" si="307"/>
        <v>30</v>
      </c>
      <c r="P1191" s="4">
        <f t="shared" si="308"/>
        <v>12</v>
      </c>
      <c r="Q1191" s="4">
        <f t="shared" si="309"/>
        <v>34</v>
      </c>
      <c r="R1191" s="4">
        <f t="shared" si="310"/>
        <v>12</v>
      </c>
      <c r="S1191" s="102">
        <f t="shared" si="311"/>
        <v>23</v>
      </c>
      <c r="U1191" s="101">
        <f t="shared" si="312"/>
        <v>78</v>
      </c>
      <c r="V1191" s="4">
        <f t="shared" si="313"/>
        <v>78</v>
      </c>
      <c r="W1191" s="4">
        <f t="shared" si="314"/>
        <v>39</v>
      </c>
      <c r="X1191" s="4">
        <f t="shared" si="315"/>
        <v>9</v>
      </c>
      <c r="Y1191" s="4">
        <f t="shared" si="316"/>
        <v>46</v>
      </c>
      <c r="Z1191" s="4">
        <f t="shared" si="317"/>
        <v>9</v>
      </c>
      <c r="AA1191" s="102">
        <f t="shared" si="318"/>
        <v>39</v>
      </c>
      <c r="AC1191" s="100">
        <f t="shared" si="319"/>
        <v>0.98694688330003655</v>
      </c>
    </row>
    <row r="1192" spans="4:29" x14ac:dyDescent="0.35">
      <c r="D1192">
        <f t="shared" si="320"/>
        <v>1188</v>
      </c>
      <c r="E1192" s="101">
        <v>4</v>
      </c>
      <c r="F1192" s="4">
        <v>7</v>
      </c>
      <c r="G1192" s="4">
        <v>5</v>
      </c>
      <c r="H1192" s="4">
        <v>4</v>
      </c>
      <c r="I1192" s="4">
        <v>1</v>
      </c>
      <c r="J1192" s="4">
        <v>1</v>
      </c>
      <c r="K1192" s="102">
        <v>7</v>
      </c>
      <c r="M1192" s="101">
        <f t="shared" si="305"/>
        <v>12</v>
      </c>
      <c r="N1192" s="4">
        <f t="shared" si="306"/>
        <v>29</v>
      </c>
      <c r="O1192" s="4">
        <f t="shared" si="307"/>
        <v>30</v>
      </c>
      <c r="P1192" s="4">
        <f t="shared" si="308"/>
        <v>12</v>
      </c>
      <c r="Q1192" s="4">
        <f t="shared" si="309"/>
        <v>34</v>
      </c>
      <c r="R1192" s="4">
        <f t="shared" si="310"/>
        <v>34</v>
      </c>
      <c r="S1192" s="102">
        <f t="shared" si="311"/>
        <v>29</v>
      </c>
      <c r="U1192" s="101">
        <f t="shared" si="312"/>
        <v>9</v>
      </c>
      <c r="V1192" s="4">
        <f t="shared" si="313"/>
        <v>41</v>
      </c>
      <c r="W1192" s="4">
        <f t="shared" si="314"/>
        <v>39</v>
      </c>
      <c r="X1192" s="4">
        <f t="shared" si="315"/>
        <v>9</v>
      </c>
      <c r="Y1192" s="4">
        <f t="shared" si="316"/>
        <v>46</v>
      </c>
      <c r="Z1192" s="4">
        <f t="shared" si="317"/>
        <v>46</v>
      </c>
      <c r="AA1192" s="102">
        <f t="shared" si="318"/>
        <v>41</v>
      </c>
      <c r="AC1192" s="100">
        <f t="shared" si="319"/>
        <v>0.99503511553007506</v>
      </c>
    </row>
    <row r="1193" spans="4:29" x14ac:dyDescent="0.35">
      <c r="D1193">
        <f t="shared" si="320"/>
        <v>1189</v>
      </c>
      <c r="E1193" s="101">
        <v>5</v>
      </c>
      <c r="F1193" s="4">
        <v>1</v>
      </c>
      <c r="G1193" s="4">
        <v>6</v>
      </c>
      <c r="H1193" s="4">
        <v>1</v>
      </c>
      <c r="I1193" s="4">
        <v>4</v>
      </c>
      <c r="J1193" s="4">
        <v>4</v>
      </c>
      <c r="K1193" s="102">
        <v>4</v>
      </c>
      <c r="M1193" s="101">
        <f t="shared" si="305"/>
        <v>30</v>
      </c>
      <c r="N1193" s="4">
        <f t="shared" si="306"/>
        <v>34</v>
      </c>
      <c r="O1193" s="4">
        <f t="shared" si="307"/>
        <v>45</v>
      </c>
      <c r="P1193" s="4">
        <f t="shared" si="308"/>
        <v>34</v>
      </c>
      <c r="Q1193" s="4">
        <f t="shared" si="309"/>
        <v>12</v>
      </c>
      <c r="R1193" s="4">
        <f t="shared" si="310"/>
        <v>12</v>
      </c>
      <c r="S1193" s="102">
        <f t="shared" si="311"/>
        <v>12</v>
      </c>
      <c r="U1193" s="101">
        <f t="shared" si="312"/>
        <v>39</v>
      </c>
      <c r="V1193" s="4">
        <f t="shared" si="313"/>
        <v>46</v>
      </c>
      <c r="W1193" s="4">
        <f t="shared" si="314"/>
        <v>71</v>
      </c>
      <c r="X1193" s="4">
        <f t="shared" si="315"/>
        <v>46</v>
      </c>
      <c r="Y1193" s="4">
        <f t="shared" si="316"/>
        <v>9</v>
      </c>
      <c r="Z1193" s="4">
        <f t="shared" si="317"/>
        <v>9</v>
      </c>
      <c r="AA1193" s="102">
        <f t="shared" si="318"/>
        <v>9</v>
      </c>
      <c r="AC1193" s="100">
        <f t="shared" si="319"/>
        <v>0.99682831052478948</v>
      </c>
    </row>
    <row r="1194" spans="4:29" x14ac:dyDescent="0.35">
      <c r="D1194">
        <f t="shared" si="320"/>
        <v>1190</v>
      </c>
      <c r="E1194" s="101">
        <v>5</v>
      </c>
      <c r="F1194" s="4">
        <v>3</v>
      </c>
      <c r="G1194" s="4">
        <v>4</v>
      </c>
      <c r="H1194" s="4">
        <v>4</v>
      </c>
      <c r="I1194" s="4">
        <v>2</v>
      </c>
      <c r="J1194" s="4">
        <v>5</v>
      </c>
      <c r="K1194" s="102">
        <v>4</v>
      </c>
      <c r="M1194" s="101">
        <f t="shared" si="305"/>
        <v>30</v>
      </c>
      <c r="N1194" s="4">
        <f t="shared" si="306"/>
        <v>23</v>
      </c>
      <c r="O1194" s="4">
        <f t="shared" si="307"/>
        <v>12</v>
      </c>
      <c r="P1194" s="4">
        <f t="shared" si="308"/>
        <v>12</v>
      </c>
      <c r="Q1194" s="4">
        <f t="shared" si="309"/>
        <v>56</v>
      </c>
      <c r="R1194" s="4">
        <f t="shared" si="310"/>
        <v>30</v>
      </c>
      <c r="S1194" s="102">
        <f t="shared" si="311"/>
        <v>12</v>
      </c>
      <c r="U1194" s="101">
        <f t="shared" si="312"/>
        <v>39</v>
      </c>
      <c r="V1194" s="4">
        <f t="shared" si="313"/>
        <v>39</v>
      </c>
      <c r="W1194" s="4">
        <f t="shared" si="314"/>
        <v>9</v>
      </c>
      <c r="X1194" s="4">
        <f t="shared" si="315"/>
        <v>9</v>
      </c>
      <c r="Y1194" s="4">
        <f t="shared" si="316"/>
        <v>78</v>
      </c>
      <c r="Z1194" s="4">
        <f t="shared" si="317"/>
        <v>39</v>
      </c>
      <c r="AA1194" s="102">
        <f t="shared" si="318"/>
        <v>9</v>
      </c>
      <c r="AC1194" s="100">
        <f t="shared" si="319"/>
        <v>0.98285394029309003</v>
      </c>
    </row>
    <row r="1195" spans="4:29" x14ac:dyDescent="0.35">
      <c r="D1195">
        <f t="shared" si="320"/>
        <v>1191</v>
      </c>
      <c r="E1195" s="101">
        <v>3</v>
      </c>
      <c r="F1195" s="4">
        <v>5</v>
      </c>
      <c r="G1195" s="4">
        <v>2</v>
      </c>
      <c r="H1195" s="4">
        <v>7</v>
      </c>
      <c r="I1195" s="4">
        <v>4</v>
      </c>
      <c r="J1195" s="4">
        <v>4</v>
      </c>
      <c r="K1195" s="102">
        <v>7</v>
      </c>
      <c r="M1195" s="101">
        <f t="shared" si="305"/>
        <v>23</v>
      </c>
      <c r="N1195" s="4">
        <f t="shared" si="306"/>
        <v>30</v>
      </c>
      <c r="O1195" s="4">
        <f t="shared" si="307"/>
        <v>56</v>
      </c>
      <c r="P1195" s="4">
        <f t="shared" si="308"/>
        <v>29</v>
      </c>
      <c r="Q1195" s="4">
        <f t="shared" si="309"/>
        <v>12</v>
      </c>
      <c r="R1195" s="4">
        <f t="shared" si="310"/>
        <v>12</v>
      </c>
      <c r="S1195" s="102">
        <f t="shared" si="311"/>
        <v>29</v>
      </c>
      <c r="U1195" s="101">
        <f t="shared" si="312"/>
        <v>39</v>
      </c>
      <c r="V1195" s="4">
        <f t="shared" si="313"/>
        <v>39</v>
      </c>
      <c r="W1195" s="4">
        <f t="shared" si="314"/>
        <v>78</v>
      </c>
      <c r="X1195" s="4">
        <f t="shared" si="315"/>
        <v>41</v>
      </c>
      <c r="Y1195" s="4">
        <f t="shared" si="316"/>
        <v>9</v>
      </c>
      <c r="Z1195" s="4">
        <f t="shared" si="317"/>
        <v>9</v>
      </c>
      <c r="AA1195" s="102">
        <f t="shared" si="318"/>
        <v>41</v>
      </c>
      <c r="AC1195" s="100">
        <f t="shared" si="319"/>
        <v>0.97983567922976966</v>
      </c>
    </row>
    <row r="1196" spans="4:29" x14ac:dyDescent="0.35">
      <c r="D1196">
        <f t="shared" si="320"/>
        <v>1192</v>
      </c>
      <c r="E1196" s="101">
        <v>6</v>
      </c>
      <c r="F1196" s="4">
        <v>4</v>
      </c>
      <c r="G1196" s="4">
        <v>5</v>
      </c>
      <c r="H1196" s="4">
        <v>3</v>
      </c>
      <c r="I1196" s="4">
        <v>5</v>
      </c>
      <c r="J1196" s="4">
        <v>4</v>
      </c>
      <c r="K1196" s="102">
        <v>4</v>
      </c>
      <c r="M1196" s="101">
        <f t="shared" si="305"/>
        <v>45</v>
      </c>
      <c r="N1196" s="4">
        <f t="shared" si="306"/>
        <v>12</v>
      </c>
      <c r="O1196" s="4">
        <f t="shared" si="307"/>
        <v>30</v>
      </c>
      <c r="P1196" s="4">
        <f t="shared" si="308"/>
        <v>23</v>
      </c>
      <c r="Q1196" s="4">
        <f t="shared" si="309"/>
        <v>30</v>
      </c>
      <c r="R1196" s="4">
        <f t="shared" si="310"/>
        <v>12</v>
      </c>
      <c r="S1196" s="102">
        <f t="shared" si="311"/>
        <v>12</v>
      </c>
      <c r="U1196" s="101">
        <f t="shared" si="312"/>
        <v>71</v>
      </c>
      <c r="V1196" s="4">
        <f t="shared" si="313"/>
        <v>9</v>
      </c>
      <c r="W1196" s="4">
        <f t="shared" si="314"/>
        <v>39</v>
      </c>
      <c r="X1196" s="4">
        <f t="shared" si="315"/>
        <v>39</v>
      </c>
      <c r="Y1196" s="4">
        <f t="shared" si="316"/>
        <v>39</v>
      </c>
      <c r="Z1196" s="4">
        <f t="shared" si="317"/>
        <v>9</v>
      </c>
      <c r="AA1196" s="102">
        <f t="shared" si="318"/>
        <v>9</v>
      </c>
      <c r="AC1196" s="100">
        <f t="shared" si="319"/>
        <v>0.98246559222738861</v>
      </c>
    </row>
    <row r="1197" spans="4:29" x14ac:dyDescent="0.35">
      <c r="D1197">
        <f t="shared" si="320"/>
        <v>1193</v>
      </c>
      <c r="E1197" s="101">
        <v>3</v>
      </c>
      <c r="F1197" s="4">
        <v>3</v>
      </c>
      <c r="G1197" s="4">
        <v>3</v>
      </c>
      <c r="H1197" s="4">
        <v>3</v>
      </c>
      <c r="I1197" s="4">
        <v>2</v>
      </c>
      <c r="J1197" s="4">
        <v>4</v>
      </c>
      <c r="K1197" s="102">
        <v>4</v>
      </c>
      <c r="M1197" s="101">
        <f t="shared" si="305"/>
        <v>23</v>
      </c>
      <c r="N1197" s="4">
        <f t="shared" si="306"/>
        <v>23</v>
      </c>
      <c r="O1197" s="4">
        <f t="shared" si="307"/>
        <v>23</v>
      </c>
      <c r="P1197" s="4">
        <f t="shared" si="308"/>
        <v>23</v>
      </c>
      <c r="Q1197" s="4">
        <f t="shared" si="309"/>
        <v>56</v>
      </c>
      <c r="R1197" s="4">
        <f t="shared" si="310"/>
        <v>12</v>
      </c>
      <c r="S1197" s="102">
        <f t="shared" si="311"/>
        <v>12</v>
      </c>
      <c r="U1197" s="101">
        <f t="shared" si="312"/>
        <v>39</v>
      </c>
      <c r="V1197" s="4">
        <f t="shared" si="313"/>
        <v>39</v>
      </c>
      <c r="W1197" s="4">
        <f t="shared" si="314"/>
        <v>39</v>
      </c>
      <c r="X1197" s="4">
        <f t="shared" si="315"/>
        <v>39</v>
      </c>
      <c r="Y1197" s="4">
        <f t="shared" si="316"/>
        <v>78</v>
      </c>
      <c r="Z1197" s="4">
        <f t="shared" si="317"/>
        <v>9</v>
      </c>
      <c r="AA1197" s="102">
        <f t="shared" si="318"/>
        <v>9</v>
      </c>
      <c r="AC1197" s="100">
        <f t="shared" si="319"/>
        <v>0.95706005193336097</v>
      </c>
    </row>
    <row r="1198" spans="4:29" x14ac:dyDescent="0.35">
      <c r="D1198">
        <f t="shared" si="320"/>
        <v>1194</v>
      </c>
      <c r="E1198" s="101">
        <v>7</v>
      </c>
      <c r="F1198" s="4">
        <v>3</v>
      </c>
      <c r="G1198" s="4">
        <v>6</v>
      </c>
      <c r="H1198" s="4">
        <v>7</v>
      </c>
      <c r="I1198" s="4">
        <v>6</v>
      </c>
      <c r="J1198" s="4">
        <v>2</v>
      </c>
      <c r="K1198" s="102">
        <v>2</v>
      </c>
      <c r="M1198" s="101">
        <f t="shared" si="305"/>
        <v>29</v>
      </c>
      <c r="N1198" s="4">
        <f t="shared" si="306"/>
        <v>23</v>
      </c>
      <c r="O1198" s="4">
        <f t="shared" si="307"/>
        <v>45</v>
      </c>
      <c r="P1198" s="4">
        <f t="shared" si="308"/>
        <v>29</v>
      </c>
      <c r="Q1198" s="4">
        <f t="shared" si="309"/>
        <v>45</v>
      </c>
      <c r="R1198" s="4">
        <f t="shared" si="310"/>
        <v>56</v>
      </c>
      <c r="S1198" s="102">
        <f t="shared" si="311"/>
        <v>56</v>
      </c>
      <c r="U1198" s="101">
        <f t="shared" si="312"/>
        <v>41</v>
      </c>
      <c r="V1198" s="4">
        <f t="shared" si="313"/>
        <v>39</v>
      </c>
      <c r="W1198" s="4">
        <f t="shared" si="314"/>
        <v>71</v>
      </c>
      <c r="X1198" s="4">
        <f t="shared" si="315"/>
        <v>41</v>
      </c>
      <c r="Y1198" s="4">
        <f t="shared" si="316"/>
        <v>71</v>
      </c>
      <c r="Z1198" s="4">
        <f t="shared" si="317"/>
        <v>78</v>
      </c>
      <c r="AA1198" s="102">
        <f t="shared" si="318"/>
        <v>78</v>
      </c>
      <c r="AC1198" s="100">
        <f t="shared" si="319"/>
        <v>0.97621108084544472</v>
      </c>
    </row>
    <row r="1199" spans="4:29" x14ac:dyDescent="0.35">
      <c r="D1199">
        <f t="shared" si="320"/>
        <v>1195</v>
      </c>
      <c r="E1199" s="101">
        <v>7</v>
      </c>
      <c r="F1199" s="4">
        <v>6</v>
      </c>
      <c r="G1199" s="4">
        <v>5</v>
      </c>
      <c r="H1199" s="4">
        <v>7</v>
      </c>
      <c r="I1199" s="4">
        <v>2</v>
      </c>
      <c r="J1199" s="4">
        <v>4</v>
      </c>
      <c r="K1199" s="102">
        <v>2</v>
      </c>
      <c r="M1199" s="101">
        <f t="shared" si="305"/>
        <v>29</v>
      </c>
      <c r="N1199" s="4">
        <f t="shared" si="306"/>
        <v>45</v>
      </c>
      <c r="O1199" s="4">
        <f t="shared" si="307"/>
        <v>30</v>
      </c>
      <c r="P1199" s="4">
        <f t="shared" si="308"/>
        <v>29</v>
      </c>
      <c r="Q1199" s="4">
        <f t="shared" si="309"/>
        <v>56</v>
      </c>
      <c r="R1199" s="4">
        <f t="shared" si="310"/>
        <v>12</v>
      </c>
      <c r="S1199" s="102">
        <f t="shared" si="311"/>
        <v>56</v>
      </c>
      <c r="U1199" s="101">
        <f t="shared" si="312"/>
        <v>41</v>
      </c>
      <c r="V1199" s="4">
        <f t="shared" si="313"/>
        <v>71</v>
      </c>
      <c r="W1199" s="4">
        <f t="shared" si="314"/>
        <v>39</v>
      </c>
      <c r="X1199" s="4">
        <f t="shared" si="315"/>
        <v>41</v>
      </c>
      <c r="Y1199" s="4">
        <f t="shared" si="316"/>
        <v>78</v>
      </c>
      <c r="Z1199" s="4">
        <f t="shared" si="317"/>
        <v>9</v>
      </c>
      <c r="AA1199" s="102">
        <f t="shared" si="318"/>
        <v>78</v>
      </c>
      <c r="AC1199" s="100">
        <f t="shared" si="319"/>
        <v>0.98838974223778486</v>
      </c>
    </row>
    <row r="1200" spans="4:29" x14ac:dyDescent="0.35">
      <c r="D1200">
        <f t="shared" si="320"/>
        <v>1196</v>
      </c>
      <c r="E1200" s="101">
        <v>6</v>
      </c>
      <c r="F1200" s="4">
        <v>1</v>
      </c>
      <c r="G1200" s="4">
        <v>2</v>
      </c>
      <c r="H1200" s="4">
        <v>5</v>
      </c>
      <c r="I1200" s="4">
        <v>6</v>
      </c>
      <c r="J1200" s="4">
        <v>1</v>
      </c>
      <c r="K1200" s="102">
        <v>6</v>
      </c>
      <c r="M1200" s="101">
        <f t="shared" si="305"/>
        <v>45</v>
      </c>
      <c r="N1200" s="4">
        <f t="shared" si="306"/>
        <v>34</v>
      </c>
      <c r="O1200" s="4">
        <f t="shared" si="307"/>
        <v>56</v>
      </c>
      <c r="P1200" s="4">
        <f t="shared" si="308"/>
        <v>30</v>
      </c>
      <c r="Q1200" s="4">
        <f t="shared" si="309"/>
        <v>45</v>
      </c>
      <c r="R1200" s="4">
        <f t="shared" si="310"/>
        <v>34</v>
      </c>
      <c r="S1200" s="102">
        <f t="shared" si="311"/>
        <v>45</v>
      </c>
      <c r="U1200" s="101">
        <f t="shared" si="312"/>
        <v>71</v>
      </c>
      <c r="V1200" s="4">
        <f t="shared" si="313"/>
        <v>46</v>
      </c>
      <c r="W1200" s="4">
        <f t="shared" si="314"/>
        <v>78</v>
      </c>
      <c r="X1200" s="4">
        <f t="shared" si="315"/>
        <v>39</v>
      </c>
      <c r="Y1200" s="4">
        <f t="shared" si="316"/>
        <v>71</v>
      </c>
      <c r="Z1200" s="4">
        <f t="shared" si="317"/>
        <v>46</v>
      </c>
      <c r="AA1200" s="102">
        <f t="shared" si="318"/>
        <v>71</v>
      </c>
      <c r="AC1200" s="100">
        <f t="shared" si="319"/>
        <v>0.95870440563012072</v>
      </c>
    </row>
    <row r="1201" spans="4:29" x14ac:dyDescent="0.35">
      <c r="D1201">
        <f t="shared" si="320"/>
        <v>1197</v>
      </c>
      <c r="E1201" s="101">
        <v>6</v>
      </c>
      <c r="F1201" s="4">
        <v>5</v>
      </c>
      <c r="G1201" s="4">
        <v>5</v>
      </c>
      <c r="H1201" s="4">
        <v>1</v>
      </c>
      <c r="I1201" s="4">
        <v>2</v>
      </c>
      <c r="J1201" s="4">
        <v>1</v>
      </c>
      <c r="K1201" s="102">
        <v>2</v>
      </c>
      <c r="M1201" s="101">
        <f t="shared" si="305"/>
        <v>45</v>
      </c>
      <c r="N1201" s="4">
        <f t="shared" si="306"/>
        <v>30</v>
      </c>
      <c r="O1201" s="4">
        <f t="shared" si="307"/>
        <v>30</v>
      </c>
      <c r="P1201" s="4">
        <f t="shared" si="308"/>
        <v>34</v>
      </c>
      <c r="Q1201" s="4">
        <f t="shared" si="309"/>
        <v>56</v>
      </c>
      <c r="R1201" s="4">
        <f t="shared" si="310"/>
        <v>34</v>
      </c>
      <c r="S1201" s="102">
        <f t="shared" si="311"/>
        <v>56</v>
      </c>
      <c r="U1201" s="101">
        <f t="shared" si="312"/>
        <v>71</v>
      </c>
      <c r="V1201" s="4">
        <f t="shared" si="313"/>
        <v>39</v>
      </c>
      <c r="W1201" s="4">
        <f t="shared" si="314"/>
        <v>39</v>
      </c>
      <c r="X1201" s="4">
        <f t="shared" si="315"/>
        <v>46</v>
      </c>
      <c r="Y1201" s="4">
        <f t="shared" si="316"/>
        <v>78</v>
      </c>
      <c r="Z1201" s="4">
        <f t="shared" si="317"/>
        <v>46</v>
      </c>
      <c r="AA1201" s="102">
        <f t="shared" si="318"/>
        <v>78</v>
      </c>
      <c r="AC1201" s="100">
        <f t="shared" si="319"/>
        <v>0.98141939911249609</v>
      </c>
    </row>
    <row r="1202" spans="4:29" x14ac:dyDescent="0.35">
      <c r="D1202">
        <f t="shared" si="320"/>
        <v>1198</v>
      </c>
      <c r="E1202" s="101">
        <v>2</v>
      </c>
      <c r="F1202" s="4">
        <v>7</v>
      </c>
      <c r="G1202" s="4">
        <v>6</v>
      </c>
      <c r="H1202" s="4">
        <v>2</v>
      </c>
      <c r="I1202" s="4">
        <v>5</v>
      </c>
      <c r="J1202" s="4">
        <v>2</v>
      </c>
      <c r="K1202" s="102">
        <v>4</v>
      </c>
      <c r="M1202" s="101">
        <f t="shared" si="305"/>
        <v>56</v>
      </c>
      <c r="N1202" s="4">
        <f t="shared" si="306"/>
        <v>29</v>
      </c>
      <c r="O1202" s="4">
        <f t="shared" si="307"/>
        <v>45</v>
      </c>
      <c r="P1202" s="4">
        <f t="shared" si="308"/>
        <v>56</v>
      </c>
      <c r="Q1202" s="4">
        <f t="shared" si="309"/>
        <v>30</v>
      </c>
      <c r="R1202" s="4">
        <f t="shared" si="310"/>
        <v>56</v>
      </c>
      <c r="S1202" s="102">
        <f t="shared" si="311"/>
        <v>12</v>
      </c>
      <c r="U1202" s="101">
        <f t="shared" si="312"/>
        <v>78</v>
      </c>
      <c r="V1202" s="4">
        <f t="shared" si="313"/>
        <v>41</v>
      </c>
      <c r="W1202" s="4">
        <f t="shared" si="314"/>
        <v>71</v>
      </c>
      <c r="X1202" s="4">
        <f t="shared" si="315"/>
        <v>78</v>
      </c>
      <c r="Y1202" s="4">
        <f t="shared" si="316"/>
        <v>39</v>
      </c>
      <c r="Z1202" s="4">
        <f t="shared" si="317"/>
        <v>78</v>
      </c>
      <c r="AA1202" s="102">
        <f t="shared" si="318"/>
        <v>9</v>
      </c>
      <c r="AC1202" s="100">
        <f t="shared" si="319"/>
        <v>0.98937726106300594</v>
      </c>
    </row>
    <row r="1203" spans="4:29" x14ac:dyDescent="0.35">
      <c r="D1203">
        <f t="shared" si="320"/>
        <v>1199</v>
      </c>
      <c r="E1203" s="101">
        <v>6</v>
      </c>
      <c r="F1203" s="4">
        <v>3</v>
      </c>
      <c r="G1203" s="4">
        <v>2</v>
      </c>
      <c r="H1203" s="4">
        <v>6</v>
      </c>
      <c r="I1203" s="4">
        <v>3</v>
      </c>
      <c r="J1203" s="4">
        <v>2</v>
      </c>
      <c r="K1203" s="102">
        <v>4</v>
      </c>
      <c r="M1203" s="101">
        <f t="shared" si="305"/>
        <v>45</v>
      </c>
      <c r="N1203" s="4">
        <f t="shared" si="306"/>
        <v>23</v>
      </c>
      <c r="O1203" s="4">
        <f t="shared" si="307"/>
        <v>56</v>
      </c>
      <c r="P1203" s="4">
        <f t="shared" si="308"/>
        <v>45</v>
      </c>
      <c r="Q1203" s="4">
        <f t="shared" si="309"/>
        <v>23</v>
      </c>
      <c r="R1203" s="4">
        <f t="shared" si="310"/>
        <v>56</v>
      </c>
      <c r="S1203" s="102">
        <f t="shared" si="311"/>
        <v>12</v>
      </c>
      <c r="U1203" s="101">
        <f t="shared" si="312"/>
        <v>71</v>
      </c>
      <c r="V1203" s="4">
        <f t="shared" si="313"/>
        <v>39</v>
      </c>
      <c r="W1203" s="4">
        <f t="shared" si="314"/>
        <v>78</v>
      </c>
      <c r="X1203" s="4">
        <f t="shared" si="315"/>
        <v>71</v>
      </c>
      <c r="Y1203" s="4">
        <f t="shared" si="316"/>
        <v>39</v>
      </c>
      <c r="Z1203" s="4">
        <f t="shared" si="317"/>
        <v>78</v>
      </c>
      <c r="AA1203" s="102">
        <f t="shared" si="318"/>
        <v>9</v>
      </c>
      <c r="AC1203" s="100">
        <f t="shared" si="319"/>
        <v>0.97446805346555998</v>
      </c>
    </row>
    <row r="1204" spans="4:29" x14ac:dyDescent="0.35">
      <c r="D1204">
        <f t="shared" si="320"/>
        <v>1200</v>
      </c>
      <c r="E1204" s="101">
        <v>2</v>
      </c>
      <c r="F1204" s="4">
        <v>6</v>
      </c>
      <c r="G1204" s="4">
        <v>6</v>
      </c>
      <c r="H1204" s="4">
        <v>7</v>
      </c>
      <c r="I1204" s="4">
        <v>7</v>
      </c>
      <c r="J1204" s="4">
        <v>3</v>
      </c>
      <c r="K1204" s="102">
        <v>1</v>
      </c>
      <c r="M1204" s="101">
        <f t="shared" si="305"/>
        <v>56</v>
      </c>
      <c r="N1204" s="4">
        <f t="shared" si="306"/>
        <v>45</v>
      </c>
      <c r="O1204" s="4">
        <f t="shared" si="307"/>
        <v>45</v>
      </c>
      <c r="P1204" s="4">
        <f t="shared" si="308"/>
        <v>29</v>
      </c>
      <c r="Q1204" s="4">
        <f t="shared" si="309"/>
        <v>29</v>
      </c>
      <c r="R1204" s="4">
        <f t="shared" si="310"/>
        <v>23</v>
      </c>
      <c r="S1204" s="102">
        <f t="shared" si="311"/>
        <v>34</v>
      </c>
      <c r="U1204" s="101">
        <f t="shared" si="312"/>
        <v>78</v>
      </c>
      <c r="V1204" s="4">
        <f t="shared" si="313"/>
        <v>71</v>
      </c>
      <c r="W1204" s="4">
        <f t="shared" si="314"/>
        <v>71</v>
      </c>
      <c r="X1204" s="4">
        <f t="shared" si="315"/>
        <v>41</v>
      </c>
      <c r="Y1204" s="4">
        <f t="shared" si="316"/>
        <v>41</v>
      </c>
      <c r="Z1204" s="4">
        <f t="shared" si="317"/>
        <v>39</v>
      </c>
      <c r="AA1204" s="102">
        <f t="shared" si="318"/>
        <v>46</v>
      </c>
      <c r="AC1204" s="100">
        <f t="shared" si="319"/>
        <v>0.96834228722097015</v>
      </c>
    </row>
    <row r="1205" spans="4:29" x14ac:dyDescent="0.35">
      <c r="D1205">
        <f t="shared" si="320"/>
        <v>1201</v>
      </c>
      <c r="E1205" s="101">
        <v>2</v>
      </c>
      <c r="F1205" s="4">
        <v>2</v>
      </c>
      <c r="G1205" s="4">
        <v>2</v>
      </c>
      <c r="H1205" s="4">
        <v>2</v>
      </c>
      <c r="I1205" s="4">
        <v>2</v>
      </c>
      <c r="J1205" s="4">
        <v>5</v>
      </c>
      <c r="K1205" s="102">
        <v>2</v>
      </c>
      <c r="M1205" s="101">
        <f t="shared" si="305"/>
        <v>56</v>
      </c>
      <c r="N1205" s="4">
        <f t="shared" si="306"/>
        <v>56</v>
      </c>
      <c r="O1205" s="4">
        <f t="shared" si="307"/>
        <v>56</v>
      </c>
      <c r="P1205" s="4">
        <f t="shared" si="308"/>
        <v>56</v>
      </c>
      <c r="Q1205" s="4">
        <f t="shared" si="309"/>
        <v>56</v>
      </c>
      <c r="R1205" s="4">
        <f t="shared" si="310"/>
        <v>30</v>
      </c>
      <c r="S1205" s="102">
        <f t="shared" si="311"/>
        <v>56</v>
      </c>
      <c r="U1205" s="101">
        <f t="shared" si="312"/>
        <v>78</v>
      </c>
      <c r="V1205" s="4">
        <f t="shared" si="313"/>
        <v>78</v>
      </c>
      <c r="W1205" s="4">
        <f t="shared" si="314"/>
        <v>78</v>
      </c>
      <c r="X1205" s="4">
        <f t="shared" si="315"/>
        <v>78</v>
      </c>
      <c r="Y1205" s="4">
        <f t="shared" si="316"/>
        <v>78</v>
      </c>
      <c r="Z1205" s="4">
        <f t="shared" si="317"/>
        <v>39</v>
      </c>
      <c r="AA1205" s="102">
        <f t="shared" si="318"/>
        <v>78</v>
      </c>
      <c r="AC1205" s="100">
        <f t="shared" si="319"/>
        <v>1</v>
      </c>
    </row>
    <row r="1206" spans="4:29" x14ac:dyDescent="0.35">
      <c r="D1206">
        <f t="shared" si="320"/>
        <v>1202</v>
      </c>
      <c r="E1206" s="101">
        <v>2</v>
      </c>
      <c r="F1206" s="4">
        <v>1</v>
      </c>
      <c r="G1206" s="4">
        <v>2</v>
      </c>
      <c r="H1206" s="4">
        <v>4</v>
      </c>
      <c r="I1206" s="4">
        <v>6</v>
      </c>
      <c r="J1206" s="4">
        <v>1</v>
      </c>
      <c r="K1206" s="102">
        <v>7</v>
      </c>
      <c r="M1206" s="101">
        <f t="shared" si="305"/>
        <v>56</v>
      </c>
      <c r="N1206" s="4">
        <f t="shared" si="306"/>
        <v>34</v>
      </c>
      <c r="O1206" s="4">
        <f t="shared" si="307"/>
        <v>56</v>
      </c>
      <c r="P1206" s="4">
        <f t="shared" si="308"/>
        <v>12</v>
      </c>
      <c r="Q1206" s="4">
        <f t="shared" si="309"/>
        <v>45</v>
      </c>
      <c r="R1206" s="4">
        <f t="shared" si="310"/>
        <v>34</v>
      </c>
      <c r="S1206" s="102">
        <f t="shared" si="311"/>
        <v>29</v>
      </c>
      <c r="U1206" s="101">
        <f t="shared" si="312"/>
        <v>78</v>
      </c>
      <c r="V1206" s="4">
        <f t="shared" si="313"/>
        <v>46</v>
      </c>
      <c r="W1206" s="4">
        <f t="shared" si="314"/>
        <v>78</v>
      </c>
      <c r="X1206" s="4">
        <f t="shared" si="315"/>
        <v>9</v>
      </c>
      <c r="Y1206" s="4">
        <f t="shared" si="316"/>
        <v>71</v>
      </c>
      <c r="Z1206" s="4">
        <f t="shared" si="317"/>
        <v>46</v>
      </c>
      <c r="AA1206" s="102">
        <f t="shared" si="318"/>
        <v>41</v>
      </c>
      <c r="AC1206" s="100">
        <f t="shared" si="319"/>
        <v>0.98853740275842916</v>
      </c>
    </row>
    <row r="1207" spans="4:29" x14ac:dyDescent="0.35">
      <c r="D1207">
        <f t="shared" si="320"/>
        <v>1203</v>
      </c>
      <c r="E1207" s="101">
        <v>7</v>
      </c>
      <c r="F1207" s="4">
        <v>5</v>
      </c>
      <c r="G1207" s="4">
        <v>3</v>
      </c>
      <c r="H1207" s="4">
        <v>6</v>
      </c>
      <c r="I1207" s="4">
        <v>3</v>
      </c>
      <c r="J1207" s="4">
        <v>5</v>
      </c>
      <c r="K1207" s="102">
        <v>2</v>
      </c>
      <c r="M1207" s="101">
        <f t="shared" si="305"/>
        <v>29</v>
      </c>
      <c r="N1207" s="4">
        <f t="shared" si="306"/>
        <v>30</v>
      </c>
      <c r="O1207" s="4">
        <f t="shared" si="307"/>
        <v>23</v>
      </c>
      <c r="P1207" s="4">
        <f t="shared" si="308"/>
        <v>45</v>
      </c>
      <c r="Q1207" s="4">
        <f t="shared" si="309"/>
        <v>23</v>
      </c>
      <c r="R1207" s="4">
        <f t="shared" si="310"/>
        <v>30</v>
      </c>
      <c r="S1207" s="102">
        <f t="shared" si="311"/>
        <v>56</v>
      </c>
      <c r="U1207" s="101">
        <f t="shared" si="312"/>
        <v>41</v>
      </c>
      <c r="V1207" s="4">
        <f t="shared" si="313"/>
        <v>39</v>
      </c>
      <c r="W1207" s="4">
        <f t="shared" si="314"/>
        <v>39</v>
      </c>
      <c r="X1207" s="4">
        <f t="shared" si="315"/>
        <v>71</v>
      </c>
      <c r="Y1207" s="4">
        <f t="shared" si="316"/>
        <v>39</v>
      </c>
      <c r="Z1207" s="4">
        <f t="shared" si="317"/>
        <v>39</v>
      </c>
      <c r="AA1207" s="102">
        <f t="shared" si="318"/>
        <v>78</v>
      </c>
      <c r="AC1207" s="100">
        <f t="shared" si="319"/>
        <v>0.96065817426764832</v>
      </c>
    </row>
    <row r="1208" spans="4:29" x14ac:dyDescent="0.35">
      <c r="D1208">
        <f t="shared" si="320"/>
        <v>1204</v>
      </c>
      <c r="E1208" s="101">
        <v>2</v>
      </c>
      <c r="F1208" s="4">
        <v>5</v>
      </c>
      <c r="G1208" s="4">
        <v>4</v>
      </c>
      <c r="H1208" s="4">
        <v>7</v>
      </c>
      <c r="I1208" s="4">
        <v>4</v>
      </c>
      <c r="J1208" s="4">
        <v>7</v>
      </c>
      <c r="K1208" s="102">
        <v>7</v>
      </c>
      <c r="M1208" s="101">
        <f t="shared" si="305"/>
        <v>56</v>
      </c>
      <c r="N1208" s="4">
        <f t="shared" si="306"/>
        <v>30</v>
      </c>
      <c r="O1208" s="4">
        <f t="shared" si="307"/>
        <v>12</v>
      </c>
      <c r="P1208" s="4">
        <f t="shared" si="308"/>
        <v>29</v>
      </c>
      <c r="Q1208" s="4">
        <f t="shared" si="309"/>
        <v>12</v>
      </c>
      <c r="R1208" s="4">
        <f t="shared" si="310"/>
        <v>29</v>
      </c>
      <c r="S1208" s="102">
        <f t="shared" si="311"/>
        <v>29</v>
      </c>
      <c r="U1208" s="101">
        <f t="shared" si="312"/>
        <v>78</v>
      </c>
      <c r="V1208" s="4">
        <f t="shared" si="313"/>
        <v>39</v>
      </c>
      <c r="W1208" s="4">
        <f t="shared" si="314"/>
        <v>9</v>
      </c>
      <c r="X1208" s="4">
        <f t="shared" si="315"/>
        <v>41</v>
      </c>
      <c r="Y1208" s="4">
        <f t="shared" si="316"/>
        <v>9</v>
      </c>
      <c r="Z1208" s="4">
        <f t="shared" si="317"/>
        <v>41</v>
      </c>
      <c r="AA1208" s="102">
        <f t="shared" si="318"/>
        <v>41</v>
      </c>
      <c r="AC1208" s="100">
        <f t="shared" si="319"/>
        <v>0.99342611664580527</v>
      </c>
    </row>
    <row r="1209" spans="4:29" x14ac:dyDescent="0.35">
      <c r="D1209">
        <f t="shared" si="320"/>
        <v>1205</v>
      </c>
      <c r="E1209" s="101">
        <v>4</v>
      </c>
      <c r="F1209" s="4">
        <v>7</v>
      </c>
      <c r="G1209" s="4">
        <v>6</v>
      </c>
      <c r="H1209" s="4">
        <v>1</v>
      </c>
      <c r="I1209" s="4">
        <v>1</v>
      </c>
      <c r="J1209" s="4">
        <v>6</v>
      </c>
      <c r="K1209" s="102">
        <v>1</v>
      </c>
      <c r="M1209" s="101">
        <f t="shared" si="305"/>
        <v>12</v>
      </c>
      <c r="N1209" s="4">
        <f t="shared" si="306"/>
        <v>29</v>
      </c>
      <c r="O1209" s="4">
        <f t="shared" si="307"/>
        <v>45</v>
      </c>
      <c r="P1209" s="4">
        <f t="shared" si="308"/>
        <v>34</v>
      </c>
      <c r="Q1209" s="4">
        <f t="shared" si="309"/>
        <v>34</v>
      </c>
      <c r="R1209" s="4">
        <f t="shared" si="310"/>
        <v>45</v>
      </c>
      <c r="S1209" s="102">
        <f t="shared" si="311"/>
        <v>34</v>
      </c>
      <c r="U1209" s="101">
        <f t="shared" si="312"/>
        <v>9</v>
      </c>
      <c r="V1209" s="4">
        <f t="shared" si="313"/>
        <v>41</v>
      </c>
      <c r="W1209" s="4">
        <f t="shared" si="314"/>
        <v>71</v>
      </c>
      <c r="X1209" s="4">
        <f t="shared" si="315"/>
        <v>46</v>
      </c>
      <c r="Y1209" s="4">
        <f t="shared" si="316"/>
        <v>46</v>
      </c>
      <c r="Z1209" s="4">
        <f t="shared" si="317"/>
        <v>71</v>
      </c>
      <c r="AA1209" s="102">
        <f t="shared" si="318"/>
        <v>46</v>
      </c>
      <c r="AC1209" s="100">
        <f t="shared" si="319"/>
        <v>0.99385234065803396</v>
      </c>
    </row>
    <row r="1210" spans="4:29" x14ac:dyDescent="0.35">
      <c r="D1210">
        <f t="shared" si="320"/>
        <v>1206</v>
      </c>
      <c r="E1210" s="101">
        <v>5</v>
      </c>
      <c r="F1210" s="4">
        <v>2</v>
      </c>
      <c r="G1210" s="4">
        <v>3</v>
      </c>
      <c r="H1210" s="4">
        <v>3</v>
      </c>
      <c r="I1210" s="4">
        <v>2</v>
      </c>
      <c r="J1210" s="4">
        <v>4</v>
      </c>
      <c r="K1210" s="102">
        <v>7</v>
      </c>
      <c r="M1210" s="101">
        <f t="shared" si="305"/>
        <v>30</v>
      </c>
      <c r="N1210" s="4">
        <f t="shared" si="306"/>
        <v>56</v>
      </c>
      <c r="O1210" s="4">
        <f t="shared" si="307"/>
        <v>23</v>
      </c>
      <c r="P1210" s="4">
        <f t="shared" si="308"/>
        <v>23</v>
      </c>
      <c r="Q1210" s="4">
        <f t="shared" si="309"/>
        <v>56</v>
      </c>
      <c r="R1210" s="4">
        <f t="shared" si="310"/>
        <v>12</v>
      </c>
      <c r="S1210" s="102">
        <f t="shared" si="311"/>
        <v>29</v>
      </c>
      <c r="U1210" s="101">
        <f t="shared" si="312"/>
        <v>39</v>
      </c>
      <c r="V1210" s="4">
        <f t="shared" si="313"/>
        <v>78</v>
      </c>
      <c r="W1210" s="4">
        <f t="shared" si="314"/>
        <v>39</v>
      </c>
      <c r="X1210" s="4">
        <f t="shared" si="315"/>
        <v>39</v>
      </c>
      <c r="Y1210" s="4">
        <f t="shared" si="316"/>
        <v>78</v>
      </c>
      <c r="Z1210" s="4">
        <f t="shared" si="317"/>
        <v>9</v>
      </c>
      <c r="AA1210" s="102">
        <f t="shared" si="318"/>
        <v>41</v>
      </c>
      <c r="AC1210" s="100">
        <f t="shared" si="319"/>
        <v>0.97719807806897696</v>
      </c>
    </row>
    <row r="1211" spans="4:29" x14ac:dyDescent="0.35">
      <c r="D1211">
        <f t="shared" si="320"/>
        <v>1207</v>
      </c>
      <c r="E1211" s="101">
        <v>3</v>
      </c>
      <c r="F1211" s="4">
        <v>5</v>
      </c>
      <c r="G1211" s="4">
        <v>7</v>
      </c>
      <c r="H1211" s="4">
        <v>6</v>
      </c>
      <c r="I1211" s="4">
        <v>1</v>
      </c>
      <c r="J1211" s="4">
        <v>4</v>
      </c>
      <c r="K1211" s="102">
        <v>3</v>
      </c>
      <c r="M1211" s="101">
        <f t="shared" si="305"/>
        <v>23</v>
      </c>
      <c r="N1211" s="4">
        <f t="shared" si="306"/>
        <v>30</v>
      </c>
      <c r="O1211" s="4">
        <f t="shared" si="307"/>
        <v>29</v>
      </c>
      <c r="P1211" s="4">
        <f t="shared" si="308"/>
        <v>45</v>
      </c>
      <c r="Q1211" s="4">
        <f t="shared" si="309"/>
        <v>34</v>
      </c>
      <c r="R1211" s="4">
        <f t="shared" si="310"/>
        <v>12</v>
      </c>
      <c r="S1211" s="102">
        <f t="shared" si="311"/>
        <v>23</v>
      </c>
      <c r="U1211" s="101">
        <f t="shared" si="312"/>
        <v>39</v>
      </c>
      <c r="V1211" s="4">
        <f t="shared" si="313"/>
        <v>39</v>
      </c>
      <c r="W1211" s="4">
        <f t="shared" si="314"/>
        <v>41</v>
      </c>
      <c r="X1211" s="4">
        <f t="shared" si="315"/>
        <v>71</v>
      </c>
      <c r="Y1211" s="4">
        <f t="shared" si="316"/>
        <v>46</v>
      </c>
      <c r="Z1211" s="4">
        <f t="shared" si="317"/>
        <v>9</v>
      </c>
      <c r="AA1211" s="102">
        <f t="shared" si="318"/>
        <v>39</v>
      </c>
      <c r="AC1211" s="100">
        <f t="shared" si="319"/>
        <v>0.95663510890125902</v>
      </c>
    </row>
    <row r="1212" spans="4:29" x14ac:dyDescent="0.35">
      <c r="D1212">
        <f t="shared" si="320"/>
        <v>1208</v>
      </c>
      <c r="E1212" s="101">
        <v>5</v>
      </c>
      <c r="F1212" s="4">
        <v>5</v>
      </c>
      <c r="G1212" s="4">
        <v>3</v>
      </c>
      <c r="H1212" s="4">
        <v>1</v>
      </c>
      <c r="I1212" s="4">
        <v>7</v>
      </c>
      <c r="J1212" s="4">
        <v>3</v>
      </c>
      <c r="K1212" s="102">
        <v>2</v>
      </c>
      <c r="M1212" s="101">
        <f t="shared" si="305"/>
        <v>30</v>
      </c>
      <c r="N1212" s="4">
        <f t="shared" si="306"/>
        <v>30</v>
      </c>
      <c r="O1212" s="4">
        <f t="shared" si="307"/>
        <v>23</v>
      </c>
      <c r="P1212" s="4">
        <f t="shared" si="308"/>
        <v>34</v>
      </c>
      <c r="Q1212" s="4">
        <f t="shared" si="309"/>
        <v>29</v>
      </c>
      <c r="R1212" s="4">
        <f t="shared" si="310"/>
        <v>23</v>
      </c>
      <c r="S1212" s="102">
        <f t="shared" si="311"/>
        <v>56</v>
      </c>
      <c r="U1212" s="101">
        <f t="shared" si="312"/>
        <v>39</v>
      </c>
      <c r="V1212" s="4">
        <f t="shared" si="313"/>
        <v>39</v>
      </c>
      <c r="W1212" s="4">
        <f t="shared" si="314"/>
        <v>39</v>
      </c>
      <c r="X1212" s="4">
        <f t="shared" si="315"/>
        <v>46</v>
      </c>
      <c r="Y1212" s="4">
        <f t="shared" si="316"/>
        <v>41</v>
      </c>
      <c r="Z1212" s="4">
        <f t="shared" si="317"/>
        <v>39</v>
      </c>
      <c r="AA1212" s="102">
        <f t="shared" si="318"/>
        <v>78</v>
      </c>
      <c r="AC1212" s="100">
        <f t="shared" si="319"/>
        <v>0.96419756060786421</v>
      </c>
    </row>
    <row r="1213" spans="4:29" x14ac:dyDescent="0.35">
      <c r="D1213">
        <f t="shared" si="320"/>
        <v>1209</v>
      </c>
      <c r="E1213" s="101">
        <v>5</v>
      </c>
      <c r="F1213" s="4">
        <v>6</v>
      </c>
      <c r="G1213" s="4">
        <v>1</v>
      </c>
      <c r="H1213" s="4">
        <v>3</v>
      </c>
      <c r="I1213" s="4">
        <v>7</v>
      </c>
      <c r="J1213" s="4">
        <v>3</v>
      </c>
      <c r="K1213" s="102">
        <v>7</v>
      </c>
      <c r="M1213" s="101">
        <f t="shared" si="305"/>
        <v>30</v>
      </c>
      <c r="N1213" s="4">
        <f t="shared" si="306"/>
        <v>45</v>
      </c>
      <c r="O1213" s="4">
        <f t="shared" si="307"/>
        <v>34</v>
      </c>
      <c r="P1213" s="4">
        <f t="shared" si="308"/>
        <v>23</v>
      </c>
      <c r="Q1213" s="4">
        <f t="shared" si="309"/>
        <v>29</v>
      </c>
      <c r="R1213" s="4">
        <f t="shared" si="310"/>
        <v>23</v>
      </c>
      <c r="S1213" s="102">
        <f t="shared" si="311"/>
        <v>29</v>
      </c>
      <c r="U1213" s="101">
        <f t="shared" si="312"/>
        <v>39</v>
      </c>
      <c r="V1213" s="4">
        <f t="shared" si="313"/>
        <v>71</v>
      </c>
      <c r="W1213" s="4">
        <f t="shared" si="314"/>
        <v>46</v>
      </c>
      <c r="X1213" s="4">
        <f t="shared" si="315"/>
        <v>39</v>
      </c>
      <c r="Y1213" s="4">
        <f t="shared" si="316"/>
        <v>41</v>
      </c>
      <c r="Z1213" s="4">
        <f t="shared" si="317"/>
        <v>39</v>
      </c>
      <c r="AA1213" s="102">
        <f t="shared" si="318"/>
        <v>41</v>
      </c>
      <c r="AC1213" s="100">
        <f t="shared" si="319"/>
        <v>0.92177126178929381</v>
      </c>
    </row>
    <row r="1214" spans="4:29" x14ac:dyDescent="0.35">
      <c r="D1214">
        <f t="shared" si="320"/>
        <v>1210</v>
      </c>
      <c r="E1214" s="101">
        <v>1</v>
      </c>
      <c r="F1214" s="4">
        <v>1</v>
      </c>
      <c r="G1214" s="4">
        <v>6</v>
      </c>
      <c r="H1214" s="4">
        <v>3</v>
      </c>
      <c r="I1214" s="4">
        <v>6</v>
      </c>
      <c r="J1214" s="4">
        <v>2</v>
      </c>
      <c r="K1214" s="102">
        <v>7</v>
      </c>
      <c r="M1214" s="101">
        <f t="shared" si="305"/>
        <v>34</v>
      </c>
      <c r="N1214" s="4">
        <f t="shared" si="306"/>
        <v>34</v>
      </c>
      <c r="O1214" s="4">
        <f t="shared" si="307"/>
        <v>45</v>
      </c>
      <c r="P1214" s="4">
        <f t="shared" si="308"/>
        <v>23</v>
      </c>
      <c r="Q1214" s="4">
        <f t="shared" si="309"/>
        <v>45</v>
      </c>
      <c r="R1214" s="4">
        <f t="shared" si="310"/>
        <v>56</v>
      </c>
      <c r="S1214" s="102">
        <f t="shared" si="311"/>
        <v>29</v>
      </c>
      <c r="U1214" s="101">
        <f t="shared" si="312"/>
        <v>46</v>
      </c>
      <c r="V1214" s="4">
        <f t="shared" si="313"/>
        <v>46</v>
      </c>
      <c r="W1214" s="4">
        <f t="shared" si="314"/>
        <v>71</v>
      </c>
      <c r="X1214" s="4">
        <f t="shared" si="315"/>
        <v>39</v>
      </c>
      <c r="Y1214" s="4">
        <f t="shared" si="316"/>
        <v>71</v>
      </c>
      <c r="Z1214" s="4">
        <f t="shared" si="317"/>
        <v>78</v>
      </c>
      <c r="AA1214" s="102">
        <f t="shared" si="318"/>
        <v>41</v>
      </c>
      <c r="AC1214" s="100">
        <f t="shared" si="319"/>
        <v>0.96145037134318745</v>
      </c>
    </row>
    <row r="1215" spans="4:29" x14ac:dyDescent="0.35">
      <c r="D1215">
        <f t="shared" si="320"/>
        <v>1211</v>
      </c>
      <c r="E1215" s="101">
        <v>6</v>
      </c>
      <c r="F1215" s="4">
        <v>2</v>
      </c>
      <c r="G1215" s="4">
        <v>2</v>
      </c>
      <c r="H1215" s="4">
        <v>7</v>
      </c>
      <c r="I1215" s="4">
        <v>5</v>
      </c>
      <c r="J1215" s="4">
        <v>5</v>
      </c>
      <c r="K1215" s="102">
        <v>3</v>
      </c>
      <c r="M1215" s="101">
        <f t="shared" si="305"/>
        <v>45</v>
      </c>
      <c r="N1215" s="4">
        <f t="shared" si="306"/>
        <v>56</v>
      </c>
      <c r="O1215" s="4">
        <f t="shared" si="307"/>
        <v>56</v>
      </c>
      <c r="P1215" s="4">
        <f t="shared" si="308"/>
        <v>29</v>
      </c>
      <c r="Q1215" s="4">
        <f t="shared" si="309"/>
        <v>30</v>
      </c>
      <c r="R1215" s="4">
        <f t="shared" si="310"/>
        <v>30</v>
      </c>
      <c r="S1215" s="102">
        <f t="shared" si="311"/>
        <v>23</v>
      </c>
      <c r="U1215" s="101">
        <f t="shared" si="312"/>
        <v>71</v>
      </c>
      <c r="V1215" s="4">
        <f t="shared" si="313"/>
        <v>78</v>
      </c>
      <c r="W1215" s="4">
        <f t="shared" si="314"/>
        <v>78</v>
      </c>
      <c r="X1215" s="4">
        <f t="shared" si="315"/>
        <v>41</v>
      </c>
      <c r="Y1215" s="4">
        <f t="shared" si="316"/>
        <v>39</v>
      </c>
      <c r="Z1215" s="4">
        <f t="shared" si="317"/>
        <v>39</v>
      </c>
      <c r="AA1215" s="102">
        <f t="shared" si="318"/>
        <v>39</v>
      </c>
      <c r="AC1215" s="100">
        <f t="shared" si="319"/>
        <v>0.97368809345098906</v>
      </c>
    </row>
    <row r="1216" spans="4:29" x14ac:dyDescent="0.35">
      <c r="D1216">
        <f t="shared" si="320"/>
        <v>1212</v>
      </c>
      <c r="E1216" s="101">
        <v>1</v>
      </c>
      <c r="F1216" s="4">
        <v>3</v>
      </c>
      <c r="G1216" s="4">
        <v>5</v>
      </c>
      <c r="H1216" s="4">
        <v>5</v>
      </c>
      <c r="I1216" s="4">
        <v>5</v>
      </c>
      <c r="J1216" s="4">
        <v>1</v>
      </c>
      <c r="K1216" s="102">
        <v>4</v>
      </c>
      <c r="M1216" s="101">
        <f t="shared" si="305"/>
        <v>34</v>
      </c>
      <c r="N1216" s="4">
        <f t="shared" si="306"/>
        <v>23</v>
      </c>
      <c r="O1216" s="4">
        <f t="shared" si="307"/>
        <v>30</v>
      </c>
      <c r="P1216" s="4">
        <f t="shared" si="308"/>
        <v>30</v>
      </c>
      <c r="Q1216" s="4">
        <f t="shared" si="309"/>
        <v>30</v>
      </c>
      <c r="R1216" s="4">
        <f t="shared" si="310"/>
        <v>34</v>
      </c>
      <c r="S1216" s="102">
        <f t="shared" si="311"/>
        <v>12</v>
      </c>
      <c r="U1216" s="101">
        <f t="shared" si="312"/>
        <v>46</v>
      </c>
      <c r="V1216" s="4">
        <f t="shared" si="313"/>
        <v>39</v>
      </c>
      <c r="W1216" s="4">
        <f t="shared" si="314"/>
        <v>39</v>
      </c>
      <c r="X1216" s="4">
        <f t="shared" si="315"/>
        <v>39</v>
      </c>
      <c r="Y1216" s="4">
        <f t="shared" si="316"/>
        <v>39</v>
      </c>
      <c r="Z1216" s="4">
        <f t="shared" si="317"/>
        <v>46</v>
      </c>
      <c r="AA1216" s="102">
        <f t="shared" si="318"/>
        <v>9</v>
      </c>
      <c r="AC1216" s="100">
        <f t="shared" si="319"/>
        <v>0.94216697077416245</v>
      </c>
    </row>
    <row r="1217" spans="4:29" x14ac:dyDescent="0.35">
      <c r="D1217">
        <f t="shared" si="320"/>
        <v>1213</v>
      </c>
      <c r="E1217" s="101">
        <v>5</v>
      </c>
      <c r="F1217" s="4">
        <v>7</v>
      </c>
      <c r="G1217" s="4">
        <v>4</v>
      </c>
      <c r="H1217" s="4">
        <v>1</v>
      </c>
      <c r="I1217" s="4">
        <v>5</v>
      </c>
      <c r="J1217" s="4">
        <v>5</v>
      </c>
      <c r="K1217" s="102">
        <v>7</v>
      </c>
      <c r="M1217" s="101">
        <f t="shared" si="305"/>
        <v>30</v>
      </c>
      <c r="N1217" s="4">
        <f t="shared" si="306"/>
        <v>29</v>
      </c>
      <c r="O1217" s="4">
        <f t="shared" si="307"/>
        <v>12</v>
      </c>
      <c r="P1217" s="4">
        <f t="shared" si="308"/>
        <v>34</v>
      </c>
      <c r="Q1217" s="4">
        <f t="shared" si="309"/>
        <v>30</v>
      </c>
      <c r="R1217" s="4">
        <f t="shared" si="310"/>
        <v>30</v>
      </c>
      <c r="S1217" s="102">
        <f t="shared" si="311"/>
        <v>29</v>
      </c>
      <c r="U1217" s="101">
        <f t="shared" si="312"/>
        <v>39</v>
      </c>
      <c r="V1217" s="4">
        <f t="shared" si="313"/>
        <v>41</v>
      </c>
      <c r="W1217" s="4">
        <f t="shared" si="314"/>
        <v>9</v>
      </c>
      <c r="X1217" s="4">
        <f t="shared" si="315"/>
        <v>46</v>
      </c>
      <c r="Y1217" s="4">
        <f t="shared" si="316"/>
        <v>39</v>
      </c>
      <c r="Z1217" s="4">
        <f t="shared" si="317"/>
        <v>39</v>
      </c>
      <c r="AA1217" s="102">
        <f t="shared" si="318"/>
        <v>41</v>
      </c>
      <c r="AC1217" s="100">
        <f t="shared" si="319"/>
        <v>0.98991612908516047</v>
      </c>
    </row>
    <row r="1218" spans="4:29" x14ac:dyDescent="0.35">
      <c r="D1218">
        <f t="shared" si="320"/>
        <v>1214</v>
      </c>
      <c r="E1218" s="101">
        <v>6</v>
      </c>
      <c r="F1218" s="4">
        <v>1</v>
      </c>
      <c r="G1218" s="4">
        <v>7</v>
      </c>
      <c r="H1218" s="4">
        <v>4</v>
      </c>
      <c r="I1218" s="4">
        <v>1</v>
      </c>
      <c r="J1218" s="4">
        <v>2</v>
      </c>
      <c r="K1218" s="102">
        <v>3</v>
      </c>
      <c r="M1218" s="101">
        <f t="shared" si="305"/>
        <v>45</v>
      </c>
      <c r="N1218" s="4">
        <f t="shared" si="306"/>
        <v>34</v>
      </c>
      <c r="O1218" s="4">
        <f t="shared" si="307"/>
        <v>29</v>
      </c>
      <c r="P1218" s="4">
        <f t="shared" si="308"/>
        <v>12</v>
      </c>
      <c r="Q1218" s="4">
        <f t="shared" si="309"/>
        <v>34</v>
      </c>
      <c r="R1218" s="4">
        <f t="shared" si="310"/>
        <v>56</v>
      </c>
      <c r="S1218" s="102">
        <f t="shared" si="311"/>
        <v>23</v>
      </c>
      <c r="U1218" s="101">
        <f t="shared" si="312"/>
        <v>71</v>
      </c>
      <c r="V1218" s="4">
        <f t="shared" si="313"/>
        <v>46</v>
      </c>
      <c r="W1218" s="4">
        <f t="shared" si="314"/>
        <v>41</v>
      </c>
      <c r="X1218" s="4">
        <f t="shared" si="315"/>
        <v>9</v>
      </c>
      <c r="Y1218" s="4">
        <f t="shared" si="316"/>
        <v>46</v>
      </c>
      <c r="Z1218" s="4">
        <f t="shared" si="317"/>
        <v>78</v>
      </c>
      <c r="AA1218" s="102">
        <f t="shared" si="318"/>
        <v>39</v>
      </c>
      <c r="AC1218" s="100">
        <f t="shared" si="319"/>
        <v>0.97551853574507985</v>
      </c>
    </row>
    <row r="1219" spans="4:29" x14ac:dyDescent="0.35">
      <c r="D1219">
        <f t="shared" si="320"/>
        <v>1215</v>
      </c>
      <c r="E1219" s="101">
        <v>2</v>
      </c>
      <c r="F1219" s="4">
        <v>1</v>
      </c>
      <c r="G1219" s="4">
        <v>7</v>
      </c>
      <c r="H1219" s="4">
        <v>5</v>
      </c>
      <c r="I1219" s="4">
        <v>4</v>
      </c>
      <c r="J1219" s="4">
        <v>1</v>
      </c>
      <c r="K1219" s="102">
        <v>2</v>
      </c>
      <c r="M1219" s="101">
        <f t="shared" si="305"/>
        <v>56</v>
      </c>
      <c r="N1219" s="4">
        <f t="shared" si="306"/>
        <v>34</v>
      </c>
      <c r="O1219" s="4">
        <f t="shared" si="307"/>
        <v>29</v>
      </c>
      <c r="P1219" s="4">
        <f t="shared" si="308"/>
        <v>30</v>
      </c>
      <c r="Q1219" s="4">
        <f t="shared" si="309"/>
        <v>12</v>
      </c>
      <c r="R1219" s="4">
        <f t="shared" si="310"/>
        <v>34</v>
      </c>
      <c r="S1219" s="102">
        <f t="shared" si="311"/>
        <v>56</v>
      </c>
      <c r="U1219" s="101">
        <f t="shared" si="312"/>
        <v>78</v>
      </c>
      <c r="V1219" s="4">
        <f t="shared" si="313"/>
        <v>46</v>
      </c>
      <c r="W1219" s="4">
        <f t="shared" si="314"/>
        <v>41</v>
      </c>
      <c r="X1219" s="4">
        <f t="shared" si="315"/>
        <v>39</v>
      </c>
      <c r="Y1219" s="4">
        <f t="shared" si="316"/>
        <v>9</v>
      </c>
      <c r="Z1219" s="4">
        <f t="shared" si="317"/>
        <v>46</v>
      </c>
      <c r="AA1219" s="102">
        <f t="shared" si="318"/>
        <v>78</v>
      </c>
      <c r="AC1219" s="100">
        <f t="shared" si="319"/>
        <v>0.99695278345642169</v>
      </c>
    </row>
    <row r="1220" spans="4:29" x14ac:dyDescent="0.35">
      <c r="D1220">
        <f t="shared" si="320"/>
        <v>1216</v>
      </c>
      <c r="E1220" s="101">
        <v>7</v>
      </c>
      <c r="F1220" s="4">
        <v>3</v>
      </c>
      <c r="G1220" s="4">
        <v>1</v>
      </c>
      <c r="H1220" s="4">
        <v>6</v>
      </c>
      <c r="I1220" s="4">
        <v>7</v>
      </c>
      <c r="J1220" s="4">
        <v>6</v>
      </c>
      <c r="K1220" s="102">
        <v>5</v>
      </c>
      <c r="M1220" s="101">
        <f t="shared" si="305"/>
        <v>29</v>
      </c>
      <c r="N1220" s="4">
        <f t="shared" si="306"/>
        <v>23</v>
      </c>
      <c r="O1220" s="4">
        <f t="shared" si="307"/>
        <v>34</v>
      </c>
      <c r="P1220" s="4">
        <f t="shared" si="308"/>
        <v>45</v>
      </c>
      <c r="Q1220" s="4">
        <f t="shared" si="309"/>
        <v>29</v>
      </c>
      <c r="R1220" s="4">
        <f t="shared" si="310"/>
        <v>45</v>
      </c>
      <c r="S1220" s="102">
        <f t="shared" si="311"/>
        <v>30</v>
      </c>
      <c r="U1220" s="101">
        <f t="shared" si="312"/>
        <v>41</v>
      </c>
      <c r="V1220" s="4">
        <f t="shared" si="313"/>
        <v>39</v>
      </c>
      <c r="W1220" s="4">
        <f t="shared" si="314"/>
        <v>46</v>
      </c>
      <c r="X1220" s="4">
        <f t="shared" si="315"/>
        <v>71</v>
      </c>
      <c r="Y1220" s="4">
        <f t="shared" si="316"/>
        <v>41</v>
      </c>
      <c r="Z1220" s="4">
        <f t="shared" si="317"/>
        <v>71</v>
      </c>
      <c r="AA1220" s="102">
        <f t="shared" si="318"/>
        <v>39</v>
      </c>
      <c r="AC1220" s="100">
        <f t="shared" si="319"/>
        <v>0.9598704415434699</v>
      </c>
    </row>
    <row r="1221" spans="4:29" x14ac:dyDescent="0.35">
      <c r="D1221">
        <f t="shared" si="320"/>
        <v>1217</v>
      </c>
      <c r="E1221" s="101">
        <v>3</v>
      </c>
      <c r="F1221" s="4">
        <v>2</v>
      </c>
      <c r="G1221" s="4">
        <v>5</v>
      </c>
      <c r="H1221" s="4">
        <v>1</v>
      </c>
      <c r="I1221" s="4">
        <v>7</v>
      </c>
      <c r="J1221" s="4">
        <v>4</v>
      </c>
      <c r="K1221" s="102">
        <v>4</v>
      </c>
      <c r="M1221" s="101">
        <f t="shared" si="305"/>
        <v>23</v>
      </c>
      <c r="N1221" s="4">
        <f t="shared" si="306"/>
        <v>56</v>
      </c>
      <c r="O1221" s="4">
        <f t="shared" si="307"/>
        <v>30</v>
      </c>
      <c r="P1221" s="4">
        <f t="shared" si="308"/>
        <v>34</v>
      </c>
      <c r="Q1221" s="4">
        <f t="shared" si="309"/>
        <v>29</v>
      </c>
      <c r="R1221" s="4">
        <f t="shared" si="310"/>
        <v>12</v>
      </c>
      <c r="S1221" s="102">
        <f t="shared" si="311"/>
        <v>12</v>
      </c>
      <c r="U1221" s="101">
        <f t="shared" si="312"/>
        <v>39</v>
      </c>
      <c r="V1221" s="4">
        <f t="shared" si="313"/>
        <v>78</v>
      </c>
      <c r="W1221" s="4">
        <f t="shared" si="314"/>
        <v>39</v>
      </c>
      <c r="X1221" s="4">
        <f t="shared" si="315"/>
        <v>46</v>
      </c>
      <c r="Y1221" s="4">
        <f t="shared" si="316"/>
        <v>41</v>
      </c>
      <c r="Z1221" s="4">
        <f t="shared" si="317"/>
        <v>9</v>
      </c>
      <c r="AA1221" s="102">
        <f t="shared" si="318"/>
        <v>9</v>
      </c>
      <c r="AC1221" s="100">
        <f t="shared" si="319"/>
        <v>0.98074972360144608</v>
      </c>
    </row>
    <row r="1222" spans="4:29" x14ac:dyDescent="0.35">
      <c r="D1222">
        <f t="shared" si="320"/>
        <v>1218</v>
      </c>
      <c r="E1222" s="101">
        <v>6</v>
      </c>
      <c r="F1222" s="4">
        <v>7</v>
      </c>
      <c r="G1222" s="4">
        <v>7</v>
      </c>
      <c r="H1222" s="4">
        <v>1</v>
      </c>
      <c r="I1222" s="4">
        <v>5</v>
      </c>
      <c r="J1222" s="4">
        <v>3</v>
      </c>
      <c r="K1222" s="102">
        <v>3</v>
      </c>
      <c r="M1222" s="101">
        <f t="shared" ref="M1222:M1285" si="321">INDEX($A$5:$A$11,E1222)</f>
        <v>45</v>
      </c>
      <c r="N1222" s="4">
        <f t="shared" ref="N1222:N1285" si="322">INDEX($A$5:$A$11,F1222)</f>
        <v>29</v>
      </c>
      <c r="O1222" s="4">
        <f t="shared" ref="O1222:O1285" si="323">INDEX($A$5:$A$11,G1222)</f>
        <v>29</v>
      </c>
      <c r="P1222" s="4">
        <f t="shared" ref="P1222:P1285" si="324">INDEX($A$5:$A$11,H1222)</f>
        <v>34</v>
      </c>
      <c r="Q1222" s="4">
        <f t="shared" ref="Q1222:Q1285" si="325">INDEX($A$5:$A$11,I1222)</f>
        <v>30</v>
      </c>
      <c r="R1222" s="4">
        <f t="shared" ref="R1222:R1285" si="326">INDEX($A$5:$A$11,J1222)</f>
        <v>23</v>
      </c>
      <c r="S1222" s="102">
        <f t="shared" ref="S1222:S1285" si="327">INDEX($A$5:$A$11,K1222)</f>
        <v>23</v>
      </c>
      <c r="U1222" s="101">
        <f t="shared" ref="U1222:U1285" si="328">INDEX($B$5:$B$11,E1222)</f>
        <v>71</v>
      </c>
      <c r="V1222" s="4">
        <f t="shared" ref="V1222:V1285" si="329">INDEX($B$5:$B$11,F1222)</f>
        <v>41</v>
      </c>
      <c r="W1222" s="4">
        <f t="shared" ref="W1222:W1285" si="330">INDEX($B$5:$B$11,G1222)</f>
        <v>41</v>
      </c>
      <c r="X1222" s="4">
        <f t="shared" ref="X1222:X1285" si="331">INDEX($B$5:$B$11,H1222)</f>
        <v>46</v>
      </c>
      <c r="Y1222" s="4">
        <f t="shared" ref="Y1222:Y1285" si="332">INDEX($B$5:$B$11,I1222)</f>
        <v>39</v>
      </c>
      <c r="Z1222" s="4">
        <f t="shared" ref="Z1222:Z1285" si="333">INDEX($B$5:$B$11,J1222)</f>
        <v>39</v>
      </c>
      <c r="AA1222" s="102">
        <f t="shared" ref="AA1222:AA1285" si="334">INDEX($B$5:$B$11,K1222)</f>
        <v>39</v>
      </c>
      <c r="AC1222" s="100">
        <f t="shared" ref="AC1222:AC1285" si="335">CORREL(M1222:S1222,U1222:AA1222)</f>
        <v>0.92177126178929381</v>
      </c>
    </row>
    <row r="1223" spans="4:29" x14ac:dyDescent="0.35">
      <c r="D1223">
        <f t="shared" ref="D1223:D1286" si="336">D1222+1</f>
        <v>1219</v>
      </c>
      <c r="E1223" s="101">
        <v>1</v>
      </c>
      <c r="F1223" s="4">
        <v>2</v>
      </c>
      <c r="G1223" s="4">
        <v>5</v>
      </c>
      <c r="H1223" s="4">
        <v>7</v>
      </c>
      <c r="I1223" s="4">
        <v>2</v>
      </c>
      <c r="J1223" s="4">
        <v>2</v>
      </c>
      <c r="K1223" s="102">
        <v>7</v>
      </c>
      <c r="M1223" s="101">
        <f t="shared" si="321"/>
        <v>34</v>
      </c>
      <c r="N1223" s="4">
        <f t="shared" si="322"/>
        <v>56</v>
      </c>
      <c r="O1223" s="4">
        <f t="shared" si="323"/>
        <v>30</v>
      </c>
      <c r="P1223" s="4">
        <f t="shared" si="324"/>
        <v>29</v>
      </c>
      <c r="Q1223" s="4">
        <f t="shared" si="325"/>
        <v>56</v>
      </c>
      <c r="R1223" s="4">
        <f t="shared" si="326"/>
        <v>56</v>
      </c>
      <c r="S1223" s="102">
        <f t="shared" si="327"/>
        <v>29</v>
      </c>
      <c r="U1223" s="101">
        <f t="shared" si="328"/>
        <v>46</v>
      </c>
      <c r="V1223" s="4">
        <f t="shared" si="329"/>
        <v>78</v>
      </c>
      <c r="W1223" s="4">
        <f t="shared" si="330"/>
        <v>39</v>
      </c>
      <c r="X1223" s="4">
        <f t="shared" si="331"/>
        <v>41</v>
      </c>
      <c r="Y1223" s="4">
        <f t="shared" si="332"/>
        <v>78</v>
      </c>
      <c r="Z1223" s="4">
        <f t="shared" si="333"/>
        <v>78</v>
      </c>
      <c r="AA1223" s="102">
        <f t="shared" si="334"/>
        <v>41</v>
      </c>
      <c r="AC1223" s="100">
        <f t="shared" si="335"/>
        <v>0.99813855534839302</v>
      </c>
    </row>
    <row r="1224" spans="4:29" x14ac:dyDescent="0.35">
      <c r="D1224">
        <f t="shared" si="336"/>
        <v>1220</v>
      </c>
      <c r="E1224" s="101">
        <v>7</v>
      </c>
      <c r="F1224" s="4">
        <v>7</v>
      </c>
      <c r="G1224" s="4">
        <v>6</v>
      </c>
      <c r="H1224" s="4">
        <v>6</v>
      </c>
      <c r="I1224" s="4">
        <v>7</v>
      </c>
      <c r="J1224" s="4">
        <v>6</v>
      </c>
      <c r="K1224" s="102">
        <v>3</v>
      </c>
      <c r="M1224" s="101">
        <f t="shared" si="321"/>
        <v>29</v>
      </c>
      <c r="N1224" s="4">
        <f t="shared" si="322"/>
        <v>29</v>
      </c>
      <c r="O1224" s="4">
        <f t="shared" si="323"/>
        <v>45</v>
      </c>
      <c r="P1224" s="4">
        <f t="shared" si="324"/>
        <v>45</v>
      </c>
      <c r="Q1224" s="4">
        <f t="shared" si="325"/>
        <v>29</v>
      </c>
      <c r="R1224" s="4">
        <f t="shared" si="326"/>
        <v>45</v>
      </c>
      <c r="S1224" s="102">
        <f t="shared" si="327"/>
        <v>23</v>
      </c>
      <c r="U1224" s="101">
        <f t="shared" si="328"/>
        <v>41</v>
      </c>
      <c r="V1224" s="4">
        <f t="shared" si="329"/>
        <v>41</v>
      </c>
      <c r="W1224" s="4">
        <f t="shared" si="330"/>
        <v>71</v>
      </c>
      <c r="X1224" s="4">
        <f t="shared" si="331"/>
        <v>71</v>
      </c>
      <c r="Y1224" s="4">
        <f t="shared" si="332"/>
        <v>41</v>
      </c>
      <c r="Z1224" s="4">
        <f t="shared" si="333"/>
        <v>71</v>
      </c>
      <c r="AA1224" s="102">
        <f t="shared" si="334"/>
        <v>39</v>
      </c>
      <c r="AC1224" s="100">
        <f t="shared" si="335"/>
        <v>0.9839043330110947</v>
      </c>
    </row>
    <row r="1225" spans="4:29" x14ac:dyDescent="0.35">
      <c r="D1225">
        <f t="shared" si="336"/>
        <v>1221</v>
      </c>
      <c r="E1225" s="101">
        <v>3</v>
      </c>
      <c r="F1225" s="4">
        <v>7</v>
      </c>
      <c r="G1225" s="4">
        <v>7</v>
      </c>
      <c r="H1225" s="4">
        <v>1</v>
      </c>
      <c r="I1225" s="4">
        <v>7</v>
      </c>
      <c r="J1225" s="4">
        <v>3</v>
      </c>
      <c r="K1225" s="102">
        <v>6</v>
      </c>
      <c r="M1225" s="101">
        <f t="shared" si="321"/>
        <v>23</v>
      </c>
      <c r="N1225" s="4">
        <f t="shared" si="322"/>
        <v>29</v>
      </c>
      <c r="O1225" s="4">
        <f t="shared" si="323"/>
        <v>29</v>
      </c>
      <c r="P1225" s="4">
        <f t="shared" si="324"/>
        <v>34</v>
      </c>
      <c r="Q1225" s="4">
        <f t="shared" si="325"/>
        <v>29</v>
      </c>
      <c r="R1225" s="4">
        <f t="shared" si="326"/>
        <v>23</v>
      </c>
      <c r="S1225" s="102">
        <f t="shared" si="327"/>
        <v>45</v>
      </c>
      <c r="U1225" s="101">
        <f t="shared" si="328"/>
        <v>39</v>
      </c>
      <c r="V1225" s="4">
        <f t="shared" si="329"/>
        <v>41</v>
      </c>
      <c r="W1225" s="4">
        <f t="shared" si="330"/>
        <v>41</v>
      </c>
      <c r="X1225" s="4">
        <f t="shared" si="331"/>
        <v>46</v>
      </c>
      <c r="Y1225" s="4">
        <f t="shared" si="332"/>
        <v>41</v>
      </c>
      <c r="Z1225" s="4">
        <f t="shared" si="333"/>
        <v>39</v>
      </c>
      <c r="AA1225" s="102">
        <f t="shared" si="334"/>
        <v>71</v>
      </c>
      <c r="AC1225" s="100">
        <f t="shared" si="335"/>
        <v>0.93844150633213308</v>
      </c>
    </row>
    <row r="1226" spans="4:29" x14ac:dyDescent="0.35">
      <c r="D1226">
        <f t="shared" si="336"/>
        <v>1222</v>
      </c>
      <c r="E1226" s="101">
        <v>3</v>
      </c>
      <c r="F1226" s="4">
        <v>7</v>
      </c>
      <c r="G1226" s="4">
        <v>2</v>
      </c>
      <c r="H1226" s="4">
        <v>5</v>
      </c>
      <c r="I1226" s="4">
        <v>3</v>
      </c>
      <c r="J1226" s="4">
        <v>4</v>
      </c>
      <c r="K1226" s="102">
        <v>4</v>
      </c>
      <c r="M1226" s="101">
        <f t="shared" si="321"/>
        <v>23</v>
      </c>
      <c r="N1226" s="4">
        <f t="shared" si="322"/>
        <v>29</v>
      </c>
      <c r="O1226" s="4">
        <f t="shared" si="323"/>
        <v>56</v>
      </c>
      <c r="P1226" s="4">
        <f t="shared" si="324"/>
        <v>30</v>
      </c>
      <c r="Q1226" s="4">
        <f t="shared" si="325"/>
        <v>23</v>
      </c>
      <c r="R1226" s="4">
        <f t="shared" si="326"/>
        <v>12</v>
      </c>
      <c r="S1226" s="102">
        <f t="shared" si="327"/>
        <v>12</v>
      </c>
      <c r="U1226" s="101">
        <f t="shared" si="328"/>
        <v>39</v>
      </c>
      <c r="V1226" s="4">
        <f t="shared" si="329"/>
        <v>41</v>
      </c>
      <c r="W1226" s="4">
        <f t="shared" si="330"/>
        <v>78</v>
      </c>
      <c r="X1226" s="4">
        <f t="shared" si="331"/>
        <v>39</v>
      </c>
      <c r="Y1226" s="4">
        <f t="shared" si="332"/>
        <v>39</v>
      </c>
      <c r="Z1226" s="4">
        <f t="shared" si="333"/>
        <v>9</v>
      </c>
      <c r="AA1226" s="102">
        <f t="shared" si="334"/>
        <v>9</v>
      </c>
      <c r="AC1226" s="100">
        <f t="shared" si="335"/>
        <v>0.96874243570870699</v>
      </c>
    </row>
    <row r="1227" spans="4:29" x14ac:dyDescent="0.35">
      <c r="D1227">
        <f t="shared" si="336"/>
        <v>1223</v>
      </c>
      <c r="E1227" s="101">
        <v>4</v>
      </c>
      <c r="F1227" s="4">
        <v>6</v>
      </c>
      <c r="G1227" s="4">
        <v>7</v>
      </c>
      <c r="H1227" s="4">
        <v>5</v>
      </c>
      <c r="I1227" s="4">
        <v>6</v>
      </c>
      <c r="J1227" s="4">
        <v>7</v>
      </c>
      <c r="K1227" s="102">
        <v>7</v>
      </c>
      <c r="M1227" s="101">
        <f t="shared" si="321"/>
        <v>12</v>
      </c>
      <c r="N1227" s="4">
        <f t="shared" si="322"/>
        <v>45</v>
      </c>
      <c r="O1227" s="4">
        <f t="shared" si="323"/>
        <v>29</v>
      </c>
      <c r="P1227" s="4">
        <f t="shared" si="324"/>
        <v>30</v>
      </c>
      <c r="Q1227" s="4">
        <f t="shared" si="325"/>
        <v>45</v>
      </c>
      <c r="R1227" s="4">
        <f t="shared" si="326"/>
        <v>29</v>
      </c>
      <c r="S1227" s="102">
        <f t="shared" si="327"/>
        <v>29</v>
      </c>
      <c r="U1227" s="101">
        <f t="shared" si="328"/>
        <v>9</v>
      </c>
      <c r="V1227" s="4">
        <f t="shared" si="329"/>
        <v>71</v>
      </c>
      <c r="W1227" s="4">
        <f t="shared" si="330"/>
        <v>41</v>
      </c>
      <c r="X1227" s="4">
        <f t="shared" si="331"/>
        <v>39</v>
      </c>
      <c r="Y1227" s="4">
        <f t="shared" si="332"/>
        <v>71</v>
      </c>
      <c r="Z1227" s="4">
        <f t="shared" si="333"/>
        <v>41</v>
      </c>
      <c r="AA1227" s="102">
        <f t="shared" si="334"/>
        <v>41</v>
      </c>
      <c r="AC1227" s="100">
        <f t="shared" si="335"/>
        <v>0.99767724683952586</v>
      </c>
    </row>
    <row r="1228" spans="4:29" x14ac:dyDescent="0.35">
      <c r="D1228">
        <f t="shared" si="336"/>
        <v>1224</v>
      </c>
      <c r="E1228" s="101">
        <v>1</v>
      </c>
      <c r="F1228" s="4">
        <v>5</v>
      </c>
      <c r="G1228" s="4">
        <v>4</v>
      </c>
      <c r="H1228" s="4">
        <v>2</v>
      </c>
      <c r="I1228" s="4">
        <v>1</v>
      </c>
      <c r="J1228" s="4">
        <v>5</v>
      </c>
      <c r="K1228" s="102">
        <v>7</v>
      </c>
      <c r="M1228" s="101">
        <f t="shared" si="321"/>
        <v>34</v>
      </c>
      <c r="N1228" s="4">
        <f t="shared" si="322"/>
        <v>30</v>
      </c>
      <c r="O1228" s="4">
        <f t="shared" si="323"/>
        <v>12</v>
      </c>
      <c r="P1228" s="4">
        <f t="shared" si="324"/>
        <v>56</v>
      </c>
      <c r="Q1228" s="4">
        <f t="shared" si="325"/>
        <v>34</v>
      </c>
      <c r="R1228" s="4">
        <f t="shared" si="326"/>
        <v>30</v>
      </c>
      <c r="S1228" s="102">
        <f t="shared" si="327"/>
        <v>29</v>
      </c>
      <c r="U1228" s="101">
        <f t="shared" si="328"/>
        <v>46</v>
      </c>
      <c r="V1228" s="4">
        <f t="shared" si="329"/>
        <v>39</v>
      </c>
      <c r="W1228" s="4">
        <f t="shared" si="330"/>
        <v>9</v>
      </c>
      <c r="X1228" s="4">
        <f t="shared" si="331"/>
        <v>78</v>
      </c>
      <c r="Y1228" s="4">
        <f t="shared" si="332"/>
        <v>46</v>
      </c>
      <c r="Z1228" s="4">
        <f t="shared" si="333"/>
        <v>39</v>
      </c>
      <c r="AA1228" s="102">
        <f t="shared" si="334"/>
        <v>41</v>
      </c>
      <c r="AC1228" s="100">
        <f t="shared" si="335"/>
        <v>0.99597841885430116</v>
      </c>
    </row>
    <row r="1229" spans="4:29" x14ac:dyDescent="0.35">
      <c r="D1229">
        <f t="shared" si="336"/>
        <v>1225</v>
      </c>
      <c r="E1229" s="101">
        <v>3</v>
      </c>
      <c r="F1229" s="4">
        <v>6</v>
      </c>
      <c r="G1229" s="4">
        <v>6</v>
      </c>
      <c r="H1229" s="4">
        <v>6</v>
      </c>
      <c r="I1229" s="4">
        <v>4</v>
      </c>
      <c r="J1229" s="4">
        <v>5</v>
      </c>
      <c r="K1229" s="102">
        <v>5</v>
      </c>
      <c r="M1229" s="101">
        <f t="shared" si="321"/>
        <v>23</v>
      </c>
      <c r="N1229" s="4">
        <f t="shared" si="322"/>
        <v>45</v>
      </c>
      <c r="O1229" s="4">
        <f t="shared" si="323"/>
        <v>45</v>
      </c>
      <c r="P1229" s="4">
        <f t="shared" si="324"/>
        <v>45</v>
      </c>
      <c r="Q1229" s="4">
        <f t="shared" si="325"/>
        <v>12</v>
      </c>
      <c r="R1229" s="4">
        <f t="shared" si="326"/>
        <v>30</v>
      </c>
      <c r="S1229" s="102">
        <f t="shared" si="327"/>
        <v>30</v>
      </c>
      <c r="U1229" s="101">
        <f t="shared" si="328"/>
        <v>39</v>
      </c>
      <c r="V1229" s="4">
        <f t="shared" si="329"/>
        <v>71</v>
      </c>
      <c r="W1229" s="4">
        <f t="shared" si="330"/>
        <v>71</v>
      </c>
      <c r="X1229" s="4">
        <f t="shared" si="331"/>
        <v>71</v>
      </c>
      <c r="Y1229" s="4">
        <f t="shared" si="332"/>
        <v>9</v>
      </c>
      <c r="Z1229" s="4">
        <f t="shared" si="333"/>
        <v>39</v>
      </c>
      <c r="AA1229" s="102">
        <f t="shared" si="334"/>
        <v>39</v>
      </c>
      <c r="AC1229" s="100">
        <f t="shared" si="335"/>
        <v>0.98330917517320315</v>
      </c>
    </row>
    <row r="1230" spans="4:29" x14ac:dyDescent="0.35">
      <c r="D1230">
        <f t="shared" si="336"/>
        <v>1226</v>
      </c>
      <c r="E1230" s="101">
        <v>3</v>
      </c>
      <c r="F1230" s="4">
        <v>3</v>
      </c>
      <c r="G1230" s="4">
        <v>2</v>
      </c>
      <c r="H1230" s="4">
        <v>2</v>
      </c>
      <c r="I1230" s="4">
        <v>3</v>
      </c>
      <c r="J1230" s="4">
        <v>4</v>
      </c>
      <c r="K1230" s="102">
        <v>7</v>
      </c>
      <c r="M1230" s="101">
        <f t="shared" si="321"/>
        <v>23</v>
      </c>
      <c r="N1230" s="4">
        <f t="shared" si="322"/>
        <v>23</v>
      </c>
      <c r="O1230" s="4">
        <f t="shared" si="323"/>
        <v>56</v>
      </c>
      <c r="P1230" s="4">
        <f t="shared" si="324"/>
        <v>56</v>
      </c>
      <c r="Q1230" s="4">
        <f t="shared" si="325"/>
        <v>23</v>
      </c>
      <c r="R1230" s="4">
        <f t="shared" si="326"/>
        <v>12</v>
      </c>
      <c r="S1230" s="102">
        <f t="shared" si="327"/>
        <v>29</v>
      </c>
      <c r="U1230" s="101">
        <f t="shared" si="328"/>
        <v>39</v>
      </c>
      <c r="V1230" s="4">
        <f t="shared" si="329"/>
        <v>39</v>
      </c>
      <c r="W1230" s="4">
        <f t="shared" si="330"/>
        <v>78</v>
      </c>
      <c r="X1230" s="4">
        <f t="shared" si="331"/>
        <v>78</v>
      </c>
      <c r="Y1230" s="4">
        <f t="shared" si="332"/>
        <v>39</v>
      </c>
      <c r="Z1230" s="4">
        <f t="shared" si="333"/>
        <v>9</v>
      </c>
      <c r="AA1230" s="102">
        <f t="shared" si="334"/>
        <v>41</v>
      </c>
      <c r="AC1230" s="100">
        <f t="shared" si="335"/>
        <v>0.97493161372378689</v>
      </c>
    </row>
    <row r="1231" spans="4:29" x14ac:dyDescent="0.35">
      <c r="D1231">
        <f t="shared" si="336"/>
        <v>1227</v>
      </c>
      <c r="E1231" s="101">
        <v>7</v>
      </c>
      <c r="F1231" s="4">
        <v>5</v>
      </c>
      <c r="G1231" s="4">
        <v>1</v>
      </c>
      <c r="H1231" s="4">
        <v>1</v>
      </c>
      <c r="I1231" s="4">
        <v>6</v>
      </c>
      <c r="J1231" s="4">
        <v>7</v>
      </c>
      <c r="K1231" s="102">
        <v>5</v>
      </c>
      <c r="M1231" s="101">
        <f t="shared" si="321"/>
        <v>29</v>
      </c>
      <c r="N1231" s="4">
        <f t="shared" si="322"/>
        <v>30</v>
      </c>
      <c r="O1231" s="4">
        <f t="shared" si="323"/>
        <v>34</v>
      </c>
      <c r="P1231" s="4">
        <f t="shared" si="324"/>
        <v>34</v>
      </c>
      <c r="Q1231" s="4">
        <f t="shared" si="325"/>
        <v>45</v>
      </c>
      <c r="R1231" s="4">
        <f t="shared" si="326"/>
        <v>29</v>
      </c>
      <c r="S1231" s="102">
        <f t="shared" si="327"/>
        <v>30</v>
      </c>
      <c r="U1231" s="101">
        <f t="shared" si="328"/>
        <v>41</v>
      </c>
      <c r="V1231" s="4">
        <f t="shared" si="329"/>
        <v>39</v>
      </c>
      <c r="W1231" s="4">
        <f t="shared" si="330"/>
        <v>46</v>
      </c>
      <c r="X1231" s="4">
        <f t="shared" si="331"/>
        <v>46</v>
      </c>
      <c r="Y1231" s="4">
        <f t="shared" si="332"/>
        <v>71</v>
      </c>
      <c r="Z1231" s="4">
        <f t="shared" si="333"/>
        <v>41</v>
      </c>
      <c r="AA1231" s="102">
        <f t="shared" si="334"/>
        <v>39</v>
      </c>
      <c r="AC1231" s="100">
        <f t="shared" si="335"/>
        <v>0.98148962841113985</v>
      </c>
    </row>
    <row r="1232" spans="4:29" x14ac:dyDescent="0.35">
      <c r="D1232">
        <f t="shared" si="336"/>
        <v>1228</v>
      </c>
      <c r="E1232" s="101">
        <v>5</v>
      </c>
      <c r="F1232" s="4">
        <v>3</v>
      </c>
      <c r="G1232" s="4">
        <v>4</v>
      </c>
      <c r="H1232" s="4">
        <v>7</v>
      </c>
      <c r="I1232" s="4">
        <v>3</v>
      </c>
      <c r="J1232" s="4">
        <v>3</v>
      </c>
      <c r="K1232" s="102">
        <v>4</v>
      </c>
      <c r="M1232" s="101">
        <f t="shared" si="321"/>
        <v>30</v>
      </c>
      <c r="N1232" s="4">
        <f t="shared" si="322"/>
        <v>23</v>
      </c>
      <c r="O1232" s="4">
        <f t="shared" si="323"/>
        <v>12</v>
      </c>
      <c r="P1232" s="4">
        <f t="shared" si="324"/>
        <v>29</v>
      </c>
      <c r="Q1232" s="4">
        <f t="shared" si="325"/>
        <v>23</v>
      </c>
      <c r="R1232" s="4">
        <f t="shared" si="326"/>
        <v>23</v>
      </c>
      <c r="S1232" s="102">
        <f t="shared" si="327"/>
        <v>12</v>
      </c>
      <c r="U1232" s="101">
        <f t="shared" si="328"/>
        <v>39</v>
      </c>
      <c r="V1232" s="4">
        <f t="shared" si="329"/>
        <v>39</v>
      </c>
      <c r="W1232" s="4">
        <f t="shared" si="330"/>
        <v>9</v>
      </c>
      <c r="X1232" s="4">
        <f t="shared" si="331"/>
        <v>41</v>
      </c>
      <c r="Y1232" s="4">
        <f t="shared" si="332"/>
        <v>39</v>
      </c>
      <c r="Z1232" s="4">
        <f t="shared" si="333"/>
        <v>39</v>
      </c>
      <c r="AA1232" s="102">
        <f t="shared" si="334"/>
        <v>9</v>
      </c>
      <c r="AC1232" s="100">
        <f t="shared" si="335"/>
        <v>0.92466670657451111</v>
      </c>
    </row>
    <row r="1233" spans="4:29" x14ac:dyDescent="0.35">
      <c r="D1233">
        <f t="shared" si="336"/>
        <v>1229</v>
      </c>
      <c r="E1233" s="101">
        <v>5</v>
      </c>
      <c r="F1233" s="4">
        <v>6</v>
      </c>
      <c r="G1233" s="4">
        <v>7</v>
      </c>
      <c r="H1233" s="4">
        <v>2</v>
      </c>
      <c r="I1233" s="4">
        <v>6</v>
      </c>
      <c r="J1233" s="4">
        <v>4</v>
      </c>
      <c r="K1233" s="102">
        <v>7</v>
      </c>
      <c r="M1233" s="101">
        <f t="shared" si="321"/>
        <v>30</v>
      </c>
      <c r="N1233" s="4">
        <f t="shared" si="322"/>
        <v>45</v>
      </c>
      <c r="O1233" s="4">
        <f t="shared" si="323"/>
        <v>29</v>
      </c>
      <c r="P1233" s="4">
        <f t="shared" si="324"/>
        <v>56</v>
      </c>
      <c r="Q1233" s="4">
        <f t="shared" si="325"/>
        <v>45</v>
      </c>
      <c r="R1233" s="4">
        <f t="shared" si="326"/>
        <v>12</v>
      </c>
      <c r="S1233" s="102">
        <f t="shared" si="327"/>
        <v>29</v>
      </c>
      <c r="U1233" s="101">
        <f t="shared" si="328"/>
        <v>39</v>
      </c>
      <c r="V1233" s="4">
        <f t="shared" si="329"/>
        <v>71</v>
      </c>
      <c r="W1233" s="4">
        <f t="shared" si="330"/>
        <v>41</v>
      </c>
      <c r="X1233" s="4">
        <f t="shared" si="331"/>
        <v>78</v>
      </c>
      <c r="Y1233" s="4">
        <f t="shared" si="332"/>
        <v>71</v>
      </c>
      <c r="Z1233" s="4">
        <f t="shared" si="333"/>
        <v>9</v>
      </c>
      <c r="AA1233" s="102">
        <f t="shared" si="334"/>
        <v>41</v>
      </c>
      <c r="AC1233" s="100">
        <f t="shared" si="335"/>
        <v>0.98579780824485597</v>
      </c>
    </row>
    <row r="1234" spans="4:29" x14ac:dyDescent="0.35">
      <c r="D1234">
        <f t="shared" si="336"/>
        <v>1230</v>
      </c>
      <c r="E1234" s="101">
        <v>3</v>
      </c>
      <c r="F1234" s="4">
        <v>6</v>
      </c>
      <c r="G1234" s="4">
        <v>5</v>
      </c>
      <c r="H1234" s="4">
        <v>6</v>
      </c>
      <c r="I1234" s="4">
        <v>6</v>
      </c>
      <c r="J1234" s="4">
        <v>3</v>
      </c>
      <c r="K1234" s="102">
        <v>7</v>
      </c>
      <c r="M1234" s="101">
        <f t="shared" si="321"/>
        <v>23</v>
      </c>
      <c r="N1234" s="4">
        <f t="shared" si="322"/>
        <v>45</v>
      </c>
      <c r="O1234" s="4">
        <f t="shared" si="323"/>
        <v>30</v>
      </c>
      <c r="P1234" s="4">
        <f t="shared" si="324"/>
        <v>45</v>
      </c>
      <c r="Q1234" s="4">
        <f t="shared" si="325"/>
        <v>45</v>
      </c>
      <c r="R1234" s="4">
        <f t="shared" si="326"/>
        <v>23</v>
      </c>
      <c r="S1234" s="102">
        <f t="shared" si="327"/>
        <v>29</v>
      </c>
      <c r="U1234" s="101">
        <f t="shared" si="328"/>
        <v>39</v>
      </c>
      <c r="V1234" s="4">
        <f t="shared" si="329"/>
        <v>71</v>
      </c>
      <c r="W1234" s="4">
        <f t="shared" si="330"/>
        <v>39</v>
      </c>
      <c r="X1234" s="4">
        <f t="shared" si="331"/>
        <v>71</v>
      </c>
      <c r="Y1234" s="4">
        <f t="shared" si="332"/>
        <v>71</v>
      </c>
      <c r="Z1234" s="4">
        <f t="shared" si="333"/>
        <v>39</v>
      </c>
      <c r="AA1234" s="102">
        <f t="shared" si="334"/>
        <v>41</v>
      </c>
      <c r="AC1234" s="100">
        <f t="shared" si="335"/>
        <v>0.97070862732239593</v>
      </c>
    </row>
    <row r="1235" spans="4:29" x14ac:dyDescent="0.35">
      <c r="D1235">
        <f t="shared" si="336"/>
        <v>1231</v>
      </c>
      <c r="E1235" s="101">
        <v>1</v>
      </c>
      <c r="F1235" s="4">
        <v>6</v>
      </c>
      <c r="G1235" s="4">
        <v>7</v>
      </c>
      <c r="H1235" s="4">
        <v>7</v>
      </c>
      <c r="I1235" s="4">
        <v>4</v>
      </c>
      <c r="J1235" s="4">
        <v>5</v>
      </c>
      <c r="K1235" s="102">
        <v>7</v>
      </c>
      <c r="M1235" s="101">
        <f t="shared" si="321"/>
        <v>34</v>
      </c>
      <c r="N1235" s="4">
        <f t="shared" si="322"/>
        <v>45</v>
      </c>
      <c r="O1235" s="4">
        <f t="shared" si="323"/>
        <v>29</v>
      </c>
      <c r="P1235" s="4">
        <f t="shared" si="324"/>
        <v>29</v>
      </c>
      <c r="Q1235" s="4">
        <f t="shared" si="325"/>
        <v>12</v>
      </c>
      <c r="R1235" s="4">
        <f t="shared" si="326"/>
        <v>30</v>
      </c>
      <c r="S1235" s="102">
        <f t="shared" si="327"/>
        <v>29</v>
      </c>
      <c r="U1235" s="101">
        <f t="shared" si="328"/>
        <v>46</v>
      </c>
      <c r="V1235" s="4">
        <f t="shared" si="329"/>
        <v>71</v>
      </c>
      <c r="W1235" s="4">
        <f t="shared" si="330"/>
        <v>41</v>
      </c>
      <c r="X1235" s="4">
        <f t="shared" si="331"/>
        <v>41</v>
      </c>
      <c r="Y1235" s="4">
        <f t="shared" si="332"/>
        <v>9</v>
      </c>
      <c r="Z1235" s="4">
        <f t="shared" si="333"/>
        <v>39</v>
      </c>
      <c r="AA1235" s="102">
        <f t="shared" si="334"/>
        <v>41</v>
      </c>
      <c r="AC1235" s="100">
        <f t="shared" si="335"/>
        <v>0.99393837458475109</v>
      </c>
    </row>
    <row r="1236" spans="4:29" x14ac:dyDescent="0.35">
      <c r="D1236">
        <f t="shared" si="336"/>
        <v>1232</v>
      </c>
      <c r="E1236" s="101">
        <v>1</v>
      </c>
      <c r="F1236" s="4">
        <v>7</v>
      </c>
      <c r="G1236" s="4">
        <v>6</v>
      </c>
      <c r="H1236" s="4">
        <v>4</v>
      </c>
      <c r="I1236" s="4">
        <v>6</v>
      </c>
      <c r="J1236" s="4">
        <v>5</v>
      </c>
      <c r="K1236" s="102">
        <v>6</v>
      </c>
      <c r="M1236" s="101">
        <f t="shared" si="321"/>
        <v>34</v>
      </c>
      <c r="N1236" s="4">
        <f t="shared" si="322"/>
        <v>29</v>
      </c>
      <c r="O1236" s="4">
        <f t="shared" si="323"/>
        <v>45</v>
      </c>
      <c r="P1236" s="4">
        <f t="shared" si="324"/>
        <v>12</v>
      </c>
      <c r="Q1236" s="4">
        <f t="shared" si="325"/>
        <v>45</v>
      </c>
      <c r="R1236" s="4">
        <f t="shared" si="326"/>
        <v>30</v>
      </c>
      <c r="S1236" s="102">
        <f t="shared" si="327"/>
        <v>45</v>
      </c>
      <c r="U1236" s="101">
        <f t="shared" si="328"/>
        <v>46</v>
      </c>
      <c r="V1236" s="4">
        <f t="shared" si="329"/>
        <v>41</v>
      </c>
      <c r="W1236" s="4">
        <f t="shared" si="330"/>
        <v>71</v>
      </c>
      <c r="X1236" s="4">
        <f t="shared" si="331"/>
        <v>9</v>
      </c>
      <c r="Y1236" s="4">
        <f t="shared" si="332"/>
        <v>71</v>
      </c>
      <c r="Z1236" s="4">
        <f t="shared" si="333"/>
        <v>39</v>
      </c>
      <c r="AA1236" s="102">
        <f t="shared" si="334"/>
        <v>71</v>
      </c>
      <c r="AC1236" s="100">
        <f t="shared" si="335"/>
        <v>0.99631914086109274</v>
      </c>
    </row>
    <row r="1237" spans="4:29" x14ac:dyDescent="0.35">
      <c r="D1237">
        <f t="shared" si="336"/>
        <v>1233</v>
      </c>
      <c r="E1237" s="101">
        <v>5</v>
      </c>
      <c r="F1237" s="4">
        <v>5</v>
      </c>
      <c r="G1237" s="4">
        <v>1</v>
      </c>
      <c r="H1237" s="4">
        <v>3</v>
      </c>
      <c r="I1237" s="4">
        <v>3</v>
      </c>
      <c r="J1237" s="4">
        <v>6</v>
      </c>
      <c r="K1237" s="102">
        <v>5</v>
      </c>
      <c r="M1237" s="101">
        <f t="shared" si="321"/>
        <v>30</v>
      </c>
      <c r="N1237" s="4">
        <f t="shared" si="322"/>
        <v>30</v>
      </c>
      <c r="O1237" s="4">
        <f t="shared" si="323"/>
        <v>34</v>
      </c>
      <c r="P1237" s="4">
        <f t="shared" si="324"/>
        <v>23</v>
      </c>
      <c r="Q1237" s="4">
        <f t="shared" si="325"/>
        <v>23</v>
      </c>
      <c r="R1237" s="4">
        <f t="shared" si="326"/>
        <v>45</v>
      </c>
      <c r="S1237" s="102">
        <f t="shared" si="327"/>
        <v>30</v>
      </c>
      <c r="U1237" s="101">
        <f t="shared" si="328"/>
        <v>39</v>
      </c>
      <c r="V1237" s="4">
        <f t="shared" si="329"/>
        <v>39</v>
      </c>
      <c r="W1237" s="4">
        <f t="shared" si="330"/>
        <v>46</v>
      </c>
      <c r="X1237" s="4">
        <f t="shared" si="331"/>
        <v>39</v>
      </c>
      <c r="Y1237" s="4">
        <f t="shared" si="332"/>
        <v>39</v>
      </c>
      <c r="Z1237" s="4">
        <f t="shared" si="333"/>
        <v>71</v>
      </c>
      <c r="AA1237" s="102">
        <f t="shared" si="334"/>
        <v>39</v>
      </c>
      <c r="AC1237" s="100">
        <f t="shared" si="335"/>
        <v>0.89620230173712823</v>
      </c>
    </row>
    <row r="1238" spans="4:29" x14ac:dyDescent="0.35">
      <c r="D1238">
        <f t="shared" si="336"/>
        <v>1234</v>
      </c>
      <c r="E1238" s="101">
        <v>1</v>
      </c>
      <c r="F1238" s="4">
        <v>3</v>
      </c>
      <c r="G1238" s="4">
        <v>7</v>
      </c>
      <c r="H1238" s="4">
        <v>1</v>
      </c>
      <c r="I1238" s="4">
        <v>7</v>
      </c>
      <c r="J1238" s="4">
        <v>4</v>
      </c>
      <c r="K1238" s="102">
        <v>4</v>
      </c>
      <c r="M1238" s="101">
        <f t="shared" si="321"/>
        <v>34</v>
      </c>
      <c r="N1238" s="4">
        <f t="shared" si="322"/>
        <v>23</v>
      </c>
      <c r="O1238" s="4">
        <f t="shared" si="323"/>
        <v>29</v>
      </c>
      <c r="P1238" s="4">
        <f t="shared" si="324"/>
        <v>34</v>
      </c>
      <c r="Q1238" s="4">
        <f t="shared" si="325"/>
        <v>29</v>
      </c>
      <c r="R1238" s="4">
        <f t="shared" si="326"/>
        <v>12</v>
      </c>
      <c r="S1238" s="102">
        <f t="shared" si="327"/>
        <v>12</v>
      </c>
      <c r="U1238" s="101">
        <f t="shared" si="328"/>
        <v>46</v>
      </c>
      <c r="V1238" s="4">
        <f t="shared" si="329"/>
        <v>39</v>
      </c>
      <c r="W1238" s="4">
        <f t="shared" si="330"/>
        <v>41</v>
      </c>
      <c r="X1238" s="4">
        <f t="shared" si="331"/>
        <v>46</v>
      </c>
      <c r="Y1238" s="4">
        <f t="shared" si="332"/>
        <v>41</v>
      </c>
      <c r="Z1238" s="4">
        <f t="shared" si="333"/>
        <v>9</v>
      </c>
      <c r="AA1238" s="102">
        <f t="shared" si="334"/>
        <v>9</v>
      </c>
      <c r="AC1238" s="100">
        <f t="shared" si="335"/>
        <v>0.96699197209256205</v>
      </c>
    </row>
    <row r="1239" spans="4:29" x14ac:dyDescent="0.35">
      <c r="D1239">
        <f t="shared" si="336"/>
        <v>1235</v>
      </c>
      <c r="E1239" s="101">
        <v>1</v>
      </c>
      <c r="F1239" s="4">
        <v>4</v>
      </c>
      <c r="G1239" s="4">
        <v>6</v>
      </c>
      <c r="H1239" s="4">
        <v>6</v>
      </c>
      <c r="I1239" s="4">
        <v>3</v>
      </c>
      <c r="J1239" s="4">
        <v>5</v>
      </c>
      <c r="K1239" s="102">
        <v>7</v>
      </c>
      <c r="M1239" s="101">
        <f t="shared" si="321"/>
        <v>34</v>
      </c>
      <c r="N1239" s="4">
        <f t="shared" si="322"/>
        <v>12</v>
      </c>
      <c r="O1239" s="4">
        <f t="shared" si="323"/>
        <v>45</v>
      </c>
      <c r="P1239" s="4">
        <f t="shared" si="324"/>
        <v>45</v>
      </c>
      <c r="Q1239" s="4">
        <f t="shared" si="325"/>
        <v>23</v>
      </c>
      <c r="R1239" s="4">
        <f t="shared" si="326"/>
        <v>30</v>
      </c>
      <c r="S1239" s="102">
        <f t="shared" si="327"/>
        <v>29</v>
      </c>
      <c r="U1239" s="101">
        <f t="shared" si="328"/>
        <v>46</v>
      </c>
      <c r="V1239" s="4">
        <f t="shared" si="329"/>
        <v>9</v>
      </c>
      <c r="W1239" s="4">
        <f t="shared" si="330"/>
        <v>71</v>
      </c>
      <c r="X1239" s="4">
        <f t="shared" si="331"/>
        <v>71</v>
      </c>
      <c r="Y1239" s="4">
        <f t="shared" si="332"/>
        <v>39</v>
      </c>
      <c r="Z1239" s="4">
        <f t="shared" si="333"/>
        <v>39</v>
      </c>
      <c r="AA1239" s="102">
        <f t="shared" si="334"/>
        <v>41</v>
      </c>
      <c r="AC1239" s="100">
        <f t="shared" si="335"/>
        <v>0.97937552009697748</v>
      </c>
    </row>
    <row r="1240" spans="4:29" x14ac:dyDescent="0.35">
      <c r="D1240">
        <f t="shared" si="336"/>
        <v>1236</v>
      </c>
      <c r="E1240" s="101">
        <v>1</v>
      </c>
      <c r="F1240" s="4">
        <v>4</v>
      </c>
      <c r="G1240" s="4">
        <v>2</v>
      </c>
      <c r="H1240" s="4">
        <v>4</v>
      </c>
      <c r="I1240" s="4">
        <v>1</v>
      </c>
      <c r="J1240" s="4">
        <v>4</v>
      </c>
      <c r="K1240" s="102">
        <v>6</v>
      </c>
      <c r="M1240" s="101">
        <f t="shared" si="321"/>
        <v>34</v>
      </c>
      <c r="N1240" s="4">
        <f t="shared" si="322"/>
        <v>12</v>
      </c>
      <c r="O1240" s="4">
        <f t="shared" si="323"/>
        <v>56</v>
      </c>
      <c r="P1240" s="4">
        <f t="shared" si="324"/>
        <v>12</v>
      </c>
      <c r="Q1240" s="4">
        <f t="shared" si="325"/>
        <v>34</v>
      </c>
      <c r="R1240" s="4">
        <f t="shared" si="326"/>
        <v>12</v>
      </c>
      <c r="S1240" s="102">
        <f t="shared" si="327"/>
        <v>45</v>
      </c>
      <c r="U1240" s="101">
        <f t="shared" si="328"/>
        <v>46</v>
      </c>
      <c r="V1240" s="4">
        <f t="shared" si="329"/>
        <v>9</v>
      </c>
      <c r="W1240" s="4">
        <f t="shared" si="330"/>
        <v>78</v>
      </c>
      <c r="X1240" s="4">
        <f t="shared" si="331"/>
        <v>9</v>
      </c>
      <c r="Y1240" s="4">
        <f t="shared" si="332"/>
        <v>46</v>
      </c>
      <c r="Z1240" s="4">
        <f t="shared" si="333"/>
        <v>9</v>
      </c>
      <c r="AA1240" s="102">
        <f t="shared" si="334"/>
        <v>71</v>
      </c>
      <c r="AC1240" s="100">
        <f t="shared" si="335"/>
        <v>0.99376179727796965</v>
      </c>
    </row>
    <row r="1241" spans="4:29" x14ac:dyDescent="0.35">
      <c r="D1241">
        <f t="shared" si="336"/>
        <v>1237</v>
      </c>
      <c r="E1241" s="101">
        <v>2</v>
      </c>
      <c r="F1241" s="4">
        <v>2</v>
      </c>
      <c r="G1241" s="4">
        <v>5</v>
      </c>
      <c r="H1241" s="4">
        <v>3</v>
      </c>
      <c r="I1241" s="4">
        <v>4</v>
      </c>
      <c r="J1241" s="4">
        <v>1</v>
      </c>
      <c r="K1241" s="102">
        <v>2</v>
      </c>
      <c r="M1241" s="101">
        <f t="shared" si="321"/>
        <v>56</v>
      </c>
      <c r="N1241" s="4">
        <f t="shared" si="322"/>
        <v>56</v>
      </c>
      <c r="O1241" s="4">
        <f t="shared" si="323"/>
        <v>30</v>
      </c>
      <c r="P1241" s="4">
        <f t="shared" si="324"/>
        <v>23</v>
      </c>
      <c r="Q1241" s="4">
        <f t="shared" si="325"/>
        <v>12</v>
      </c>
      <c r="R1241" s="4">
        <f t="shared" si="326"/>
        <v>34</v>
      </c>
      <c r="S1241" s="102">
        <f t="shared" si="327"/>
        <v>56</v>
      </c>
      <c r="U1241" s="101">
        <f t="shared" si="328"/>
        <v>78</v>
      </c>
      <c r="V1241" s="4">
        <f t="shared" si="329"/>
        <v>78</v>
      </c>
      <c r="W1241" s="4">
        <f t="shared" si="330"/>
        <v>39</v>
      </c>
      <c r="X1241" s="4">
        <f t="shared" si="331"/>
        <v>39</v>
      </c>
      <c r="Y1241" s="4">
        <f t="shared" si="332"/>
        <v>9</v>
      </c>
      <c r="Z1241" s="4">
        <f t="shared" si="333"/>
        <v>46</v>
      </c>
      <c r="AA1241" s="102">
        <f t="shared" si="334"/>
        <v>78</v>
      </c>
      <c r="AC1241" s="100">
        <f t="shared" si="335"/>
        <v>0.98741959162650073</v>
      </c>
    </row>
    <row r="1242" spans="4:29" x14ac:dyDescent="0.35">
      <c r="D1242">
        <f t="shared" si="336"/>
        <v>1238</v>
      </c>
      <c r="E1242" s="101">
        <v>3</v>
      </c>
      <c r="F1242" s="4">
        <v>5</v>
      </c>
      <c r="G1242" s="4">
        <v>5</v>
      </c>
      <c r="H1242" s="4">
        <v>4</v>
      </c>
      <c r="I1242" s="4">
        <v>2</v>
      </c>
      <c r="J1242" s="4">
        <v>2</v>
      </c>
      <c r="K1242" s="102">
        <v>2</v>
      </c>
      <c r="M1242" s="101">
        <f t="shared" si="321"/>
        <v>23</v>
      </c>
      <c r="N1242" s="4">
        <f t="shared" si="322"/>
        <v>30</v>
      </c>
      <c r="O1242" s="4">
        <f t="shared" si="323"/>
        <v>30</v>
      </c>
      <c r="P1242" s="4">
        <f t="shared" si="324"/>
        <v>12</v>
      </c>
      <c r="Q1242" s="4">
        <f t="shared" si="325"/>
        <v>56</v>
      </c>
      <c r="R1242" s="4">
        <f t="shared" si="326"/>
        <v>56</v>
      </c>
      <c r="S1242" s="102">
        <f t="shared" si="327"/>
        <v>56</v>
      </c>
      <c r="U1242" s="101">
        <f t="shared" si="328"/>
        <v>39</v>
      </c>
      <c r="V1242" s="4">
        <f t="shared" si="329"/>
        <v>39</v>
      </c>
      <c r="W1242" s="4">
        <f t="shared" si="330"/>
        <v>39</v>
      </c>
      <c r="X1242" s="4">
        <f t="shared" si="331"/>
        <v>9</v>
      </c>
      <c r="Y1242" s="4">
        <f t="shared" si="332"/>
        <v>78</v>
      </c>
      <c r="Z1242" s="4">
        <f t="shared" si="333"/>
        <v>78</v>
      </c>
      <c r="AA1242" s="102">
        <f t="shared" si="334"/>
        <v>78</v>
      </c>
      <c r="AC1242" s="100">
        <f t="shared" si="335"/>
        <v>0.98756402689703349</v>
      </c>
    </row>
    <row r="1243" spans="4:29" x14ac:dyDescent="0.35">
      <c r="D1243">
        <f t="shared" si="336"/>
        <v>1239</v>
      </c>
      <c r="E1243" s="101">
        <v>4</v>
      </c>
      <c r="F1243" s="4">
        <v>1</v>
      </c>
      <c r="G1243" s="4">
        <v>6</v>
      </c>
      <c r="H1243" s="4">
        <v>3</v>
      </c>
      <c r="I1243" s="4">
        <v>3</v>
      </c>
      <c r="J1243" s="4">
        <v>4</v>
      </c>
      <c r="K1243" s="102">
        <v>3</v>
      </c>
      <c r="M1243" s="101">
        <f t="shared" si="321"/>
        <v>12</v>
      </c>
      <c r="N1243" s="4">
        <f t="shared" si="322"/>
        <v>34</v>
      </c>
      <c r="O1243" s="4">
        <f t="shared" si="323"/>
        <v>45</v>
      </c>
      <c r="P1243" s="4">
        <f t="shared" si="324"/>
        <v>23</v>
      </c>
      <c r="Q1243" s="4">
        <f t="shared" si="325"/>
        <v>23</v>
      </c>
      <c r="R1243" s="4">
        <f t="shared" si="326"/>
        <v>12</v>
      </c>
      <c r="S1243" s="102">
        <f t="shared" si="327"/>
        <v>23</v>
      </c>
      <c r="U1243" s="101">
        <f t="shared" si="328"/>
        <v>9</v>
      </c>
      <c r="V1243" s="4">
        <f t="shared" si="329"/>
        <v>46</v>
      </c>
      <c r="W1243" s="4">
        <f t="shared" si="330"/>
        <v>71</v>
      </c>
      <c r="X1243" s="4">
        <f t="shared" si="331"/>
        <v>39</v>
      </c>
      <c r="Y1243" s="4">
        <f t="shared" si="332"/>
        <v>39</v>
      </c>
      <c r="Z1243" s="4">
        <f t="shared" si="333"/>
        <v>9</v>
      </c>
      <c r="AA1243" s="102">
        <f t="shared" si="334"/>
        <v>39</v>
      </c>
      <c r="AC1243" s="100">
        <f t="shared" si="335"/>
        <v>0.9653394168883499</v>
      </c>
    </row>
    <row r="1244" spans="4:29" x14ac:dyDescent="0.35">
      <c r="D1244">
        <f t="shared" si="336"/>
        <v>1240</v>
      </c>
      <c r="E1244" s="101">
        <v>1</v>
      </c>
      <c r="F1244" s="4">
        <v>5</v>
      </c>
      <c r="G1244" s="4">
        <v>2</v>
      </c>
      <c r="H1244" s="4">
        <v>2</v>
      </c>
      <c r="I1244" s="4">
        <v>7</v>
      </c>
      <c r="J1244" s="4">
        <v>7</v>
      </c>
      <c r="K1244" s="102">
        <v>3</v>
      </c>
      <c r="M1244" s="101">
        <f t="shared" si="321"/>
        <v>34</v>
      </c>
      <c r="N1244" s="4">
        <f t="shared" si="322"/>
        <v>30</v>
      </c>
      <c r="O1244" s="4">
        <f t="shared" si="323"/>
        <v>56</v>
      </c>
      <c r="P1244" s="4">
        <f t="shared" si="324"/>
        <v>56</v>
      </c>
      <c r="Q1244" s="4">
        <f t="shared" si="325"/>
        <v>29</v>
      </c>
      <c r="R1244" s="4">
        <f t="shared" si="326"/>
        <v>29</v>
      </c>
      <c r="S1244" s="102">
        <f t="shared" si="327"/>
        <v>23</v>
      </c>
      <c r="U1244" s="101">
        <f t="shared" si="328"/>
        <v>46</v>
      </c>
      <c r="V1244" s="4">
        <f t="shared" si="329"/>
        <v>39</v>
      </c>
      <c r="W1244" s="4">
        <f t="shared" si="330"/>
        <v>78</v>
      </c>
      <c r="X1244" s="4">
        <f t="shared" si="331"/>
        <v>78</v>
      </c>
      <c r="Y1244" s="4">
        <f t="shared" si="332"/>
        <v>41</v>
      </c>
      <c r="Z1244" s="4">
        <f t="shared" si="333"/>
        <v>41</v>
      </c>
      <c r="AA1244" s="102">
        <f t="shared" si="334"/>
        <v>39</v>
      </c>
      <c r="AC1244" s="100">
        <f t="shared" si="335"/>
        <v>0.98712192438801671</v>
      </c>
    </row>
    <row r="1245" spans="4:29" x14ac:dyDescent="0.35">
      <c r="D1245">
        <f t="shared" si="336"/>
        <v>1241</v>
      </c>
      <c r="E1245" s="101">
        <v>6</v>
      </c>
      <c r="F1245" s="4">
        <v>3</v>
      </c>
      <c r="G1245" s="4">
        <v>6</v>
      </c>
      <c r="H1245" s="4">
        <v>3</v>
      </c>
      <c r="I1245" s="4">
        <v>2</v>
      </c>
      <c r="J1245" s="4">
        <v>5</v>
      </c>
      <c r="K1245" s="102">
        <v>4</v>
      </c>
      <c r="M1245" s="101">
        <f t="shared" si="321"/>
        <v>45</v>
      </c>
      <c r="N1245" s="4">
        <f t="shared" si="322"/>
        <v>23</v>
      </c>
      <c r="O1245" s="4">
        <f t="shared" si="323"/>
        <v>45</v>
      </c>
      <c r="P1245" s="4">
        <f t="shared" si="324"/>
        <v>23</v>
      </c>
      <c r="Q1245" s="4">
        <f t="shared" si="325"/>
        <v>56</v>
      </c>
      <c r="R1245" s="4">
        <f t="shared" si="326"/>
        <v>30</v>
      </c>
      <c r="S1245" s="102">
        <f t="shared" si="327"/>
        <v>12</v>
      </c>
      <c r="U1245" s="101">
        <f t="shared" si="328"/>
        <v>71</v>
      </c>
      <c r="V1245" s="4">
        <f t="shared" si="329"/>
        <v>39</v>
      </c>
      <c r="W1245" s="4">
        <f t="shared" si="330"/>
        <v>71</v>
      </c>
      <c r="X1245" s="4">
        <f t="shared" si="331"/>
        <v>39</v>
      </c>
      <c r="Y1245" s="4">
        <f t="shared" si="332"/>
        <v>78</v>
      </c>
      <c r="Z1245" s="4">
        <f t="shared" si="333"/>
        <v>39</v>
      </c>
      <c r="AA1245" s="102">
        <f t="shared" si="334"/>
        <v>9</v>
      </c>
      <c r="AC1245" s="100">
        <f t="shared" si="335"/>
        <v>0.97105498268871882</v>
      </c>
    </row>
    <row r="1246" spans="4:29" x14ac:dyDescent="0.35">
      <c r="D1246">
        <f t="shared" si="336"/>
        <v>1242</v>
      </c>
      <c r="E1246" s="101">
        <v>7</v>
      </c>
      <c r="F1246" s="4">
        <v>1</v>
      </c>
      <c r="G1246" s="4">
        <v>4</v>
      </c>
      <c r="H1246" s="4">
        <v>2</v>
      </c>
      <c r="I1246" s="4">
        <v>1</v>
      </c>
      <c r="J1246" s="4">
        <v>1</v>
      </c>
      <c r="K1246" s="102">
        <v>1</v>
      </c>
      <c r="M1246" s="101">
        <f t="shared" si="321"/>
        <v>29</v>
      </c>
      <c r="N1246" s="4">
        <f t="shared" si="322"/>
        <v>34</v>
      </c>
      <c r="O1246" s="4">
        <f t="shared" si="323"/>
        <v>12</v>
      </c>
      <c r="P1246" s="4">
        <f t="shared" si="324"/>
        <v>56</v>
      </c>
      <c r="Q1246" s="4">
        <f t="shared" si="325"/>
        <v>34</v>
      </c>
      <c r="R1246" s="4">
        <f t="shared" si="326"/>
        <v>34</v>
      </c>
      <c r="S1246" s="102">
        <f t="shared" si="327"/>
        <v>34</v>
      </c>
      <c r="U1246" s="101">
        <f t="shared" si="328"/>
        <v>41</v>
      </c>
      <c r="V1246" s="4">
        <f t="shared" si="329"/>
        <v>46</v>
      </c>
      <c r="W1246" s="4">
        <f t="shared" si="330"/>
        <v>9</v>
      </c>
      <c r="X1246" s="4">
        <f t="shared" si="331"/>
        <v>78</v>
      </c>
      <c r="Y1246" s="4">
        <f t="shared" si="332"/>
        <v>46</v>
      </c>
      <c r="Z1246" s="4">
        <f t="shared" si="333"/>
        <v>46</v>
      </c>
      <c r="AA1246" s="102">
        <f t="shared" si="334"/>
        <v>46</v>
      </c>
      <c r="AC1246" s="100">
        <f t="shared" si="335"/>
        <v>0.99590331037033764</v>
      </c>
    </row>
    <row r="1247" spans="4:29" x14ac:dyDescent="0.35">
      <c r="D1247">
        <f t="shared" si="336"/>
        <v>1243</v>
      </c>
      <c r="E1247" s="101">
        <v>5</v>
      </c>
      <c r="F1247" s="4">
        <v>3</v>
      </c>
      <c r="G1247" s="4">
        <v>2</v>
      </c>
      <c r="H1247" s="4">
        <v>2</v>
      </c>
      <c r="I1247" s="4">
        <v>1</v>
      </c>
      <c r="J1247" s="4">
        <v>4</v>
      </c>
      <c r="K1247" s="102">
        <v>7</v>
      </c>
      <c r="M1247" s="101">
        <f t="shared" si="321"/>
        <v>30</v>
      </c>
      <c r="N1247" s="4">
        <f t="shared" si="322"/>
        <v>23</v>
      </c>
      <c r="O1247" s="4">
        <f t="shared" si="323"/>
        <v>56</v>
      </c>
      <c r="P1247" s="4">
        <f t="shared" si="324"/>
        <v>56</v>
      </c>
      <c r="Q1247" s="4">
        <f t="shared" si="325"/>
        <v>34</v>
      </c>
      <c r="R1247" s="4">
        <f t="shared" si="326"/>
        <v>12</v>
      </c>
      <c r="S1247" s="102">
        <f t="shared" si="327"/>
        <v>29</v>
      </c>
      <c r="U1247" s="101">
        <f t="shared" si="328"/>
        <v>39</v>
      </c>
      <c r="V1247" s="4">
        <f t="shared" si="329"/>
        <v>39</v>
      </c>
      <c r="W1247" s="4">
        <f t="shared" si="330"/>
        <v>78</v>
      </c>
      <c r="X1247" s="4">
        <f t="shared" si="331"/>
        <v>78</v>
      </c>
      <c r="Y1247" s="4">
        <f t="shared" si="332"/>
        <v>46</v>
      </c>
      <c r="Z1247" s="4">
        <f t="shared" si="333"/>
        <v>9</v>
      </c>
      <c r="AA1247" s="102">
        <f t="shared" si="334"/>
        <v>41</v>
      </c>
      <c r="AC1247" s="100">
        <f t="shared" si="335"/>
        <v>0.98446461864207158</v>
      </c>
    </row>
    <row r="1248" spans="4:29" x14ac:dyDescent="0.35">
      <c r="D1248">
        <f t="shared" si="336"/>
        <v>1244</v>
      </c>
      <c r="E1248" s="101">
        <v>3</v>
      </c>
      <c r="F1248" s="4">
        <v>1</v>
      </c>
      <c r="G1248" s="4">
        <v>5</v>
      </c>
      <c r="H1248" s="4">
        <v>2</v>
      </c>
      <c r="I1248" s="4">
        <v>1</v>
      </c>
      <c r="J1248" s="4">
        <v>5</v>
      </c>
      <c r="K1248" s="102">
        <v>2</v>
      </c>
      <c r="M1248" s="101">
        <f t="shared" si="321"/>
        <v>23</v>
      </c>
      <c r="N1248" s="4">
        <f t="shared" si="322"/>
        <v>34</v>
      </c>
      <c r="O1248" s="4">
        <f t="shared" si="323"/>
        <v>30</v>
      </c>
      <c r="P1248" s="4">
        <f t="shared" si="324"/>
        <v>56</v>
      </c>
      <c r="Q1248" s="4">
        <f t="shared" si="325"/>
        <v>34</v>
      </c>
      <c r="R1248" s="4">
        <f t="shared" si="326"/>
        <v>30</v>
      </c>
      <c r="S1248" s="102">
        <f t="shared" si="327"/>
        <v>56</v>
      </c>
      <c r="U1248" s="101">
        <f t="shared" si="328"/>
        <v>39</v>
      </c>
      <c r="V1248" s="4">
        <f t="shared" si="329"/>
        <v>46</v>
      </c>
      <c r="W1248" s="4">
        <f t="shared" si="330"/>
        <v>39</v>
      </c>
      <c r="X1248" s="4">
        <f t="shared" si="331"/>
        <v>78</v>
      </c>
      <c r="Y1248" s="4">
        <f t="shared" si="332"/>
        <v>46</v>
      </c>
      <c r="Z1248" s="4">
        <f t="shared" si="333"/>
        <v>39</v>
      </c>
      <c r="AA1248" s="102">
        <f t="shared" si="334"/>
        <v>78</v>
      </c>
      <c r="AC1248" s="100">
        <f t="shared" si="335"/>
        <v>0.98300525640843817</v>
      </c>
    </row>
    <row r="1249" spans="4:29" x14ac:dyDescent="0.35">
      <c r="D1249">
        <f t="shared" si="336"/>
        <v>1245</v>
      </c>
      <c r="E1249" s="101">
        <v>1</v>
      </c>
      <c r="F1249" s="4">
        <v>6</v>
      </c>
      <c r="G1249" s="4">
        <v>5</v>
      </c>
      <c r="H1249" s="4">
        <v>3</v>
      </c>
      <c r="I1249" s="4">
        <v>2</v>
      </c>
      <c r="J1249" s="4">
        <v>6</v>
      </c>
      <c r="K1249" s="102">
        <v>6</v>
      </c>
      <c r="M1249" s="101">
        <f t="shared" si="321"/>
        <v>34</v>
      </c>
      <c r="N1249" s="4">
        <f t="shared" si="322"/>
        <v>45</v>
      </c>
      <c r="O1249" s="4">
        <f t="shared" si="323"/>
        <v>30</v>
      </c>
      <c r="P1249" s="4">
        <f t="shared" si="324"/>
        <v>23</v>
      </c>
      <c r="Q1249" s="4">
        <f t="shared" si="325"/>
        <v>56</v>
      </c>
      <c r="R1249" s="4">
        <f t="shared" si="326"/>
        <v>45</v>
      </c>
      <c r="S1249" s="102">
        <f t="shared" si="327"/>
        <v>45</v>
      </c>
      <c r="U1249" s="101">
        <f t="shared" si="328"/>
        <v>46</v>
      </c>
      <c r="V1249" s="4">
        <f t="shared" si="329"/>
        <v>71</v>
      </c>
      <c r="W1249" s="4">
        <f t="shared" si="330"/>
        <v>39</v>
      </c>
      <c r="X1249" s="4">
        <f t="shared" si="331"/>
        <v>39</v>
      </c>
      <c r="Y1249" s="4">
        <f t="shared" si="332"/>
        <v>78</v>
      </c>
      <c r="Z1249" s="4">
        <f t="shared" si="333"/>
        <v>71</v>
      </c>
      <c r="AA1249" s="102">
        <f t="shared" si="334"/>
        <v>71</v>
      </c>
      <c r="AC1249" s="100">
        <f t="shared" si="335"/>
        <v>0.95582307911211317</v>
      </c>
    </row>
    <row r="1250" spans="4:29" x14ac:dyDescent="0.35">
      <c r="D1250">
        <f t="shared" si="336"/>
        <v>1246</v>
      </c>
      <c r="E1250" s="101">
        <v>3</v>
      </c>
      <c r="F1250" s="4">
        <v>5</v>
      </c>
      <c r="G1250" s="4">
        <v>6</v>
      </c>
      <c r="H1250" s="4">
        <v>5</v>
      </c>
      <c r="I1250" s="4">
        <v>4</v>
      </c>
      <c r="J1250" s="4">
        <v>7</v>
      </c>
      <c r="K1250" s="102">
        <v>3</v>
      </c>
      <c r="M1250" s="101">
        <f t="shared" si="321"/>
        <v>23</v>
      </c>
      <c r="N1250" s="4">
        <f t="shared" si="322"/>
        <v>30</v>
      </c>
      <c r="O1250" s="4">
        <f t="shared" si="323"/>
        <v>45</v>
      </c>
      <c r="P1250" s="4">
        <f t="shared" si="324"/>
        <v>30</v>
      </c>
      <c r="Q1250" s="4">
        <f t="shared" si="325"/>
        <v>12</v>
      </c>
      <c r="R1250" s="4">
        <f t="shared" si="326"/>
        <v>29</v>
      </c>
      <c r="S1250" s="102">
        <f t="shared" si="327"/>
        <v>23</v>
      </c>
      <c r="U1250" s="101">
        <f t="shared" si="328"/>
        <v>39</v>
      </c>
      <c r="V1250" s="4">
        <f t="shared" si="329"/>
        <v>39</v>
      </c>
      <c r="W1250" s="4">
        <f t="shared" si="330"/>
        <v>71</v>
      </c>
      <c r="X1250" s="4">
        <f t="shared" si="331"/>
        <v>39</v>
      </c>
      <c r="Y1250" s="4">
        <f t="shared" si="332"/>
        <v>9</v>
      </c>
      <c r="Z1250" s="4">
        <f t="shared" si="333"/>
        <v>41</v>
      </c>
      <c r="AA1250" s="102">
        <f t="shared" si="334"/>
        <v>39</v>
      </c>
      <c r="AC1250" s="100">
        <f t="shared" si="335"/>
        <v>0.95526246841897033</v>
      </c>
    </row>
    <row r="1251" spans="4:29" x14ac:dyDescent="0.35">
      <c r="D1251">
        <f t="shared" si="336"/>
        <v>1247</v>
      </c>
      <c r="E1251" s="101">
        <v>6</v>
      </c>
      <c r="F1251" s="4">
        <v>6</v>
      </c>
      <c r="G1251" s="4">
        <v>4</v>
      </c>
      <c r="H1251" s="4">
        <v>3</v>
      </c>
      <c r="I1251" s="4">
        <v>6</v>
      </c>
      <c r="J1251" s="4">
        <v>3</v>
      </c>
      <c r="K1251" s="102">
        <v>3</v>
      </c>
      <c r="M1251" s="101">
        <f t="shared" si="321"/>
        <v>45</v>
      </c>
      <c r="N1251" s="4">
        <f t="shared" si="322"/>
        <v>45</v>
      </c>
      <c r="O1251" s="4">
        <f t="shared" si="323"/>
        <v>12</v>
      </c>
      <c r="P1251" s="4">
        <f t="shared" si="324"/>
        <v>23</v>
      </c>
      <c r="Q1251" s="4">
        <f t="shared" si="325"/>
        <v>45</v>
      </c>
      <c r="R1251" s="4">
        <f t="shared" si="326"/>
        <v>23</v>
      </c>
      <c r="S1251" s="102">
        <f t="shared" si="327"/>
        <v>23</v>
      </c>
      <c r="U1251" s="101">
        <f t="shared" si="328"/>
        <v>71</v>
      </c>
      <c r="V1251" s="4">
        <f t="shared" si="329"/>
        <v>71</v>
      </c>
      <c r="W1251" s="4">
        <f t="shared" si="330"/>
        <v>9</v>
      </c>
      <c r="X1251" s="4">
        <f t="shared" si="331"/>
        <v>39</v>
      </c>
      <c r="Y1251" s="4">
        <f t="shared" si="332"/>
        <v>71</v>
      </c>
      <c r="Z1251" s="4">
        <f t="shared" si="333"/>
        <v>39</v>
      </c>
      <c r="AA1251" s="102">
        <f t="shared" si="334"/>
        <v>39</v>
      </c>
      <c r="AC1251" s="100">
        <f t="shared" si="335"/>
        <v>0.98391265694553742</v>
      </c>
    </row>
    <row r="1252" spans="4:29" x14ac:dyDescent="0.35">
      <c r="D1252">
        <f t="shared" si="336"/>
        <v>1248</v>
      </c>
      <c r="E1252" s="101">
        <v>6</v>
      </c>
      <c r="F1252" s="4">
        <v>3</v>
      </c>
      <c r="G1252" s="4">
        <v>6</v>
      </c>
      <c r="H1252" s="4">
        <v>4</v>
      </c>
      <c r="I1252" s="4">
        <v>2</v>
      </c>
      <c r="J1252" s="4">
        <v>1</v>
      </c>
      <c r="K1252" s="102">
        <v>7</v>
      </c>
      <c r="M1252" s="101">
        <f t="shared" si="321"/>
        <v>45</v>
      </c>
      <c r="N1252" s="4">
        <f t="shared" si="322"/>
        <v>23</v>
      </c>
      <c r="O1252" s="4">
        <f t="shared" si="323"/>
        <v>45</v>
      </c>
      <c r="P1252" s="4">
        <f t="shared" si="324"/>
        <v>12</v>
      </c>
      <c r="Q1252" s="4">
        <f t="shared" si="325"/>
        <v>56</v>
      </c>
      <c r="R1252" s="4">
        <f t="shared" si="326"/>
        <v>34</v>
      </c>
      <c r="S1252" s="102">
        <f t="shared" si="327"/>
        <v>29</v>
      </c>
      <c r="U1252" s="101">
        <f t="shared" si="328"/>
        <v>71</v>
      </c>
      <c r="V1252" s="4">
        <f t="shared" si="329"/>
        <v>39</v>
      </c>
      <c r="W1252" s="4">
        <f t="shared" si="330"/>
        <v>71</v>
      </c>
      <c r="X1252" s="4">
        <f t="shared" si="331"/>
        <v>9</v>
      </c>
      <c r="Y1252" s="4">
        <f t="shared" si="332"/>
        <v>78</v>
      </c>
      <c r="Z1252" s="4">
        <f t="shared" si="333"/>
        <v>46</v>
      </c>
      <c r="AA1252" s="102">
        <f t="shared" si="334"/>
        <v>41</v>
      </c>
      <c r="AC1252" s="100">
        <f t="shared" si="335"/>
        <v>0.97643806751196438</v>
      </c>
    </row>
    <row r="1253" spans="4:29" x14ac:dyDescent="0.35">
      <c r="D1253">
        <f t="shared" si="336"/>
        <v>1249</v>
      </c>
      <c r="E1253" s="101">
        <v>7</v>
      </c>
      <c r="F1253" s="4">
        <v>3</v>
      </c>
      <c r="G1253" s="4">
        <v>2</v>
      </c>
      <c r="H1253" s="4">
        <v>1</v>
      </c>
      <c r="I1253" s="4">
        <v>5</v>
      </c>
      <c r="J1253" s="4">
        <v>4</v>
      </c>
      <c r="K1253" s="102">
        <v>3</v>
      </c>
      <c r="M1253" s="101">
        <f t="shared" si="321"/>
        <v>29</v>
      </c>
      <c r="N1253" s="4">
        <f t="shared" si="322"/>
        <v>23</v>
      </c>
      <c r="O1253" s="4">
        <f t="shared" si="323"/>
        <v>56</v>
      </c>
      <c r="P1253" s="4">
        <f t="shared" si="324"/>
        <v>34</v>
      </c>
      <c r="Q1253" s="4">
        <f t="shared" si="325"/>
        <v>30</v>
      </c>
      <c r="R1253" s="4">
        <f t="shared" si="326"/>
        <v>12</v>
      </c>
      <c r="S1253" s="102">
        <f t="shared" si="327"/>
        <v>23</v>
      </c>
      <c r="U1253" s="101">
        <f t="shared" si="328"/>
        <v>41</v>
      </c>
      <c r="V1253" s="4">
        <f t="shared" si="329"/>
        <v>39</v>
      </c>
      <c r="W1253" s="4">
        <f t="shared" si="330"/>
        <v>78</v>
      </c>
      <c r="X1253" s="4">
        <f t="shared" si="331"/>
        <v>46</v>
      </c>
      <c r="Y1253" s="4">
        <f t="shared" si="332"/>
        <v>39</v>
      </c>
      <c r="Z1253" s="4">
        <f t="shared" si="333"/>
        <v>9</v>
      </c>
      <c r="AA1253" s="102">
        <f t="shared" si="334"/>
        <v>39</v>
      </c>
      <c r="AC1253" s="100">
        <f t="shared" si="335"/>
        <v>0.96557646180086354</v>
      </c>
    </row>
    <row r="1254" spans="4:29" x14ac:dyDescent="0.35">
      <c r="D1254">
        <f t="shared" si="336"/>
        <v>1250</v>
      </c>
      <c r="E1254" s="101">
        <v>5</v>
      </c>
      <c r="F1254" s="4">
        <v>4</v>
      </c>
      <c r="G1254" s="4">
        <v>4</v>
      </c>
      <c r="H1254" s="4">
        <v>4</v>
      </c>
      <c r="I1254" s="4">
        <v>1</v>
      </c>
      <c r="J1254" s="4">
        <v>1</v>
      </c>
      <c r="K1254" s="102">
        <v>7</v>
      </c>
      <c r="M1254" s="101">
        <f t="shared" si="321"/>
        <v>30</v>
      </c>
      <c r="N1254" s="4">
        <f t="shared" si="322"/>
        <v>12</v>
      </c>
      <c r="O1254" s="4">
        <f t="shared" si="323"/>
        <v>12</v>
      </c>
      <c r="P1254" s="4">
        <f t="shared" si="324"/>
        <v>12</v>
      </c>
      <c r="Q1254" s="4">
        <f t="shared" si="325"/>
        <v>34</v>
      </c>
      <c r="R1254" s="4">
        <f t="shared" si="326"/>
        <v>34</v>
      </c>
      <c r="S1254" s="102">
        <f t="shared" si="327"/>
        <v>29</v>
      </c>
      <c r="U1254" s="101">
        <f t="shared" si="328"/>
        <v>39</v>
      </c>
      <c r="V1254" s="4">
        <f t="shared" si="329"/>
        <v>9</v>
      </c>
      <c r="W1254" s="4">
        <f t="shared" si="330"/>
        <v>9</v>
      </c>
      <c r="X1254" s="4">
        <f t="shared" si="331"/>
        <v>9</v>
      </c>
      <c r="Y1254" s="4">
        <f t="shared" si="332"/>
        <v>46</v>
      </c>
      <c r="Z1254" s="4">
        <f t="shared" si="333"/>
        <v>46</v>
      </c>
      <c r="AA1254" s="102">
        <f t="shared" si="334"/>
        <v>41</v>
      </c>
      <c r="AC1254" s="100">
        <f t="shared" si="335"/>
        <v>0.99756123507652794</v>
      </c>
    </row>
    <row r="1255" spans="4:29" x14ac:dyDescent="0.35">
      <c r="D1255">
        <f t="shared" si="336"/>
        <v>1251</v>
      </c>
      <c r="E1255" s="101">
        <v>6</v>
      </c>
      <c r="F1255" s="4">
        <v>4</v>
      </c>
      <c r="G1255" s="4">
        <v>3</v>
      </c>
      <c r="H1255" s="4">
        <v>6</v>
      </c>
      <c r="I1255" s="4">
        <v>6</v>
      </c>
      <c r="J1255" s="4">
        <v>2</v>
      </c>
      <c r="K1255" s="102">
        <v>7</v>
      </c>
      <c r="M1255" s="101">
        <f t="shared" si="321"/>
        <v>45</v>
      </c>
      <c r="N1255" s="4">
        <f t="shared" si="322"/>
        <v>12</v>
      </c>
      <c r="O1255" s="4">
        <f t="shared" si="323"/>
        <v>23</v>
      </c>
      <c r="P1255" s="4">
        <f t="shared" si="324"/>
        <v>45</v>
      </c>
      <c r="Q1255" s="4">
        <f t="shared" si="325"/>
        <v>45</v>
      </c>
      <c r="R1255" s="4">
        <f t="shared" si="326"/>
        <v>56</v>
      </c>
      <c r="S1255" s="102">
        <f t="shared" si="327"/>
        <v>29</v>
      </c>
      <c r="U1255" s="101">
        <f t="shared" si="328"/>
        <v>71</v>
      </c>
      <c r="V1255" s="4">
        <f t="shared" si="329"/>
        <v>9</v>
      </c>
      <c r="W1255" s="4">
        <f t="shared" si="330"/>
        <v>39</v>
      </c>
      <c r="X1255" s="4">
        <f t="shared" si="331"/>
        <v>71</v>
      </c>
      <c r="Y1255" s="4">
        <f t="shared" si="332"/>
        <v>71</v>
      </c>
      <c r="Z1255" s="4">
        <f t="shared" si="333"/>
        <v>78</v>
      </c>
      <c r="AA1255" s="102">
        <f t="shared" si="334"/>
        <v>41</v>
      </c>
      <c r="AC1255" s="100">
        <f t="shared" si="335"/>
        <v>0.97859138509471832</v>
      </c>
    </row>
    <row r="1256" spans="4:29" x14ac:dyDescent="0.35">
      <c r="D1256">
        <f t="shared" si="336"/>
        <v>1252</v>
      </c>
      <c r="E1256" s="101">
        <v>5</v>
      </c>
      <c r="F1256" s="4">
        <v>2</v>
      </c>
      <c r="G1256" s="4">
        <v>6</v>
      </c>
      <c r="H1256" s="4">
        <v>7</v>
      </c>
      <c r="I1256" s="4">
        <v>4</v>
      </c>
      <c r="J1256" s="4">
        <v>5</v>
      </c>
      <c r="K1256" s="102">
        <v>2</v>
      </c>
      <c r="M1256" s="101">
        <f t="shared" si="321"/>
        <v>30</v>
      </c>
      <c r="N1256" s="4">
        <f t="shared" si="322"/>
        <v>56</v>
      </c>
      <c r="O1256" s="4">
        <f t="shared" si="323"/>
        <v>45</v>
      </c>
      <c r="P1256" s="4">
        <f t="shared" si="324"/>
        <v>29</v>
      </c>
      <c r="Q1256" s="4">
        <f t="shared" si="325"/>
        <v>12</v>
      </c>
      <c r="R1256" s="4">
        <f t="shared" si="326"/>
        <v>30</v>
      </c>
      <c r="S1256" s="102">
        <f t="shared" si="327"/>
        <v>56</v>
      </c>
      <c r="U1256" s="101">
        <f t="shared" si="328"/>
        <v>39</v>
      </c>
      <c r="V1256" s="4">
        <f t="shared" si="329"/>
        <v>78</v>
      </c>
      <c r="W1256" s="4">
        <f t="shared" si="330"/>
        <v>71</v>
      </c>
      <c r="X1256" s="4">
        <f t="shared" si="331"/>
        <v>41</v>
      </c>
      <c r="Y1256" s="4">
        <f t="shared" si="332"/>
        <v>9</v>
      </c>
      <c r="Z1256" s="4">
        <f t="shared" si="333"/>
        <v>39</v>
      </c>
      <c r="AA1256" s="102">
        <f t="shared" si="334"/>
        <v>78</v>
      </c>
      <c r="AC1256" s="100">
        <f t="shared" si="335"/>
        <v>0.98904432499094996</v>
      </c>
    </row>
    <row r="1257" spans="4:29" x14ac:dyDescent="0.35">
      <c r="D1257">
        <f t="shared" si="336"/>
        <v>1253</v>
      </c>
      <c r="E1257" s="101">
        <v>2</v>
      </c>
      <c r="F1257" s="4">
        <v>4</v>
      </c>
      <c r="G1257" s="4">
        <v>5</v>
      </c>
      <c r="H1257" s="4">
        <v>3</v>
      </c>
      <c r="I1257" s="4">
        <v>5</v>
      </c>
      <c r="J1257" s="4">
        <v>1</v>
      </c>
      <c r="K1257" s="102">
        <v>7</v>
      </c>
      <c r="M1257" s="101">
        <f t="shared" si="321"/>
        <v>56</v>
      </c>
      <c r="N1257" s="4">
        <f t="shared" si="322"/>
        <v>12</v>
      </c>
      <c r="O1257" s="4">
        <f t="shared" si="323"/>
        <v>30</v>
      </c>
      <c r="P1257" s="4">
        <f t="shared" si="324"/>
        <v>23</v>
      </c>
      <c r="Q1257" s="4">
        <f t="shared" si="325"/>
        <v>30</v>
      </c>
      <c r="R1257" s="4">
        <f t="shared" si="326"/>
        <v>34</v>
      </c>
      <c r="S1257" s="102">
        <f t="shared" si="327"/>
        <v>29</v>
      </c>
      <c r="U1257" s="101">
        <f t="shared" si="328"/>
        <v>78</v>
      </c>
      <c r="V1257" s="4">
        <f t="shared" si="329"/>
        <v>9</v>
      </c>
      <c r="W1257" s="4">
        <f t="shared" si="330"/>
        <v>39</v>
      </c>
      <c r="X1257" s="4">
        <f t="shared" si="331"/>
        <v>39</v>
      </c>
      <c r="Y1257" s="4">
        <f t="shared" si="332"/>
        <v>39</v>
      </c>
      <c r="Z1257" s="4">
        <f t="shared" si="333"/>
        <v>46</v>
      </c>
      <c r="AA1257" s="102">
        <f t="shared" si="334"/>
        <v>41</v>
      </c>
      <c r="AC1257" s="100">
        <f t="shared" si="335"/>
        <v>0.97680827001719728</v>
      </c>
    </row>
    <row r="1258" spans="4:29" x14ac:dyDescent="0.35">
      <c r="D1258">
        <f t="shared" si="336"/>
        <v>1254</v>
      </c>
      <c r="E1258" s="101">
        <v>6</v>
      </c>
      <c r="F1258" s="4">
        <v>6</v>
      </c>
      <c r="G1258" s="4">
        <v>7</v>
      </c>
      <c r="H1258" s="4">
        <v>7</v>
      </c>
      <c r="I1258" s="4">
        <v>6</v>
      </c>
      <c r="J1258" s="4">
        <v>4</v>
      </c>
      <c r="K1258" s="102">
        <v>5</v>
      </c>
      <c r="M1258" s="101">
        <f t="shared" si="321"/>
        <v>45</v>
      </c>
      <c r="N1258" s="4">
        <f t="shared" si="322"/>
        <v>45</v>
      </c>
      <c r="O1258" s="4">
        <f t="shared" si="323"/>
        <v>29</v>
      </c>
      <c r="P1258" s="4">
        <f t="shared" si="324"/>
        <v>29</v>
      </c>
      <c r="Q1258" s="4">
        <f t="shared" si="325"/>
        <v>45</v>
      </c>
      <c r="R1258" s="4">
        <f t="shared" si="326"/>
        <v>12</v>
      </c>
      <c r="S1258" s="102">
        <f t="shared" si="327"/>
        <v>30</v>
      </c>
      <c r="U1258" s="101">
        <f t="shared" si="328"/>
        <v>71</v>
      </c>
      <c r="V1258" s="4">
        <f t="shared" si="329"/>
        <v>71</v>
      </c>
      <c r="W1258" s="4">
        <f t="shared" si="330"/>
        <v>41</v>
      </c>
      <c r="X1258" s="4">
        <f t="shared" si="331"/>
        <v>41</v>
      </c>
      <c r="Y1258" s="4">
        <f t="shared" si="332"/>
        <v>71</v>
      </c>
      <c r="Z1258" s="4">
        <f t="shared" si="333"/>
        <v>9</v>
      </c>
      <c r="AA1258" s="102">
        <f t="shared" si="334"/>
        <v>39</v>
      </c>
      <c r="AC1258" s="100">
        <f t="shared" si="335"/>
        <v>0.99810099745416592</v>
      </c>
    </row>
    <row r="1259" spans="4:29" x14ac:dyDescent="0.35">
      <c r="D1259">
        <f t="shared" si="336"/>
        <v>1255</v>
      </c>
      <c r="E1259" s="101">
        <v>6</v>
      </c>
      <c r="F1259" s="4">
        <v>4</v>
      </c>
      <c r="G1259" s="4">
        <v>4</v>
      </c>
      <c r="H1259" s="4">
        <v>2</v>
      </c>
      <c r="I1259" s="4">
        <v>1</v>
      </c>
      <c r="J1259" s="4">
        <v>4</v>
      </c>
      <c r="K1259" s="102">
        <v>3</v>
      </c>
      <c r="M1259" s="101">
        <f t="shared" si="321"/>
        <v>45</v>
      </c>
      <c r="N1259" s="4">
        <f t="shared" si="322"/>
        <v>12</v>
      </c>
      <c r="O1259" s="4">
        <f t="shared" si="323"/>
        <v>12</v>
      </c>
      <c r="P1259" s="4">
        <f t="shared" si="324"/>
        <v>56</v>
      </c>
      <c r="Q1259" s="4">
        <f t="shared" si="325"/>
        <v>34</v>
      </c>
      <c r="R1259" s="4">
        <f t="shared" si="326"/>
        <v>12</v>
      </c>
      <c r="S1259" s="102">
        <f t="shared" si="327"/>
        <v>23</v>
      </c>
      <c r="U1259" s="101">
        <f t="shared" si="328"/>
        <v>71</v>
      </c>
      <c r="V1259" s="4">
        <f t="shared" si="329"/>
        <v>9</v>
      </c>
      <c r="W1259" s="4">
        <f t="shared" si="330"/>
        <v>9</v>
      </c>
      <c r="X1259" s="4">
        <f t="shared" si="331"/>
        <v>78</v>
      </c>
      <c r="Y1259" s="4">
        <f t="shared" si="332"/>
        <v>46</v>
      </c>
      <c r="Z1259" s="4">
        <f t="shared" si="333"/>
        <v>9</v>
      </c>
      <c r="AA1259" s="102">
        <f t="shared" si="334"/>
        <v>39</v>
      </c>
      <c r="AC1259" s="100">
        <f t="shared" si="335"/>
        <v>0.98358467533650484</v>
      </c>
    </row>
    <row r="1260" spans="4:29" x14ac:dyDescent="0.35">
      <c r="D1260">
        <f t="shared" si="336"/>
        <v>1256</v>
      </c>
      <c r="E1260" s="101">
        <v>7</v>
      </c>
      <c r="F1260" s="4">
        <v>6</v>
      </c>
      <c r="G1260" s="4">
        <v>7</v>
      </c>
      <c r="H1260" s="4">
        <v>2</v>
      </c>
      <c r="I1260" s="4">
        <v>3</v>
      </c>
      <c r="J1260" s="4">
        <v>6</v>
      </c>
      <c r="K1260" s="102">
        <v>7</v>
      </c>
      <c r="M1260" s="101">
        <f t="shared" si="321"/>
        <v>29</v>
      </c>
      <c r="N1260" s="4">
        <f t="shared" si="322"/>
        <v>45</v>
      </c>
      <c r="O1260" s="4">
        <f t="shared" si="323"/>
        <v>29</v>
      </c>
      <c r="P1260" s="4">
        <f t="shared" si="324"/>
        <v>56</v>
      </c>
      <c r="Q1260" s="4">
        <f t="shared" si="325"/>
        <v>23</v>
      </c>
      <c r="R1260" s="4">
        <f t="shared" si="326"/>
        <v>45</v>
      </c>
      <c r="S1260" s="102">
        <f t="shared" si="327"/>
        <v>29</v>
      </c>
      <c r="U1260" s="101">
        <f t="shared" si="328"/>
        <v>41</v>
      </c>
      <c r="V1260" s="4">
        <f t="shared" si="329"/>
        <v>71</v>
      </c>
      <c r="W1260" s="4">
        <f t="shared" si="330"/>
        <v>41</v>
      </c>
      <c r="X1260" s="4">
        <f t="shared" si="331"/>
        <v>78</v>
      </c>
      <c r="Y1260" s="4">
        <f t="shared" si="332"/>
        <v>39</v>
      </c>
      <c r="Z1260" s="4">
        <f t="shared" si="333"/>
        <v>71</v>
      </c>
      <c r="AA1260" s="102">
        <f t="shared" si="334"/>
        <v>41</v>
      </c>
      <c r="AC1260" s="100">
        <f t="shared" si="335"/>
        <v>0.97457771373046076</v>
      </c>
    </row>
    <row r="1261" spans="4:29" x14ac:dyDescent="0.35">
      <c r="D1261">
        <f t="shared" si="336"/>
        <v>1257</v>
      </c>
      <c r="E1261" s="101">
        <v>3</v>
      </c>
      <c r="F1261" s="4">
        <v>3</v>
      </c>
      <c r="G1261" s="4">
        <v>4</v>
      </c>
      <c r="H1261" s="4">
        <v>5</v>
      </c>
      <c r="I1261" s="4">
        <v>3</v>
      </c>
      <c r="J1261" s="4">
        <v>1</v>
      </c>
      <c r="K1261" s="102">
        <v>2</v>
      </c>
      <c r="M1261" s="101">
        <f t="shared" si="321"/>
        <v>23</v>
      </c>
      <c r="N1261" s="4">
        <f t="shared" si="322"/>
        <v>23</v>
      </c>
      <c r="O1261" s="4">
        <f t="shared" si="323"/>
        <v>12</v>
      </c>
      <c r="P1261" s="4">
        <f t="shared" si="324"/>
        <v>30</v>
      </c>
      <c r="Q1261" s="4">
        <f t="shared" si="325"/>
        <v>23</v>
      </c>
      <c r="R1261" s="4">
        <f t="shared" si="326"/>
        <v>34</v>
      </c>
      <c r="S1261" s="102">
        <f t="shared" si="327"/>
        <v>56</v>
      </c>
      <c r="U1261" s="101">
        <f t="shared" si="328"/>
        <v>39</v>
      </c>
      <c r="V1261" s="4">
        <f t="shared" si="329"/>
        <v>39</v>
      </c>
      <c r="W1261" s="4">
        <f t="shared" si="330"/>
        <v>9</v>
      </c>
      <c r="X1261" s="4">
        <f t="shared" si="331"/>
        <v>39</v>
      </c>
      <c r="Y1261" s="4">
        <f t="shared" si="332"/>
        <v>39</v>
      </c>
      <c r="Z1261" s="4">
        <f t="shared" si="333"/>
        <v>46</v>
      </c>
      <c r="AA1261" s="102">
        <f t="shared" si="334"/>
        <v>78</v>
      </c>
      <c r="AC1261" s="100">
        <f t="shared" si="335"/>
        <v>0.95739155719686353</v>
      </c>
    </row>
    <row r="1262" spans="4:29" x14ac:dyDescent="0.35">
      <c r="D1262">
        <f t="shared" si="336"/>
        <v>1258</v>
      </c>
      <c r="E1262" s="101">
        <v>2</v>
      </c>
      <c r="F1262" s="4">
        <v>1</v>
      </c>
      <c r="G1262" s="4">
        <v>5</v>
      </c>
      <c r="H1262" s="4">
        <v>6</v>
      </c>
      <c r="I1262" s="4">
        <v>6</v>
      </c>
      <c r="J1262" s="4">
        <v>4</v>
      </c>
      <c r="K1262" s="102">
        <v>3</v>
      </c>
      <c r="M1262" s="101">
        <f t="shared" si="321"/>
        <v>56</v>
      </c>
      <c r="N1262" s="4">
        <f t="shared" si="322"/>
        <v>34</v>
      </c>
      <c r="O1262" s="4">
        <f t="shared" si="323"/>
        <v>30</v>
      </c>
      <c r="P1262" s="4">
        <f t="shared" si="324"/>
        <v>45</v>
      </c>
      <c r="Q1262" s="4">
        <f t="shared" si="325"/>
        <v>45</v>
      </c>
      <c r="R1262" s="4">
        <f t="shared" si="326"/>
        <v>12</v>
      </c>
      <c r="S1262" s="102">
        <f t="shared" si="327"/>
        <v>23</v>
      </c>
      <c r="U1262" s="101">
        <f t="shared" si="328"/>
        <v>78</v>
      </c>
      <c r="V1262" s="4">
        <f t="shared" si="329"/>
        <v>46</v>
      </c>
      <c r="W1262" s="4">
        <f t="shared" si="330"/>
        <v>39</v>
      </c>
      <c r="X1262" s="4">
        <f t="shared" si="331"/>
        <v>71</v>
      </c>
      <c r="Y1262" s="4">
        <f t="shared" si="332"/>
        <v>71</v>
      </c>
      <c r="Z1262" s="4">
        <f t="shared" si="333"/>
        <v>9</v>
      </c>
      <c r="AA1262" s="102">
        <f t="shared" si="334"/>
        <v>39</v>
      </c>
      <c r="AC1262" s="100">
        <f t="shared" si="335"/>
        <v>0.97474696498290037</v>
      </c>
    </row>
    <row r="1263" spans="4:29" x14ac:dyDescent="0.35">
      <c r="D1263">
        <f t="shared" si="336"/>
        <v>1259</v>
      </c>
      <c r="E1263" s="101">
        <v>4</v>
      </c>
      <c r="F1263" s="4">
        <v>2</v>
      </c>
      <c r="G1263" s="4">
        <v>5</v>
      </c>
      <c r="H1263" s="4">
        <v>7</v>
      </c>
      <c r="I1263" s="4">
        <v>6</v>
      </c>
      <c r="J1263" s="4">
        <v>6</v>
      </c>
      <c r="K1263" s="102">
        <v>1</v>
      </c>
      <c r="M1263" s="101">
        <f t="shared" si="321"/>
        <v>12</v>
      </c>
      <c r="N1263" s="4">
        <f t="shared" si="322"/>
        <v>56</v>
      </c>
      <c r="O1263" s="4">
        <f t="shared" si="323"/>
        <v>30</v>
      </c>
      <c r="P1263" s="4">
        <f t="shared" si="324"/>
        <v>29</v>
      </c>
      <c r="Q1263" s="4">
        <f t="shared" si="325"/>
        <v>45</v>
      </c>
      <c r="R1263" s="4">
        <f t="shared" si="326"/>
        <v>45</v>
      </c>
      <c r="S1263" s="102">
        <f t="shared" si="327"/>
        <v>34</v>
      </c>
      <c r="U1263" s="101">
        <f t="shared" si="328"/>
        <v>9</v>
      </c>
      <c r="V1263" s="4">
        <f t="shared" si="329"/>
        <v>78</v>
      </c>
      <c r="W1263" s="4">
        <f t="shared" si="330"/>
        <v>39</v>
      </c>
      <c r="X1263" s="4">
        <f t="shared" si="331"/>
        <v>41</v>
      </c>
      <c r="Y1263" s="4">
        <f t="shared" si="332"/>
        <v>71</v>
      </c>
      <c r="Z1263" s="4">
        <f t="shared" si="333"/>
        <v>71</v>
      </c>
      <c r="AA1263" s="102">
        <f t="shared" si="334"/>
        <v>46</v>
      </c>
      <c r="AC1263" s="100">
        <f t="shared" si="335"/>
        <v>0.98536666061791622</v>
      </c>
    </row>
    <row r="1264" spans="4:29" x14ac:dyDescent="0.35">
      <c r="D1264">
        <f t="shared" si="336"/>
        <v>1260</v>
      </c>
      <c r="E1264" s="101">
        <v>3</v>
      </c>
      <c r="F1264" s="4">
        <v>3</v>
      </c>
      <c r="G1264" s="4">
        <v>3</v>
      </c>
      <c r="H1264" s="4">
        <v>3</v>
      </c>
      <c r="I1264" s="4">
        <v>1</v>
      </c>
      <c r="J1264" s="4">
        <v>5</v>
      </c>
      <c r="K1264" s="102">
        <v>1</v>
      </c>
      <c r="M1264" s="101">
        <f t="shared" si="321"/>
        <v>23</v>
      </c>
      <c r="N1264" s="4">
        <f t="shared" si="322"/>
        <v>23</v>
      </c>
      <c r="O1264" s="4">
        <f t="shared" si="323"/>
        <v>23</v>
      </c>
      <c r="P1264" s="4">
        <f t="shared" si="324"/>
        <v>23</v>
      </c>
      <c r="Q1264" s="4">
        <f t="shared" si="325"/>
        <v>34</v>
      </c>
      <c r="R1264" s="4">
        <f t="shared" si="326"/>
        <v>30</v>
      </c>
      <c r="S1264" s="102">
        <f t="shared" si="327"/>
        <v>34</v>
      </c>
      <c r="U1264" s="101">
        <f t="shared" si="328"/>
        <v>39</v>
      </c>
      <c r="V1264" s="4">
        <f t="shared" si="329"/>
        <v>39</v>
      </c>
      <c r="W1264" s="4">
        <f t="shared" si="330"/>
        <v>39</v>
      </c>
      <c r="X1264" s="4">
        <f t="shared" si="331"/>
        <v>39</v>
      </c>
      <c r="Y1264" s="4">
        <f t="shared" si="332"/>
        <v>46</v>
      </c>
      <c r="Z1264" s="4">
        <f t="shared" si="333"/>
        <v>39</v>
      </c>
      <c r="AA1264" s="102">
        <f t="shared" si="334"/>
        <v>46</v>
      </c>
      <c r="AC1264" s="100">
        <f t="shared" si="335"/>
        <v>0.87782034715134594</v>
      </c>
    </row>
    <row r="1265" spans="4:29" x14ac:dyDescent="0.35">
      <c r="D1265">
        <f t="shared" si="336"/>
        <v>1261</v>
      </c>
      <c r="E1265" s="101">
        <v>7</v>
      </c>
      <c r="F1265" s="4">
        <v>1</v>
      </c>
      <c r="G1265" s="4">
        <v>5</v>
      </c>
      <c r="H1265" s="4">
        <v>7</v>
      </c>
      <c r="I1265" s="4">
        <v>4</v>
      </c>
      <c r="J1265" s="4">
        <v>7</v>
      </c>
      <c r="K1265" s="102">
        <v>5</v>
      </c>
      <c r="M1265" s="101">
        <f t="shared" si="321"/>
        <v>29</v>
      </c>
      <c r="N1265" s="4">
        <f t="shared" si="322"/>
        <v>34</v>
      </c>
      <c r="O1265" s="4">
        <f t="shared" si="323"/>
        <v>30</v>
      </c>
      <c r="P1265" s="4">
        <f t="shared" si="324"/>
        <v>29</v>
      </c>
      <c r="Q1265" s="4">
        <f t="shared" si="325"/>
        <v>12</v>
      </c>
      <c r="R1265" s="4">
        <f t="shared" si="326"/>
        <v>29</v>
      </c>
      <c r="S1265" s="102">
        <f t="shared" si="327"/>
        <v>30</v>
      </c>
      <c r="U1265" s="101">
        <f t="shared" si="328"/>
        <v>41</v>
      </c>
      <c r="V1265" s="4">
        <f t="shared" si="329"/>
        <v>46</v>
      </c>
      <c r="W1265" s="4">
        <f t="shared" si="330"/>
        <v>39</v>
      </c>
      <c r="X1265" s="4">
        <f t="shared" si="331"/>
        <v>41</v>
      </c>
      <c r="Y1265" s="4">
        <f t="shared" si="332"/>
        <v>9</v>
      </c>
      <c r="Z1265" s="4">
        <f t="shared" si="333"/>
        <v>41</v>
      </c>
      <c r="AA1265" s="102">
        <f t="shared" si="334"/>
        <v>39</v>
      </c>
      <c r="AC1265" s="100">
        <f t="shared" si="335"/>
        <v>0.98849639442492154</v>
      </c>
    </row>
    <row r="1266" spans="4:29" x14ac:dyDescent="0.35">
      <c r="D1266">
        <f t="shared" si="336"/>
        <v>1262</v>
      </c>
      <c r="E1266" s="101">
        <v>3</v>
      </c>
      <c r="F1266" s="4">
        <v>2</v>
      </c>
      <c r="G1266" s="4">
        <v>5</v>
      </c>
      <c r="H1266" s="4">
        <v>1</v>
      </c>
      <c r="I1266" s="4">
        <v>3</v>
      </c>
      <c r="J1266" s="4">
        <v>3</v>
      </c>
      <c r="K1266" s="102">
        <v>1</v>
      </c>
      <c r="M1266" s="101">
        <f t="shared" si="321"/>
        <v>23</v>
      </c>
      <c r="N1266" s="4">
        <f t="shared" si="322"/>
        <v>56</v>
      </c>
      <c r="O1266" s="4">
        <f t="shared" si="323"/>
        <v>30</v>
      </c>
      <c r="P1266" s="4">
        <f t="shared" si="324"/>
        <v>34</v>
      </c>
      <c r="Q1266" s="4">
        <f t="shared" si="325"/>
        <v>23</v>
      </c>
      <c r="R1266" s="4">
        <f t="shared" si="326"/>
        <v>23</v>
      </c>
      <c r="S1266" s="102">
        <f t="shared" si="327"/>
        <v>34</v>
      </c>
      <c r="U1266" s="101">
        <f t="shared" si="328"/>
        <v>39</v>
      </c>
      <c r="V1266" s="4">
        <f t="shared" si="329"/>
        <v>78</v>
      </c>
      <c r="W1266" s="4">
        <f t="shared" si="330"/>
        <v>39</v>
      </c>
      <c r="X1266" s="4">
        <f t="shared" si="331"/>
        <v>46</v>
      </c>
      <c r="Y1266" s="4">
        <f t="shared" si="332"/>
        <v>39</v>
      </c>
      <c r="Z1266" s="4">
        <f t="shared" si="333"/>
        <v>39</v>
      </c>
      <c r="AA1266" s="102">
        <f t="shared" si="334"/>
        <v>46</v>
      </c>
      <c r="AC1266" s="100">
        <f t="shared" si="335"/>
        <v>0.96591487763717232</v>
      </c>
    </row>
    <row r="1267" spans="4:29" x14ac:dyDescent="0.35">
      <c r="D1267">
        <f t="shared" si="336"/>
        <v>1263</v>
      </c>
      <c r="E1267" s="101">
        <v>7</v>
      </c>
      <c r="F1267" s="4">
        <v>4</v>
      </c>
      <c r="G1267" s="4">
        <v>7</v>
      </c>
      <c r="H1267" s="4">
        <v>6</v>
      </c>
      <c r="I1267" s="4">
        <v>3</v>
      </c>
      <c r="J1267" s="4">
        <v>4</v>
      </c>
      <c r="K1267" s="102">
        <v>4</v>
      </c>
      <c r="M1267" s="101">
        <f t="shared" si="321"/>
        <v>29</v>
      </c>
      <c r="N1267" s="4">
        <f t="shared" si="322"/>
        <v>12</v>
      </c>
      <c r="O1267" s="4">
        <f t="shared" si="323"/>
        <v>29</v>
      </c>
      <c r="P1267" s="4">
        <f t="shared" si="324"/>
        <v>45</v>
      </c>
      <c r="Q1267" s="4">
        <f t="shared" si="325"/>
        <v>23</v>
      </c>
      <c r="R1267" s="4">
        <f t="shared" si="326"/>
        <v>12</v>
      </c>
      <c r="S1267" s="102">
        <f t="shared" si="327"/>
        <v>12</v>
      </c>
      <c r="U1267" s="101">
        <f t="shared" si="328"/>
        <v>41</v>
      </c>
      <c r="V1267" s="4">
        <f t="shared" si="329"/>
        <v>9</v>
      </c>
      <c r="W1267" s="4">
        <f t="shared" si="330"/>
        <v>41</v>
      </c>
      <c r="X1267" s="4">
        <f t="shared" si="331"/>
        <v>71</v>
      </c>
      <c r="Y1267" s="4">
        <f t="shared" si="332"/>
        <v>39</v>
      </c>
      <c r="Z1267" s="4">
        <f t="shared" si="333"/>
        <v>9</v>
      </c>
      <c r="AA1267" s="102">
        <f t="shared" si="334"/>
        <v>9</v>
      </c>
      <c r="AC1267" s="100">
        <f t="shared" si="335"/>
        <v>0.98872395969255622</v>
      </c>
    </row>
    <row r="1268" spans="4:29" x14ac:dyDescent="0.35">
      <c r="D1268">
        <f t="shared" si="336"/>
        <v>1264</v>
      </c>
      <c r="E1268" s="101">
        <v>6</v>
      </c>
      <c r="F1268" s="4">
        <v>4</v>
      </c>
      <c r="G1268" s="4">
        <v>3</v>
      </c>
      <c r="H1268" s="4">
        <v>7</v>
      </c>
      <c r="I1268" s="4">
        <v>3</v>
      </c>
      <c r="J1268" s="4">
        <v>3</v>
      </c>
      <c r="K1268" s="102">
        <v>4</v>
      </c>
      <c r="M1268" s="101">
        <f t="shared" si="321"/>
        <v>45</v>
      </c>
      <c r="N1268" s="4">
        <f t="shared" si="322"/>
        <v>12</v>
      </c>
      <c r="O1268" s="4">
        <f t="shared" si="323"/>
        <v>23</v>
      </c>
      <c r="P1268" s="4">
        <f t="shared" si="324"/>
        <v>29</v>
      </c>
      <c r="Q1268" s="4">
        <f t="shared" si="325"/>
        <v>23</v>
      </c>
      <c r="R1268" s="4">
        <f t="shared" si="326"/>
        <v>23</v>
      </c>
      <c r="S1268" s="102">
        <f t="shared" si="327"/>
        <v>12</v>
      </c>
      <c r="U1268" s="101">
        <f t="shared" si="328"/>
        <v>71</v>
      </c>
      <c r="V1268" s="4">
        <f t="shared" si="329"/>
        <v>9</v>
      </c>
      <c r="W1268" s="4">
        <f t="shared" si="330"/>
        <v>39</v>
      </c>
      <c r="X1268" s="4">
        <f t="shared" si="331"/>
        <v>41</v>
      </c>
      <c r="Y1268" s="4">
        <f t="shared" si="332"/>
        <v>39</v>
      </c>
      <c r="Z1268" s="4">
        <f t="shared" si="333"/>
        <v>39</v>
      </c>
      <c r="AA1268" s="102">
        <f t="shared" si="334"/>
        <v>9</v>
      </c>
      <c r="AC1268" s="100">
        <f t="shared" si="335"/>
        <v>0.97250991938856424</v>
      </c>
    </row>
    <row r="1269" spans="4:29" x14ac:dyDescent="0.35">
      <c r="D1269">
        <f t="shared" si="336"/>
        <v>1265</v>
      </c>
      <c r="E1269" s="101">
        <v>5</v>
      </c>
      <c r="F1269" s="4">
        <v>5</v>
      </c>
      <c r="G1269" s="4">
        <v>2</v>
      </c>
      <c r="H1269" s="4">
        <v>7</v>
      </c>
      <c r="I1269" s="4">
        <v>7</v>
      </c>
      <c r="J1269" s="4">
        <v>2</v>
      </c>
      <c r="K1269" s="102">
        <v>2</v>
      </c>
      <c r="M1269" s="101">
        <f t="shared" si="321"/>
        <v>30</v>
      </c>
      <c r="N1269" s="4">
        <f t="shared" si="322"/>
        <v>30</v>
      </c>
      <c r="O1269" s="4">
        <f t="shared" si="323"/>
        <v>56</v>
      </c>
      <c r="P1269" s="4">
        <f t="shared" si="324"/>
        <v>29</v>
      </c>
      <c r="Q1269" s="4">
        <f t="shared" si="325"/>
        <v>29</v>
      </c>
      <c r="R1269" s="4">
        <f t="shared" si="326"/>
        <v>56</v>
      </c>
      <c r="S1269" s="102">
        <f t="shared" si="327"/>
        <v>56</v>
      </c>
      <c r="U1269" s="101">
        <f t="shared" si="328"/>
        <v>39</v>
      </c>
      <c r="V1269" s="4">
        <f t="shared" si="329"/>
        <v>39</v>
      </c>
      <c r="W1269" s="4">
        <f t="shared" si="330"/>
        <v>78</v>
      </c>
      <c r="X1269" s="4">
        <f t="shared" si="331"/>
        <v>41</v>
      </c>
      <c r="Y1269" s="4">
        <f t="shared" si="332"/>
        <v>41</v>
      </c>
      <c r="Z1269" s="4">
        <f t="shared" si="333"/>
        <v>78</v>
      </c>
      <c r="AA1269" s="102">
        <f t="shared" si="334"/>
        <v>78</v>
      </c>
      <c r="AC1269" s="100">
        <f t="shared" si="335"/>
        <v>0.99762115742043844</v>
      </c>
    </row>
    <row r="1270" spans="4:29" x14ac:dyDescent="0.35">
      <c r="D1270">
        <f t="shared" si="336"/>
        <v>1266</v>
      </c>
      <c r="E1270" s="101">
        <v>3</v>
      </c>
      <c r="F1270" s="4">
        <v>2</v>
      </c>
      <c r="G1270" s="4">
        <v>7</v>
      </c>
      <c r="H1270" s="4">
        <v>3</v>
      </c>
      <c r="I1270" s="4">
        <v>2</v>
      </c>
      <c r="J1270" s="4">
        <v>4</v>
      </c>
      <c r="K1270" s="102">
        <v>2</v>
      </c>
      <c r="M1270" s="101">
        <f t="shared" si="321"/>
        <v>23</v>
      </c>
      <c r="N1270" s="4">
        <f t="shared" si="322"/>
        <v>56</v>
      </c>
      <c r="O1270" s="4">
        <f t="shared" si="323"/>
        <v>29</v>
      </c>
      <c r="P1270" s="4">
        <f t="shared" si="324"/>
        <v>23</v>
      </c>
      <c r="Q1270" s="4">
        <f t="shared" si="325"/>
        <v>56</v>
      </c>
      <c r="R1270" s="4">
        <f t="shared" si="326"/>
        <v>12</v>
      </c>
      <c r="S1270" s="102">
        <f t="shared" si="327"/>
        <v>56</v>
      </c>
      <c r="U1270" s="101">
        <f t="shared" si="328"/>
        <v>39</v>
      </c>
      <c r="V1270" s="4">
        <f t="shared" si="329"/>
        <v>78</v>
      </c>
      <c r="W1270" s="4">
        <f t="shared" si="330"/>
        <v>41</v>
      </c>
      <c r="X1270" s="4">
        <f t="shared" si="331"/>
        <v>39</v>
      </c>
      <c r="Y1270" s="4">
        <f t="shared" si="332"/>
        <v>78</v>
      </c>
      <c r="Z1270" s="4">
        <f t="shared" si="333"/>
        <v>9</v>
      </c>
      <c r="AA1270" s="102">
        <f t="shared" si="334"/>
        <v>78</v>
      </c>
      <c r="AC1270" s="100">
        <f t="shared" si="335"/>
        <v>0.9825214528557511</v>
      </c>
    </row>
    <row r="1271" spans="4:29" x14ac:dyDescent="0.35">
      <c r="D1271">
        <f t="shared" si="336"/>
        <v>1267</v>
      </c>
      <c r="E1271" s="101">
        <v>5</v>
      </c>
      <c r="F1271" s="4">
        <v>4</v>
      </c>
      <c r="G1271" s="4">
        <v>1</v>
      </c>
      <c r="H1271" s="4">
        <v>3</v>
      </c>
      <c r="I1271" s="4">
        <v>6</v>
      </c>
      <c r="J1271" s="4">
        <v>6</v>
      </c>
      <c r="K1271" s="102">
        <v>6</v>
      </c>
      <c r="M1271" s="101">
        <f t="shared" si="321"/>
        <v>30</v>
      </c>
      <c r="N1271" s="4">
        <f t="shared" si="322"/>
        <v>12</v>
      </c>
      <c r="O1271" s="4">
        <f t="shared" si="323"/>
        <v>34</v>
      </c>
      <c r="P1271" s="4">
        <f t="shared" si="324"/>
        <v>23</v>
      </c>
      <c r="Q1271" s="4">
        <f t="shared" si="325"/>
        <v>45</v>
      </c>
      <c r="R1271" s="4">
        <f t="shared" si="326"/>
        <v>45</v>
      </c>
      <c r="S1271" s="102">
        <f t="shared" si="327"/>
        <v>45</v>
      </c>
      <c r="U1271" s="101">
        <f t="shared" si="328"/>
        <v>39</v>
      </c>
      <c r="V1271" s="4">
        <f t="shared" si="329"/>
        <v>9</v>
      </c>
      <c r="W1271" s="4">
        <f t="shared" si="330"/>
        <v>46</v>
      </c>
      <c r="X1271" s="4">
        <f t="shared" si="331"/>
        <v>39</v>
      </c>
      <c r="Y1271" s="4">
        <f t="shared" si="332"/>
        <v>71</v>
      </c>
      <c r="Z1271" s="4">
        <f t="shared" si="333"/>
        <v>71</v>
      </c>
      <c r="AA1271" s="102">
        <f t="shared" si="334"/>
        <v>71</v>
      </c>
      <c r="AC1271" s="100">
        <f t="shared" si="335"/>
        <v>0.98257556361453102</v>
      </c>
    </row>
    <row r="1272" spans="4:29" x14ac:dyDescent="0.35">
      <c r="D1272">
        <f t="shared" si="336"/>
        <v>1268</v>
      </c>
      <c r="E1272" s="101">
        <v>5</v>
      </c>
      <c r="F1272" s="4">
        <v>6</v>
      </c>
      <c r="G1272" s="4">
        <v>7</v>
      </c>
      <c r="H1272" s="4">
        <v>2</v>
      </c>
      <c r="I1272" s="4">
        <v>3</v>
      </c>
      <c r="J1272" s="4">
        <v>2</v>
      </c>
      <c r="K1272" s="102">
        <v>6</v>
      </c>
      <c r="M1272" s="101">
        <f t="shared" si="321"/>
        <v>30</v>
      </c>
      <c r="N1272" s="4">
        <f t="shared" si="322"/>
        <v>45</v>
      </c>
      <c r="O1272" s="4">
        <f t="shared" si="323"/>
        <v>29</v>
      </c>
      <c r="P1272" s="4">
        <f t="shared" si="324"/>
        <v>56</v>
      </c>
      <c r="Q1272" s="4">
        <f t="shared" si="325"/>
        <v>23</v>
      </c>
      <c r="R1272" s="4">
        <f t="shared" si="326"/>
        <v>56</v>
      </c>
      <c r="S1272" s="102">
        <f t="shared" si="327"/>
        <v>45</v>
      </c>
      <c r="U1272" s="101">
        <f t="shared" si="328"/>
        <v>39</v>
      </c>
      <c r="V1272" s="4">
        <f t="shared" si="329"/>
        <v>71</v>
      </c>
      <c r="W1272" s="4">
        <f t="shared" si="330"/>
        <v>41</v>
      </c>
      <c r="X1272" s="4">
        <f t="shared" si="331"/>
        <v>78</v>
      </c>
      <c r="Y1272" s="4">
        <f t="shared" si="332"/>
        <v>39</v>
      </c>
      <c r="Z1272" s="4">
        <f t="shared" si="333"/>
        <v>78</v>
      </c>
      <c r="AA1272" s="102">
        <f t="shared" si="334"/>
        <v>71</v>
      </c>
      <c r="AC1272" s="100">
        <f t="shared" si="335"/>
        <v>0.96929933737538498</v>
      </c>
    </row>
    <row r="1273" spans="4:29" x14ac:dyDescent="0.35">
      <c r="D1273">
        <f t="shared" si="336"/>
        <v>1269</v>
      </c>
      <c r="E1273" s="101">
        <v>5</v>
      </c>
      <c r="F1273" s="4">
        <v>4</v>
      </c>
      <c r="G1273" s="4">
        <v>6</v>
      </c>
      <c r="H1273" s="4">
        <v>2</v>
      </c>
      <c r="I1273" s="4">
        <v>2</v>
      </c>
      <c r="J1273" s="4">
        <v>2</v>
      </c>
      <c r="K1273" s="102">
        <v>6</v>
      </c>
      <c r="M1273" s="101">
        <f t="shared" si="321"/>
        <v>30</v>
      </c>
      <c r="N1273" s="4">
        <f t="shared" si="322"/>
        <v>12</v>
      </c>
      <c r="O1273" s="4">
        <f t="shared" si="323"/>
        <v>45</v>
      </c>
      <c r="P1273" s="4">
        <f t="shared" si="324"/>
        <v>56</v>
      </c>
      <c r="Q1273" s="4">
        <f t="shared" si="325"/>
        <v>56</v>
      </c>
      <c r="R1273" s="4">
        <f t="shared" si="326"/>
        <v>56</v>
      </c>
      <c r="S1273" s="102">
        <f t="shared" si="327"/>
        <v>45</v>
      </c>
      <c r="U1273" s="101">
        <f t="shared" si="328"/>
        <v>39</v>
      </c>
      <c r="V1273" s="4">
        <f t="shared" si="329"/>
        <v>9</v>
      </c>
      <c r="W1273" s="4">
        <f t="shared" si="330"/>
        <v>71</v>
      </c>
      <c r="X1273" s="4">
        <f t="shared" si="331"/>
        <v>78</v>
      </c>
      <c r="Y1273" s="4">
        <f t="shared" si="332"/>
        <v>78</v>
      </c>
      <c r="Z1273" s="4">
        <f t="shared" si="333"/>
        <v>78</v>
      </c>
      <c r="AA1273" s="102">
        <f t="shared" si="334"/>
        <v>71</v>
      </c>
      <c r="AC1273" s="100">
        <f t="shared" si="335"/>
        <v>0.98315170424698406</v>
      </c>
    </row>
    <row r="1274" spans="4:29" x14ac:dyDescent="0.35">
      <c r="D1274">
        <f t="shared" si="336"/>
        <v>1270</v>
      </c>
      <c r="E1274" s="101">
        <v>6</v>
      </c>
      <c r="F1274" s="4">
        <v>5</v>
      </c>
      <c r="G1274" s="4">
        <v>5</v>
      </c>
      <c r="H1274" s="4">
        <v>6</v>
      </c>
      <c r="I1274" s="4">
        <v>4</v>
      </c>
      <c r="J1274" s="4">
        <v>7</v>
      </c>
      <c r="K1274" s="102">
        <v>5</v>
      </c>
      <c r="M1274" s="101">
        <f t="shared" si="321"/>
        <v>45</v>
      </c>
      <c r="N1274" s="4">
        <f t="shared" si="322"/>
        <v>30</v>
      </c>
      <c r="O1274" s="4">
        <f t="shared" si="323"/>
        <v>30</v>
      </c>
      <c r="P1274" s="4">
        <f t="shared" si="324"/>
        <v>45</v>
      </c>
      <c r="Q1274" s="4">
        <f t="shared" si="325"/>
        <v>12</v>
      </c>
      <c r="R1274" s="4">
        <f t="shared" si="326"/>
        <v>29</v>
      </c>
      <c r="S1274" s="102">
        <f t="shared" si="327"/>
        <v>30</v>
      </c>
      <c r="U1274" s="101">
        <f t="shared" si="328"/>
        <v>71</v>
      </c>
      <c r="V1274" s="4">
        <f t="shared" si="329"/>
        <v>39</v>
      </c>
      <c r="W1274" s="4">
        <f t="shared" si="330"/>
        <v>39</v>
      </c>
      <c r="X1274" s="4">
        <f t="shared" si="331"/>
        <v>71</v>
      </c>
      <c r="Y1274" s="4">
        <f t="shared" si="332"/>
        <v>9</v>
      </c>
      <c r="Z1274" s="4">
        <f t="shared" si="333"/>
        <v>41</v>
      </c>
      <c r="AA1274" s="102">
        <f t="shared" si="334"/>
        <v>39</v>
      </c>
      <c r="AC1274" s="100">
        <f t="shared" si="335"/>
        <v>0.99551319403005156</v>
      </c>
    </row>
    <row r="1275" spans="4:29" x14ac:dyDescent="0.35">
      <c r="D1275">
        <f t="shared" si="336"/>
        <v>1271</v>
      </c>
      <c r="E1275" s="101">
        <v>6</v>
      </c>
      <c r="F1275" s="4">
        <v>5</v>
      </c>
      <c r="G1275" s="4">
        <v>5</v>
      </c>
      <c r="H1275" s="4">
        <v>6</v>
      </c>
      <c r="I1275" s="4">
        <v>3</v>
      </c>
      <c r="J1275" s="4">
        <v>4</v>
      </c>
      <c r="K1275" s="102">
        <v>4</v>
      </c>
      <c r="M1275" s="101">
        <f t="shared" si="321"/>
        <v>45</v>
      </c>
      <c r="N1275" s="4">
        <f t="shared" si="322"/>
        <v>30</v>
      </c>
      <c r="O1275" s="4">
        <f t="shared" si="323"/>
        <v>30</v>
      </c>
      <c r="P1275" s="4">
        <f t="shared" si="324"/>
        <v>45</v>
      </c>
      <c r="Q1275" s="4">
        <f t="shared" si="325"/>
        <v>23</v>
      </c>
      <c r="R1275" s="4">
        <f t="shared" si="326"/>
        <v>12</v>
      </c>
      <c r="S1275" s="102">
        <f t="shared" si="327"/>
        <v>12</v>
      </c>
      <c r="U1275" s="101">
        <f t="shared" si="328"/>
        <v>71</v>
      </c>
      <c r="V1275" s="4">
        <f t="shared" si="329"/>
        <v>39</v>
      </c>
      <c r="W1275" s="4">
        <f t="shared" si="330"/>
        <v>39</v>
      </c>
      <c r="X1275" s="4">
        <f t="shared" si="331"/>
        <v>71</v>
      </c>
      <c r="Y1275" s="4">
        <f t="shared" si="332"/>
        <v>39</v>
      </c>
      <c r="Z1275" s="4">
        <f t="shared" si="333"/>
        <v>9</v>
      </c>
      <c r="AA1275" s="102">
        <f t="shared" si="334"/>
        <v>9</v>
      </c>
      <c r="AC1275" s="100">
        <f t="shared" si="335"/>
        <v>0.98527621464022319</v>
      </c>
    </row>
    <row r="1276" spans="4:29" x14ac:dyDescent="0.35">
      <c r="D1276">
        <f t="shared" si="336"/>
        <v>1272</v>
      </c>
      <c r="E1276" s="101">
        <v>7</v>
      </c>
      <c r="F1276" s="4">
        <v>5</v>
      </c>
      <c r="G1276" s="4">
        <v>5</v>
      </c>
      <c r="H1276" s="4">
        <v>5</v>
      </c>
      <c r="I1276" s="4">
        <v>5</v>
      </c>
      <c r="J1276" s="4">
        <v>5</v>
      </c>
      <c r="K1276" s="102">
        <v>5</v>
      </c>
      <c r="M1276" s="101">
        <f t="shared" si="321"/>
        <v>29</v>
      </c>
      <c r="N1276" s="4">
        <f t="shared" si="322"/>
        <v>30</v>
      </c>
      <c r="O1276" s="4">
        <f t="shared" si="323"/>
        <v>30</v>
      </c>
      <c r="P1276" s="4">
        <f t="shared" si="324"/>
        <v>30</v>
      </c>
      <c r="Q1276" s="4">
        <f t="shared" si="325"/>
        <v>30</v>
      </c>
      <c r="R1276" s="4">
        <f t="shared" si="326"/>
        <v>30</v>
      </c>
      <c r="S1276" s="102">
        <f t="shared" si="327"/>
        <v>30</v>
      </c>
      <c r="U1276" s="101">
        <f t="shared" si="328"/>
        <v>41</v>
      </c>
      <c r="V1276" s="4">
        <f t="shared" si="329"/>
        <v>39</v>
      </c>
      <c r="W1276" s="4">
        <f t="shared" si="330"/>
        <v>39</v>
      </c>
      <c r="X1276" s="4">
        <f t="shared" si="331"/>
        <v>39</v>
      </c>
      <c r="Y1276" s="4">
        <f t="shared" si="332"/>
        <v>39</v>
      </c>
      <c r="Z1276" s="4">
        <f t="shared" si="333"/>
        <v>39</v>
      </c>
      <c r="AA1276" s="102">
        <f t="shared" si="334"/>
        <v>39</v>
      </c>
      <c r="AC1276" s="100">
        <f t="shared" si="335"/>
        <v>-1.0000000000000002</v>
      </c>
    </row>
    <row r="1277" spans="4:29" x14ac:dyDescent="0.35">
      <c r="D1277">
        <f t="shared" si="336"/>
        <v>1273</v>
      </c>
      <c r="E1277" s="101">
        <v>6</v>
      </c>
      <c r="F1277" s="4">
        <v>3</v>
      </c>
      <c r="G1277" s="4">
        <v>4</v>
      </c>
      <c r="H1277" s="4">
        <v>7</v>
      </c>
      <c r="I1277" s="4">
        <v>3</v>
      </c>
      <c r="J1277" s="4">
        <v>1</v>
      </c>
      <c r="K1277" s="102">
        <v>7</v>
      </c>
      <c r="M1277" s="101">
        <f t="shared" si="321"/>
        <v>45</v>
      </c>
      <c r="N1277" s="4">
        <f t="shared" si="322"/>
        <v>23</v>
      </c>
      <c r="O1277" s="4">
        <f t="shared" si="323"/>
        <v>12</v>
      </c>
      <c r="P1277" s="4">
        <f t="shared" si="324"/>
        <v>29</v>
      </c>
      <c r="Q1277" s="4">
        <f t="shared" si="325"/>
        <v>23</v>
      </c>
      <c r="R1277" s="4">
        <f t="shared" si="326"/>
        <v>34</v>
      </c>
      <c r="S1277" s="102">
        <f t="shared" si="327"/>
        <v>29</v>
      </c>
      <c r="U1277" s="101">
        <f t="shared" si="328"/>
        <v>71</v>
      </c>
      <c r="V1277" s="4">
        <f t="shared" si="329"/>
        <v>39</v>
      </c>
      <c r="W1277" s="4">
        <f t="shared" si="330"/>
        <v>9</v>
      </c>
      <c r="X1277" s="4">
        <f t="shared" si="331"/>
        <v>41</v>
      </c>
      <c r="Y1277" s="4">
        <f t="shared" si="332"/>
        <v>39</v>
      </c>
      <c r="Z1277" s="4">
        <f t="shared" si="333"/>
        <v>46</v>
      </c>
      <c r="AA1277" s="102">
        <f t="shared" si="334"/>
        <v>41</v>
      </c>
      <c r="AC1277" s="100">
        <f t="shared" si="335"/>
        <v>0.96317344934838256</v>
      </c>
    </row>
    <row r="1278" spans="4:29" x14ac:dyDescent="0.35">
      <c r="D1278">
        <f t="shared" si="336"/>
        <v>1274</v>
      </c>
      <c r="E1278" s="101">
        <v>1</v>
      </c>
      <c r="F1278" s="4">
        <v>7</v>
      </c>
      <c r="G1278" s="4">
        <v>4</v>
      </c>
      <c r="H1278" s="4">
        <v>3</v>
      </c>
      <c r="I1278" s="4">
        <v>2</v>
      </c>
      <c r="J1278" s="4">
        <v>5</v>
      </c>
      <c r="K1278" s="102">
        <v>3</v>
      </c>
      <c r="M1278" s="101">
        <f t="shared" si="321"/>
        <v>34</v>
      </c>
      <c r="N1278" s="4">
        <f t="shared" si="322"/>
        <v>29</v>
      </c>
      <c r="O1278" s="4">
        <f t="shared" si="323"/>
        <v>12</v>
      </c>
      <c r="P1278" s="4">
        <f t="shared" si="324"/>
        <v>23</v>
      </c>
      <c r="Q1278" s="4">
        <f t="shared" si="325"/>
        <v>56</v>
      </c>
      <c r="R1278" s="4">
        <f t="shared" si="326"/>
        <v>30</v>
      </c>
      <c r="S1278" s="102">
        <f t="shared" si="327"/>
        <v>23</v>
      </c>
      <c r="U1278" s="101">
        <f t="shared" si="328"/>
        <v>46</v>
      </c>
      <c r="V1278" s="4">
        <f t="shared" si="329"/>
        <v>41</v>
      </c>
      <c r="W1278" s="4">
        <f t="shared" si="330"/>
        <v>9</v>
      </c>
      <c r="X1278" s="4">
        <f t="shared" si="331"/>
        <v>39</v>
      </c>
      <c r="Y1278" s="4">
        <f t="shared" si="332"/>
        <v>78</v>
      </c>
      <c r="Z1278" s="4">
        <f t="shared" si="333"/>
        <v>39</v>
      </c>
      <c r="AA1278" s="102">
        <f t="shared" si="334"/>
        <v>39</v>
      </c>
      <c r="AC1278" s="100">
        <f t="shared" si="335"/>
        <v>0.96557646180086365</v>
      </c>
    </row>
    <row r="1279" spans="4:29" x14ac:dyDescent="0.35">
      <c r="D1279">
        <f t="shared" si="336"/>
        <v>1275</v>
      </c>
      <c r="E1279" s="101">
        <v>5</v>
      </c>
      <c r="F1279" s="4">
        <v>5</v>
      </c>
      <c r="G1279" s="4">
        <v>5</v>
      </c>
      <c r="H1279" s="4">
        <v>2</v>
      </c>
      <c r="I1279" s="4">
        <v>1</v>
      </c>
      <c r="J1279" s="4">
        <v>1</v>
      </c>
      <c r="K1279" s="102">
        <v>5</v>
      </c>
      <c r="M1279" s="101">
        <f t="shared" si="321"/>
        <v>30</v>
      </c>
      <c r="N1279" s="4">
        <f t="shared" si="322"/>
        <v>30</v>
      </c>
      <c r="O1279" s="4">
        <f t="shared" si="323"/>
        <v>30</v>
      </c>
      <c r="P1279" s="4">
        <f t="shared" si="324"/>
        <v>56</v>
      </c>
      <c r="Q1279" s="4">
        <f t="shared" si="325"/>
        <v>34</v>
      </c>
      <c r="R1279" s="4">
        <f t="shared" si="326"/>
        <v>34</v>
      </c>
      <c r="S1279" s="102">
        <f t="shared" si="327"/>
        <v>30</v>
      </c>
      <c r="U1279" s="101">
        <f t="shared" si="328"/>
        <v>39</v>
      </c>
      <c r="V1279" s="4">
        <f t="shared" si="329"/>
        <v>39</v>
      </c>
      <c r="W1279" s="4">
        <f t="shared" si="330"/>
        <v>39</v>
      </c>
      <c r="X1279" s="4">
        <f t="shared" si="331"/>
        <v>78</v>
      </c>
      <c r="Y1279" s="4">
        <f t="shared" si="332"/>
        <v>46</v>
      </c>
      <c r="Z1279" s="4">
        <f t="shared" si="333"/>
        <v>46</v>
      </c>
      <c r="AA1279" s="102">
        <f t="shared" si="334"/>
        <v>39</v>
      </c>
      <c r="AC1279" s="100">
        <f t="shared" si="335"/>
        <v>0.9994154729191399</v>
      </c>
    </row>
    <row r="1280" spans="4:29" x14ac:dyDescent="0.35">
      <c r="D1280">
        <f t="shared" si="336"/>
        <v>1276</v>
      </c>
      <c r="E1280" s="101">
        <v>7</v>
      </c>
      <c r="F1280" s="4">
        <v>6</v>
      </c>
      <c r="G1280" s="4">
        <v>6</v>
      </c>
      <c r="H1280" s="4">
        <v>7</v>
      </c>
      <c r="I1280" s="4">
        <v>5</v>
      </c>
      <c r="J1280" s="4">
        <v>6</v>
      </c>
      <c r="K1280" s="102">
        <v>4</v>
      </c>
      <c r="M1280" s="101">
        <f t="shared" si="321"/>
        <v>29</v>
      </c>
      <c r="N1280" s="4">
        <f t="shared" si="322"/>
        <v>45</v>
      </c>
      <c r="O1280" s="4">
        <f t="shared" si="323"/>
        <v>45</v>
      </c>
      <c r="P1280" s="4">
        <f t="shared" si="324"/>
        <v>29</v>
      </c>
      <c r="Q1280" s="4">
        <f t="shared" si="325"/>
        <v>30</v>
      </c>
      <c r="R1280" s="4">
        <f t="shared" si="326"/>
        <v>45</v>
      </c>
      <c r="S1280" s="102">
        <f t="shared" si="327"/>
        <v>12</v>
      </c>
      <c r="U1280" s="101">
        <f t="shared" si="328"/>
        <v>41</v>
      </c>
      <c r="V1280" s="4">
        <f t="shared" si="329"/>
        <v>71</v>
      </c>
      <c r="W1280" s="4">
        <f t="shared" si="330"/>
        <v>71</v>
      </c>
      <c r="X1280" s="4">
        <f t="shared" si="331"/>
        <v>41</v>
      </c>
      <c r="Y1280" s="4">
        <f t="shared" si="332"/>
        <v>39</v>
      </c>
      <c r="Z1280" s="4">
        <f t="shared" si="333"/>
        <v>71</v>
      </c>
      <c r="AA1280" s="102">
        <f t="shared" si="334"/>
        <v>9</v>
      </c>
      <c r="AC1280" s="100">
        <f t="shared" si="335"/>
        <v>0.99810099745416592</v>
      </c>
    </row>
    <row r="1281" spans="4:29" x14ac:dyDescent="0.35">
      <c r="D1281">
        <f t="shared" si="336"/>
        <v>1277</v>
      </c>
      <c r="E1281" s="101">
        <v>5</v>
      </c>
      <c r="F1281" s="4">
        <v>5</v>
      </c>
      <c r="G1281" s="4">
        <v>1</v>
      </c>
      <c r="H1281" s="4">
        <v>3</v>
      </c>
      <c r="I1281" s="4">
        <v>3</v>
      </c>
      <c r="J1281" s="4">
        <v>3</v>
      </c>
      <c r="K1281" s="102">
        <v>3</v>
      </c>
      <c r="M1281" s="101">
        <f t="shared" si="321"/>
        <v>30</v>
      </c>
      <c r="N1281" s="4">
        <f t="shared" si="322"/>
        <v>30</v>
      </c>
      <c r="O1281" s="4">
        <f t="shared" si="323"/>
        <v>34</v>
      </c>
      <c r="P1281" s="4">
        <f t="shared" si="324"/>
        <v>23</v>
      </c>
      <c r="Q1281" s="4">
        <f t="shared" si="325"/>
        <v>23</v>
      </c>
      <c r="R1281" s="4">
        <f t="shared" si="326"/>
        <v>23</v>
      </c>
      <c r="S1281" s="102">
        <f t="shared" si="327"/>
        <v>23</v>
      </c>
      <c r="U1281" s="101">
        <f t="shared" si="328"/>
        <v>39</v>
      </c>
      <c r="V1281" s="4">
        <f t="shared" si="329"/>
        <v>39</v>
      </c>
      <c r="W1281" s="4">
        <f t="shared" si="330"/>
        <v>46</v>
      </c>
      <c r="X1281" s="4">
        <f t="shared" si="331"/>
        <v>39</v>
      </c>
      <c r="Y1281" s="4">
        <f t="shared" si="332"/>
        <v>39</v>
      </c>
      <c r="Z1281" s="4">
        <f t="shared" si="333"/>
        <v>39</v>
      </c>
      <c r="AA1281" s="102">
        <f t="shared" si="334"/>
        <v>39</v>
      </c>
      <c r="AC1281" s="100">
        <f t="shared" si="335"/>
        <v>0.70450615898442615</v>
      </c>
    </row>
    <row r="1282" spans="4:29" x14ac:dyDescent="0.35">
      <c r="D1282">
        <f t="shared" si="336"/>
        <v>1278</v>
      </c>
      <c r="E1282" s="101">
        <v>4</v>
      </c>
      <c r="F1282" s="4">
        <v>6</v>
      </c>
      <c r="G1282" s="4">
        <v>2</v>
      </c>
      <c r="H1282" s="4">
        <v>6</v>
      </c>
      <c r="I1282" s="4">
        <v>4</v>
      </c>
      <c r="J1282" s="4">
        <v>6</v>
      </c>
      <c r="K1282" s="102">
        <v>7</v>
      </c>
      <c r="M1282" s="101">
        <f t="shared" si="321"/>
        <v>12</v>
      </c>
      <c r="N1282" s="4">
        <f t="shared" si="322"/>
        <v>45</v>
      </c>
      <c r="O1282" s="4">
        <f t="shared" si="323"/>
        <v>56</v>
      </c>
      <c r="P1282" s="4">
        <f t="shared" si="324"/>
        <v>45</v>
      </c>
      <c r="Q1282" s="4">
        <f t="shared" si="325"/>
        <v>12</v>
      </c>
      <c r="R1282" s="4">
        <f t="shared" si="326"/>
        <v>45</v>
      </c>
      <c r="S1282" s="102">
        <f t="shared" si="327"/>
        <v>29</v>
      </c>
      <c r="U1282" s="101">
        <f t="shared" si="328"/>
        <v>9</v>
      </c>
      <c r="V1282" s="4">
        <f t="shared" si="329"/>
        <v>71</v>
      </c>
      <c r="W1282" s="4">
        <f t="shared" si="330"/>
        <v>78</v>
      </c>
      <c r="X1282" s="4">
        <f t="shared" si="331"/>
        <v>71</v>
      </c>
      <c r="Y1282" s="4">
        <f t="shared" si="332"/>
        <v>9</v>
      </c>
      <c r="Z1282" s="4">
        <f t="shared" si="333"/>
        <v>71</v>
      </c>
      <c r="AA1282" s="102">
        <f t="shared" si="334"/>
        <v>41</v>
      </c>
      <c r="AC1282" s="100">
        <f t="shared" si="335"/>
        <v>0.98961098093185373</v>
      </c>
    </row>
    <row r="1283" spans="4:29" x14ac:dyDescent="0.35">
      <c r="D1283">
        <f t="shared" si="336"/>
        <v>1279</v>
      </c>
      <c r="E1283" s="101">
        <v>1</v>
      </c>
      <c r="F1283" s="4">
        <v>1</v>
      </c>
      <c r="G1283" s="4">
        <v>3</v>
      </c>
      <c r="H1283" s="4">
        <v>1</v>
      </c>
      <c r="I1283" s="4">
        <v>4</v>
      </c>
      <c r="J1283" s="4">
        <v>1</v>
      </c>
      <c r="K1283" s="102">
        <v>7</v>
      </c>
      <c r="M1283" s="101">
        <f t="shared" si="321"/>
        <v>34</v>
      </c>
      <c r="N1283" s="4">
        <f t="shared" si="322"/>
        <v>34</v>
      </c>
      <c r="O1283" s="4">
        <f t="shared" si="323"/>
        <v>23</v>
      </c>
      <c r="P1283" s="4">
        <f t="shared" si="324"/>
        <v>34</v>
      </c>
      <c r="Q1283" s="4">
        <f t="shared" si="325"/>
        <v>12</v>
      </c>
      <c r="R1283" s="4">
        <f t="shared" si="326"/>
        <v>34</v>
      </c>
      <c r="S1283" s="102">
        <f t="shared" si="327"/>
        <v>29</v>
      </c>
      <c r="U1283" s="101">
        <f t="shared" si="328"/>
        <v>46</v>
      </c>
      <c r="V1283" s="4">
        <f t="shared" si="329"/>
        <v>46</v>
      </c>
      <c r="W1283" s="4">
        <f t="shared" si="330"/>
        <v>39</v>
      </c>
      <c r="X1283" s="4">
        <f t="shared" si="331"/>
        <v>46</v>
      </c>
      <c r="Y1283" s="4">
        <f t="shared" si="332"/>
        <v>9</v>
      </c>
      <c r="Z1283" s="4">
        <f t="shared" si="333"/>
        <v>46</v>
      </c>
      <c r="AA1283" s="102">
        <f t="shared" si="334"/>
        <v>41</v>
      </c>
      <c r="AC1283" s="100">
        <f t="shared" si="335"/>
        <v>0.95209538648272374</v>
      </c>
    </row>
    <row r="1284" spans="4:29" x14ac:dyDescent="0.35">
      <c r="D1284">
        <f t="shared" si="336"/>
        <v>1280</v>
      </c>
      <c r="E1284" s="101">
        <v>6</v>
      </c>
      <c r="F1284" s="4">
        <v>4</v>
      </c>
      <c r="G1284" s="4">
        <v>1</v>
      </c>
      <c r="H1284" s="4">
        <v>5</v>
      </c>
      <c r="I1284" s="4">
        <v>3</v>
      </c>
      <c r="J1284" s="4">
        <v>3</v>
      </c>
      <c r="K1284" s="102">
        <v>7</v>
      </c>
      <c r="M1284" s="101">
        <f t="shared" si="321"/>
        <v>45</v>
      </c>
      <c r="N1284" s="4">
        <f t="shared" si="322"/>
        <v>12</v>
      </c>
      <c r="O1284" s="4">
        <f t="shared" si="323"/>
        <v>34</v>
      </c>
      <c r="P1284" s="4">
        <f t="shared" si="324"/>
        <v>30</v>
      </c>
      <c r="Q1284" s="4">
        <f t="shared" si="325"/>
        <v>23</v>
      </c>
      <c r="R1284" s="4">
        <f t="shared" si="326"/>
        <v>23</v>
      </c>
      <c r="S1284" s="102">
        <f t="shared" si="327"/>
        <v>29</v>
      </c>
      <c r="U1284" s="101">
        <f t="shared" si="328"/>
        <v>71</v>
      </c>
      <c r="V1284" s="4">
        <f t="shared" si="329"/>
        <v>9</v>
      </c>
      <c r="W1284" s="4">
        <f t="shared" si="330"/>
        <v>46</v>
      </c>
      <c r="X1284" s="4">
        <f t="shared" si="331"/>
        <v>39</v>
      </c>
      <c r="Y1284" s="4">
        <f t="shared" si="332"/>
        <v>39</v>
      </c>
      <c r="Z1284" s="4">
        <f t="shared" si="333"/>
        <v>39</v>
      </c>
      <c r="AA1284" s="102">
        <f t="shared" si="334"/>
        <v>41</v>
      </c>
      <c r="AC1284" s="100">
        <f t="shared" si="335"/>
        <v>0.95663510890125902</v>
      </c>
    </row>
    <row r="1285" spans="4:29" x14ac:dyDescent="0.35">
      <c r="D1285">
        <f t="shared" si="336"/>
        <v>1281</v>
      </c>
      <c r="E1285" s="101">
        <v>2</v>
      </c>
      <c r="F1285" s="4">
        <v>2</v>
      </c>
      <c r="G1285" s="4">
        <v>1</v>
      </c>
      <c r="H1285" s="4">
        <v>7</v>
      </c>
      <c r="I1285" s="4">
        <v>3</v>
      </c>
      <c r="J1285" s="4">
        <v>6</v>
      </c>
      <c r="K1285" s="102">
        <v>4</v>
      </c>
      <c r="M1285" s="101">
        <f t="shared" si="321"/>
        <v>56</v>
      </c>
      <c r="N1285" s="4">
        <f t="shared" si="322"/>
        <v>56</v>
      </c>
      <c r="O1285" s="4">
        <f t="shared" si="323"/>
        <v>34</v>
      </c>
      <c r="P1285" s="4">
        <f t="shared" si="324"/>
        <v>29</v>
      </c>
      <c r="Q1285" s="4">
        <f t="shared" si="325"/>
        <v>23</v>
      </c>
      <c r="R1285" s="4">
        <f t="shared" si="326"/>
        <v>45</v>
      </c>
      <c r="S1285" s="102">
        <f t="shared" si="327"/>
        <v>12</v>
      </c>
      <c r="U1285" s="101">
        <f t="shared" si="328"/>
        <v>78</v>
      </c>
      <c r="V1285" s="4">
        <f t="shared" si="329"/>
        <v>78</v>
      </c>
      <c r="W1285" s="4">
        <f t="shared" si="330"/>
        <v>46</v>
      </c>
      <c r="X1285" s="4">
        <f t="shared" si="331"/>
        <v>41</v>
      </c>
      <c r="Y1285" s="4">
        <f t="shared" si="332"/>
        <v>39</v>
      </c>
      <c r="Z1285" s="4">
        <f t="shared" si="333"/>
        <v>71</v>
      </c>
      <c r="AA1285" s="102">
        <f t="shared" si="334"/>
        <v>9</v>
      </c>
      <c r="AC1285" s="100">
        <f t="shared" si="335"/>
        <v>0.97965305071165609</v>
      </c>
    </row>
    <row r="1286" spans="4:29" x14ac:dyDescent="0.35">
      <c r="D1286">
        <f t="shared" si="336"/>
        <v>1282</v>
      </c>
      <c r="E1286" s="101">
        <v>7</v>
      </c>
      <c r="F1286" s="4">
        <v>3</v>
      </c>
      <c r="G1286" s="4">
        <v>2</v>
      </c>
      <c r="H1286" s="4">
        <v>4</v>
      </c>
      <c r="I1286" s="4">
        <v>3</v>
      </c>
      <c r="J1286" s="4">
        <v>6</v>
      </c>
      <c r="K1286" s="102">
        <v>4</v>
      </c>
      <c r="M1286" s="101">
        <f t="shared" ref="M1286:M1349" si="337">INDEX($A$5:$A$11,E1286)</f>
        <v>29</v>
      </c>
      <c r="N1286" s="4">
        <f t="shared" ref="N1286:N1349" si="338">INDEX($A$5:$A$11,F1286)</f>
        <v>23</v>
      </c>
      <c r="O1286" s="4">
        <f t="shared" ref="O1286:O1349" si="339">INDEX($A$5:$A$11,G1286)</f>
        <v>56</v>
      </c>
      <c r="P1286" s="4">
        <f t="shared" ref="P1286:P1349" si="340">INDEX($A$5:$A$11,H1286)</f>
        <v>12</v>
      </c>
      <c r="Q1286" s="4">
        <f t="shared" ref="Q1286:Q1349" si="341">INDEX($A$5:$A$11,I1286)</f>
        <v>23</v>
      </c>
      <c r="R1286" s="4">
        <f t="shared" ref="R1286:R1349" si="342">INDEX($A$5:$A$11,J1286)</f>
        <v>45</v>
      </c>
      <c r="S1286" s="102">
        <f t="shared" ref="S1286:S1349" si="343">INDEX($A$5:$A$11,K1286)</f>
        <v>12</v>
      </c>
      <c r="U1286" s="101">
        <f t="shared" ref="U1286:U1349" si="344">INDEX($B$5:$B$11,E1286)</f>
        <v>41</v>
      </c>
      <c r="V1286" s="4">
        <f t="shared" ref="V1286:V1349" si="345">INDEX($B$5:$B$11,F1286)</f>
        <v>39</v>
      </c>
      <c r="W1286" s="4">
        <f t="shared" ref="W1286:W1349" si="346">INDEX($B$5:$B$11,G1286)</f>
        <v>78</v>
      </c>
      <c r="X1286" s="4">
        <f t="shared" ref="X1286:X1349" si="347">INDEX($B$5:$B$11,H1286)</f>
        <v>9</v>
      </c>
      <c r="Y1286" s="4">
        <f t="shared" ref="Y1286:Y1349" si="348">INDEX($B$5:$B$11,I1286)</f>
        <v>39</v>
      </c>
      <c r="Z1286" s="4">
        <f t="shared" ref="Z1286:Z1349" si="349">INDEX($B$5:$B$11,J1286)</f>
        <v>71</v>
      </c>
      <c r="AA1286" s="102">
        <f t="shared" ref="AA1286:AA1349" si="350">INDEX($B$5:$B$11,K1286)</f>
        <v>9</v>
      </c>
      <c r="AC1286" s="100">
        <f t="shared" ref="AC1286:AC1349" si="351">CORREL(M1286:S1286,U1286:AA1286)</f>
        <v>0.97458929056574906</v>
      </c>
    </row>
    <row r="1287" spans="4:29" x14ac:dyDescent="0.35">
      <c r="D1287">
        <f t="shared" ref="D1287:D1350" si="352">D1286+1</f>
        <v>1283</v>
      </c>
      <c r="E1287" s="101">
        <v>2</v>
      </c>
      <c r="F1287" s="4">
        <v>2</v>
      </c>
      <c r="G1287" s="4">
        <v>1</v>
      </c>
      <c r="H1287" s="4">
        <v>6</v>
      </c>
      <c r="I1287" s="4">
        <v>4</v>
      </c>
      <c r="J1287" s="4">
        <v>6</v>
      </c>
      <c r="K1287" s="102">
        <v>5</v>
      </c>
      <c r="M1287" s="101">
        <f t="shared" si="337"/>
        <v>56</v>
      </c>
      <c r="N1287" s="4">
        <f t="shared" si="338"/>
        <v>56</v>
      </c>
      <c r="O1287" s="4">
        <f t="shared" si="339"/>
        <v>34</v>
      </c>
      <c r="P1287" s="4">
        <f t="shared" si="340"/>
        <v>45</v>
      </c>
      <c r="Q1287" s="4">
        <f t="shared" si="341"/>
        <v>12</v>
      </c>
      <c r="R1287" s="4">
        <f t="shared" si="342"/>
        <v>45</v>
      </c>
      <c r="S1287" s="102">
        <f t="shared" si="343"/>
        <v>30</v>
      </c>
      <c r="U1287" s="101">
        <f t="shared" si="344"/>
        <v>78</v>
      </c>
      <c r="V1287" s="4">
        <f t="shared" si="345"/>
        <v>78</v>
      </c>
      <c r="W1287" s="4">
        <f t="shared" si="346"/>
        <v>46</v>
      </c>
      <c r="X1287" s="4">
        <f t="shared" si="347"/>
        <v>71</v>
      </c>
      <c r="Y1287" s="4">
        <f t="shared" si="348"/>
        <v>9</v>
      </c>
      <c r="Z1287" s="4">
        <f t="shared" si="349"/>
        <v>71</v>
      </c>
      <c r="AA1287" s="102">
        <f t="shared" si="350"/>
        <v>39</v>
      </c>
      <c r="AC1287" s="100">
        <f t="shared" si="351"/>
        <v>0.98395226878976627</v>
      </c>
    </row>
    <row r="1288" spans="4:29" x14ac:dyDescent="0.35">
      <c r="D1288">
        <f t="shared" si="352"/>
        <v>1284</v>
      </c>
      <c r="E1288" s="101">
        <v>5</v>
      </c>
      <c r="F1288" s="4">
        <v>1</v>
      </c>
      <c r="G1288" s="4">
        <v>3</v>
      </c>
      <c r="H1288" s="4">
        <v>3</v>
      </c>
      <c r="I1288" s="4">
        <v>1</v>
      </c>
      <c r="J1288" s="4">
        <v>1</v>
      </c>
      <c r="K1288" s="102">
        <v>1</v>
      </c>
      <c r="M1288" s="101">
        <f t="shared" si="337"/>
        <v>30</v>
      </c>
      <c r="N1288" s="4">
        <f t="shared" si="338"/>
        <v>34</v>
      </c>
      <c r="O1288" s="4">
        <f t="shared" si="339"/>
        <v>23</v>
      </c>
      <c r="P1288" s="4">
        <f t="shared" si="340"/>
        <v>23</v>
      </c>
      <c r="Q1288" s="4">
        <f t="shared" si="341"/>
        <v>34</v>
      </c>
      <c r="R1288" s="4">
        <f t="shared" si="342"/>
        <v>34</v>
      </c>
      <c r="S1288" s="102">
        <f t="shared" si="343"/>
        <v>34</v>
      </c>
      <c r="U1288" s="101">
        <f t="shared" si="344"/>
        <v>39</v>
      </c>
      <c r="V1288" s="4">
        <f t="shared" si="345"/>
        <v>46</v>
      </c>
      <c r="W1288" s="4">
        <f t="shared" si="346"/>
        <v>39</v>
      </c>
      <c r="X1288" s="4">
        <f t="shared" si="347"/>
        <v>39</v>
      </c>
      <c r="Y1288" s="4">
        <f t="shared" si="348"/>
        <v>46</v>
      </c>
      <c r="Z1288" s="4">
        <f t="shared" si="349"/>
        <v>46</v>
      </c>
      <c r="AA1288" s="102">
        <f t="shared" si="350"/>
        <v>46</v>
      </c>
      <c r="AC1288" s="100">
        <f t="shared" si="351"/>
        <v>0.89310700254454356</v>
      </c>
    </row>
    <row r="1289" spans="4:29" x14ac:dyDescent="0.35">
      <c r="D1289">
        <f t="shared" si="352"/>
        <v>1285</v>
      </c>
      <c r="E1289" s="101">
        <v>4</v>
      </c>
      <c r="F1289" s="4">
        <v>7</v>
      </c>
      <c r="G1289" s="4">
        <v>3</v>
      </c>
      <c r="H1289" s="4">
        <v>2</v>
      </c>
      <c r="I1289" s="4">
        <v>7</v>
      </c>
      <c r="J1289" s="4">
        <v>5</v>
      </c>
      <c r="K1289" s="102">
        <v>2</v>
      </c>
      <c r="M1289" s="101">
        <f t="shared" si="337"/>
        <v>12</v>
      </c>
      <c r="N1289" s="4">
        <f t="shared" si="338"/>
        <v>29</v>
      </c>
      <c r="O1289" s="4">
        <f t="shared" si="339"/>
        <v>23</v>
      </c>
      <c r="P1289" s="4">
        <f t="shared" si="340"/>
        <v>56</v>
      </c>
      <c r="Q1289" s="4">
        <f t="shared" si="341"/>
        <v>29</v>
      </c>
      <c r="R1289" s="4">
        <f t="shared" si="342"/>
        <v>30</v>
      </c>
      <c r="S1289" s="102">
        <f t="shared" si="343"/>
        <v>56</v>
      </c>
      <c r="U1289" s="101">
        <f t="shared" si="344"/>
        <v>9</v>
      </c>
      <c r="V1289" s="4">
        <f t="shared" si="345"/>
        <v>41</v>
      </c>
      <c r="W1289" s="4">
        <f t="shared" si="346"/>
        <v>39</v>
      </c>
      <c r="X1289" s="4">
        <f t="shared" si="347"/>
        <v>78</v>
      </c>
      <c r="Y1289" s="4">
        <f t="shared" si="348"/>
        <v>41</v>
      </c>
      <c r="Z1289" s="4">
        <f t="shared" si="349"/>
        <v>39</v>
      </c>
      <c r="AA1289" s="102">
        <f t="shared" si="350"/>
        <v>78</v>
      </c>
      <c r="AC1289" s="100">
        <f t="shared" si="351"/>
        <v>0.9844496740200458</v>
      </c>
    </row>
    <row r="1290" spans="4:29" x14ac:dyDescent="0.35">
      <c r="D1290">
        <f t="shared" si="352"/>
        <v>1286</v>
      </c>
      <c r="E1290" s="101">
        <v>7</v>
      </c>
      <c r="F1290" s="4">
        <v>7</v>
      </c>
      <c r="G1290" s="4">
        <v>3</v>
      </c>
      <c r="H1290" s="4">
        <v>3</v>
      </c>
      <c r="I1290" s="4">
        <v>4</v>
      </c>
      <c r="J1290" s="4">
        <v>1</v>
      </c>
      <c r="K1290" s="102">
        <v>5</v>
      </c>
      <c r="M1290" s="101">
        <f t="shared" si="337"/>
        <v>29</v>
      </c>
      <c r="N1290" s="4">
        <f t="shared" si="338"/>
        <v>29</v>
      </c>
      <c r="O1290" s="4">
        <f t="shared" si="339"/>
        <v>23</v>
      </c>
      <c r="P1290" s="4">
        <f t="shared" si="340"/>
        <v>23</v>
      </c>
      <c r="Q1290" s="4">
        <f t="shared" si="341"/>
        <v>12</v>
      </c>
      <c r="R1290" s="4">
        <f t="shared" si="342"/>
        <v>34</v>
      </c>
      <c r="S1290" s="102">
        <f t="shared" si="343"/>
        <v>30</v>
      </c>
      <c r="U1290" s="101">
        <f t="shared" si="344"/>
        <v>41</v>
      </c>
      <c r="V1290" s="4">
        <f t="shared" si="345"/>
        <v>41</v>
      </c>
      <c r="W1290" s="4">
        <f t="shared" si="346"/>
        <v>39</v>
      </c>
      <c r="X1290" s="4">
        <f t="shared" si="347"/>
        <v>39</v>
      </c>
      <c r="Y1290" s="4">
        <f t="shared" si="348"/>
        <v>9</v>
      </c>
      <c r="Z1290" s="4">
        <f t="shared" si="349"/>
        <v>46</v>
      </c>
      <c r="AA1290" s="102">
        <f t="shared" si="350"/>
        <v>39</v>
      </c>
      <c r="AC1290" s="100">
        <f t="shared" si="351"/>
        <v>0.90877271856610786</v>
      </c>
    </row>
    <row r="1291" spans="4:29" x14ac:dyDescent="0.35">
      <c r="D1291">
        <f t="shared" si="352"/>
        <v>1287</v>
      </c>
      <c r="E1291" s="101">
        <v>4</v>
      </c>
      <c r="F1291" s="4">
        <v>3</v>
      </c>
      <c r="G1291" s="4">
        <v>2</v>
      </c>
      <c r="H1291" s="4">
        <v>2</v>
      </c>
      <c r="I1291" s="4">
        <v>4</v>
      </c>
      <c r="J1291" s="4">
        <v>3</v>
      </c>
      <c r="K1291" s="102">
        <v>5</v>
      </c>
      <c r="M1291" s="101">
        <f t="shared" si="337"/>
        <v>12</v>
      </c>
      <c r="N1291" s="4">
        <f t="shared" si="338"/>
        <v>23</v>
      </c>
      <c r="O1291" s="4">
        <f t="shared" si="339"/>
        <v>56</v>
      </c>
      <c r="P1291" s="4">
        <f t="shared" si="340"/>
        <v>56</v>
      </c>
      <c r="Q1291" s="4">
        <f t="shared" si="341"/>
        <v>12</v>
      </c>
      <c r="R1291" s="4">
        <f t="shared" si="342"/>
        <v>23</v>
      </c>
      <c r="S1291" s="102">
        <f t="shared" si="343"/>
        <v>30</v>
      </c>
      <c r="U1291" s="101">
        <f t="shared" si="344"/>
        <v>9</v>
      </c>
      <c r="V1291" s="4">
        <f t="shared" si="345"/>
        <v>39</v>
      </c>
      <c r="W1291" s="4">
        <f t="shared" si="346"/>
        <v>78</v>
      </c>
      <c r="X1291" s="4">
        <f t="shared" si="347"/>
        <v>78</v>
      </c>
      <c r="Y1291" s="4">
        <f t="shared" si="348"/>
        <v>9</v>
      </c>
      <c r="Z1291" s="4">
        <f t="shared" si="349"/>
        <v>39</v>
      </c>
      <c r="AA1291" s="102">
        <f t="shared" si="350"/>
        <v>39</v>
      </c>
      <c r="AC1291" s="100">
        <f t="shared" si="351"/>
        <v>0.9783438975447617</v>
      </c>
    </row>
    <row r="1292" spans="4:29" x14ac:dyDescent="0.35">
      <c r="D1292">
        <f t="shared" si="352"/>
        <v>1288</v>
      </c>
      <c r="E1292" s="101">
        <v>1</v>
      </c>
      <c r="F1292" s="4">
        <v>2</v>
      </c>
      <c r="G1292" s="4">
        <v>4</v>
      </c>
      <c r="H1292" s="4">
        <v>5</v>
      </c>
      <c r="I1292" s="4">
        <v>7</v>
      </c>
      <c r="J1292" s="4">
        <v>1</v>
      </c>
      <c r="K1292" s="102">
        <v>5</v>
      </c>
      <c r="M1292" s="101">
        <f t="shared" si="337"/>
        <v>34</v>
      </c>
      <c r="N1292" s="4">
        <f t="shared" si="338"/>
        <v>56</v>
      </c>
      <c r="O1292" s="4">
        <f t="shared" si="339"/>
        <v>12</v>
      </c>
      <c r="P1292" s="4">
        <f t="shared" si="340"/>
        <v>30</v>
      </c>
      <c r="Q1292" s="4">
        <f t="shared" si="341"/>
        <v>29</v>
      </c>
      <c r="R1292" s="4">
        <f t="shared" si="342"/>
        <v>34</v>
      </c>
      <c r="S1292" s="102">
        <f t="shared" si="343"/>
        <v>30</v>
      </c>
      <c r="U1292" s="101">
        <f t="shared" si="344"/>
        <v>46</v>
      </c>
      <c r="V1292" s="4">
        <f t="shared" si="345"/>
        <v>78</v>
      </c>
      <c r="W1292" s="4">
        <f t="shared" si="346"/>
        <v>9</v>
      </c>
      <c r="X1292" s="4">
        <f t="shared" si="347"/>
        <v>39</v>
      </c>
      <c r="Y1292" s="4">
        <f t="shared" si="348"/>
        <v>41</v>
      </c>
      <c r="Z1292" s="4">
        <f t="shared" si="349"/>
        <v>46</v>
      </c>
      <c r="AA1292" s="102">
        <f t="shared" si="350"/>
        <v>39</v>
      </c>
      <c r="AC1292" s="100">
        <f t="shared" si="351"/>
        <v>0.99597841885430138</v>
      </c>
    </row>
    <row r="1293" spans="4:29" x14ac:dyDescent="0.35">
      <c r="D1293">
        <f t="shared" si="352"/>
        <v>1289</v>
      </c>
      <c r="E1293" s="101">
        <v>7</v>
      </c>
      <c r="F1293" s="4">
        <v>3</v>
      </c>
      <c r="G1293" s="4">
        <v>3</v>
      </c>
      <c r="H1293" s="4">
        <v>3</v>
      </c>
      <c r="I1293" s="4">
        <v>2</v>
      </c>
      <c r="J1293" s="4">
        <v>1</v>
      </c>
      <c r="K1293" s="102">
        <v>1</v>
      </c>
      <c r="M1293" s="101">
        <f t="shared" si="337"/>
        <v>29</v>
      </c>
      <c r="N1293" s="4">
        <f t="shared" si="338"/>
        <v>23</v>
      </c>
      <c r="O1293" s="4">
        <f t="shared" si="339"/>
        <v>23</v>
      </c>
      <c r="P1293" s="4">
        <f t="shared" si="340"/>
        <v>23</v>
      </c>
      <c r="Q1293" s="4">
        <f t="shared" si="341"/>
        <v>56</v>
      </c>
      <c r="R1293" s="4">
        <f t="shared" si="342"/>
        <v>34</v>
      </c>
      <c r="S1293" s="102">
        <f t="shared" si="343"/>
        <v>34</v>
      </c>
      <c r="U1293" s="101">
        <f t="shared" si="344"/>
        <v>41</v>
      </c>
      <c r="V1293" s="4">
        <f t="shared" si="345"/>
        <v>39</v>
      </c>
      <c r="W1293" s="4">
        <f t="shared" si="346"/>
        <v>39</v>
      </c>
      <c r="X1293" s="4">
        <f t="shared" si="347"/>
        <v>39</v>
      </c>
      <c r="Y1293" s="4">
        <f t="shared" si="348"/>
        <v>78</v>
      </c>
      <c r="Z1293" s="4">
        <f t="shared" si="349"/>
        <v>46</v>
      </c>
      <c r="AA1293" s="102">
        <f t="shared" si="350"/>
        <v>46</v>
      </c>
      <c r="AC1293" s="100">
        <f t="shared" si="351"/>
        <v>0.97621852974714007</v>
      </c>
    </row>
    <row r="1294" spans="4:29" x14ac:dyDescent="0.35">
      <c r="D1294">
        <f t="shared" si="352"/>
        <v>1290</v>
      </c>
      <c r="E1294" s="101">
        <v>3</v>
      </c>
      <c r="F1294" s="4">
        <v>2</v>
      </c>
      <c r="G1294" s="4">
        <v>2</v>
      </c>
      <c r="H1294" s="4">
        <v>5</v>
      </c>
      <c r="I1294" s="4">
        <v>6</v>
      </c>
      <c r="J1294" s="4">
        <v>2</v>
      </c>
      <c r="K1294" s="102">
        <v>5</v>
      </c>
      <c r="M1294" s="101">
        <f t="shared" si="337"/>
        <v>23</v>
      </c>
      <c r="N1294" s="4">
        <f t="shared" si="338"/>
        <v>56</v>
      </c>
      <c r="O1294" s="4">
        <f t="shared" si="339"/>
        <v>56</v>
      </c>
      <c r="P1294" s="4">
        <f t="shared" si="340"/>
        <v>30</v>
      </c>
      <c r="Q1294" s="4">
        <f t="shared" si="341"/>
        <v>45</v>
      </c>
      <c r="R1294" s="4">
        <f t="shared" si="342"/>
        <v>56</v>
      </c>
      <c r="S1294" s="102">
        <f t="shared" si="343"/>
        <v>30</v>
      </c>
      <c r="U1294" s="101">
        <f t="shared" si="344"/>
        <v>39</v>
      </c>
      <c r="V1294" s="4">
        <f t="shared" si="345"/>
        <v>78</v>
      </c>
      <c r="W1294" s="4">
        <f t="shared" si="346"/>
        <v>78</v>
      </c>
      <c r="X1294" s="4">
        <f t="shared" si="347"/>
        <v>39</v>
      </c>
      <c r="Y1294" s="4">
        <f t="shared" si="348"/>
        <v>71</v>
      </c>
      <c r="Z1294" s="4">
        <f t="shared" si="349"/>
        <v>78</v>
      </c>
      <c r="AA1294" s="102">
        <f t="shared" si="350"/>
        <v>39</v>
      </c>
      <c r="AC1294" s="100">
        <f t="shared" si="351"/>
        <v>0.97520776458361147</v>
      </c>
    </row>
    <row r="1295" spans="4:29" x14ac:dyDescent="0.35">
      <c r="D1295">
        <f t="shared" si="352"/>
        <v>1291</v>
      </c>
      <c r="E1295" s="101">
        <v>5</v>
      </c>
      <c r="F1295" s="4">
        <v>6</v>
      </c>
      <c r="G1295" s="4">
        <v>7</v>
      </c>
      <c r="H1295" s="4">
        <v>2</v>
      </c>
      <c r="I1295" s="4">
        <v>5</v>
      </c>
      <c r="J1295" s="4">
        <v>6</v>
      </c>
      <c r="K1295" s="102">
        <v>6</v>
      </c>
      <c r="M1295" s="101">
        <f t="shared" si="337"/>
        <v>30</v>
      </c>
      <c r="N1295" s="4">
        <f t="shared" si="338"/>
        <v>45</v>
      </c>
      <c r="O1295" s="4">
        <f t="shared" si="339"/>
        <v>29</v>
      </c>
      <c r="P1295" s="4">
        <f t="shared" si="340"/>
        <v>56</v>
      </c>
      <c r="Q1295" s="4">
        <f t="shared" si="341"/>
        <v>30</v>
      </c>
      <c r="R1295" s="4">
        <f t="shared" si="342"/>
        <v>45</v>
      </c>
      <c r="S1295" s="102">
        <f t="shared" si="343"/>
        <v>45</v>
      </c>
      <c r="U1295" s="101">
        <f t="shared" si="344"/>
        <v>39</v>
      </c>
      <c r="V1295" s="4">
        <f t="shared" si="345"/>
        <v>71</v>
      </c>
      <c r="W1295" s="4">
        <f t="shared" si="346"/>
        <v>41</v>
      </c>
      <c r="X1295" s="4">
        <f t="shared" si="347"/>
        <v>78</v>
      </c>
      <c r="Y1295" s="4">
        <f t="shared" si="348"/>
        <v>39</v>
      </c>
      <c r="Z1295" s="4">
        <f t="shared" si="349"/>
        <v>71</v>
      </c>
      <c r="AA1295" s="102">
        <f t="shared" si="350"/>
        <v>71</v>
      </c>
      <c r="AC1295" s="100">
        <f t="shared" si="351"/>
        <v>0.96813984402967346</v>
      </c>
    </row>
    <row r="1296" spans="4:29" x14ac:dyDescent="0.35">
      <c r="D1296">
        <f t="shared" si="352"/>
        <v>1292</v>
      </c>
      <c r="E1296" s="101">
        <v>6</v>
      </c>
      <c r="F1296" s="4">
        <v>6</v>
      </c>
      <c r="G1296" s="4">
        <v>7</v>
      </c>
      <c r="H1296" s="4">
        <v>3</v>
      </c>
      <c r="I1296" s="4">
        <v>2</v>
      </c>
      <c r="J1296" s="4">
        <v>5</v>
      </c>
      <c r="K1296" s="102">
        <v>2</v>
      </c>
      <c r="M1296" s="101">
        <f t="shared" si="337"/>
        <v>45</v>
      </c>
      <c r="N1296" s="4">
        <f t="shared" si="338"/>
        <v>45</v>
      </c>
      <c r="O1296" s="4">
        <f t="shared" si="339"/>
        <v>29</v>
      </c>
      <c r="P1296" s="4">
        <f t="shared" si="340"/>
        <v>23</v>
      </c>
      <c r="Q1296" s="4">
        <f t="shared" si="341"/>
        <v>56</v>
      </c>
      <c r="R1296" s="4">
        <f t="shared" si="342"/>
        <v>30</v>
      </c>
      <c r="S1296" s="102">
        <f t="shared" si="343"/>
        <v>56</v>
      </c>
      <c r="U1296" s="101">
        <f t="shared" si="344"/>
        <v>71</v>
      </c>
      <c r="V1296" s="4">
        <f t="shared" si="345"/>
        <v>71</v>
      </c>
      <c r="W1296" s="4">
        <f t="shared" si="346"/>
        <v>41</v>
      </c>
      <c r="X1296" s="4">
        <f t="shared" si="347"/>
        <v>39</v>
      </c>
      <c r="Y1296" s="4">
        <f t="shared" si="348"/>
        <v>78</v>
      </c>
      <c r="Z1296" s="4">
        <f t="shared" si="349"/>
        <v>39</v>
      </c>
      <c r="AA1296" s="102">
        <f t="shared" si="350"/>
        <v>78</v>
      </c>
      <c r="AC1296" s="100">
        <f t="shared" si="351"/>
        <v>0.96929933737538498</v>
      </c>
    </row>
    <row r="1297" spans="4:29" x14ac:dyDescent="0.35">
      <c r="D1297">
        <f t="shared" si="352"/>
        <v>1293</v>
      </c>
      <c r="E1297" s="101">
        <v>2</v>
      </c>
      <c r="F1297" s="4">
        <v>2</v>
      </c>
      <c r="G1297" s="4">
        <v>1</v>
      </c>
      <c r="H1297" s="4">
        <v>4</v>
      </c>
      <c r="I1297" s="4">
        <v>5</v>
      </c>
      <c r="J1297" s="4">
        <v>5</v>
      </c>
      <c r="K1297" s="102">
        <v>6</v>
      </c>
      <c r="M1297" s="101">
        <f t="shared" si="337"/>
        <v>56</v>
      </c>
      <c r="N1297" s="4">
        <f t="shared" si="338"/>
        <v>56</v>
      </c>
      <c r="O1297" s="4">
        <f t="shared" si="339"/>
        <v>34</v>
      </c>
      <c r="P1297" s="4">
        <f t="shared" si="340"/>
        <v>12</v>
      </c>
      <c r="Q1297" s="4">
        <f t="shared" si="341"/>
        <v>30</v>
      </c>
      <c r="R1297" s="4">
        <f t="shared" si="342"/>
        <v>30</v>
      </c>
      <c r="S1297" s="102">
        <f t="shared" si="343"/>
        <v>45</v>
      </c>
      <c r="U1297" s="101">
        <f t="shared" si="344"/>
        <v>78</v>
      </c>
      <c r="V1297" s="4">
        <f t="shared" si="345"/>
        <v>78</v>
      </c>
      <c r="W1297" s="4">
        <f t="shared" si="346"/>
        <v>46</v>
      </c>
      <c r="X1297" s="4">
        <f t="shared" si="347"/>
        <v>9</v>
      </c>
      <c r="Y1297" s="4">
        <f t="shared" si="348"/>
        <v>39</v>
      </c>
      <c r="Z1297" s="4">
        <f t="shared" si="349"/>
        <v>39</v>
      </c>
      <c r="AA1297" s="102">
        <f t="shared" si="350"/>
        <v>71</v>
      </c>
      <c r="AC1297" s="100">
        <f t="shared" si="351"/>
        <v>0.98996059273785919</v>
      </c>
    </row>
    <row r="1298" spans="4:29" x14ac:dyDescent="0.35">
      <c r="D1298">
        <f t="shared" si="352"/>
        <v>1294</v>
      </c>
      <c r="E1298" s="101">
        <v>1</v>
      </c>
      <c r="F1298" s="4">
        <v>2</v>
      </c>
      <c r="G1298" s="4">
        <v>5</v>
      </c>
      <c r="H1298" s="4">
        <v>2</v>
      </c>
      <c r="I1298" s="4">
        <v>5</v>
      </c>
      <c r="J1298" s="4">
        <v>6</v>
      </c>
      <c r="K1298" s="102">
        <v>2</v>
      </c>
      <c r="M1298" s="101">
        <f t="shared" si="337"/>
        <v>34</v>
      </c>
      <c r="N1298" s="4">
        <f t="shared" si="338"/>
        <v>56</v>
      </c>
      <c r="O1298" s="4">
        <f t="shared" si="339"/>
        <v>30</v>
      </c>
      <c r="P1298" s="4">
        <f t="shared" si="340"/>
        <v>56</v>
      </c>
      <c r="Q1298" s="4">
        <f t="shared" si="341"/>
        <v>30</v>
      </c>
      <c r="R1298" s="4">
        <f t="shared" si="342"/>
        <v>45</v>
      </c>
      <c r="S1298" s="102">
        <f t="shared" si="343"/>
        <v>56</v>
      </c>
      <c r="U1298" s="101">
        <f t="shared" si="344"/>
        <v>46</v>
      </c>
      <c r="V1298" s="4">
        <f t="shared" si="345"/>
        <v>78</v>
      </c>
      <c r="W1298" s="4">
        <f t="shared" si="346"/>
        <v>39</v>
      </c>
      <c r="X1298" s="4">
        <f t="shared" si="347"/>
        <v>78</v>
      </c>
      <c r="Y1298" s="4">
        <f t="shared" si="348"/>
        <v>39</v>
      </c>
      <c r="Z1298" s="4">
        <f t="shared" si="349"/>
        <v>71</v>
      </c>
      <c r="AA1298" s="102">
        <f t="shared" si="350"/>
        <v>78</v>
      </c>
      <c r="AC1298" s="100">
        <f t="shared" si="351"/>
        <v>0.98236324623229887</v>
      </c>
    </row>
    <row r="1299" spans="4:29" x14ac:dyDescent="0.35">
      <c r="D1299">
        <f t="shared" si="352"/>
        <v>1295</v>
      </c>
      <c r="E1299" s="101">
        <v>5</v>
      </c>
      <c r="F1299" s="4">
        <v>1</v>
      </c>
      <c r="G1299" s="4">
        <v>1</v>
      </c>
      <c r="H1299" s="4">
        <v>2</v>
      </c>
      <c r="I1299" s="4">
        <v>7</v>
      </c>
      <c r="J1299" s="4">
        <v>4</v>
      </c>
      <c r="K1299" s="102">
        <v>1</v>
      </c>
      <c r="M1299" s="101">
        <f t="shared" si="337"/>
        <v>30</v>
      </c>
      <c r="N1299" s="4">
        <f t="shared" si="338"/>
        <v>34</v>
      </c>
      <c r="O1299" s="4">
        <f t="shared" si="339"/>
        <v>34</v>
      </c>
      <c r="P1299" s="4">
        <f t="shared" si="340"/>
        <v>56</v>
      </c>
      <c r="Q1299" s="4">
        <f t="shared" si="341"/>
        <v>29</v>
      </c>
      <c r="R1299" s="4">
        <f t="shared" si="342"/>
        <v>12</v>
      </c>
      <c r="S1299" s="102">
        <f t="shared" si="343"/>
        <v>34</v>
      </c>
      <c r="U1299" s="101">
        <f t="shared" si="344"/>
        <v>39</v>
      </c>
      <c r="V1299" s="4">
        <f t="shared" si="345"/>
        <v>46</v>
      </c>
      <c r="W1299" s="4">
        <f t="shared" si="346"/>
        <v>46</v>
      </c>
      <c r="X1299" s="4">
        <f t="shared" si="347"/>
        <v>78</v>
      </c>
      <c r="Y1299" s="4">
        <f t="shared" si="348"/>
        <v>41</v>
      </c>
      <c r="Z1299" s="4">
        <f t="shared" si="349"/>
        <v>9</v>
      </c>
      <c r="AA1299" s="102">
        <f t="shared" si="350"/>
        <v>46</v>
      </c>
      <c r="AC1299" s="100">
        <f t="shared" si="351"/>
        <v>0.99593442377678154</v>
      </c>
    </row>
    <row r="1300" spans="4:29" x14ac:dyDescent="0.35">
      <c r="D1300">
        <f t="shared" si="352"/>
        <v>1296</v>
      </c>
      <c r="E1300" s="101">
        <v>1</v>
      </c>
      <c r="F1300" s="4">
        <v>4</v>
      </c>
      <c r="G1300" s="4">
        <v>4</v>
      </c>
      <c r="H1300" s="4">
        <v>7</v>
      </c>
      <c r="I1300" s="4">
        <v>1</v>
      </c>
      <c r="J1300" s="4">
        <v>4</v>
      </c>
      <c r="K1300" s="102">
        <v>5</v>
      </c>
      <c r="M1300" s="101">
        <f t="shared" si="337"/>
        <v>34</v>
      </c>
      <c r="N1300" s="4">
        <f t="shared" si="338"/>
        <v>12</v>
      </c>
      <c r="O1300" s="4">
        <f t="shared" si="339"/>
        <v>12</v>
      </c>
      <c r="P1300" s="4">
        <f t="shared" si="340"/>
        <v>29</v>
      </c>
      <c r="Q1300" s="4">
        <f t="shared" si="341"/>
        <v>34</v>
      </c>
      <c r="R1300" s="4">
        <f t="shared" si="342"/>
        <v>12</v>
      </c>
      <c r="S1300" s="102">
        <f t="shared" si="343"/>
        <v>30</v>
      </c>
      <c r="U1300" s="101">
        <f t="shared" si="344"/>
        <v>46</v>
      </c>
      <c r="V1300" s="4">
        <f t="shared" si="345"/>
        <v>9</v>
      </c>
      <c r="W1300" s="4">
        <f t="shared" si="346"/>
        <v>9</v>
      </c>
      <c r="X1300" s="4">
        <f t="shared" si="347"/>
        <v>41</v>
      </c>
      <c r="Y1300" s="4">
        <f t="shared" si="348"/>
        <v>46</v>
      </c>
      <c r="Z1300" s="4">
        <f t="shared" si="349"/>
        <v>9</v>
      </c>
      <c r="AA1300" s="102">
        <f t="shared" si="350"/>
        <v>39</v>
      </c>
      <c r="AC1300" s="100">
        <f t="shared" si="351"/>
        <v>0.99756123507652794</v>
      </c>
    </row>
    <row r="1301" spans="4:29" x14ac:dyDescent="0.35">
      <c r="D1301">
        <f t="shared" si="352"/>
        <v>1297</v>
      </c>
      <c r="E1301" s="101">
        <v>1</v>
      </c>
      <c r="F1301" s="4">
        <v>6</v>
      </c>
      <c r="G1301" s="4">
        <v>4</v>
      </c>
      <c r="H1301" s="4">
        <v>6</v>
      </c>
      <c r="I1301" s="4">
        <v>7</v>
      </c>
      <c r="J1301" s="4">
        <v>7</v>
      </c>
      <c r="K1301" s="102">
        <v>5</v>
      </c>
      <c r="M1301" s="101">
        <f t="shared" si="337"/>
        <v>34</v>
      </c>
      <c r="N1301" s="4">
        <f t="shared" si="338"/>
        <v>45</v>
      </c>
      <c r="O1301" s="4">
        <f t="shared" si="339"/>
        <v>12</v>
      </c>
      <c r="P1301" s="4">
        <f t="shared" si="340"/>
        <v>45</v>
      </c>
      <c r="Q1301" s="4">
        <f t="shared" si="341"/>
        <v>29</v>
      </c>
      <c r="R1301" s="4">
        <f t="shared" si="342"/>
        <v>29</v>
      </c>
      <c r="S1301" s="102">
        <f t="shared" si="343"/>
        <v>30</v>
      </c>
      <c r="U1301" s="101">
        <f t="shared" si="344"/>
        <v>46</v>
      </c>
      <c r="V1301" s="4">
        <f t="shared" si="345"/>
        <v>71</v>
      </c>
      <c r="W1301" s="4">
        <f t="shared" si="346"/>
        <v>9</v>
      </c>
      <c r="X1301" s="4">
        <f t="shared" si="347"/>
        <v>71</v>
      </c>
      <c r="Y1301" s="4">
        <f t="shared" si="348"/>
        <v>41</v>
      </c>
      <c r="Z1301" s="4">
        <f t="shared" si="349"/>
        <v>41</v>
      </c>
      <c r="AA1301" s="102">
        <f t="shared" si="350"/>
        <v>39</v>
      </c>
      <c r="AC1301" s="100">
        <f t="shared" si="351"/>
        <v>0.99554394118557754</v>
      </c>
    </row>
    <row r="1302" spans="4:29" x14ac:dyDescent="0.35">
      <c r="D1302">
        <f t="shared" si="352"/>
        <v>1298</v>
      </c>
      <c r="E1302" s="101">
        <v>1</v>
      </c>
      <c r="F1302" s="4">
        <v>1</v>
      </c>
      <c r="G1302" s="4">
        <v>6</v>
      </c>
      <c r="H1302" s="4">
        <v>7</v>
      </c>
      <c r="I1302" s="4">
        <v>7</v>
      </c>
      <c r="J1302" s="4">
        <v>5</v>
      </c>
      <c r="K1302" s="102">
        <v>1</v>
      </c>
      <c r="M1302" s="101">
        <f t="shared" si="337"/>
        <v>34</v>
      </c>
      <c r="N1302" s="4">
        <f t="shared" si="338"/>
        <v>34</v>
      </c>
      <c r="O1302" s="4">
        <f t="shared" si="339"/>
        <v>45</v>
      </c>
      <c r="P1302" s="4">
        <f t="shared" si="340"/>
        <v>29</v>
      </c>
      <c r="Q1302" s="4">
        <f t="shared" si="341"/>
        <v>29</v>
      </c>
      <c r="R1302" s="4">
        <f t="shared" si="342"/>
        <v>30</v>
      </c>
      <c r="S1302" s="102">
        <f t="shared" si="343"/>
        <v>34</v>
      </c>
      <c r="U1302" s="101">
        <f t="shared" si="344"/>
        <v>46</v>
      </c>
      <c r="V1302" s="4">
        <f t="shared" si="345"/>
        <v>46</v>
      </c>
      <c r="W1302" s="4">
        <f t="shared" si="346"/>
        <v>71</v>
      </c>
      <c r="X1302" s="4">
        <f t="shared" si="347"/>
        <v>41</v>
      </c>
      <c r="Y1302" s="4">
        <f t="shared" si="348"/>
        <v>41</v>
      </c>
      <c r="Z1302" s="4">
        <f t="shared" si="349"/>
        <v>39</v>
      </c>
      <c r="AA1302" s="102">
        <f t="shared" si="350"/>
        <v>46</v>
      </c>
      <c r="AC1302" s="100">
        <f t="shared" si="351"/>
        <v>0.97822830124601634</v>
      </c>
    </row>
    <row r="1303" spans="4:29" x14ac:dyDescent="0.35">
      <c r="D1303">
        <f t="shared" si="352"/>
        <v>1299</v>
      </c>
      <c r="E1303" s="101">
        <v>3</v>
      </c>
      <c r="F1303" s="4">
        <v>6</v>
      </c>
      <c r="G1303" s="4">
        <v>6</v>
      </c>
      <c r="H1303" s="4">
        <v>4</v>
      </c>
      <c r="I1303" s="4">
        <v>2</v>
      </c>
      <c r="J1303" s="4">
        <v>7</v>
      </c>
      <c r="K1303" s="102">
        <v>1</v>
      </c>
      <c r="M1303" s="101">
        <f t="shared" si="337"/>
        <v>23</v>
      </c>
      <c r="N1303" s="4">
        <f t="shared" si="338"/>
        <v>45</v>
      </c>
      <c r="O1303" s="4">
        <f t="shared" si="339"/>
        <v>45</v>
      </c>
      <c r="P1303" s="4">
        <f t="shared" si="340"/>
        <v>12</v>
      </c>
      <c r="Q1303" s="4">
        <f t="shared" si="341"/>
        <v>56</v>
      </c>
      <c r="R1303" s="4">
        <f t="shared" si="342"/>
        <v>29</v>
      </c>
      <c r="S1303" s="102">
        <f t="shared" si="343"/>
        <v>34</v>
      </c>
      <c r="U1303" s="101">
        <f t="shared" si="344"/>
        <v>39</v>
      </c>
      <c r="V1303" s="4">
        <f t="shared" si="345"/>
        <v>71</v>
      </c>
      <c r="W1303" s="4">
        <f t="shared" si="346"/>
        <v>71</v>
      </c>
      <c r="X1303" s="4">
        <f t="shared" si="347"/>
        <v>9</v>
      </c>
      <c r="Y1303" s="4">
        <f t="shared" si="348"/>
        <v>78</v>
      </c>
      <c r="Z1303" s="4">
        <f t="shared" si="349"/>
        <v>41</v>
      </c>
      <c r="AA1303" s="102">
        <f t="shared" si="350"/>
        <v>46</v>
      </c>
      <c r="AC1303" s="100">
        <f t="shared" si="351"/>
        <v>0.97643806751196438</v>
      </c>
    </row>
    <row r="1304" spans="4:29" x14ac:dyDescent="0.35">
      <c r="D1304">
        <f t="shared" si="352"/>
        <v>1300</v>
      </c>
      <c r="E1304" s="101">
        <v>2</v>
      </c>
      <c r="F1304" s="4">
        <v>5</v>
      </c>
      <c r="G1304" s="4">
        <v>2</v>
      </c>
      <c r="H1304" s="4">
        <v>7</v>
      </c>
      <c r="I1304" s="4">
        <v>5</v>
      </c>
      <c r="J1304" s="4">
        <v>6</v>
      </c>
      <c r="K1304" s="102">
        <v>7</v>
      </c>
      <c r="M1304" s="101">
        <f t="shared" si="337"/>
        <v>56</v>
      </c>
      <c r="N1304" s="4">
        <f t="shared" si="338"/>
        <v>30</v>
      </c>
      <c r="O1304" s="4">
        <f t="shared" si="339"/>
        <v>56</v>
      </c>
      <c r="P1304" s="4">
        <f t="shared" si="340"/>
        <v>29</v>
      </c>
      <c r="Q1304" s="4">
        <f t="shared" si="341"/>
        <v>30</v>
      </c>
      <c r="R1304" s="4">
        <f t="shared" si="342"/>
        <v>45</v>
      </c>
      <c r="S1304" s="102">
        <f t="shared" si="343"/>
        <v>29</v>
      </c>
      <c r="U1304" s="101">
        <f t="shared" si="344"/>
        <v>78</v>
      </c>
      <c r="V1304" s="4">
        <f t="shared" si="345"/>
        <v>39</v>
      </c>
      <c r="W1304" s="4">
        <f t="shared" si="346"/>
        <v>78</v>
      </c>
      <c r="X1304" s="4">
        <f t="shared" si="347"/>
        <v>41</v>
      </c>
      <c r="Y1304" s="4">
        <f t="shared" si="348"/>
        <v>39</v>
      </c>
      <c r="Z1304" s="4">
        <f t="shared" si="349"/>
        <v>71</v>
      </c>
      <c r="AA1304" s="102">
        <f t="shared" si="350"/>
        <v>41</v>
      </c>
      <c r="AC1304" s="100">
        <f t="shared" si="351"/>
        <v>0.98282021200362957</v>
      </c>
    </row>
    <row r="1305" spans="4:29" x14ac:dyDescent="0.35">
      <c r="D1305">
        <f t="shared" si="352"/>
        <v>1301</v>
      </c>
      <c r="E1305" s="101">
        <v>7</v>
      </c>
      <c r="F1305" s="4">
        <v>7</v>
      </c>
      <c r="G1305" s="4">
        <v>4</v>
      </c>
      <c r="H1305" s="4">
        <v>2</v>
      </c>
      <c r="I1305" s="4">
        <v>5</v>
      </c>
      <c r="J1305" s="4">
        <v>2</v>
      </c>
      <c r="K1305" s="102">
        <v>6</v>
      </c>
      <c r="M1305" s="101">
        <f t="shared" si="337"/>
        <v>29</v>
      </c>
      <c r="N1305" s="4">
        <f t="shared" si="338"/>
        <v>29</v>
      </c>
      <c r="O1305" s="4">
        <f t="shared" si="339"/>
        <v>12</v>
      </c>
      <c r="P1305" s="4">
        <f t="shared" si="340"/>
        <v>56</v>
      </c>
      <c r="Q1305" s="4">
        <f t="shared" si="341"/>
        <v>30</v>
      </c>
      <c r="R1305" s="4">
        <f t="shared" si="342"/>
        <v>56</v>
      </c>
      <c r="S1305" s="102">
        <f t="shared" si="343"/>
        <v>45</v>
      </c>
      <c r="U1305" s="101">
        <f t="shared" si="344"/>
        <v>41</v>
      </c>
      <c r="V1305" s="4">
        <f t="shared" si="345"/>
        <v>41</v>
      </c>
      <c r="W1305" s="4">
        <f t="shared" si="346"/>
        <v>9</v>
      </c>
      <c r="X1305" s="4">
        <f t="shared" si="347"/>
        <v>78</v>
      </c>
      <c r="Y1305" s="4">
        <f t="shared" si="348"/>
        <v>39</v>
      </c>
      <c r="Z1305" s="4">
        <f t="shared" si="349"/>
        <v>78</v>
      </c>
      <c r="AA1305" s="102">
        <f t="shared" si="350"/>
        <v>71</v>
      </c>
      <c r="AC1305" s="100">
        <f t="shared" si="351"/>
        <v>0.98838974223778464</v>
      </c>
    </row>
    <row r="1306" spans="4:29" x14ac:dyDescent="0.35">
      <c r="D1306">
        <f t="shared" si="352"/>
        <v>1302</v>
      </c>
      <c r="E1306" s="101">
        <v>2</v>
      </c>
      <c r="F1306" s="4">
        <v>5</v>
      </c>
      <c r="G1306" s="4">
        <v>1</v>
      </c>
      <c r="H1306" s="4">
        <v>6</v>
      </c>
      <c r="I1306" s="4">
        <v>5</v>
      </c>
      <c r="J1306" s="4">
        <v>7</v>
      </c>
      <c r="K1306" s="102">
        <v>2</v>
      </c>
      <c r="M1306" s="101">
        <f t="shared" si="337"/>
        <v>56</v>
      </c>
      <c r="N1306" s="4">
        <f t="shared" si="338"/>
        <v>30</v>
      </c>
      <c r="O1306" s="4">
        <f t="shared" si="339"/>
        <v>34</v>
      </c>
      <c r="P1306" s="4">
        <f t="shared" si="340"/>
        <v>45</v>
      </c>
      <c r="Q1306" s="4">
        <f t="shared" si="341"/>
        <v>30</v>
      </c>
      <c r="R1306" s="4">
        <f t="shared" si="342"/>
        <v>29</v>
      </c>
      <c r="S1306" s="102">
        <f t="shared" si="343"/>
        <v>56</v>
      </c>
      <c r="U1306" s="101">
        <f t="shared" si="344"/>
        <v>78</v>
      </c>
      <c r="V1306" s="4">
        <f t="shared" si="345"/>
        <v>39</v>
      </c>
      <c r="W1306" s="4">
        <f t="shared" si="346"/>
        <v>46</v>
      </c>
      <c r="X1306" s="4">
        <f t="shared" si="347"/>
        <v>71</v>
      </c>
      <c r="Y1306" s="4">
        <f t="shared" si="348"/>
        <v>39</v>
      </c>
      <c r="Z1306" s="4">
        <f t="shared" si="349"/>
        <v>41</v>
      </c>
      <c r="AA1306" s="102">
        <f t="shared" si="350"/>
        <v>78</v>
      </c>
      <c r="AC1306" s="100">
        <f t="shared" si="351"/>
        <v>0.98182677221902925</v>
      </c>
    </row>
    <row r="1307" spans="4:29" x14ac:dyDescent="0.35">
      <c r="D1307">
        <f t="shared" si="352"/>
        <v>1303</v>
      </c>
      <c r="E1307" s="101">
        <v>7</v>
      </c>
      <c r="F1307" s="4">
        <v>3</v>
      </c>
      <c r="G1307" s="4">
        <v>5</v>
      </c>
      <c r="H1307" s="4">
        <v>1</v>
      </c>
      <c r="I1307" s="4">
        <v>3</v>
      </c>
      <c r="J1307" s="4">
        <v>3</v>
      </c>
      <c r="K1307" s="102">
        <v>3</v>
      </c>
      <c r="M1307" s="101">
        <f t="shared" si="337"/>
        <v>29</v>
      </c>
      <c r="N1307" s="4">
        <f t="shared" si="338"/>
        <v>23</v>
      </c>
      <c r="O1307" s="4">
        <f t="shared" si="339"/>
        <v>30</v>
      </c>
      <c r="P1307" s="4">
        <f t="shared" si="340"/>
        <v>34</v>
      </c>
      <c r="Q1307" s="4">
        <f t="shared" si="341"/>
        <v>23</v>
      </c>
      <c r="R1307" s="4">
        <f t="shared" si="342"/>
        <v>23</v>
      </c>
      <c r="S1307" s="102">
        <f t="shared" si="343"/>
        <v>23</v>
      </c>
      <c r="U1307" s="101">
        <f t="shared" si="344"/>
        <v>41</v>
      </c>
      <c r="V1307" s="4">
        <f t="shared" si="345"/>
        <v>39</v>
      </c>
      <c r="W1307" s="4">
        <f t="shared" si="346"/>
        <v>39</v>
      </c>
      <c r="X1307" s="4">
        <f t="shared" si="347"/>
        <v>46</v>
      </c>
      <c r="Y1307" s="4">
        <f t="shared" si="348"/>
        <v>39</v>
      </c>
      <c r="Z1307" s="4">
        <f t="shared" si="349"/>
        <v>39</v>
      </c>
      <c r="AA1307" s="102">
        <f t="shared" si="350"/>
        <v>39</v>
      </c>
      <c r="AC1307" s="100">
        <f t="shared" si="351"/>
        <v>0.81215040322270726</v>
      </c>
    </row>
    <row r="1308" spans="4:29" x14ac:dyDescent="0.35">
      <c r="D1308">
        <f t="shared" si="352"/>
        <v>1304</v>
      </c>
      <c r="E1308" s="101">
        <v>5</v>
      </c>
      <c r="F1308" s="4">
        <v>6</v>
      </c>
      <c r="G1308" s="4">
        <v>2</v>
      </c>
      <c r="H1308" s="4">
        <v>2</v>
      </c>
      <c r="I1308" s="4">
        <v>2</v>
      </c>
      <c r="J1308" s="4">
        <v>4</v>
      </c>
      <c r="K1308" s="102">
        <v>3</v>
      </c>
      <c r="M1308" s="101">
        <f t="shared" si="337"/>
        <v>30</v>
      </c>
      <c r="N1308" s="4">
        <f t="shared" si="338"/>
        <v>45</v>
      </c>
      <c r="O1308" s="4">
        <f t="shared" si="339"/>
        <v>56</v>
      </c>
      <c r="P1308" s="4">
        <f t="shared" si="340"/>
        <v>56</v>
      </c>
      <c r="Q1308" s="4">
        <f t="shared" si="341"/>
        <v>56</v>
      </c>
      <c r="R1308" s="4">
        <f t="shared" si="342"/>
        <v>12</v>
      </c>
      <c r="S1308" s="102">
        <f t="shared" si="343"/>
        <v>23</v>
      </c>
      <c r="U1308" s="101">
        <f t="shared" si="344"/>
        <v>39</v>
      </c>
      <c r="V1308" s="4">
        <f t="shared" si="345"/>
        <v>71</v>
      </c>
      <c r="W1308" s="4">
        <f t="shared" si="346"/>
        <v>78</v>
      </c>
      <c r="X1308" s="4">
        <f t="shared" si="347"/>
        <v>78</v>
      </c>
      <c r="Y1308" s="4">
        <f t="shared" si="348"/>
        <v>78</v>
      </c>
      <c r="Z1308" s="4">
        <f t="shared" si="349"/>
        <v>9</v>
      </c>
      <c r="AA1308" s="102">
        <f t="shared" si="350"/>
        <v>39</v>
      </c>
      <c r="AC1308" s="100">
        <f t="shared" si="351"/>
        <v>0.98108104375855143</v>
      </c>
    </row>
    <row r="1309" spans="4:29" x14ac:dyDescent="0.35">
      <c r="D1309">
        <f t="shared" si="352"/>
        <v>1305</v>
      </c>
      <c r="E1309" s="101">
        <v>3</v>
      </c>
      <c r="F1309" s="4">
        <v>7</v>
      </c>
      <c r="G1309" s="4">
        <v>5</v>
      </c>
      <c r="H1309" s="4">
        <v>2</v>
      </c>
      <c r="I1309" s="4">
        <v>4</v>
      </c>
      <c r="J1309" s="4">
        <v>6</v>
      </c>
      <c r="K1309" s="102">
        <v>7</v>
      </c>
      <c r="M1309" s="101">
        <f t="shared" si="337"/>
        <v>23</v>
      </c>
      <c r="N1309" s="4">
        <f t="shared" si="338"/>
        <v>29</v>
      </c>
      <c r="O1309" s="4">
        <f t="shared" si="339"/>
        <v>30</v>
      </c>
      <c r="P1309" s="4">
        <f t="shared" si="340"/>
        <v>56</v>
      </c>
      <c r="Q1309" s="4">
        <f t="shared" si="341"/>
        <v>12</v>
      </c>
      <c r="R1309" s="4">
        <f t="shared" si="342"/>
        <v>45</v>
      </c>
      <c r="S1309" s="102">
        <f t="shared" si="343"/>
        <v>29</v>
      </c>
      <c r="U1309" s="101">
        <f t="shared" si="344"/>
        <v>39</v>
      </c>
      <c r="V1309" s="4">
        <f t="shared" si="345"/>
        <v>41</v>
      </c>
      <c r="W1309" s="4">
        <f t="shared" si="346"/>
        <v>39</v>
      </c>
      <c r="X1309" s="4">
        <f t="shared" si="347"/>
        <v>78</v>
      </c>
      <c r="Y1309" s="4">
        <f t="shared" si="348"/>
        <v>9</v>
      </c>
      <c r="Z1309" s="4">
        <f t="shared" si="349"/>
        <v>71</v>
      </c>
      <c r="AA1309" s="102">
        <f t="shared" si="350"/>
        <v>41</v>
      </c>
      <c r="AC1309" s="100">
        <f t="shared" si="351"/>
        <v>0.97632814590635075</v>
      </c>
    </row>
    <row r="1310" spans="4:29" x14ac:dyDescent="0.35">
      <c r="D1310">
        <f t="shared" si="352"/>
        <v>1306</v>
      </c>
      <c r="E1310" s="101">
        <v>6</v>
      </c>
      <c r="F1310" s="4">
        <v>3</v>
      </c>
      <c r="G1310" s="4">
        <v>2</v>
      </c>
      <c r="H1310" s="4">
        <v>1</v>
      </c>
      <c r="I1310" s="4">
        <v>7</v>
      </c>
      <c r="J1310" s="4">
        <v>6</v>
      </c>
      <c r="K1310" s="102">
        <v>3</v>
      </c>
      <c r="M1310" s="101">
        <f t="shared" si="337"/>
        <v>45</v>
      </c>
      <c r="N1310" s="4">
        <f t="shared" si="338"/>
        <v>23</v>
      </c>
      <c r="O1310" s="4">
        <f t="shared" si="339"/>
        <v>56</v>
      </c>
      <c r="P1310" s="4">
        <f t="shared" si="340"/>
        <v>34</v>
      </c>
      <c r="Q1310" s="4">
        <f t="shared" si="341"/>
        <v>29</v>
      </c>
      <c r="R1310" s="4">
        <f t="shared" si="342"/>
        <v>45</v>
      </c>
      <c r="S1310" s="102">
        <f t="shared" si="343"/>
        <v>23</v>
      </c>
      <c r="U1310" s="101">
        <f t="shared" si="344"/>
        <v>71</v>
      </c>
      <c r="V1310" s="4">
        <f t="shared" si="345"/>
        <v>39</v>
      </c>
      <c r="W1310" s="4">
        <f t="shared" si="346"/>
        <v>78</v>
      </c>
      <c r="X1310" s="4">
        <f t="shared" si="347"/>
        <v>46</v>
      </c>
      <c r="Y1310" s="4">
        <f t="shared" si="348"/>
        <v>41</v>
      </c>
      <c r="Z1310" s="4">
        <f t="shared" si="349"/>
        <v>71</v>
      </c>
      <c r="AA1310" s="102">
        <f t="shared" si="350"/>
        <v>39</v>
      </c>
      <c r="AC1310" s="100">
        <f t="shared" si="351"/>
        <v>0.96990931567179539</v>
      </c>
    </row>
    <row r="1311" spans="4:29" x14ac:dyDescent="0.35">
      <c r="D1311">
        <f t="shared" si="352"/>
        <v>1307</v>
      </c>
      <c r="E1311" s="101">
        <v>3</v>
      </c>
      <c r="F1311" s="4">
        <v>6</v>
      </c>
      <c r="G1311" s="4">
        <v>2</v>
      </c>
      <c r="H1311" s="4">
        <v>2</v>
      </c>
      <c r="I1311" s="4">
        <v>3</v>
      </c>
      <c r="J1311" s="4">
        <v>6</v>
      </c>
      <c r="K1311" s="102">
        <v>7</v>
      </c>
      <c r="M1311" s="101">
        <f t="shared" si="337"/>
        <v>23</v>
      </c>
      <c r="N1311" s="4">
        <f t="shared" si="338"/>
        <v>45</v>
      </c>
      <c r="O1311" s="4">
        <f t="shared" si="339"/>
        <v>56</v>
      </c>
      <c r="P1311" s="4">
        <f t="shared" si="340"/>
        <v>56</v>
      </c>
      <c r="Q1311" s="4">
        <f t="shared" si="341"/>
        <v>23</v>
      </c>
      <c r="R1311" s="4">
        <f t="shared" si="342"/>
        <v>45</v>
      </c>
      <c r="S1311" s="102">
        <f t="shared" si="343"/>
        <v>29</v>
      </c>
      <c r="U1311" s="101">
        <f t="shared" si="344"/>
        <v>39</v>
      </c>
      <c r="V1311" s="4">
        <f t="shared" si="345"/>
        <v>71</v>
      </c>
      <c r="W1311" s="4">
        <f t="shared" si="346"/>
        <v>78</v>
      </c>
      <c r="X1311" s="4">
        <f t="shared" si="347"/>
        <v>78</v>
      </c>
      <c r="Y1311" s="4">
        <f t="shared" si="348"/>
        <v>39</v>
      </c>
      <c r="Z1311" s="4">
        <f t="shared" si="349"/>
        <v>71</v>
      </c>
      <c r="AA1311" s="102">
        <f t="shared" si="350"/>
        <v>41</v>
      </c>
      <c r="AC1311" s="100">
        <f t="shared" si="351"/>
        <v>0.98108886294109476</v>
      </c>
    </row>
    <row r="1312" spans="4:29" x14ac:dyDescent="0.35">
      <c r="D1312">
        <f t="shared" si="352"/>
        <v>1308</v>
      </c>
      <c r="E1312" s="101">
        <v>3</v>
      </c>
      <c r="F1312" s="4">
        <v>6</v>
      </c>
      <c r="G1312" s="4">
        <v>6</v>
      </c>
      <c r="H1312" s="4">
        <v>4</v>
      </c>
      <c r="I1312" s="4">
        <v>1</v>
      </c>
      <c r="J1312" s="4">
        <v>4</v>
      </c>
      <c r="K1312" s="102">
        <v>1</v>
      </c>
      <c r="M1312" s="101">
        <f t="shared" si="337"/>
        <v>23</v>
      </c>
      <c r="N1312" s="4">
        <f t="shared" si="338"/>
        <v>45</v>
      </c>
      <c r="O1312" s="4">
        <f t="shared" si="339"/>
        <v>45</v>
      </c>
      <c r="P1312" s="4">
        <f t="shared" si="340"/>
        <v>12</v>
      </c>
      <c r="Q1312" s="4">
        <f t="shared" si="341"/>
        <v>34</v>
      </c>
      <c r="R1312" s="4">
        <f t="shared" si="342"/>
        <v>12</v>
      </c>
      <c r="S1312" s="102">
        <f t="shared" si="343"/>
        <v>34</v>
      </c>
      <c r="U1312" s="101">
        <f t="shared" si="344"/>
        <v>39</v>
      </c>
      <c r="V1312" s="4">
        <f t="shared" si="345"/>
        <v>71</v>
      </c>
      <c r="W1312" s="4">
        <f t="shared" si="346"/>
        <v>71</v>
      </c>
      <c r="X1312" s="4">
        <f t="shared" si="347"/>
        <v>9</v>
      </c>
      <c r="Y1312" s="4">
        <f t="shared" si="348"/>
        <v>46</v>
      </c>
      <c r="Z1312" s="4">
        <f t="shared" si="349"/>
        <v>9</v>
      </c>
      <c r="AA1312" s="102">
        <f t="shared" si="350"/>
        <v>46</v>
      </c>
      <c r="AC1312" s="100">
        <f t="shared" si="351"/>
        <v>0.98499186742594136</v>
      </c>
    </row>
    <row r="1313" spans="4:29" x14ac:dyDescent="0.35">
      <c r="D1313">
        <f t="shared" si="352"/>
        <v>1309</v>
      </c>
      <c r="E1313" s="101">
        <v>6</v>
      </c>
      <c r="F1313" s="4">
        <v>2</v>
      </c>
      <c r="G1313" s="4">
        <v>4</v>
      </c>
      <c r="H1313" s="4">
        <v>7</v>
      </c>
      <c r="I1313" s="4">
        <v>7</v>
      </c>
      <c r="J1313" s="4">
        <v>3</v>
      </c>
      <c r="K1313" s="102">
        <v>5</v>
      </c>
      <c r="M1313" s="101">
        <f t="shared" si="337"/>
        <v>45</v>
      </c>
      <c r="N1313" s="4">
        <f t="shared" si="338"/>
        <v>56</v>
      </c>
      <c r="O1313" s="4">
        <f t="shared" si="339"/>
        <v>12</v>
      </c>
      <c r="P1313" s="4">
        <f t="shared" si="340"/>
        <v>29</v>
      </c>
      <c r="Q1313" s="4">
        <f t="shared" si="341"/>
        <v>29</v>
      </c>
      <c r="R1313" s="4">
        <f t="shared" si="342"/>
        <v>23</v>
      </c>
      <c r="S1313" s="102">
        <f t="shared" si="343"/>
        <v>30</v>
      </c>
      <c r="U1313" s="101">
        <f t="shared" si="344"/>
        <v>71</v>
      </c>
      <c r="V1313" s="4">
        <f t="shared" si="345"/>
        <v>78</v>
      </c>
      <c r="W1313" s="4">
        <f t="shared" si="346"/>
        <v>9</v>
      </c>
      <c r="X1313" s="4">
        <f t="shared" si="347"/>
        <v>41</v>
      </c>
      <c r="Y1313" s="4">
        <f t="shared" si="348"/>
        <v>41</v>
      </c>
      <c r="Z1313" s="4">
        <f t="shared" si="349"/>
        <v>39</v>
      </c>
      <c r="AA1313" s="102">
        <f t="shared" si="350"/>
        <v>39</v>
      </c>
      <c r="AC1313" s="100">
        <f t="shared" si="351"/>
        <v>0.97632814590635097</v>
      </c>
    </row>
    <row r="1314" spans="4:29" x14ac:dyDescent="0.35">
      <c r="D1314">
        <f t="shared" si="352"/>
        <v>1310</v>
      </c>
      <c r="E1314" s="101">
        <v>2</v>
      </c>
      <c r="F1314" s="4">
        <v>2</v>
      </c>
      <c r="G1314" s="4">
        <v>6</v>
      </c>
      <c r="H1314" s="4">
        <v>7</v>
      </c>
      <c r="I1314" s="4">
        <v>7</v>
      </c>
      <c r="J1314" s="4">
        <v>2</v>
      </c>
      <c r="K1314" s="102">
        <v>4</v>
      </c>
      <c r="M1314" s="101">
        <f t="shared" si="337"/>
        <v>56</v>
      </c>
      <c r="N1314" s="4">
        <f t="shared" si="338"/>
        <v>56</v>
      </c>
      <c r="O1314" s="4">
        <f t="shared" si="339"/>
        <v>45</v>
      </c>
      <c r="P1314" s="4">
        <f t="shared" si="340"/>
        <v>29</v>
      </c>
      <c r="Q1314" s="4">
        <f t="shared" si="341"/>
        <v>29</v>
      </c>
      <c r="R1314" s="4">
        <f t="shared" si="342"/>
        <v>56</v>
      </c>
      <c r="S1314" s="102">
        <f t="shared" si="343"/>
        <v>12</v>
      </c>
      <c r="U1314" s="101">
        <f t="shared" si="344"/>
        <v>78</v>
      </c>
      <c r="V1314" s="4">
        <f t="shared" si="345"/>
        <v>78</v>
      </c>
      <c r="W1314" s="4">
        <f t="shared" si="346"/>
        <v>71</v>
      </c>
      <c r="X1314" s="4">
        <f t="shared" si="347"/>
        <v>41</v>
      </c>
      <c r="Y1314" s="4">
        <f t="shared" si="348"/>
        <v>41</v>
      </c>
      <c r="Z1314" s="4">
        <f t="shared" si="349"/>
        <v>78</v>
      </c>
      <c r="AA1314" s="102">
        <f t="shared" si="350"/>
        <v>9</v>
      </c>
      <c r="AC1314" s="100">
        <f t="shared" si="351"/>
        <v>0.98881433113386996</v>
      </c>
    </row>
    <row r="1315" spans="4:29" x14ac:dyDescent="0.35">
      <c r="D1315">
        <f t="shared" si="352"/>
        <v>1311</v>
      </c>
      <c r="E1315" s="101">
        <v>3</v>
      </c>
      <c r="F1315" s="4">
        <v>3</v>
      </c>
      <c r="G1315" s="4">
        <v>2</v>
      </c>
      <c r="H1315" s="4">
        <v>4</v>
      </c>
      <c r="I1315" s="4">
        <v>4</v>
      </c>
      <c r="J1315" s="4">
        <v>6</v>
      </c>
      <c r="K1315" s="102">
        <v>7</v>
      </c>
      <c r="M1315" s="101">
        <f t="shared" si="337"/>
        <v>23</v>
      </c>
      <c r="N1315" s="4">
        <f t="shared" si="338"/>
        <v>23</v>
      </c>
      <c r="O1315" s="4">
        <f t="shared" si="339"/>
        <v>56</v>
      </c>
      <c r="P1315" s="4">
        <f t="shared" si="340"/>
        <v>12</v>
      </c>
      <c r="Q1315" s="4">
        <f t="shared" si="341"/>
        <v>12</v>
      </c>
      <c r="R1315" s="4">
        <f t="shared" si="342"/>
        <v>45</v>
      </c>
      <c r="S1315" s="102">
        <f t="shared" si="343"/>
        <v>29</v>
      </c>
      <c r="U1315" s="101">
        <f t="shared" si="344"/>
        <v>39</v>
      </c>
      <c r="V1315" s="4">
        <f t="shared" si="345"/>
        <v>39</v>
      </c>
      <c r="W1315" s="4">
        <f t="shared" si="346"/>
        <v>78</v>
      </c>
      <c r="X1315" s="4">
        <f t="shared" si="347"/>
        <v>9</v>
      </c>
      <c r="Y1315" s="4">
        <f t="shared" si="348"/>
        <v>9</v>
      </c>
      <c r="Z1315" s="4">
        <f t="shared" si="349"/>
        <v>71</v>
      </c>
      <c r="AA1315" s="102">
        <f t="shared" si="350"/>
        <v>41</v>
      </c>
      <c r="AC1315" s="100">
        <f t="shared" si="351"/>
        <v>0.97458929056574928</v>
      </c>
    </row>
    <row r="1316" spans="4:29" x14ac:dyDescent="0.35">
      <c r="D1316">
        <f t="shared" si="352"/>
        <v>1312</v>
      </c>
      <c r="E1316" s="101">
        <v>7</v>
      </c>
      <c r="F1316" s="4">
        <v>6</v>
      </c>
      <c r="G1316" s="4">
        <v>1</v>
      </c>
      <c r="H1316" s="4">
        <v>2</v>
      </c>
      <c r="I1316" s="4">
        <v>5</v>
      </c>
      <c r="J1316" s="4">
        <v>7</v>
      </c>
      <c r="K1316" s="102">
        <v>4</v>
      </c>
      <c r="M1316" s="101">
        <f t="shared" si="337"/>
        <v>29</v>
      </c>
      <c r="N1316" s="4">
        <f t="shared" si="338"/>
        <v>45</v>
      </c>
      <c r="O1316" s="4">
        <f t="shared" si="339"/>
        <v>34</v>
      </c>
      <c r="P1316" s="4">
        <f t="shared" si="340"/>
        <v>56</v>
      </c>
      <c r="Q1316" s="4">
        <f t="shared" si="341"/>
        <v>30</v>
      </c>
      <c r="R1316" s="4">
        <f t="shared" si="342"/>
        <v>29</v>
      </c>
      <c r="S1316" s="102">
        <f t="shared" si="343"/>
        <v>12</v>
      </c>
      <c r="U1316" s="101">
        <f t="shared" si="344"/>
        <v>41</v>
      </c>
      <c r="V1316" s="4">
        <f t="shared" si="345"/>
        <v>71</v>
      </c>
      <c r="W1316" s="4">
        <f t="shared" si="346"/>
        <v>46</v>
      </c>
      <c r="X1316" s="4">
        <f t="shared" si="347"/>
        <v>78</v>
      </c>
      <c r="Y1316" s="4">
        <f t="shared" si="348"/>
        <v>39</v>
      </c>
      <c r="Z1316" s="4">
        <f t="shared" si="349"/>
        <v>41</v>
      </c>
      <c r="AA1316" s="102">
        <f t="shared" si="350"/>
        <v>9</v>
      </c>
      <c r="AC1316" s="100">
        <f t="shared" si="351"/>
        <v>0.98751607909185291</v>
      </c>
    </row>
    <row r="1317" spans="4:29" x14ac:dyDescent="0.35">
      <c r="D1317">
        <f t="shared" si="352"/>
        <v>1313</v>
      </c>
      <c r="E1317" s="101">
        <v>7</v>
      </c>
      <c r="F1317" s="4">
        <v>7</v>
      </c>
      <c r="G1317" s="4">
        <v>4</v>
      </c>
      <c r="H1317" s="4">
        <v>1</v>
      </c>
      <c r="I1317" s="4">
        <v>2</v>
      </c>
      <c r="J1317" s="4">
        <v>1</v>
      </c>
      <c r="K1317" s="102">
        <v>7</v>
      </c>
      <c r="M1317" s="101">
        <f t="shared" si="337"/>
        <v>29</v>
      </c>
      <c r="N1317" s="4">
        <f t="shared" si="338"/>
        <v>29</v>
      </c>
      <c r="O1317" s="4">
        <f t="shared" si="339"/>
        <v>12</v>
      </c>
      <c r="P1317" s="4">
        <f t="shared" si="340"/>
        <v>34</v>
      </c>
      <c r="Q1317" s="4">
        <f t="shared" si="341"/>
        <v>56</v>
      </c>
      <c r="R1317" s="4">
        <f t="shared" si="342"/>
        <v>34</v>
      </c>
      <c r="S1317" s="102">
        <f t="shared" si="343"/>
        <v>29</v>
      </c>
      <c r="U1317" s="101">
        <f t="shared" si="344"/>
        <v>41</v>
      </c>
      <c r="V1317" s="4">
        <f t="shared" si="345"/>
        <v>41</v>
      </c>
      <c r="W1317" s="4">
        <f t="shared" si="346"/>
        <v>9</v>
      </c>
      <c r="X1317" s="4">
        <f t="shared" si="347"/>
        <v>46</v>
      </c>
      <c r="Y1317" s="4">
        <f t="shared" si="348"/>
        <v>78</v>
      </c>
      <c r="Z1317" s="4">
        <f t="shared" si="349"/>
        <v>46</v>
      </c>
      <c r="AA1317" s="102">
        <f t="shared" si="350"/>
        <v>41</v>
      </c>
      <c r="AC1317" s="100">
        <f t="shared" si="351"/>
        <v>0.99298135292123746</v>
      </c>
    </row>
    <row r="1318" spans="4:29" x14ac:dyDescent="0.35">
      <c r="D1318">
        <f t="shared" si="352"/>
        <v>1314</v>
      </c>
      <c r="E1318" s="101">
        <v>2</v>
      </c>
      <c r="F1318" s="4">
        <v>3</v>
      </c>
      <c r="G1318" s="4">
        <v>2</v>
      </c>
      <c r="H1318" s="4">
        <v>2</v>
      </c>
      <c r="I1318" s="4">
        <v>1</v>
      </c>
      <c r="J1318" s="4">
        <v>2</v>
      </c>
      <c r="K1318" s="102">
        <v>3</v>
      </c>
      <c r="M1318" s="101">
        <f t="shared" si="337"/>
        <v>56</v>
      </c>
      <c r="N1318" s="4">
        <f t="shared" si="338"/>
        <v>23</v>
      </c>
      <c r="O1318" s="4">
        <f t="shared" si="339"/>
        <v>56</v>
      </c>
      <c r="P1318" s="4">
        <f t="shared" si="340"/>
        <v>56</v>
      </c>
      <c r="Q1318" s="4">
        <f t="shared" si="341"/>
        <v>34</v>
      </c>
      <c r="R1318" s="4">
        <f t="shared" si="342"/>
        <v>56</v>
      </c>
      <c r="S1318" s="102">
        <f t="shared" si="343"/>
        <v>23</v>
      </c>
      <c r="U1318" s="101">
        <f t="shared" si="344"/>
        <v>78</v>
      </c>
      <c r="V1318" s="4">
        <f t="shared" si="345"/>
        <v>39</v>
      </c>
      <c r="W1318" s="4">
        <f t="shared" si="346"/>
        <v>78</v>
      </c>
      <c r="X1318" s="4">
        <f t="shared" si="347"/>
        <v>78</v>
      </c>
      <c r="Y1318" s="4">
        <f t="shared" si="348"/>
        <v>46</v>
      </c>
      <c r="Z1318" s="4">
        <f t="shared" si="349"/>
        <v>78</v>
      </c>
      <c r="AA1318" s="102">
        <f t="shared" si="350"/>
        <v>39</v>
      </c>
      <c r="AC1318" s="100">
        <f t="shared" si="351"/>
        <v>0.99382028952763246</v>
      </c>
    </row>
    <row r="1319" spans="4:29" x14ac:dyDescent="0.35">
      <c r="D1319">
        <f t="shared" si="352"/>
        <v>1315</v>
      </c>
      <c r="E1319" s="101">
        <v>7</v>
      </c>
      <c r="F1319" s="4">
        <v>4</v>
      </c>
      <c r="G1319" s="4">
        <v>5</v>
      </c>
      <c r="H1319" s="4">
        <v>4</v>
      </c>
      <c r="I1319" s="4">
        <v>4</v>
      </c>
      <c r="J1319" s="4">
        <v>3</v>
      </c>
      <c r="K1319" s="102">
        <v>6</v>
      </c>
      <c r="M1319" s="101">
        <f t="shared" si="337"/>
        <v>29</v>
      </c>
      <c r="N1319" s="4">
        <f t="shared" si="338"/>
        <v>12</v>
      </c>
      <c r="O1319" s="4">
        <f t="shared" si="339"/>
        <v>30</v>
      </c>
      <c r="P1319" s="4">
        <f t="shared" si="340"/>
        <v>12</v>
      </c>
      <c r="Q1319" s="4">
        <f t="shared" si="341"/>
        <v>12</v>
      </c>
      <c r="R1319" s="4">
        <f t="shared" si="342"/>
        <v>23</v>
      </c>
      <c r="S1319" s="102">
        <f t="shared" si="343"/>
        <v>45</v>
      </c>
      <c r="U1319" s="101">
        <f t="shared" si="344"/>
        <v>41</v>
      </c>
      <c r="V1319" s="4">
        <f t="shared" si="345"/>
        <v>9</v>
      </c>
      <c r="W1319" s="4">
        <f t="shared" si="346"/>
        <v>39</v>
      </c>
      <c r="X1319" s="4">
        <f t="shared" si="347"/>
        <v>9</v>
      </c>
      <c r="Y1319" s="4">
        <f t="shared" si="348"/>
        <v>9</v>
      </c>
      <c r="Z1319" s="4">
        <f t="shared" si="349"/>
        <v>39</v>
      </c>
      <c r="AA1319" s="102">
        <f t="shared" si="350"/>
        <v>71</v>
      </c>
      <c r="AC1319" s="100">
        <f t="shared" si="351"/>
        <v>0.985193294851756</v>
      </c>
    </row>
    <row r="1320" spans="4:29" x14ac:dyDescent="0.35">
      <c r="D1320">
        <f t="shared" si="352"/>
        <v>1316</v>
      </c>
      <c r="E1320" s="101">
        <v>5</v>
      </c>
      <c r="F1320" s="4">
        <v>7</v>
      </c>
      <c r="G1320" s="4">
        <v>1</v>
      </c>
      <c r="H1320" s="4">
        <v>5</v>
      </c>
      <c r="I1320" s="4">
        <v>3</v>
      </c>
      <c r="J1320" s="4">
        <v>4</v>
      </c>
      <c r="K1320" s="102">
        <v>1</v>
      </c>
      <c r="M1320" s="101">
        <f t="shared" si="337"/>
        <v>30</v>
      </c>
      <c r="N1320" s="4">
        <f t="shared" si="338"/>
        <v>29</v>
      </c>
      <c r="O1320" s="4">
        <f t="shared" si="339"/>
        <v>34</v>
      </c>
      <c r="P1320" s="4">
        <f t="shared" si="340"/>
        <v>30</v>
      </c>
      <c r="Q1320" s="4">
        <f t="shared" si="341"/>
        <v>23</v>
      </c>
      <c r="R1320" s="4">
        <f t="shared" si="342"/>
        <v>12</v>
      </c>
      <c r="S1320" s="102">
        <f t="shared" si="343"/>
        <v>34</v>
      </c>
      <c r="U1320" s="101">
        <f t="shared" si="344"/>
        <v>39</v>
      </c>
      <c r="V1320" s="4">
        <f t="shared" si="345"/>
        <v>41</v>
      </c>
      <c r="W1320" s="4">
        <f t="shared" si="346"/>
        <v>46</v>
      </c>
      <c r="X1320" s="4">
        <f t="shared" si="347"/>
        <v>39</v>
      </c>
      <c r="Y1320" s="4">
        <f t="shared" si="348"/>
        <v>39</v>
      </c>
      <c r="Z1320" s="4">
        <f t="shared" si="349"/>
        <v>9</v>
      </c>
      <c r="AA1320" s="102">
        <f t="shared" si="350"/>
        <v>46</v>
      </c>
      <c r="AC1320" s="100">
        <f t="shared" si="351"/>
        <v>0.94270514561528107</v>
      </c>
    </row>
    <row r="1321" spans="4:29" x14ac:dyDescent="0.35">
      <c r="D1321">
        <f t="shared" si="352"/>
        <v>1317</v>
      </c>
      <c r="E1321" s="101">
        <v>3</v>
      </c>
      <c r="F1321" s="4">
        <v>1</v>
      </c>
      <c r="G1321" s="4">
        <v>7</v>
      </c>
      <c r="H1321" s="4">
        <v>2</v>
      </c>
      <c r="I1321" s="4">
        <v>2</v>
      </c>
      <c r="J1321" s="4">
        <v>5</v>
      </c>
      <c r="K1321" s="102">
        <v>6</v>
      </c>
      <c r="M1321" s="101">
        <f t="shared" si="337"/>
        <v>23</v>
      </c>
      <c r="N1321" s="4">
        <f t="shared" si="338"/>
        <v>34</v>
      </c>
      <c r="O1321" s="4">
        <f t="shared" si="339"/>
        <v>29</v>
      </c>
      <c r="P1321" s="4">
        <f t="shared" si="340"/>
        <v>56</v>
      </c>
      <c r="Q1321" s="4">
        <f t="shared" si="341"/>
        <v>56</v>
      </c>
      <c r="R1321" s="4">
        <f t="shared" si="342"/>
        <v>30</v>
      </c>
      <c r="S1321" s="102">
        <f t="shared" si="343"/>
        <v>45</v>
      </c>
      <c r="U1321" s="101">
        <f t="shared" si="344"/>
        <v>39</v>
      </c>
      <c r="V1321" s="4">
        <f t="shared" si="345"/>
        <v>46</v>
      </c>
      <c r="W1321" s="4">
        <f t="shared" si="346"/>
        <v>41</v>
      </c>
      <c r="X1321" s="4">
        <f t="shared" si="347"/>
        <v>78</v>
      </c>
      <c r="Y1321" s="4">
        <f t="shared" si="348"/>
        <v>78</v>
      </c>
      <c r="Z1321" s="4">
        <f t="shared" si="349"/>
        <v>39</v>
      </c>
      <c r="AA1321" s="102">
        <f t="shared" si="350"/>
        <v>71</v>
      </c>
      <c r="AC1321" s="100">
        <f t="shared" si="351"/>
        <v>0.9741874967575731</v>
      </c>
    </row>
    <row r="1322" spans="4:29" x14ac:dyDescent="0.35">
      <c r="D1322">
        <f t="shared" si="352"/>
        <v>1318</v>
      </c>
      <c r="E1322" s="101">
        <v>1</v>
      </c>
      <c r="F1322" s="4">
        <v>5</v>
      </c>
      <c r="G1322" s="4">
        <v>4</v>
      </c>
      <c r="H1322" s="4">
        <v>4</v>
      </c>
      <c r="I1322" s="4">
        <v>7</v>
      </c>
      <c r="J1322" s="4">
        <v>4</v>
      </c>
      <c r="K1322" s="102">
        <v>7</v>
      </c>
      <c r="M1322" s="101">
        <f t="shared" si="337"/>
        <v>34</v>
      </c>
      <c r="N1322" s="4">
        <f t="shared" si="338"/>
        <v>30</v>
      </c>
      <c r="O1322" s="4">
        <f t="shared" si="339"/>
        <v>12</v>
      </c>
      <c r="P1322" s="4">
        <f t="shared" si="340"/>
        <v>12</v>
      </c>
      <c r="Q1322" s="4">
        <f t="shared" si="341"/>
        <v>29</v>
      </c>
      <c r="R1322" s="4">
        <f t="shared" si="342"/>
        <v>12</v>
      </c>
      <c r="S1322" s="102">
        <f t="shared" si="343"/>
        <v>29</v>
      </c>
      <c r="U1322" s="101">
        <f t="shared" si="344"/>
        <v>46</v>
      </c>
      <c r="V1322" s="4">
        <f t="shared" si="345"/>
        <v>39</v>
      </c>
      <c r="W1322" s="4">
        <f t="shared" si="346"/>
        <v>9</v>
      </c>
      <c r="X1322" s="4">
        <f t="shared" si="347"/>
        <v>9</v>
      </c>
      <c r="Y1322" s="4">
        <f t="shared" si="348"/>
        <v>41</v>
      </c>
      <c r="Z1322" s="4">
        <f t="shared" si="349"/>
        <v>9</v>
      </c>
      <c r="AA1322" s="102">
        <f t="shared" si="350"/>
        <v>41</v>
      </c>
      <c r="AC1322" s="100">
        <f t="shared" si="351"/>
        <v>0.99615895000793153</v>
      </c>
    </row>
    <row r="1323" spans="4:29" x14ac:dyDescent="0.35">
      <c r="D1323">
        <f t="shared" si="352"/>
        <v>1319</v>
      </c>
      <c r="E1323" s="101">
        <v>6</v>
      </c>
      <c r="F1323" s="4">
        <v>2</v>
      </c>
      <c r="G1323" s="4">
        <v>7</v>
      </c>
      <c r="H1323" s="4">
        <v>3</v>
      </c>
      <c r="I1323" s="4">
        <v>2</v>
      </c>
      <c r="J1323" s="4">
        <v>7</v>
      </c>
      <c r="K1323" s="102">
        <v>4</v>
      </c>
      <c r="M1323" s="101">
        <f t="shared" si="337"/>
        <v>45</v>
      </c>
      <c r="N1323" s="4">
        <f t="shared" si="338"/>
        <v>56</v>
      </c>
      <c r="O1323" s="4">
        <f t="shared" si="339"/>
        <v>29</v>
      </c>
      <c r="P1323" s="4">
        <f t="shared" si="340"/>
        <v>23</v>
      </c>
      <c r="Q1323" s="4">
        <f t="shared" si="341"/>
        <v>56</v>
      </c>
      <c r="R1323" s="4">
        <f t="shared" si="342"/>
        <v>29</v>
      </c>
      <c r="S1323" s="102">
        <f t="shared" si="343"/>
        <v>12</v>
      </c>
      <c r="U1323" s="101">
        <f t="shared" si="344"/>
        <v>71</v>
      </c>
      <c r="V1323" s="4">
        <f t="shared" si="345"/>
        <v>78</v>
      </c>
      <c r="W1323" s="4">
        <f t="shared" si="346"/>
        <v>41</v>
      </c>
      <c r="X1323" s="4">
        <f t="shared" si="347"/>
        <v>39</v>
      </c>
      <c r="Y1323" s="4">
        <f t="shared" si="348"/>
        <v>78</v>
      </c>
      <c r="Z1323" s="4">
        <f t="shared" si="349"/>
        <v>41</v>
      </c>
      <c r="AA1323" s="102">
        <f t="shared" si="350"/>
        <v>9</v>
      </c>
      <c r="AC1323" s="100">
        <f t="shared" si="351"/>
        <v>0.98071997656067111</v>
      </c>
    </row>
    <row r="1324" spans="4:29" x14ac:dyDescent="0.35">
      <c r="D1324">
        <f t="shared" si="352"/>
        <v>1320</v>
      </c>
      <c r="E1324" s="101">
        <v>3</v>
      </c>
      <c r="F1324" s="4">
        <v>5</v>
      </c>
      <c r="G1324" s="4">
        <v>7</v>
      </c>
      <c r="H1324" s="4">
        <v>2</v>
      </c>
      <c r="I1324" s="4">
        <v>7</v>
      </c>
      <c r="J1324" s="4">
        <v>2</v>
      </c>
      <c r="K1324" s="102">
        <v>6</v>
      </c>
      <c r="M1324" s="101">
        <f t="shared" si="337"/>
        <v>23</v>
      </c>
      <c r="N1324" s="4">
        <f t="shared" si="338"/>
        <v>30</v>
      </c>
      <c r="O1324" s="4">
        <f t="shared" si="339"/>
        <v>29</v>
      </c>
      <c r="P1324" s="4">
        <f t="shared" si="340"/>
        <v>56</v>
      </c>
      <c r="Q1324" s="4">
        <f t="shared" si="341"/>
        <v>29</v>
      </c>
      <c r="R1324" s="4">
        <f t="shared" si="342"/>
        <v>56</v>
      </c>
      <c r="S1324" s="102">
        <f t="shared" si="343"/>
        <v>45</v>
      </c>
      <c r="U1324" s="101">
        <f t="shared" si="344"/>
        <v>39</v>
      </c>
      <c r="V1324" s="4">
        <f t="shared" si="345"/>
        <v>39</v>
      </c>
      <c r="W1324" s="4">
        <f t="shared" si="346"/>
        <v>41</v>
      </c>
      <c r="X1324" s="4">
        <f t="shared" si="347"/>
        <v>78</v>
      </c>
      <c r="Y1324" s="4">
        <f t="shared" si="348"/>
        <v>41</v>
      </c>
      <c r="Z1324" s="4">
        <f t="shared" si="349"/>
        <v>78</v>
      </c>
      <c r="AA1324" s="102">
        <f t="shared" si="350"/>
        <v>71</v>
      </c>
      <c r="AC1324" s="100">
        <f t="shared" si="351"/>
        <v>0.97763746794209316</v>
      </c>
    </row>
    <row r="1325" spans="4:29" x14ac:dyDescent="0.35">
      <c r="D1325">
        <f t="shared" si="352"/>
        <v>1321</v>
      </c>
      <c r="E1325" s="101">
        <v>4</v>
      </c>
      <c r="F1325" s="4">
        <v>4</v>
      </c>
      <c r="G1325" s="4">
        <v>1</v>
      </c>
      <c r="H1325" s="4">
        <v>4</v>
      </c>
      <c r="I1325" s="4">
        <v>5</v>
      </c>
      <c r="J1325" s="4">
        <v>7</v>
      </c>
      <c r="K1325" s="102">
        <v>5</v>
      </c>
      <c r="M1325" s="101">
        <f t="shared" si="337"/>
        <v>12</v>
      </c>
      <c r="N1325" s="4">
        <f t="shared" si="338"/>
        <v>12</v>
      </c>
      <c r="O1325" s="4">
        <f t="shared" si="339"/>
        <v>34</v>
      </c>
      <c r="P1325" s="4">
        <f t="shared" si="340"/>
        <v>12</v>
      </c>
      <c r="Q1325" s="4">
        <f t="shared" si="341"/>
        <v>30</v>
      </c>
      <c r="R1325" s="4">
        <f t="shared" si="342"/>
        <v>29</v>
      </c>
      <c r="S1325" s="102">
        <f t="shared" si="343"/>
        <v>30</v>
      </c>
      <c r="U1325" s="101">
        <f t="shared" si="344"/>
        <v>9</v>
      </c>
      <c r="V1325" s="4">
        <f t="shared" si="345"/>
        <v>9</v>
      </c>
      <c r="W1325" s="4">
        <f t="shared" si="346"/>
        <v>46</v>
      </c>
      <c r="X1325" s="4">
        <f t="shared" si="347"/>
        <v>9</v>
      </c>
      <c r="Y1325" s="4">
        <f t="shared" si="348"/>
        <v>39</v>
      </c>
      <c r="Z1325" s="4">
        <f t="shared" si="349"/>
        <v>41</v>
      </c>
      <c r="AA1325" s="102">
        <f t="shared" si="350"/>
        <v>39</v>
      </c>
      <c r="AC1325" s="100">
        <f t="shared" si="351"/>
        <v>0.99721326234206775</v>
      </c>
    </row>
    <row r="1326" spans="4:29" x14ac:dyDescent="0.35">
      <c r="D1326">
        <f t="shared" si="352"/>
        <v>1322</v>
      </c>
      <c r="E1326" s="101">
        <v>2</v>
      </c>
      <c r="F1326" s="4">
        <v>3</v>
      </c>
      <c r="G1326" s="4">
        <v>1</v>
      </c>
      <c r="H1326" s="4">
        <v>1</v>
      </c>
      <c r="I1326" s="4">
        <v>6</v>
      </c>
      <c r="J1326" s="4">
        <v>3</v>
      </c>
      <c r="K1326" s="102">
        <v>4</v>
      </c>
      <c r="M1326" s="101">
        <f t="shared" si="337"/>
        <v>56</v>
      </c>
      <c r="N1326" s="4">
        <f t="shared" si="338"/>
        <v>23</v>
      </c>
      <c r="O1326" s="4">
        <f t="shared" si="339"/>
        <v>34</v>
      </c>
      <c r="P1326" s="4">
        <f t="shared" si="340"/>
        <v>34</v>
      </c>
      <c r="Q1326" s="4">
        <f t="shared" si="341"/>
        <v>45</v>
      </c>
      <c r="R1326" s="4">
        <f t="shared" si="342"/>
        <v>23</v>
      </c>
      <c r="S1326" s="102">
        <f t="shared" si="343"/>
        <v>12</v>
      </c>
      <c r="U1326" s="101">
        <f t="shared" si="344"/>
        <v>78</v>
      </c>
      <c r="V1326" s="4">
        <f t="shared" si="345"/>
        <v>39</v>
      </c>
      <c r="W1326" s="4">
        <f t="shared" si="346"/>
        <v>46</v>
      </c>
      <c r="X1326" s="4">
        <f t="shared" si="347"/>
        <v>46</v>
      </c>
      <c r="Y1326" s="4">
        <f t="shared" si="348"/>
        <v>71</v>
      </c>
      <c r="Z1326" s="4">
        <f t="shared" si="349"/>
        <v>39</v>
      </c>
      <c r="AA1326" s="102">
        <f t="shared" si="350"/>
        <v>9</v>
      </c>
      <c r="AC1326" s="100">
        <f t="shared" si="351"/>
        <v>0.96777299965954067</v>
      </c>
    </row>
    <row r="1327" spans="4:29" x14ac:dyDescent="0.35">
      <c r="D1327">
        <f t="shared" si="352"/>
        <v>1323</v>
      </c>
      <c r="E1327" s="101">
        <v>2</v>
      </c>
      <c r="F1327" s="4">
        <v>4</v>
      </c>
      <c r="G1327" s="4">
        <v>6</v>
      </c>
      <c r="H1327" s="4">
        <v>2</v>
      </c>
      <c r="I1327" s="4">
        <v>1</v>
      </c>
      <c r="J1327" s="4">
        <v>1</v>
      </c>
      <c r="K1327" s="102">
        <v>2</v>
      </c>
      <c r="M1327" s="101">
        <f t="shared" si="337"/>
        <v>56</v>
      </c>
      <c r="N1327" s="4">
        <f t="shared" si="338"/>
        <v>12</v>
      </c>
      <c r="O1327" s="4">
        <f t="shared" si="339"/>
        <v>45</v>
      </c>
      <c r="P1327" s="4">
        <f t="shared" si="340"/>
        <v>56</v>
      </c>
      <c r="Q1327" s="4">
        <f t="shared" si="341"/>
        <v>34</v>
      </c>
      <c r="R1327" s="4">
        <f t="shared" si="342"/>
        <v>34</v>
      </c>
      <c r="S1327" s="102">
        <f t="shared" si="343"/>
        <v>56</v>
      </c>
      <c r="U1327" s="101">
        <f t="shared" si="344"/>
        <v>78</v>
      </c>
      <c r="V1327" s="4">
        <f t="shared" si="345"/>
        <v>9</v>
      </c>
      <c r="W1327" s="4">
        <f t="shared" si="346"/>
        <v>71</v>
      </c>
      <c r="X1327" s="4">
        <f t="shared" si="347"/>
        <v>78</v>
      </c>
      <c r="Y1327" s="4">
        <f t="shared" si="348"/>
        <v>46</v>
      </c>
      <c r="Z1327" s="4">
        <f t="shared" si="349"/>
        <v>46</v>
      </c>
      <c r="AA1327" s="102">
        <f t="shared" si="350"/>
        <v>78</v>
      </c>
      <c r="AC1327" s="100">
        <f t="shared" si="351"/>
        <v>0.98955753878350006</v>
      </c>
    </row>
    <row r="1328" spans="4:29" x14ac:dyDescent="0.35">
      <c r="D1328">
        <f t="shared" si="352"/>
        <v>1324</v>
      </c>
      <c r="E1328" s="101">
        <v>7</v>
      </c>
      <c r="F1328" s="4">
        <v>1</v>
      </c>
      <c r="G1328" s="4">
        <v>3</v>
      </c>
      <c r="H1328" s="4">
        <v>7</v>
      </c>
      <c r="I1328" s="4">
        <v>5</v>
      </c>
      <c r="J1328" s="4">
        <v>6</v>
      </c>
      <c r="K1328" s="102">
        <v>1</v>
      </c>
      <c r="M1328" s="101">
        <f t="shared" si="337"/>
        <v>29</v>
      </c>
      <c r="N1328" s="4">
        <f t="shared" si="338"/>
        <v>34</v>
      </c>
      <c r="O1328" s="4">
        <f t="shared" si="339"/>
        <v>23</v>
      </c>
      <c r="P1328" s="4">
        <f t="shared" si="340"/>
        <v>29</v>
      </c>
      <c r="Q1328" s="4">
        <f t="shared" si="341"/>
        <v>30</v>
      </c>
      <c r="R1328" s="4">
        <f t="shared" si="342"/>
        <v>45</v>
      </c>
      <c r="S1328" s="102">
        <f t="shared" si="343"/>
        <v>34</v>
      </c>
      <c r="U1328" s="101">
        <f t="shared" si="344"/>
        <v>41</v>
      </c>
      <c r="V1328" s="4">
        <f t="shared" si="345"/>
        <v>46</v>
      </c>
      <c r="W1328" s="4">
        <f t="shared" si="346"/>
        <v>39</v>
      </c>
      <c r="X1328" s="4">
        <f t="shared" si="347"/>
        <v>41</v>
      </c>
      <c r="Y1328" s="4">
        <f t="shared" si="348"/>
        <v>39</v>
      </c>
      <c r="Z1328" s="4">
        <f t="shared" si="349"/>
        <v>71</v>
      </c>
      <c r="AA1328" s="102">
        <f t="shared" si="350"/>
        <v>46</v>
      </c>
      <c r="AC1328" s="100">
        <f t="shared" si="351"/>
        <v>0.92865653364747114</v>
      </c>
    </row>
    <row r="1329" spans="4:29" x14ac:dyDescent="0.35">
      <c r="D1329">
        <f t="shared" si="352"/>
        <v>1325</v>
      </c>
      <c r="E1329" s="101">
        <v>5</v>
      </c>
      <c r="F1329" s="4">
        <v>7</v>
      </c>
      <c r="G1329" s="4">
        <v>7</v>
      </c>
      <c r="H1329" s="4">
        <v>2</v>
      </c>
      <c r="I1329" s="4">
        <v>7</v>
      </c>
      <c r="J1329" s="4">
        <v>6</v>
      </c>
      <c r="K1329" s="102">
        <v>5</v>
      </c>
      <c r="M1329" s="101">
        <f t="shared" si="337"/>
        <v>30</v>
      </c>
      <c r="N1329" s="4">
        <f t="shared" si="338"/>
        <v>29</v>
      </c>
      <c r="O1329" s="4">
        <f t="shared" si="339"/>
        <v>29</v>
      </c>
      <c r="P1329" s="4">
        <f t="shared" si="340"/>
        <v>56</v>
      </c>
      <c r="Q1329" s="4">
        <f t="shared" si="341"/>
        <v>29</v>
      </c>
      <c r="R1329" s="4">
        <f t="shared" si="342"/>
        <v>45</v>
      </c>
      <c r="S1329" s="102">
        <f t="shared" si="343"/>
        <v>30</v>
      </c>
      <c r="U1329" s="101">
        <f t="shared" si="344"/>
        <v>39</v>
      </c>
      <c r="V1329" s="4">
        <f t="shared" si="345"/>
        <v>41</v>
      </c>
      <c r="W1329" s="4">
        <f t="shared" si="346"/>
        <v>41</v>
      </c>
      <c r="X1329" s="4">
        <f t="shared" si="347"/>
        <v>78</v>
      </c>
      <c r="Y1329" s="4">
        <f t="shared" si="348"/>
        <v>41</v>
      </c>
      <c r="Z1329" s="4">
        <f t="shared" si="349"/>
        <v>71</v>
      </c>
      <c r="AA1329" s="102">
        <f t="shared" si="350"/>
        <v>39</v>
      </c>
      <c r="AC1329" s="100">
        <f t="shared" si="351"/>
        <v>0.9795958009771909</v>
      </c>
    </row>
    <row r="1330" spans="4:29" x14ac:dyDescent="0.35">
      <c r="D1330">
        <f t="shared" si="352"/>
        <v>1326</v>
      </c>
      <c r="E1330" s="101">
        <v>3</v>
      </c>
      <c r="F1330" s="4">
        <v>4</v>
      </c>
      <c r="G1330" s="4">
        <v>5</v>
      </c>
      <c r="H1330" s="4">
        <v>3</v>
      </c>
      <c r="I1330" s="4">
        <v>6</v>
      </c>
      <c r="J1330" s="4">
        <v>5</v>
      </c>
      <c r="K1330" s="102">
        <v>6</v>
      </c>
      <c r="M1330" s="101">
        <f t="shared" si="337"/>
        <v>23</v>
      </c>
      <c r="N1330" s="4">
        <f t="shared" si="338"/>
        <v>12</v>
      </c>
      <c r="O1330" s="4">
        <f t="shared" si="339"/>
        <v>30</v>
      </c>
      <c r="P1330" s="4">
        <f t="shared" si="340"/>
        <v>23</v>
      </c>
      <c r="Q1330" s="4">
        <f t="shared" si="341"/>
        <v>45</v>
      </c>
      <c r="R1330" s="4">
        <f t="shared" si="342"/>
        <v>30</v>
      </c>
      <c r="S1330" s="102">
        <f t="shared" si="343"/>
        <v>45</v>
      </c>
      <c r="U1330" s="101">
        <f t="shared" si="344"/>
        <v>39</v>
      </c>
      <c r="V1330" s="4">
        <f t="shared" si="345"/>
        <v>9</v>
      </c>
      <c r="W1330" s="4">
        <f t="shared" si="346"/>
        <v>39</v>
      </c>
      <c r="X1330" s="4">
        <f t="shared" si="347"/>
        <v>39</v>
      </c>
      <c r="Y1330" s="4">
        <f t="shared" si="348"/>
        <v>71</v>
      </c>
      <c r="Z1330" s="4">
        <f t="shared" si="349"/>
        <v>39</v>
      </c>
      <c r="AA1330" s="102">
        <f t="shared" si="350"/>
        <v>71</v>
      </c>
      <c r="AC1330" s="100">
        <f t="shared" si="351"/>
        <v>0.9694678488326578</v>
      </c>
    </row>
    <row r="1331" spans="4:29" x14ac:dyDescent="0.35">
      <c r="D1331">
        <f t="shared" si="352"/>
        <v>1327</v>
      </c>
      <c r="E1331" s="101">
        <v>7</v>
      </c>
      <c r="F1331" s="4">
        <v>3</v>
      </c>
      <c r="G1331" s="4">
        <v>2</v>
      </c>
      <c r="H1331" s="4">
        <v>6</v>
      </c>
      <c r="I1331" s="4">
        <v>4</v>
      </c>
      <c r="J1331" s="4">
        <v>6</v>
      </c>
      <c r="K1331" s="102">
        <v>5</v>
      </c>
      <c r="M1331" s="101">
        <f t="shared" si="337"/>
        <v>29</v>
      </c>
      <c r="N1331" s="4">
        <f t="shared" si="338"/>
        <v>23</v>
      </c>
      <c r="O1331" s="4">
        <f t="shared" si="339"/>
        <v>56</v>
      </c>
      <c r="P1331" s="4">
        <f t="shared" si="340"/>
        <v>45</v>
      </c>
      <c r="Q1331" s="4">
        <f t="shared" si="341"/>
        <v>12</v>
      </c>
      <c r="R1331" s="4">
        <f t="shared" si="342"/>
        <v>45</v>
      </c>
      <c r="S1331" s="102">
        <f t="shared" si="343"/>
        <v>30</v>
      </c>
      <c r="U1331" s="101">
        <f t="shared" si="344"/>
        <v>41</v>
      </c>
      <c r="V1331" s="4">
        <f t="shared" si="345"/>
        <v>39</v>
      </c>
      <c r="W1331" s="4">
        <f t="shared" si="346"/>
        <v>78</v>
      </c>
      <c r="X1331" s="4">
        <f t="shared" si="347"/>
        <v>71</v>
      </c>
      <c r="Y1331" s="4">
        <f t="shared" si="348"/>
        <v>9</v>
      </c>
      <c r="Z1331" s="4">
        <f t="shared" si="349"/>
        <v>71</v>
      </c>
      <c r="AA1331" s="102">
        <f t="shared" si="350"/>
        <v>39</v>
      </c>
      <c r="AC1331" s="100">
        <f t="shared" si="351"/>
        <v>0.9764985512361638</v>
      </c>
    </row>
    <row r="1332" spans="4:29" x14ac:dyDescent="0.35">
      <c r="D1332">
        <f t="shared" si="352"/>
        <v>1328</v>
      </c>
      <c r="E1332" s="101">
        <v>7</v>
      </c>
      <c r="F1332" s="4">
        <v>2</v>
      </c>
      <c r="G1332" s="4">
        <v>3</v>
      </c>
      <c r="H1332" s="4">
        <v>7</v>
      </c>
      <c r="I1332" s="4">
        <v>7</v>
      </c>
      <c r="J1332" s="4">
        <v>7</v>
      </c>
      <c r="K1332" s="102">
        <v>3</v>
      </c>
      <c r="M1332" s="101">
        <f t="shared" si="337"/>
        <v>29</v>
      </c>
      <c r="N1332" s="4">
        <f t="shared" si="338"/>
        <v>56</v>
      </c>
      <c r="O1332" s="4">
        <f t="shared" si="339"/>
        <v>23</v>
      </c>
      <c r="P1332" s="4">
        <f t="shared" si="340"/>
        <v>29</v>
      </c>
      <c r="Q1332" s="4">
        <f t="shared" si="341"/>
        <v>29</v>
      </c>
      <c r="R1332" s="4">
        <f t="shared" si="342"/>
        <v>29</v>
      </c>
      <c r="S1332" s="102">
        <f t="shared" si="343"/>
        <v>23</v>
      </c>
      <c r="U1332" s="101">
        <f t="shared" si="344"/>
        <v>41</v>
      </c>
      <c r="V1332" s="4">
        <f t="shared" si="345"/>
        <v>78</v>
      </c>
      <c r="W1332" s="4">
        <f t="shared" si="346"/>
        <v>39</v>
      </c>
      <c r="X1332" s="4">
        <f t="shared" si="347"/>
        <v>41</v>
      </c>
      <c r="Y1332" s="4">
        <f t="shared" si="348"/>
        <v>41</v>
      </c>
      <c r="Z1332" s="4">
        <f t="shared" si="349"/>
        <v>41</v>
      </c>
      <c r="AA1332" s="102">
        <f t="shared" si="350"/>
        <v>39</v>
      </c>
      <c r="AC1332" s="100">
        <f t="shared" si="351"/>
        <v>0.98267612645101055</v>
      </c>
    </row>
    <row r="1333" spans="4:29" x14ac:dyDescent="0.35">
      <c r="D1333">
        <f t="shared" si="352"/>
        <v>1329</v>
      </c>
      <c r="E1333" s="101">
        <v>5</v>
      </c>
      <c r="F1333" s="4">
        <v>2</v>
      </c>
      <c r="G1333" s="4">
        <v>4</v>
      </c>
      <c r="H1333" s="4">
        <v>2</v>
      </c>
      <c r="I1333" s="4">
        <v>6</v>
      </c>
      <c r="J1333" s="4">
        <v>5</v>
      </c>
      <c r="K1333" s="102">
        <v>1</v>
      </c>
      <c r="M1333" s="101">
        <f t="shared" si="337"/>
        <v>30</v>
      </c>
      <c r="N1333" s="4">
        <f t="shared" si="338"/>
        <v>56</v>
      </c>
      <c r="O1333" s="4">
        <f t="shared" si="339"/>
        <v>12</v>
      </c>
      <c r="P1333" s="4">
        <f t="shared" si="340"/>
        <v>56</v>
      </c>
      <c r="Q1333" s="4">
        <f t="shared" si="341"/>
        <v>45</v>
      </c>
      <c r="R1333" s="4">
        <f t="shared" si="342"/>
        <v>30</v>
      </c>
      <c r="S1333" s="102">
        <f t="shared" si="343"/>
        <v>34</v>
      </c>
      <c r="U1333" s="101">
        <f t="shared" si="344"/>
        <v>39</v>
      </c>
      <c r="V1333" s="4">
        <f t="shared" si="345"/>
        <v>78</v>
      </c>
      <c r="W1333" s="4">
        <f t="shared" si="346"/>
        <v>9</v>
      </c>
      <c r="X1333" s="4">
        <f t="shared" si="347"/>
        <v>78</v>
      </c>
      <c r="Y1333" s="4">
        <f t="shared" si="348"/>
        <v>71</v>
      </c>
      <c r="Z1333" s="4">
        <f t="shared" si="349"/>
        <v>39</v>
      </c>
      <c r="AA1333" s="102">
        <f t="shared" si="350"/>
        <v>46</v>
      </c>
      <c r="AC1333" s="100">
        <f t="shared" si="351"/>
        <v>0.98996059273785875</v>
      </c>
    </row>
    <row r="1334" spans="4:29" x14ac:dyDescent="0.35">
      <c r="D1334">
        <f t="shared" si="352"/>
        <v>1330</v>
      </c>
      <c r="E1334" s="101">
        <v>6</v>
      </c>
      <c r="F1334" s="4">
        <v>5</v>
      </c>
      <c r="G1334" s="4">
        <v>7</v>
      </c>
      <c r="H1334" s="4">
        <v>1</v>
      </c>
      <c r="I1334" s="4">
        <v>2</v>
      </c>
      <c r="J1334" s="4">
        <v>5</v>
      </c>
      <c r="K1334" s="102">
        <v>1</v>
      </c>
      <c r="M1334" s="101">
        <f t="shared" si="337"/>
        <v>45</v>
      </c>
      <c r="N1334" s="4">
        <f t="shared" si="338"/>
        <v>30</v>
      </c>
      <c r="O1334" s="4">
        <f t="shared" si="339"/>
        <v>29</v>
      </c>
      <c r="P1334" s="4">
        <f t="shared" si="340"/>
        <v>34</v>
      </c>
      <c r="Q1334" s="4">
        <f t="shared" si="341"/>
        <v>56</v>
      </c>
      <c r="R1334" s="4">
        <f t="shared" si="342"/>
        <v>30</v>
      </c>
      <c r="S1334" s="102">
        <f t="shared" si="343"/>
        <v>34</v>
      </c>
      <c r="U1334" s="101">
        <f t="shared" si="344"/>
        <v>71</v>
      </c>
      <c r="V1334" s="4">
        <f t="shared" si="345"/>
        <v>39</v>
      </c>
      <c r="W1334" s="4">
        <f t="shared" si="346"/>
        <v>41</v>
      </c>
      <c r="X1334" s="4">
        <f t="shared" si="347"/>
        <v>46</v>
      </c>
      <c r="Y1334" s="4">
        <f t="shared" si="348"/>
        <v>78</v>
      </c>
      <c r="Z1334" s="4">
        <f t="shared" si="349"/>
        <v>39</v>
      </c>
      <c r="AA1334" s="102">
        <f t="shared" si="350"/>
        <v>46</v>
      </c>
      <c r="AC1334" s="100">
        <f t="shared" si="351"/>
        <v>0.97767278307485728</v>
      </c>
    </row>
    <row r="1335" spans="4:29" x14ac:dyDescent="0.35">
      <c r="D1335">
        <f t="shared" si="352"/>
        <v>1331</v>
      </c>
      <c r="E1335" s="101">
        <v>6</v>
      </c>
      <c r="F1335" s="4">
        <v>3</v>
      </c>
      <c r="G1335" s="4">
        <v>3</v>
      </c>
      <c r="H1335" s="4">
        <v>7</v>
      </c>
      <c r="I1335" s="4">
        <v>6</v>
      </c>
      <c r="J1335" s="4">
        <v>7</v>
      </c>
      <c r="K1335" s="102">
        <v>5</v>
      </c>
      <c r="M1335" s="101">
        <f t="shared" si="337"/>
        <v>45</v>
      </c>
      <c r="N1335" s="4">
        <f t="shared" si="338"/>
        <v>23</v>
      </c>
      <c r="O1335" s="4">
        <f t="shared" si="339"/>
        <v>23</v>
      </c>
      <c r="P1335" s="4">
        <f t="shared" si="340"/>
        <v>29</v>
      </c>
      <c r="Q1335" s="4">
        <f t="shared" si="341"/>
        <v>45</v>
      </c>
      <c r="R1335" s="4">
        <f t="shared" si="342"/>
        <v>29</v>
      </c>
      <c r="S1335" s="102">
        <f t="shared" si="343"/>
        <v>30</v>
      </c>
      <c r="U1335" s="101">
        <f t="shared" si="344"/>
        <v>71</v>
      </c>
      <c r="V1335" s="4">
        <f t="shared" si="345"/>
        <v>39</v>
      </c>
      <c r="W1335" s="4">
        <f t="shared" si="346"/>
        <v>39</v>
      </c>
      <c r="X1335" s="4">
        <f t="shared" si="347"/>
        <v>41</v>
      </c>
      <c r="Y1335" s="4">
        <f t="shared" si="348"/>
        <v>71</v>
      </c>
      <c r="Z1335" s="4">
        <f t="shared" si="349"/>
        <v>41</v>
      </c>
      <c r="AA1335" s="102">
        <f t="shared" si="350"/>
        <v>39</v>
      </c>
      <c r="AC1335" s="100">
        <f t="shared" si="351"/>
        <v>0.96078186138725097</v>
      </c>
    </row>
    <row r="1336" spans="4:29" x14ac:dyDescent="0.35">
      <c r="D1336">
        <f t="shared" si="352"/>
        <v>1332</v>
      </c>
      <c r="E1336" s="101">
        <v>3</v>
      </c>
      <c r="F1336" s="4">
        <v>7</v>
      </c>
      <c r="G1336" s="4">
        <v>1</v>
      </c>
      <c r="H1336" s="4">
        <v>1</v>
      </c>
      <c r="I1336" s="4">
        <v>4</v>
      </c>
      <c r="J1336" s="4">
        <v>3</v>
      </c>
      <c r="K1336" s="102">
        <v>4</v>
      </c>
      <c r="M1336" s="101">
        <f t="shared" si="337"/>
        <v>23</v>
      </c>
      <c r="N1336" s="4">
        <f t="shared" si="338"/>
        <v>29</v>
      </c>
      <c r="O1336" s="4">
        <f t="shared" si="339"/>
        <v>34</v>
      </c>
      <c r="P1336" s="4">
        <f t="shared" si="340"/>
        <v>34</v>
      </c>
      <c r="Q1336" s="4">
        <f t="shared" si="341"/>
        <v>12</v>
      </c>
      <c r="R1336" s="4">
        <f t="shared" si="342"/>
        <v>23</v>
      </c>
      <c r="S1336" s="102">
        <f t="shared" si="343"/>
        <v>12</v>
      </c>
      <c r="U1336" s="101">
        <f t="shared" si="344"/>
        <v>39</v>
      </c>
      <c r="V1336" s="4">
        <f t="shared" si="345"/>
        <v>41</v>
      </c>
      <c r="W1336" s="4">
        <f t="shared" si="346"/>
        <v>46</v>
      </c>
      <c r="X1336" s="4">
        <f t="shared" si="347"/>
        <v>46</v>
      </c>
      <c r="Y1336" s="4">
        <f t="shared" si="348"/>
        <v>9</v>
      </c>
      <c r="Z1336" s="4">
        <f t="shared" si="349"/>
        <v>39</v>
      </c>
      <c r="AA1336" s="102">
        <f t="shared" si="350"/>
        <v>9</v>
      </c>
      <c r="AC1336" s="100">
        <f t="shared" si="351"/>
        <v>0.94415389035405473</v>
      </c>
    </row>
    <row r="1337" spans="4:29" x14ac:dyDescent="0.35">
      <c r="D1337">
        <f t="shared" si="352"/>
        <v>1333</v>
      </c>
      <c r="E1337" s="101">
        <v>7</v>
      </c>
      <c r="F1337" s="4">
        <v>3</v>
      </c>
      <c r="G1337" s="4">
        <v>4</v>
      </c>
      <c r="H1337" s="4">
        <v>3</v>
      </c>
      <c r="I1337" s="4">
        <v>7</v>
      </c>
      <c r="J1337" s="4">
        <v>6</v>
      </c>
      <c r="K1337" s="102">
        <v>2</v>
      </c>
      <c r="M1337" s="101">
        <f t="shared" si="337"/>
        <v>29</v>
      </c>
      <c r="N1337" s="4">
        <f t="shared" si="338"/>
        <v>23</v>
      </c>
      <c r="O1337" s="4">
        <f t="shared" si="339"/>
        <v>12</v>
      </c>
      <c r="P1337" s="4">
        <f t="shared" si="340"/>
        <v>23</v>
      </c>
      <c r="Q1337" s="4">
        <f t="shared" si="341"/>
        <v>29</v>
      </c>
      <c r="R1337" s="4">
        <f t="shared" si="342"/>
        <v>45</v>
      </c>
      <c r="S1337" s="102">
        <f t="shared" si="343"/>
        <v>56</v>
      </c>
      <c r="U1337" s="101">
        <f t="shared" si="344"/>
        <v>41</v>
      </c>
      <c r="V1337" s="4">
        <f t="shared" si="345"/>
        <v>39</v>
      </c>
      <c r="W1337" s="4">
        <f t="shared" si="346"/>
        <v>9</v>
      </c>
      <c r="X1337" s="4">
        <f t="shared" si="347"/>
        <v>39</v>
      </c>
      <c r="Y1337" s="4">
        <f t="shared" si="348"/>
        <v>41</v>
      </c>
      <c r="Z1337" s="4">
        <f t="shared" si="349"/>
        <v>71</v>
      </c>
      <c r="AA1337" s="102">
        <f t="shared" si="350"/>
        <v>78</v>
      </c>
      <c r="AC1337" s="100">
        <f t="shared" si="351"/>
        <v>0.97208485785602972</v>
      </c>
    </row>
    <row r="1338" spans="4:29" x14ac:dyDescent="0.35">
      <c r="D1338">
        <f t="shared" si="352"/>
        <v>1334</v>
      </c>
      <c r="E1338" s="101">
        <v>6</v>
      </c>
      <c r="F1338" s="4">
        <v>4</v>
      </c>
      <c r="G1338" s="4">
        <v>6</v>
      </c>
      <c r="H1338" s="4">
        <v>2</v>
      </c>
      <c r="I1338" s="4">
        <v>2</v>
      </c>
      <c r="J1338" s="4">
        <v>3</v>
      </c>
      <c r="K1338" s="102">
        <v>2</v>
      </c>
      <c r="M1338" s="101">
        <f t="shared" si="337"/>
        <v>45</v>
      </c>
      <c r="N1338" s="4">
        <f t="shared" si="338"/>
        <v>12</v>
      </c>
      <c r="O1338" s="4">
        <f t="shared" si="339"/>
        <v>45</v>
      </c>
      <c r="P1338" s="4">
        <f t="shared" si="340"/>
        <v>56</v>
      </c>
      <c r="Q1338" s="4">
        <f t="shared" si="341"/>
        <v>56</v>
      </c>
      <c r="R1338" s="4">
        <f t="shared" si="342"/>
        <v>23</v>
      </c>
      <c r="S1338" s="102">
        <f t="shared" si="343"/>
        <v>56</v>
      </c>
      <c r="U1338" s="101">
        <f t="shared" si="344"/>
        <v>71</v>
      </c>
      <c r="V1338" s="4">
        <f t="shared" si="345"/>
        <v>9</v>
      </c>
      <c r="W1338" s="4">
        <f t="shared" si="346"/>
        <v>71</v>
      </c>
      <c r="X1338" s="4">
        <f t="shared" si="347"/>
        <v>78</v>
      </c>
      <c r="Y1338" s="4">
        <f t="shared" si="348"/>
        <v>78</v>
      </c>
      <c r="Z1338" s="4">
        <f t="shared" si="349"/>
        <v>39</v>
      </c>
      <c r="AA1338" s="102">
        <f t="shared" si="350"/>
        <v>78</v>
      </c>
      <c r="AC1338" s="100">
        <f t="shared" si="351"/>
        <v>0.97642994639927305</v>
      </c>
    </row>
    <row r="1339" spans="4:29" x14ac:dyDescent="0.35">
      <c r="D1339">
        <f t="shared" si="352"/>
        <v>1335</v>
      </c>
      <c r="E1339" s="101">
        <v>2</v>
      </c>
      <c r="F1339" s="4">
        <v>3</v>
      </c>
      <c r="G1339" s="4">
        <v>4</v>
      </c>
      <c r="H1339" s="4">
        <v>1</v>
      </c>
      <c r="I1339" s="4">
        <v>2</v>
      </c>
      <c r="J1339" s="4">
        <v>7</v>
      </c>
      <c r="K1339" s="102">
        <v>2</v>
      </c>
      <c r="M1339" s="101">
        <f t="shared" si="337"/>
        <v>56</v>
      </c>
      <c r="N1339" s="4">
        <f t="shared" si="338"/>
        <v>23</v>
      </c>
      <c r="O1339" s="4">
        <f t="shared" si="339"/>
        <v>12</v>
      </c>
      <c r="P1339" s="4">
        <f t="shared" si="340"/>
        <v>34</v>
      </c>
      <c r="Q1339" s="4">
        <f t="shared" si="341"/>
        <v>56</v>
      </c>
      <c r="R1339" s="4">
        <f t="shared" si="342"/>
        <v>29</v>
      </c>
      <c r="S1339" s="102">
        <f t="shared" si="343"/>
        <v>56</v>
      </c>
      <c r="U1339" s="101">
        <f t="shared" si="344"/>
        <v>78</v>
      </c>
      <c r="V1339" s="4">
        <f t="shared" si="345"/>
        <v>39</v>
      </c>
      <c r="W1339" s="4">
        <f t="shared" si="346"/>
        <v>9</v>
      </c>
      <c r="X1339" s="4">
        <f t="shared" si="347"/>
        <v>46</v>
      </c>
      <c r="Y1339" s="4">
        <f t="shared" si="348"/>
        <v>78</v>
      </c>
      <c r="Z1339" s="4">
        <f t="shared" si="349"/>
        <v>41</v>
      </c>
      <c r="AA1339" s="102">
        <f t="shared" si="350"/>
        <v>78</v>
      </c>
      <c r="AC1339" s="100">
        <f t="shared" si="351"/>
        <v>0.98739319007368009</v>
      </c>
    </row>
    <row r="1340" spans="4:29" x14ac:dyDescent="0.35">
      <c r="D1340">
        <f t="shared" si="352"/>
        <v>1336</v>
      </c>
      <c r="E1340" s="101">
        <v>2</v>
      </c>
      <c r="F1340" s="4">
        <v>5</v>
      </c>
      <c r="G1340" s="4">
        <v>4</v>
      </c>
      <c r="H1340" s="4">
        <v>5</v>
      </c>
      <c r="I1340" s="4">
        <v>1</v>
      </c>
      <c r="J1340" s="4">
        <v>4</v>
      </c>
      <c r="K1340" s="102">
        <v>2</v>
      </c>
      <c r="M1340" s="101">
        <f t="shared" si="337"/>
        <v>56</v>
      </c>
      <c r="N1340" s="4">
        <f t="shared" si="338"/>
        <v>30</v>
      </c>
      <c r="O1340" s="4">
        <f t="shared" si="339"/>
        <v>12</v>
      </c>
      <c r="P1340" s="4">
        <f t="shared" si="340"/>
        <v>30</v>
      </c>
      <c r="Q1340" s="4">
        <f t="shared" si="341"/>
        <v>34</v>
      </c>
      <c r="R1340" s="4">
        <f t="shared" si="342"/>
        <v>12</v>
      </c>
      <c r="S1340" s="102">
        <f t="shared" si="343"/>
        <v>56</v>
      </c>
      <c r="U1340" s="101">
        <f t="shared" si="344"/>
        <v>78</v>
      </c>
      <c r="V1340" s="4">
        <f t="shared" si="345"/>
        <v>39</v>
      </c>
      <c r="W1340" s="4">
        <f t="shared" si="346"/>
        <v>9</v>
      </c>
      <c r="X1340" s="4">
        <f t="shared" si="347"/>
        <v>39</v>
      </c>
      <c r="Y1340" s="4">
        <f t="shared" si="348"/>
        <v>46</v>
      </c>
      <c r="Z1340" s="4">
        <f t="shared" si="349"/>
        <v>9</v>
      </c>
      <c r="AA1340" s="102">
        <f t="shared" si="350"/>
        <v>78</v>
      </c>
      <c r="AC1340" s="100">
        <f t="shared" si="351"/>
        <v>0.99924091541056825</v>
      </c>
    </row>
    <row r="1341" spans="4:29" x14ac:dyDescent="0.35">
      <c r="D1341">
        <f t="shared" si="352"/>
        <v>1337</v>
      </c>
      <c r="E1341" s="101">
        <v>3</v>
      </c>
      <c r="F1341" s="4">
        <v>6</v>
      </c>
      <c r="G1341" s="4">
        <v>2</v>
      </c>
      <c r="H1341" s="4">
        <v>6</v>
      </c>
      <c r="I1341" s="4">
        <v>4</v>
      </c>
      <c r="J1341" s="4">
        <v>3</v>
      </c>
      <c r="K1341" s="102">
        <v>6</v>
      </c>
      <c r="M1341" s="101">
        <f t="shared" si="337"/>
        <v>23</v>
      </c>
      <c r="N1341" s="4">
        <f t="shared" si="338"/>
        <v>45</v>
      </c>
      <c r="O1341" s="4">
        <f t="shared" si="339"/>
        <v>56</v>
      </c>
      <c r="P1341" s="4">
        <f t="shared" si="340"/>
        <v>45</v>
      </c>
      <c r="Q1341" s="4">
        <f t="shared" si="341"/>
        <v>12</v>
      </c>
      <c r="R1341" s="4">
        <f t="shared" si="342"/>
        <v>23</v>
      </c>
      <c r="S1341" s="102">
        <f t="shared" si="343"/>
        <v>45</v>
      </c>
      <c r="U1341" s="101">
        <f t="shared" si="344"/>
        <v>39</v>
      </c>
      <c r="V1341" s="4">
        <f t="shared" si="345"/>
        <v>71</v>
      </c>
      <c r="W1341" s="4">
        <f t="shared" si="346"/>
        <v>78</v>
      </c>
      <c r="X1341" s="4">
        <f t="shared" si="347"/>
        <v>71</v>
      </c>
      <c r="Y1341" s="4">
        <f t="shared" si="348"/>
        <v>9</v>
      </c>
      <c r="Z1341" s="4">
        <f t="shared" si="349"/>
        <v>39</v>
      </c>
      <c r="AA1341" s="102">
        <f t="shared" si="350"/>
        <v>71</v>
      </c>
      <c r="AC1341" s="100">
        <f t="shared" si="351"/>
        <v>0.97575248118728031</v>
      </c>
    </row>
    <row r="1342" spans="4:29" x14ac:dyDescent="0.35">
      <c r="D1342">
        <f t="shared" si="352"/>
        <v>1338</v>
      </c>
      <c r="E1342" s="101">
        <v>6</v>
      </c>
      <c r="F1342" s="4">
        <v>7</v>
      </c>
      <c r="G1342" s="4">
        <v>5</v>
      </c>
      <c r="H1342" s="4">
        <v>6</v>
      </c>
      <c r="I1342" s="4">
        <v>5</v>
      </c>
      <c r="J1342" s="4">
        <v>5</v>
      </c>
      <c r="K1342" s="102">
        <v>1</v>
      </c>
      <c r="M1342" s="101">
        <f t="shared" si="337"/>
        <v>45</v>
      </c>
      <c r="N1342" s="4">
        <f t="shared" si="338"/>
        <v>29</v>
      </c>
      <c r="O1342" s="4">
        <f t="shared" si="339"/>
        <v>30</v>
      </c>
      <c r="P1342" s="4">
        <f t="shared" si="340"/>
        <v>45</v>
      </c>
      <c r="Q1342" s="4">
        <f t="shared" si="341"/>
        <v>30</v>
      </c>
      <c r="R1342" s="4">
        <f t="shared" si="342"/>
        <v>30</v>
      </c>
      <c r="S1342" s="102">
        <f t="shared" si="343"/>
        <v>34</v>
      </c>
      <c r="U1342" s="101">
        <f t="shared" si="344"/>
        <v>71</v>
      </c>
      <c r="V1342" s="4">
        <f t="shared" si="345"/>
        <v>41</v>
      </c>
      <c r="W1342" s="4">
        <f t="shared" si="346"/>
        <v>39</v>
      </c>
      <c r="X1342" s="4">
        <f t="shared" si="347"/>
        <v>71</v>
      </c>
      <c r="Y1342" s="4">
        <f t="shared" si="348"/>
        <v>39</v>
      </c>
      <c r="Z1342" s="4">
        <f t="shared" si="349"/>
        <v>39</v>
      </c>
      <c r="AA1342" s="102">
        <f t="shared" si="350"/>
        <v>46</v>
      </c>
      <c r="AC1342" s="100">
        <f t="shared" si="351"/>
        <v>0.99369489249315068</v>
      </c>
    </row>
    <row r="1343" spans="4:29" x14ac:dyDescent="0.35">
      <c r="D1343">
        <f t="shared" si="352"/>
        <v>1339</v>
      </c>
      <c r="E1343" s="101">
        <v>3</v>
      </c>
      <c r="F1343" s="4">
        <v>6</v>
      </c>
      <c r="G1343" s="4">
        <v>5</v>
      </c>
      <c r="H1343" s="4">
        <v>2</v>
      </c>
      <c r="I1343" s="4">
        <v>4</v>
      </c>
      <c r="J1343" s="4">
        <v>2</v>
      </c>
      <c r="K1343" s="102">
        <v>3</v>
      </c>
      <c r="M1343" s="101">
        <f t="shared" si="337"/>
        <v>23</v>
      </c>
      <c r="N1343" s="4">
        <f t="shared" si="338"/>
        <v>45</v>
      </c>
      <c r="O1343" s="4">
        <f t="shared" si="339"/>
        <v>30</v>
      </c>
      <c r="P1343" s="4">
        <f t="shared" si="340"/>
        <v>56</v>
      </c>
      <c r="Q1343" s="4">
        <f t="shared" si="341"/>
        <v>12</v>
      </c>
      <c r="R1343" s="4">
        <f t="shared" si="342"/>
        <v>56</v>
      </c>
      <c r="S1343" s="102">
        <f t="shared" si="343"/>
        <v>23</v>
      </c>
      <c r="U1343" s="101">
        <f t="shared" si="344"/>
        <v>39</v>
      </c>
      <c r="V1343" s="4">
        <f t="shared" si="345"/>
        <v>71</v>
      </c>
      <c r="W1343" s="4">
        <f t="shared" si="346"/>
        <v>39</v>
      </c>
      <c r="X1343" s="4">
        <f t="shared" si="347"/>
        <v>78</v>
      </c>
      <c r="Y1343" s="4">
        <f t="shared" si="348"/>
        <v>9</v>
      </c>
      <c r="Z1343" s="4">
        <f t="shared" si="349"/>
        <v>78</v>
      </c>
      <c r="AA1343" s="102">
        <f t="shared" si="350"/>
        <v>39</v>
      </c>
      <c r="AC1343" s="100">
        <f t="shared" si="351"/>
        <v>0.97406100508527083</v>
      </c>
    </row>
    <row r="1344" spans="4:29" x14ac:dyDescent="0.35">
      <c r="D1344">
        <f t="shared" si="352"/>
        <v>1340</v>
      </c>
      <c r="E1344" s="101">
        <v>6</v>
      </c>
      <c r="F1344" s="4">
        <v>6</v>
      </c>
      <c r="G1344" s="4">
        <v>4</v>
      </c>
      <c r="H1344" s="4">
        <v>5</v>
      </c>
      <c r="I1344" s="4">
        <v>7</v>
      </c>
      <c r="J1344" s="4">
        <v>5</v>
      </c>
      <c r="K1344" s="102">
        <v>5</v>
      </c>
      <c r="M1344" s="101">
        <f t="shared" si="337"/>
        <v>45</v>
      </c>
      <c r="N1344" s="4">
        <f t="shared" si="338"/>
        <v>45</v>
      </c>
      <c r="O1344" s="4">
        <f t="shared" si="339"/>
        <v>12</v>
      </c>
      <c r="P1344" s="4">
        <f t="shared" si="340"/>
        <v>30</v>
      </c>
      <c r="Q1344" s="4">
        <f t="shared" si="341"/>
        <v>29</v>
      </c>
      <c r="R1344" s="4">
        <f t="shared" si="342"/>
        <v>30</v>
      </c>
      <c r="S1344" s="102">
        <f t="shared" si="343"/>
        <v>30</v>
      </c>
      <c r="U1344" s="101">
        <f t="shared" si="344"/>
        <v>71</v>
      </c>
      <c r="V1344" s="4">
        <f t="shared" si="345"/>
        <v>71</v>
      </c>
      <c r="W1344" s="4">
        <f t="shared" si="346"/>
        <v>9</v>
      </c>
      <c r="X1344" s="4">
        <f t="shared" si="347"/>
        <v>39</v>
      </c>
      <c r="Y1344" s="4">
        <f t="shared" si="348"/>
        <v>41</v>
      </c>
      <c r="Z1344" s="4">
        <f t="shared" si="349"/>
        <v>39</v>
      </c>
      <c r="AA1344" s="102">
        <f t="shared" si="350"/>
        <v>39</v>
      </c>
      <c r="AC1344" s="100">
        <f t="shared" si="351"/>
        <v>0.99551319403005156</v>
      </c>
    </row>
    <row r="1345" spans="4:29" x14ac:dyDescent="0.35">
      <c r="D1345">
        <f t="shared" si="352"/>
        <v>1341</v>
      </c>
      <c r="E1345" s="101">
        <v>7</v>
      </c>
      <c r="F1345" s="4">
        <v>7</v>
      </c>
      <c r="G1345" s="4">
        <v>7</v>
      </c>
      <c r="H1345" s="4">
        <v>5</v>
      </c>
      <c r="I1345" s="4">
        <v>2</v>
      </c>
      <c r="J1345" s="4">
        <v>1</v>
      </c>
      <c r="K1345" s="102">
        <v>5</v>
      </c>
      <c r="M1345" s="101">
        <f t="shared" si="337"/>
        <v>29</v>
      </c>
      <c r="N1345" s="4">
        <f t="shared" si="338"/>
        <v>29</v>
      </c>
      <c r="O1345" s="4">
        <f t="shared" si="339"/>
        <v>29</v>
      </c>
      <c r="P1345" s="4">
        <f t="shared" si="340"/>
        <v>30</v>
      </c>
      <c r="Q1345" s="4">
        <f t="shared" si="341"/>
        <v>56</v>
      </c>
      <c r="R1345" s="4">
        <f t="shared" si="342"/>
        <v>34</v>
      </c>
      <c r="S1345" s="102">
        <f t="shared" si="343"/>
        <v>30</v>
      </c>
      <c r="U1345" s="101">
        <f t="shared" si="344"/>
        <v>41</v>
      </c>
      <c r="V1345" s="4">
        <f t="shared" si="345"/>
        <v>41</v>
      </c>
      <c r="W1345" s="4">
        <f t="shared" si="346"/>
        <v>41</v>
      </c>
      <c r="X1345" s="4">
        <f t="shared" si="347"/>
        <v>39</v>
      </c>
      <c r="Y1345" s="4">
        <f t="shared" si="348"/>
        <v>78</v>
      </c>
      <c r="Z1345" s="4">
        <f t="shared" si="349"/>
        <v>46</v>
      </c>
      <c r="AA1345" s="102">
        <f t="shared" si="350"/>
        <v>39</v>
      </c>
      <c r="AC1345" s="100">
        <f t="shared" si="351"/>
        <v>0.99392672891643041</v>
      </c>
    </row>
    <row r="1346" spans="4:29" x14ac:dyDescent="0.35">
      <c r="D1346">
        <f t="shared" si="352"/>
        <v>1342</v>
      </c>
      <c r="E1346" s="101">
        <v>1</v>
      </c>
      <c r="F1346" s="4">
        <v>4</v>
      </c>
      <c r="G1346" s="4">
        <v>4</v>
      </c>
      <c r="H1346" s="4">
        <v>5</v>
      </c>
      <c r="I1346" s="4">
        <v>6</v>
      </c>
      <c r="J1346" s="4">
        <v>4</v>
      </c>
      <c r="K1346" s="102">
        <v>3</v>
      </c>
      <c r="M1346" s="101">
        <f t="shared" si="337"/>
        <v>34</v>
      </c>
      <c r="N1346" s="4">
        <f t="shared" si="338"/>
        <v>12</v>
      </c>
      <c r="O1346" s="4">
        <f t="shared" si="339"/>
        <v>12</v>
      </c>
      <c r="P1346" s="4">
        <f t="shared" si="340"/>
        <v>30</v>
      </c>
      <c r="Q1346" s="4">
        <f t="shared" si="341"/>
        <v>45</v>
      </c>
      <c r="R1346" s="4">
        <f t="shared" si="342"/>
        <v>12</v>
      </c>
      <c r="S1346" s="102">
        <f t="shared" si="343"/>
        <v>23</v>
      </c>
      <c r="U1346" s="101">
        <f t="shared" si="344"/>
        <v>46</v>
      </c>
      <c r="V1346" s="4">
        <f t="shared" si="345"/>
        <v>9</v>
      </c>
      <c r="W1346" s="4">
        <f t="shared" si="346"/>
        <v>9</v>
      </c>
      <c r="X1346" s="4">
        <f t="shared" si="347"/>
        <v>39</v>
      </c>
      <c r="Y1346" s="4">
        <f t="shared" si="348"/>
        <v>71</v>
      </c>
      <c r="Z1346" s="4">
        <f t="shared" si="349"/>
        <v>9</v>
      </c>
      <c r="AA1346" s="102">
        <f t="shared" si="350"/>
        <v>39</v>
      </c>
      <c r="AC1346" s="100">
        <f t="shared" si="351"/>
        <v>0.98300789993525284</v>
      </c>
    </row>
    <row r="1347" spans="4:29" x14ac:dyDescent="0.35">
      <c r="D1347">
        <f t="shared" si="352"/>
        <v>1343</v>
      </c>
      <c r="E1347" s="101">
        <v>4</v>
      </c>
      <c r="F1347" s="4">
        <v>7</v>
      </c>
      <c r="G1347" s="4">
        <v>1</v>
      </c>
      <c r="H1347" s="4">
        <v>5</v>
      </c>
      <c r="I1347" s="4">
        <v>7</v>
      </c>
      <c r="J1347" s="4">
        <v>6</v>
      </c>
      <c r="K1347" s="102">
        <v>6</v>
      </c>
      <c r="M1347" s="101">
        <f t="shared" si="337"/>
        <v>12</v>
      </c>
      <c r="N1347" s="4">
        <f t="shared" si="338"/>
        <v>29</v>
      </c>
      <c r="O1347" s="4">
        <f t="shared" si="339"/>
        <v>34</v>
      </c>
      <c r="P1347" s="4">
        <f t="shared" si="340"/>
        <v>30</v>
      </c>
      <c r="Q1347" s="4">
        <f t="shared" si="341"/>
        <v>29</v>
      </c>
      <c r="R1347" s="4">
        <f t="shared" si="342"/>
        <v>45</v>
      </c>
      <c r="S1347" s="102">
        <f t="shared" si="343"/>
        <v>45</v>
      </c>
      <c r="U1347" s="101">
        <f t="shared" si="344"/>
        <v>9</v>
      </c>
      <c r="V1347" s="4">
        <f t="shared" si="345"/>
        <v>41</v>
      </c>
      <c r="W1347" s="4">
        <f t="shared" si="346"/>
        <v>46</v>
      </c>
      <c r="X1347" s="4">
        <f t="shared" si="347"/>
        <v>39</v>
      </c>
      <c r="Y1347" s="4">
        <f t="shared" si="348"/>
        <v>41</v>
      </c>
      <c r="Z1347" s="4">
        <f t="shared" si="349"/>
        <v>71</v>
      </c>
      <c r="AA1347" s="102">
        <f t="shared" si="350"/>
        <v>71</v>
      </c>
      <c r="AC1347" s="100">
        <f t="shared" si="351"/>
        <v>0.99554394118557754</v>
      </c>
    </row>
    <row r="1348" spans="4:29" x14ac:dyDescent="0.35">
      <c r="D1348">
        <f t="shared" si="352"/>
        <v>1344</v>
      </c>
      <c r="E1348" s="101">
        <v>2</v>
      </c>
      <c r="F1348" s="4">
        <v>5</v>
      </c>
      <c r="G1348" s="4">
        <v>7</v>
      </c>
      <c r="H1348" s="4">
        <v>5</v>
      </c>
      <c r="I1348" s="4">
        <v>6</v>
      </c>
      <c r="J1348" s="4">
        <v>7</v>
      </c>
      <c r="K1348" s="102">
        <v>3</v>
      </c>
      <c r="M1348" s="101">
        <f t="shared" si="337"/>
        <v>56</v>
      </c>
      <c r="N1348" s="4">
        <f t="shared" si="338"/>
        <v>30</v>
      </c>
      <c r="O1348" s="4">
        <f t="shared" si="339"/>
        <v>29</v>
      </c>
      <c r="P1348" s="4">
        <f t="shared" si="340"/>
        <v>30</v>
      </c>
      <c r="Q1348" s="4">
        <f t="shared" si="341"/>
        <v>45</v>
      </c>
      <c r="R1348" s="4">
        <f t="shared" si="342"/>
        <v>29</v>
      </c>
      <c r="S1348" s="102">
        <f t="shared" si="343"/>
        <v>23</v>
      </c>
      <c r="U1348" s="101">
        <f t="shared" si="344"/>
        <v>78</v>
      </c>
      <c r="V1348" s="4">
        <f t="shared" si="345"/>
        <v>39</v>
      </c>
      <c r="W1348" s="4">
        <f t="shared" si="346"/>
        <v>41</v>
      </c>
      <c r="X1348" s="4">
        <f t="shared" si="347"/>
        <v>39</v>
      </c>
      <c r="Y1348" s="4">
        <f t="shared" si="348"/>
        <v>71</v>
      </c>
      <c r="Z1348" s="4">
        <f t="shared" si="349"/>
        <v>41</v>
      </c>
      <c r="AA1348" s="102">
        <f t="shared" si="350"/>
        <v>39</v>
      </c>
      <c r="AC1348" s="100">
        <f t="shared" si="351"/>
        <v>0.9662263249970815</v>
      </c>
    </row>
    <row r="1349" spans="4:29" x14ac:dyDescent="0.35">
      <c r="D1349">
        <f t="shared" si="352"/>
        <v>1345</v>
      </c>
      <c r="E1349" s="101">
        <v>3</v>
      </c>
      <c r="F1349" s="4">
        <v>1</v>
      </c>
      <c r="G1349" s="4">
        <v>1</v>
      </c>
      <c r="H1349" s="4">
        <v>6</v>
      </c>
      <c r="I1349" s="4">
        <v>4</v>
      </c>
      <c r="J1349" s="4">
        <v>7</v>
      </c>
      <c r="K1349" s="102">
        <v>3</v>
      </c>
      <c r="M1349" s="101">
        <f t="shared" si="337"/>
        <v>23</v>
      </c>
      <c r="N1349" s="4">
        <f t="shared" si="338"/>
        <v>34</v>
      </c>
      <c r="O1349" s="4">
        <f t="shared" si="339"/>
        <v>34</v>
      </c>
      <c r="P1349" s="4">
        <f t="shared" si="340"/>
        <v>45</v>
      </c>
      <c r="Q1349" s="4">
        <f t="shared" si="341"/>
        <v>12</v>
      </c>
      <c r="R1349" s="4">
        <f t="shared" si="342"/>
        <v>29</v>
      </c>
      <c r="S1349" s="102">
        <f t="shared" si="343"/>
        <v>23</v>
      </c>
      <c r="U1349" s="101">
        <f t="shared" si="344"/>
        <v>39</v>
      </c>
      <c r="V1349" s="4">
        <f t="shared" si="345"/>
        <v>46</v>
      </c>
      <c r="W1349" s="4">
        <f t="shared" si="346"/>
        <v>46</v>
      </c>
      <c r="X1349" s="4">
        <f t="shared" si="347"/>
        <v>71</v>
      </c>
      <c r="Y1349" s="4">
        <f t="shared" si="348"/>
        <v>9</v>
      </c>
      <c r="Z1349" s="4">
        <f t="shared" si="349"/>
        <v>41</v>
      </c>
      <c r="AA1349" s="102">
        <f t="shared" si="350"/>
        <v>39</v>
      </c>
      <c r="AC1349" s="100">
        <f t="shared" si="351"/>
        <v>0.95793197502824612</v>
      </c>
    </row>
    <row r="1350" spans="4:29" x14ac:dyDescent="0.35">
      <c r="D1350">
        <f t="shared" si="352"/>
        <v>1346</v>
      </c>
      <c r="E1350" s="101">
        <v>2</v>
      </c>
      <c r="F1350" s="4">
        <v>2</v>
      </c>
      <c r="G1350" s="4">
        <v>7</v>
      </c>
      <c r="H1350" s="4">
        <v>5</v>
      </c>
      <c r="I1350" s="4">
        <v>2</v>
      </c>
      <c r="J1350" s="4">
        <v>4</v>
      </c>
      <c r="K1350" s="102">
        <v>7</v>
      </c>
      <c r="M1350" s="101">
        <f t="shared" ref="M1350:M1413" si="353">INDEX($A$5:$A$11,E1350)</f>
        <v>56</v>
      </c>
      <c r="N1350" s="4">
        <f t="shared" ref="N1350:N1413" si="354">INDEX($A$5:$A$11,F1350)</f>
        <v>56</v>
      </c>
      <c r="O1350" s="4">
        <f t="shared" ref="O1350:O1413" si="355">INDEX($A$5:$A$11,G1350)</f>
        <v>29</v>
      </c>
      <c r="P1350" s="4">
        <f t="shared" ref="P1350:P1413" si="356">INDEX($A$5:$A$11,H1350)</f>
        <v>30</v>
      </c>
      <c r="Q1350" s="4">
        <f t="shared" ref="Q1350:Q1413" si="357">INDEX($A$5:$A$11,I1350)</f>
        <v>56</v>
      </c>
      <c r="R1350" s="4">
        <f t="shared" ref="R1350:R1413" si="358">INDEX($A$5:$A$11,J1350)</f>
        <v>12</v>
      </c>
      <c r="S1350" s="102">
        <f t="shared" ref="S1350:S1413" si="359">INDEX($A$5:$A$11,K1350)</f>
        <v>29</v>
      </c>
      <c r="U1350" s="101">
        <f t="shared" ref="U1350:U1413" si="360">INDEX($B$5:$B$11,E1350)</f>
        <v>78</v>
      </c>
      <c r="V1350" s="4">
        <f t="shared" ref="V1350:V1413" si="361">INDEX($B$5:$B$11,F1350)</f>
        <v>78</v>
      </c>
      <c r="W1350" s="4">
        <f t="shared" ref="W1350:W1413" si="362">INDEX($B$5:$B$11,G1350)</f>
        <v>41</v>
      </c>
      <c r="X1350" s="4">
        <f t="shared" ref="X1350:X1413" si="363">INDEX($B$5:$B$11,H1350)</f>
        <v>39</v>
      </c>
      <c r="Y1350" s="4">
        <f t="shared" ref="Y1350:Y1413" si="364">INDEX($B$5:$B$11,I1350)</f>
        <v>78</v>
      </c>
      <c r="Z1350" s="4">
        <f t="shared" ref="Z1350:Z1413" si="365">INDEX($B$5:$B$11,J1350)</f>
        <v>9</v>
      </c>
      <c r="AA1350" s="102">
        <f t="shared" ref="AA1350:AA1413" si="366">INDEX($B$5:$B$11,K1350)</f>
        <v>41</v>
      </c>
      <c r="AC1350" s="100">
        <f t="shared" ref="AC1350:AC1413" si="367">CORREL(M1350:S1350,U1350:AA1350)</f>
        <v>0.99636562175186849</v>
      </c>
    </row>
    <row r="1351" spans="4:29" x14ac:dyDescent="0.35">
      <c r="D1351">
        <f t="shared" ref="D1351:D1414" si="368">D1350+1</f>
        <v>1347</v>
      </c>
      <c r="E1351" s="101">
        <v>5</v>
      </c>
      <c r="F1351" s="4">
        <v>1</v>
      </c>
      <c r="G1351" s="4">
        <v>5</v>
      </c>
      <c r="H1351" s="4">
        <v>5</v>
      </c>
      <c r="I1351" s="4">
        <v>3</v>
      </c>
      <c r="J1351" s="4">
        <v>4</v>
      </c>
      <c r="K1351" s="102">
        <v>4</v>
      </c>
      <c r="M1351" s="101">
        <f t="shared" si="353"/>
        <v>30</v>
      </c>
      <c r="N1351" s="4">
        <f t="shared" si="354"/>
        <v>34</v>
      </c>
      <c r="O1351" s="4">
        <f t="shared" si="355"/>
        <v>30</v>
      </c>
      <c r="P1351" s="4">
        <f t="shared" si="356"/>
        <v>30</v>
      </c>
      <c r="Q1351" s="4">
        <f t="shared" si="357"/>
        <v>23</v>
      </c>
      <c r="R1351" s="4">
        <f t="shared" si="358"/>
        <v>12</v>
      </c>
      <c r="S1351" s="102">
        <f t="shared" si="359"/>
        <v>12</v>
      </c>
      <c r="U1351" s="101">
        <f t="shared" si="360"/>
        <v>39</v>
      </c>
      <c r="V1351" s="4">
        <f t="shared" si="361"/>
        <v>46</v>
      </c>
      <c r="W1351" s="4">
        <f t="shared" si="362"/>
        <v>39</v>
      </c>
      <c r="X1351" s="4">
        <f t="shared" si="363"/>
        <v>39</v>
      </c>
      <c r="Y1351" s="4">
        <f t="shared" si="364"/>
        <v>39</v>
      </c>
      <c r="Z1351" s="4">
        <f t="shared" si="365"/>
        <v>9</v>
      </c>
      <c r="AA1351" s="102">
        <f t="shared" si="366"/>
        <v>9</v>
      </c>
      <c r="AC1351" s="100">
        <f t="shared" si="367"/>
        <v>0.95935809928928717</v>
      </c>
    </row>
    <row r="1352" spans="4:29" x14ac:dyDescent="0.35">
      <c r="D1352">
        <f t="shared" si="368"/>
        <v>1348</v>
      </c>
      <c r="E1352" s="101">
        <v>4</v>
      </c>
      <c r="F1352" s="4">
        <v>3</v>
      </c>
      <c r="G1352" s="4">
        <v>1</v>
      </c>
      <c r="H1352" s="4">
        <v>5</v>
      </c>
      <c r="I1352" s="4">
        <v>4</v>
      </c>
      <c r="J1352" s="4">
        <v>6</v>
      </c>
      <c r="K1352" s="102">
        <v>6</v>
      </c>
      <c r="M1352" s="101">
        <f t="shared" si="353"/>
        <v>12</v>
      </c>
      <c r="N1352" s="4">
        <f t="shared" si="354"/>
        <v>23</v>
      </c>
      <c r="O1352" s="4">
        <f t="shared" si="355"/>
        <v>34</v>
      </c>
      <c r="P1352" s="4">
        <f t="shared" si="356"/>
        <v>30</v>
      </c>
      <c r="Q1352" s="4">
        <f t="shared" si="357"/>
        <v>12</v>
      </c>
      <c r="R1352" s="4">
        <f t="shared" si="358"/>
        <v>45</v>
      </c>
      <c r="S1352" s="102">
        <f t="shared" si="359"/>
        <v>45</v>
      </c>
      <c r="U1352" s="101">
        <f t="shared" si="360"/>
        <v>9</v>
      </c>
      <c r="V1352" s="4">
        <f t="shared" si="361"/>
        <v>39</v>
      </c>
      <c r="W1352" s="4">
        <f t="shared" si="362"/>
        <v>46</v>
      </c>
      <c r="X1352" s="4">
        <f t="shared" si="363"/>
        <v>39</v>
      </c>
      <c r="Y1352" s="4">
        <f t="shared" si="364"/>
        <v>9</v>
      </c>
      <c r="Z1352" s="4">
        <f t="shared" si="365"/>
        <v>71</v>
      </c>
      <c r="AA1352" s="102">
        <f t="shared" si="366"/>
        <v>71</v>
      </c>
      <c r="AC1352" s="100">
        <f t="shared" si="367"/>
        <v>0.98512683740495688</v>
      </c>
    </row>
    <row r="1353" spans="4:29" x14ac:dyDescent="0.35">
      <c r="D1353">
        <f t="shared" si="368"/>
        <v>1349</v>
      </c>
      <c r="E1353" s="101">
        <v>1</v>
      </c>
      <c r="F1353" s="4">
        <v>4</v>
      </c>
      <c r="G1353" s="4">
        <v>6</v>
      </c>
      <c r="H1353" s="4">
        <v>5</v>
      </c>
      <c r="I1353" s="4">
        <v>3</v>
      </c>
      <c r="J1353" s="4">
        <v>5</v>
      </c>
      <c r="K1353" s="102">
        <v>1</v>
      </c>
      <c r="M1353" s="101">
        <f t="shared" si="353"/>
        <v>34</v>
      </c>
      <c r="N1353" s="4">
        <f t="shared" si="354"/>
        <v>12</v>
      </c>
      <c r="O1353" s="4">
        <f t="shared" si="355"/>
        <v>45</v>
      </c>
      <c r="P1353" s="4">
        <f t="shared" si="356"/>
        <v>30</v>
      </c>
      <c r="Q1353" s="4">
        <f t="shared" si="357"/>
        <v>23</v>
      </c>
      <c r="R1353" s="4">
        <f t="shared" si="358"/>
        <v>30</v>
      </c>
      <c r="S1353" s="102">
        <f t="shared" si="359"/>
        <v>34</v>
      </c>
      <c r="U1353" s="101">
        <f t="shared" si="360"/>
        <v>46</v>
      </c>
      <c r="V1353" s="4">
        <f t="shared" si="361"/>
        <v>9</v>
      </c>
      <c r="W1353" s="4">
        <f t="shared" si="362"/>
        <v>71</v>
      </c>
      <c r="X1353" s="4">
        <f t="shared" si="363"/>
        <v>39</v>
      </c>
      <c r="Y1353" s="4">
        <f t="shared" si="364"/>
        <v>39</v>
      </c>
      <c r="Z1353" s="4">
        <f t="shared" si="365"/>
        <v>39</v>
      </c>
      <c r="AA1353" s="102">
        <f t="shared" si="366"/>
        <v>46</v>
      </c>
      <c r="AC1353" s="100">
        <f t="shared" si="367"/>
        <v>0.9666140870712483</v>
      </c>
    </row>
    <row r="1354" spans="4:29" x14ac:dyDescent="0.35">
      <c r="D1354">
        <f t="shared" si="368"/>
        <v>1350</v>
      </c>
      <c r="E1354" s="101">
        <v>3</v>
      </c>
      <c r="F1354" s="4">
        <v>6</v>
      </c>
      <c r="G1354" s="4">
        <v>7</v>
      </c>
      <c r="H1354" s="4">
        <v>3</v>
      </c>
      <c r="I1354" s="4">
        <v>4</v>
      </c>
      <c r="J1354" s="4">
        <v>4</v>
      </c>
      <c r="K1354" s="102">
        <v>3</v>
      </c>
      <c r="M1354" s="101">
        <f t="shared" si="353"/>
        <v>23</v>
      </c>
      <c r="N1354" s="4">
        <f t="shared" si="354"/>
        <v>45</v>
      </c>
      <c r="O1354" s="4">
        <f t="shared" si="355"/>
        <v>29</v>
      </c>
      <c r="P1354" s="4">
        <f t="shared" si="356"/>
        <v>23</v>
      </c>
      <c r="Q1354" s="4">
        <f t="shared" si="357"/>
        <v>12</v>
      </c>
      <c r="R1354" s="4">
        <f t="shared" si="358"/>
        <v>12</v>
      </c>
      <c r="S1354" s="102">
        <f t="shared" si="359"/>
        <v>23</v>
      </c>
      <c r="U1354" s="101">
        <f t="shared" si="360"/>
        <v>39</v>
      </c>
      <c r="V1354" s="4">
        <f t="shared" si="361"/>
        <v>71</v>
      </c>
      <c r="W1354" s="4">
        <f t="shared" si="362"/>
        <v>41</v>
      </c>
      <c r="X1354" s="4">
        <f t="shared" si="363"/>
        <v>39</v>
      </c>
      <c r="Y1354" s="4">
        <f t="shared" si="364"/>
        <v>9</v>
      </c>
      <c r="Z1354" s="4">
        <f t="shared" si="365"/>
        <v>9</v>
      </c>
      <c r="AA1354" s="102">
        <f t="shared" si="366"/>
        <v>39</v>
      </c>
      <c r="AC1354" s="100">
        <f t="shared" si="367"/>
        <v>0.97250991938856413</v>
      </c>
    </row>
    <row r="1355" spans="4:29" x14ac:dyDescent="0.35">
      <c r="D1355">
        <f t="shared" si="368"/>
        <v>1351</v>
      </c>
      <c r="E1355" s="101">
        <v>5</v>
      </c>
      <c r="F1355" s="4">
        <v>4</v>
      </c>
      <c r="G1355" s="4">
        <v>1</v>
      </c>
      <c r="H1355" s="4">
        <v>5</v>
      </c>
      <c r="I1355" s="4">
        <v>1</v>
      </c>
      <c r="J1355" s="4">
        <v>2</v>
      </c>
      <c r="K1355" s="102">
        <v>1</v>
      </c>
      <c r="M1355" s="101">
        <f t="shared" si="353"/>
        <v>30</v>
      </c>
      <c r="N1355" s="4">
        <f t="shared" si="354"/>
        <v>12</v>
      </c>
      <c r="O1355" s="4">
        <f t="shared" si="355"/>
        <v>34</v>
      </c>
      <c r="P1355" s="4">
        <f t="shared" si="356"/>
        <v>30</v>
      </c>
      <c r="Q1355" s="4">
        <f t="shared" si="357"/>
        <v>34</v>
      </c>
      <c r="R1355" s="4">
        <f t="shared" si="358"/>
        <v>56</v>
      </c>
      <c r="S1355" s="102">
        <f t="shared" si="359"/>
        <v>34</v>
      </c>
      <c r="U1355" s="101">
        <f t="shared" si="360"/>
        <v>39</v>
      </c>
      <c r="V1355" s="4">
        <f t="shared" si="361"/>
        <v>9</v>
      </c>
      <c r="W1355" s="4">
        <f t="shared" si="362"/>
        <v>46</v>
      </c>
      <c r="X1355" s="4">
        <f t="shared" si="363"/>
        <v>39</v>
      </c>
      <c r="Y1355" s="4">
        <f t="shared" si="364"/>
        <v>46</v>
      </c>
      <c r="Z1355" s="4">
        <f t="shared" si="365"/>
        <v>78</v>
      </c>
      <c r="AA1355" s="102">
        <f t="shared" si="366"/>
        <v>46</v>
      </c>
      <c r="AC1355" s="100">
        <f t="shared" si="367"/>
        <v>0.99844026160060728</v>
      </c>
    </row>
    <row r="1356" spans="4:29" x14ac:dyDescent="0.35">
      <c r="D1356">
        <f t="shared" si="368"/>
        <v>1352</v>
      </c>
      <c r="E1356" s="101">
        <v>2</v>
      </c>
      <c r="F1356" s="4">
        <v>3</v>
      </c>
      <c r="G1356" s="4">
        <v>1</v>
      </c>
      <c r="H1356" s="4">
        <v>6</v>
      </c>
      <c r="I1356" s="4">
        <v>2</v>
      </c>
      <c r="J1356" s="4">
        <v>1</v>
      </c>
      <c r="K1356" s="102">
        <v>6</v>
      </c>
      <c r="M1356" s="101">
        <f t="shared" si="353"/>
        <v>56</v>
      </c>
      <c r="N1356" s="4">
        <f t="shared" si="354"/>
        <v>23</v>
      </c>
      <c r="O1356" s="4">
        <f t="shared" si="355"/>
        <v>34</v>
      </c>
      <c r="P1356" s="4">
        <f t="shared" si="356"/>
        <v>45</v>
      </c>
      <c r="Q1356" s="4">
        <f t="shared" si="357"/>
        <v>56</v>
      </c>
      <c r="R1356" s="4">
        <f t="shared" si="358"/>
        <v>34</v>
      </c>
      <c r="S1356" s="102">
        <f t="shared" si="359"/>
        <v>45</v>
      </c>
      <c r="U1356" s="101">
        <f t="shared" si="360"/>
        <v>78</v>
      </c>
      <c r="V1356" s="4">
        <f t="shared" si="361"/>
        <v>39</v>
      </c>
      <c r="W1356" s="4">
        <f t="shared" si="362"/>
        <v>46</v>
      </c>
      <c r="X1356" s="4">
        <f t="shared" si="363"/>
        <v>71</v>
      </c>
      <c r="Y1356" s="4">
        <f t="shared" si="364"/>
        <v>78</v>
      </c>
      <c r="Z1356" s="4">
        <f t="shared" si="365"/>
        <v>46</v>
      </c>
      <c r="AA1356" s="102">
        <f t="shared" si="366"/>
        <v>71</v>
      </c>
      <c r="AC1356" s="100">
        <f t="shared" si="367"/>
        <v>0.96290515431238699</v>
      </c>
    </row>
    <row r="1357" spans="4:29" x14ac:dyDescent="0.35">
      <c r="D1357">
        <f t="shared" si="368"/>
        <v>1353</v>
      </c>
      <c r="E1357" s="101">
        <v>2</v>
      </c>
      <c r="F1357" s="4">
        <v>1</v>
      </c>
      <c r="G1357" s="4">
        <v>1</v>
      </c>
      <c r="H1357" s="4">
        <v>2</v>
      </c>
      <c r="I1357" s="4">
        <v>2</v>
      </c>
      <c r="J1357" s="4">
        <v>6</v>
      </c>
      <c r="K1357" s="102">
        <v>1</v>
      </c>
      <c r="M1357" s="101">
        <f t="shared" si="353"/>
        <v>56</v>
      </c>
      <c r="N1357" s="4">
        <f t="shared" si="354"/>
        <v>34</v>
      </c>
      <c r="O1357" s="4">
        <f t="shared" si="355"/>
        <v>34</v>
      </c>
      <c r="P1357" s="4">
        <f t="shared" si="356"/>
        <v>56</v>
      </c>
      <c r="Q1357" s="4">
        <f t="shared" si="357"/>
        <v>56</v>
      </c>
      <c r="R1357" s="4">
        <f t="shared" si="358"/>
        <v>45</v>
      </c>
      <c r="S1357" s="102">
        <f t="shared" si="359"/>
        <v>34</v>
      </c>
      <c r="U1357" s="101">
        <f t="shared" si="360"/>
        <v>78</v>
      </c>
      <c r="V1357" s="4">
        <f t="shared" si="361"/>
        <v>46</v>
      </c>
      <c r="W1357" s="4">
        <f t="shared" si="362"/>
        <v>46</v>
      </c>
      <c r="X1357" s="4">
        <f t="shared" si="363"/>
        <v>78</v>
      </c>
      <c r="Y1357" s="4">
        <f t="shared" si="364"/>
        <v>78</v>
      </c>
      <c r="Z1357" s="4">
        <f t="shared" si="365"/>
        <v>71</v>
      </c>
      <c r="AA1357" s="102">
        <f t="shared" si="366"/>
        <v>46</v>
      </c>
      <c r="AC1357" s="100">
        <f t="shared" si="367"/>
        <v>0.97813796102365591</v>
      </c>
    </row>
    <row r="1358" spans="4:29" x14ac:dyDescent="0.35">
      <c r="D1358">
        <f t="shared" si="368"/>
        <v>1354</v>
      </c>
      <c r="E1358" s="101">
        <v>2</v>
      </c>
      <c r="F1358" s="4">
        <v>5</v>
      </c>
      <c r="G1358" s="4">
        <v>3</v>
      </c>
      <c r="H1358" s="4">
        <v>1</v>
      </c>
      <c r="I1358" s="4">
        <v>2</v>
      </c>
      <c r="J1358" s="4">
        <v>7</v>
      </c>
      <c r="K1358" s="102">
        <v>2</v>
      </c>
      <c r="M1358" s="101">
        <f t="shared" si="353"/>
        <v>56</v>
      </c>
      <c r="N1358" s="4">
        <f t="shared" si="354"/>
        <v>30</v>
      </c>
      <c r="O1358" s="4">
        <f t="shared" si="355"/>
        <v>23</v>
      </c>
      <c r="P1358" s="4">
        <f t="shared" si="356"/>
        <v>34</v>
      </c>
      <c r="Q1358" s="4">
        <f t="shared" si="357"/>
        <v>56</v>
      </c>
      <c r="R1358" s="4">
        <f t="shared" si="358"/>
        <v>29</v>
      </c>
      <c r="S1358" s="102">
        <f t="shared" si="359"/>
        <v>56</v>
      </c>
      <c r="U1358" s="101">
        <f t="shared" si="360"/>
        <v>78</v>
      </c>
      <c r="V1358" s="4">
        <f t="shared" si="361"/>
        <v>39</v>
      </c>
      <c r="W1358" s="4">
        <f t="shared" si="362"/>
        <v>39</v>
      </c>
      <c r="X1358" s="4">
        <f t="shared" si="363"/>
        <v>46</v>
      </c>
      <c r="Y1358" s="4">
        <f t="shared" si="364"/>
        <v>78</v>
      </c>
      <c r="Z1358" s="4">
        <f t="shared" si="365"/>
        <v>41</v>
      </c>
      <c r="AA1358" s="102">
        <f t="shared" si="366"/>
        <v>78</v>
      </c>
      <c r="AC1358" s="100">
        <f t="shared" si="367"/>
        <v>0.98919303625855659</v>
      </c>
    </row>
    <row r="1359" spans="4:29" x14ac:dyDescent="0.35">
      <c r="D1359">
        <f t="shared" si="368"/>
        <v>1355</v>
      </c>
      <c r="E1359" s="101">
        <v>3</v>
      </c>
      <c r="F1359" s="4">
        <v>3</v>
      </c>
      <c r="G1359" s="4">
        <v>2</v>
      </c>
      <c r="H1359" s="4">
        <v>2</v>
      </c>
      <c r="I1359" s="4">
        <v>7</v>
      </c>
      <c r="J1359" s="4">
        <v>2</v>
      </c>
      <c r="K1359" s="102">
        <v>1</v>
      </c>
      <c r="M1359" s="101">
        <f t="shared" si="353"/>
        <v>23</v>
      </c>
      <c r="N1359" s="4">
        <f t="shared" si="354"/>
        <v>23</v>
      </c>
      <c r="O1359" s="4">
        <f t="shared" si="355"/>
        <v>56</v>
      </c>
      <c r="P1359" s="4">
        <f t="shared" si="356"/>
        <v>56</v>
      </c>
      <c r="Q1359" s="4">
        <f t="shared" si="357"/>
        <v>29</v>
      </c>
      <c r="R1359" s="4">
        <f t="shared" si="358"/>
        <v>56</v>
      </c>
      <c r="S1359" s="102">
        <f t="shared" si="359"/>
        <v>34</v>
      </c>
      <c r="U1359" s="101">
        <f t="shared" si="360"/>
        <v>39</v>
      </c>
      <c r="V1359" s="4">
        <f t="shared" si="361"/>
        <v>39</v>
      </c>
      <c r="W1359" s="4">
        <f t="shared" si="362"/>
        <v>78</v>
      </c>
      <c r="X1359" s="4">
        <f t="shared" si="363"/>
        <v>78</v>
      </c>
      <c r="Y1359" s="4">
        <f t="shared" si="364"/>
        <v>41</v>
      </c>
      <c r="Z1359" s="4">
        <f t="shared" si="365"/>
        <v>78</v>
      </c>
      <c r="AA1359" s="102">
        <f t="shared" si="366"/>
        <v>46</v>
      </c>
      <c r="AC1359" s="100">
        <f t="shared" si="367"/>
        <v>0.99160104152719153</v>
      </c>
    </row>
    <row r="1360" spans="4:29" x14ac:dyDescent="0.35">
      <c r="D1360">
        <f t="shared" si="368"/>
        <v>1356</v>
      </c>
      <c r="E1360" s="101">
        <v>3</v>
      </c>
      <c r="F1360" s="4">
        <v>2</v>
      </c>
      <c r="G1360" s="4">
        <v>4</v>
      </c>
      <c r="H1360" s="4">
        <v>6</v>
      </c>
      <c r="I1360" s="4">
        <v>1</v>
      </c>
      <c r="J1360" s="4">
        <v>7</v>
      </c>
      <c r="K1360" s="102">
        <v>5</v>
      </c>
      <c r="M1360" s="101">
        <f t="shared" si="353"/>
        <v>23</v>
      </c>
      <c r="N1360" s="4">
        <f t="shared" si="354"/>
        <v>56</v>
      </c>
      <c r="O1360" s="4">
        <f t="shared" si="355"/>
        <v>12</v>
      </c>
      <c r="P1360" s="4">
        <f t="shared" si="356"/>
        <v>45</v>
      </c>
      <c r="Q1360" s="4">
        <f t="shared" si="357"/>
        <v>34</v>
      </c>
      <c r="R1360" s="4">
        <f t="shared" si="358"/>
        <v>29</v>
      </c>
      <c r="S1360" s="102">
        <f t="shared" si="359"/>
        <v>30</v>
      </c>
      <c r="U1360" s="101">
        <f t="shared" si="360"/>
        <v>39</v>
      </c>
      <c r="V1360" s="4">
        <f t="shared" si="361"/>
        <v>78</v>
      </c>
      <c r="W1360" s="4">
        <f t="shared" si="362"/>
        <v>9</v>
      </c>
      <c r="X1360" s="4">
        <f t="shared" si="363"/>
        <v>71</v>
      </c>
      <c r="Y1360" s="4">
        <f t="shared" si="364"/>
        <v>46</v>
      </c>
      <c r="Z1360" s="4">
        <f t="shared" si="365"/>
        <v>41</v>
      </c>
      <c r="AA1360" s="102">
        <f t="shared" si="366"/>
        <v>39</v>
      </c>
      <c r="AC1360" s="100">
        <f t="shared" si="367"/>
        <v>0.97529211313754438</v>
      </c>
    </row>
    <row r="1361" spans="4:29" x14ac:dyDescent="0.35">
      <c r="D1361">
        <f t="shared" si="368"/>
        <v>1357</v>
      </c>
      <c r="E1361" s="101">
        <v>3</v>
      </c>
      <c r="F1361" s="4">
        <v>2</v>
      </c>
      <c r="G1361" s="4">
        <v>6</v>
      </c>
      <c r="H1361" s="4">
        <v>3</v>
      </c>
      <c r="I1361" s="4">
        <v>1</v>
      </c>
      <c r="J1361" s="4">
        <v>1</v>
      </c>
      <c r="K1361" s="102">
        <v>1</v>
      </c>
      <c r="M1361" s="101">
        <f t="shared" si="353"/>
        <v>23</v>
      </c>
      <c r="N1361" s="4">
        <f t="shared" si="354"/>
        <v>56</v>
      </c>
      <c r="O1361" s="4">
        <f t="shared" si="355"/>
        <v>45</v>
      </c>
      <c r="P1361" s="4">
        <f t="shared" si="356"/>
        <v>23</v>
      </c>
      <c r="Q1361" s="4">
        <f t="shared" si="357"/>
        <v>34</v>
      </c>
      <c r="R1361" s="4">
        <f t="shared" si="358"/>
        <v>34</v>
      </c>
      <c r="S1361" s="102">
        <f t="shared" si="359"/>
        <v>34</v>
      </c>
      <c r="U1361" s="101">
        <f t="shared" si="360"/>
        <v>39</v>
      </c>
      <c r="V1361" s="4">
        <f t="shared" si="361"/>
        <v>78</v>
      </c>
      <c r="W1361" s="4">
        <f t="shared" si="362"/>
        <v>71</v>
      </c>
      <c r="X1361" s="4">
        <f t="shared" si="363"/>
        <v>39</v>
      </c>
      <c r="Y1361" s="4">
        <f t="shared" si="364"/>
        <v>46</v>
      </c>
      <c r="Z1361" s="4">
        <f t="shared" si="365"/>
        <v>46</v>
      </c>
      <c r="AA1361" s="102">
        <f t="shared" si="366"/>
        <v>46</v>
      </c>
      <c r="AC1361" s="100">
        <f t="shared" si="367"/>
        <v>0.96052881629673981</v>
      </c>
    </row>
    <row r="1362" spans="4:29" x14ac:dyDescent="0.35">
      <c r="D1362">
        <f t="shared" si="368"/>
        <v>1358</v>
      </c>
      <c r="E1362" s="101">
        <v>7</v>
      </c>
      <c r="F1362" s="4">
        <v>3</v>
      </c>
      <c r="G1362" s="4">
        <v>5</v>
      </c>
      <c r="H1362" s="4">
        <v>4</v>
      </c>
      <c r="I1362" s="4">
        <v>7</v>
      </c>
      <c r="J1362" s="4">
        <v>6</v>
      </c>
      <c r="K1362" s="102">
        <v>6</v>
      </c>
      <c r="M1362" s="101">
        <f t="shared" si="353"/>
        <v>29</v>
      </c>
      <c r="N1362" s="4">
        <f t="shared" si="354"/>
        <v>23</v>
      </c>
      <c r="O1362" s="4">
        <f t="shared" si="355"/>
        <v>30</v>
      </c>
      <c r="P1362" s="4">
        <f t="shared" si="356"/>
        <v>12</v>
      </c>
      <c r="Q1362" s="4">
        <f t="shared" si="357"/>
        <v>29</v>
      </c>
      <c r="R1362" s="4">
        <f t="shared" si="358"/>
        <v>45</v>
      </c>
      <c r="S1362" s="102">
        <f t="shared" si="359"/>
        <v>45</v>
      </c>
      <c r="U1362" s="101">
        <f t="shared" si="360"/>
        <v>41</v>
      </c>
      <c r="V1362" s="4">
        <f t="shared" si="361"/>
        <v>39</v>
      </c>
      <c r="W1362" s="4">
        <f t="shared" si="362"/>
        <v>39</v>
      </c>
      <c r="X1362" s="4">
        <f t="shared" si="363"/>
        <v>9</v>
      </c>
      <c r="Y1362" s="4">
        <f t="shared" si="364"/>
        <v>41</v>
      </c>
      <c r="Z1362" s="4">
        <f t="shared" si="365"/>
        <v>71</v>
      </c>
      <c r="AA1362" s="102">
        <f t="shared" si="366"/>
        <v>71</v>
      </c>
      <c r="AC1362" s="100">
        <f t="shared" si="367"/>
        <v>0.9832088581879187</v>
      </c>
    </row>
    <row r="1363" spans="4:29" x14ac:dyDescent="0.35">
      <c r="D1363">
        <f t="shared" si="368"/>
        <v>1359</v>
      </c>
      <c r="E1363" s="101">
        <v>7</v>
      </c>
      <c r="F1363" s="4">
        <v>6</v>
      </c>
      <c r="G1363" s="4">
        <v>4</v>
      </c>
      <c r="H1363" s="4">
        <v>5</v>
      </c>
      <c r="I1363" s="4">
        <v>5</v>
      </c>
      <c r="J1363" s="4">
        <v>2</v>
      </c>
      <c r="K1363" s="102">
        <v>6</v>
      </c>
      <c r="M1363" s="101">
        <f t="shared" si="353"/>
        <v>29</v>
      </c>
      <c r="N1363" s="4">
        <f t="shared" si="354"/>
        <v>45</v>
      </c>
      <c r="O1363" s="4">
        <f t="shared" si="355"/>
        <v>12</v>
      </c>
      <c r="P1363" s="4">
        <f t="shared" si="356"/>
        <v>30</v>
      </c>
      <c r="Q1363" s="4">
        <f t="shared" si="357"/>
        <v>30</v>
      </c>
      <c r="R1363" s="4">
        <f t="shared" si="358"/>
        <v>56</v>
      </c>
      <c r="S1363" s="102">
        <f t="shared" si="359"/>
        <v>45</v>
      </c>
      <c r="U1363" s="101">
        <f t="shared" si="360"/>
        <v>41</v>
      </c>
      <c r="V1363" s="4">
        <f t="shared" si="361"/>
        <v>71</v>
      </c>
      <c r="W1363" s="4">
        <f t="shared" si="362"/>
        <v>9</v>
      </c>
      <c r="X1363" s="4">
        <f t="shared" si="363"/>
        <v>39</v>
      </c>
      <c r="Y1363" s="4">
        <f t="shared" si="364"/>
        <v>39</v>
      </c>
      <c r="Z1363" s="4">
        <f t="shared" si="365"/>
        <v>78</v>
      </c>
      <c r="AA1363" s="102">
        <f t="shared" si="366"/>
        <v>71</v>
      </c>
      <c r="AC1363" s="100">
        <f t="shared" si="367"/>
        <v>0.98567211386655684</v>
      </c>
    </row>
    <row r="1364" spans="4:29" x14ac:dyDescent="0.35">
      <c r="D1364">
        <f t="shared" si="368"/>
        <v>1360</v>
      </c>
      <c r="E1364" s="101">
        <v>3</v>
      </c>
      <c r="F1364" s="4">
        <v>4</v>
      </c>
      <c r="G1364" s="4">
        <v>2</v>
      </c>
      <c r="H1364" s="4">
        <v>3</v>
      </c>
      <c r="I1364" s="4">
        <v>1</v>
      </c>
      <c r="J1364" s="4">
        <v>7</v>
      </c>
      <c r="K1364" s="102">
        <v>1</v>
      </c>
      <c r="M1364" s="101">
        <f t="shared" si="353"/>
        <v>23</v>
      </c>
      <c r="N1364" s="4">
        <f t="shared" si="354"/>
        <v>12</v>
      </c>
      <c r="O1364" s="4">
        <f t="shared" si="355"/>
        <v>56</v>
      </c>
      <c r="P1364" s="4">
        <f t="shared" si="356"/>
        <v>23</v>
      </c>
      <c r="Q1364" s="4">
        <f t="shared" si="357"/>
        <v>34</v>
      </c>
      <c r="R1364" s="4">
        <f t="shared" si="358"/>
        <v>29</v>
      </c>
      <c r="S1364" s="102">
        <f t="shared" si="359"/>
        <v>34</v>
      </c>
      <c r="U1364" s="101">
        <f t="shared" si="360"/>
        <v>39</v>
      </c>
      <c r="V1364" s="4">
        <f t="shared" si="361"/>
        <v>9</v>
      </c>
      <c r="W1364" s="4">
        <f t="shared" si="362"/>
        <v>78</v>
      </c>
      <c r="X1364" s="4">
        <f t="shared" si="363"/>
        <v>39</v>
      </c>
      <c r="Y1364" s="4">
        <f t="shared" si="364"/>
        <v>46</v>
      </c>
      <c r="Z1364" s="4">
        <f t="shared" si="365"/>
        <v>41</v>
      </c>
      <c r="AA1364" s="102">
        <f t="shared" si="366"/>
        <v>46</v>
      </c>
      <c r="AC1364" s="100">
        <f t="shared" si="367"/>
        <v>0.96712301564797287</v>
      </c>
    </row>
    <row r="1365" spans="4:29" x14ac:dyDescent="0.35">
      <c r="D1365">
        <f t="shared" si="368"/>
        <v>1361</v>
      </c>
      <c r="E1365" s="101">
        <v>5</v>
      </c>
      <c r="F1365" s="4">
        <v>2</v>
      </c>
      <c r="G1365" s="4">
        <v>2</v>
      </c>
      <c r="H1365" s="4">
        <v>6</v>
      </c>
      <c r="I1365" s="4">
        <v>1</v>
      </c>
      <c r="J1365" s="4">
        <v>3</v>
      </c>
      <c r="K1365" s="102">
        <v>2</v>
      </c>
      <c r="M1365" s="101">
        <f t="shared" si="353"/>
        <v>30</v>
      </c>
      <c r="N1365" s="4">
        <f t="shared" si="354"/>
        <v>56</v>
      </c>
      <c r="O1365" s="4">
        <f t="shared" si="355"/>
        <v>56</v>
      </c>
      <c r="P1365" s="4">
        <f t="shared" si="356"/>
        <v>45</v>
      </c>
      <c r="Q1365" s="4">
        <f t="shared" si="357"/>
        <v>34</v>
      </c>
      <c r="R1365" s="4">
        <f t="shared" si="358"/>
        <v>23</v>
      </c>
      <c r="S1365" s="102">
        <f t="shared" si="359"/>
        <v>56</v>
      </c>
      <c r="U1365" s="101">
        <f t="shared" si="360"/>
        <v>39</v>
      </c>
      <c r="V1365" s="4">
        <f t="shared" si="361"/>
        <v>78</v>
      </c>
      <c r="W1365" s="4">
        <f t="shared" si="362"/>
        <v>78</v>
      </c>
      <c r="X1365" s="4">
        <f t="shared" si="363"/>
        <v>71</v>
      </c>
      <c r="Y1365" s="4">
        <f t="shared" si="364"/>
        <v>46</v>
      </c>
      <c r="Z1365" s="4">
        <f t="shared" si="365"/>
        <v>39</v>
      </c>
      <c r="AA1365" s="102">
        <f t="shared" si="366"/>
        <v>78</v>
      </c>
      <c r="AC1365" s="100">
        <f t="shared" si="367"/>
        <v>0.9753687641256269</v>
      </c>
    </row>
    <row r="1366" spans="4:29" x14ac:dyDescent="0.35">
      <c r="D1366">
        <f t="shared" si="368"/>
        <v>1362</v>
      </c>
      <c r="E1366" s="101">
        <v>2</v>
      </c>
      <c r="F1366" s="4">
        <v>2</v>
      </c>
      <c r="G1366" s="4">
        <v>4</v>
      </c>
      <c r="H1366" s="4">
        <v>4</v>
      </c>
      <c r="I1366" s="4">
        <v>4</v>
      </c>
      <c r="J1366" s="4">
        <v>5</v>
      </c>
      <c r="K1366" s="102">
        <v>5</v>
      </c>
      <c r="M1366" s="101">
        <f t="shared" si="353"/>
        <v>56</v>
      </c>
      <c r="N1366" s="4">
        <f t="shared" si="354"/>
        <v>56</v>
      </c>
      <c r="O1366" s="4">
        <f t="shared" si="355"/>
        <v>12</v>
      </c>
      <c r="P1366" s="4">
        <f t="shared" si="356"/>
        <v>12</v>
      </c>
      <c r="Q1366" s="4">
        <f t="shared" si="357"/>
        <v>12</v>
      </c>
      <c r="R1366" s="4">
        <f t="shared" si="358"/>
        <v>30</v>
      </c>
      <c r="S1366" s="102">
        <f t="shared" si="359"/>
        <v>30</v>
      </c>
      <c r="U1366" s="101">
        <f t="shared" si="360"/>
        <v>78</v>
      </c>
      <c r="V1366" s="4">
        <f t="shared" si="361"/>
        <v>78</v>
      </c>
      <c r="W1366" s="4">
        <f t="shared" si="362"/>
        <v>9</v>
      </c>
      <c r="X1366" s="4">
        <f t="shared" si="363"/>
        <v>9</v>
      </c>
      <c r="Y1366" s="4">
        <f t="shared" si="364"/>
        <v>9</v>
      </c>
      <c r="Z1366" s="4">
        <f t="shared" si="365"/>
        <v>39</v>
      </c>
      <c r="AA1366" s="102">
        <f t="shared" si="366"/>
        <v>39</v>
      </c>
      <c r="AC1366" s="100">
        <f t="shared" si="367"/>
        <v>0.99960763178409895</v>
      </c>
    </row>
    <row r="1367" spans="4:29" x14ac:dyDescent="0.35">
      <c r="D1367">
        <f t="shared" si="368"/>
        <v>1363</v>
      </c>
      <c r="E1367" s="101">
        <v>1</v>
      </c>
      <c r="F1367" s="4">
        <v>2</v>
      </c>
      <c r="G1367" s="4">
        <v>6</v>
      </c>
      <c r="H1367" s="4">
        <v>1</v>
      </c>
      <c r="I1367" s="4">
        <v>6</v>
      </c>
      <c r="J1367" s="4">
        <v>5</v>
      </c>
      <c r="K1367" s="102">
        <v>1</v>
      </c>
      <c r="M1367" s="101">
        <f t="shared" si="353"/>
        <v>34</v>
      </c>
      <c r="N1367" s="4">
        <f t="shared" si="354"/>
        <v>56</v>
      </c>
      <c r="O1367" s="4">
        <f t="shared" si="355"/>
        <v>45</v>
      </c>
      <c r="P1367" s="4">
        <f t="shared" si="356"/>
        <v>34</v>
      </c>
      <c r="Q1367" s="4">
        <f t="shared" si="357"/>
        <v>45</v>
      </c>
      <c r="R1367" s="4">
        <f t="shared" si="358"/>
        <v>30</v>
      </c>
      <c r="S1367" s="102">
        <f t="shared" si="359"/>
        <v>34</v>
      </c>
      <c r="U1367" s="101">
        <f t="shared" si="360"/>
        <v>46</v>
      </c>
      <c r="V1367" s="4">
        <f t="shared" si="361"/>
        <v>78</v>
      </c>
      <c r="W1367" s="4">
        <f t="shared" si="362"/>
        <v>71</v>
      </c>
      <c r="X1367" s="4">
        <f t="shared" si="363"/>
        <v>46</v>
      </c>
      <c r="Y1367" s="4">
        <f t="shared" si="364"/>
        <v>71</v>
      </c>
      <c r="Z1367" s="4">
        <f t="shared" si="365"/>
        <v>39</v>
      </c>
      <c r="AA1367" s="102">
        <f t="shared" si="366"/>
        <v>46</v>
      </c>
      <c r="AC1367" s="100">
        <f t="shared" si="367"/>
        <v>0.96624446147411314</v>
      </c>
    </row>
    <row r="1368" spans="4:29" x14ac:dyDescent="0.35">
      <c r="D1368">
        <f t="shared" si="368"/>
        <v>1364</v>
      </c>
      <c r="E1368" s="101">
        <v>4</v>
      </c>
      <c r="F1368" s="4">
        <v>5</v>
      </c>
      <c r="G1368" s="4">
        <v>6</v>
      </c>
      <c r="H1368" s="4">
        <v>4</v>
      </c>
      <c r="I1368" s="4">
        <v>5</v>
      </c>
      <c r="J1368" s="4">
        <v>5</v>
      </c>
      <c r="K1368" s="102">
        <v>3</v>
      </c>
      <c r="M1368" s="101">
        <f t="shared" si="353"/>
        <v>12</v>
      </c>
      <c r="N1368" s="4">
        <f t="shared" si="354"/>
        <v>30</v>
      </c>
      <c r="O1368" s="4">
        <f t="shared" si="355"/>
        <v>45</v>
      </c>
      <c r="P1368" s="4">
        <f t="shared" si="356"/>
        <v>12</v>
      </c>
      <c r="Q1368" s="4">
        <f t="shared" si="357"/>
        <v>30</v>
      </c>
      <c r="R1368" s="4">
        <f t="shared" si="358"/>
        <v>30</v>
      </c>
      <c r="S1368" s="102">
        <f t="shared" si="359"/>
        <v>23</v>
      </c>
      <c r="U1368" s="101">
        <f t="shared" si="360"/>
        <v>9</v>
      </c>
      <c r="V1368" s="4">
        <f t="shared" si="361"/>
        <v>39</v>
      </c>
      <c r="W1368" s="4">
        <f t="shared" si="362"/>
        <v>71</v>
      </c>
      <c r="X1368" s="4">
        <f t="shared" si="363"/>
        <v>9</v>
      </c>
      <c r="Y1368" s="4">
        <f t="shared" si="364"/>
        <v>39</v>
      </c>
      <c r="Z1368" s="4">
        <f t="shared" si="365"/>
        <v>39</v>
      </c>
      <c r="AA1368" s="102">
        <f t="shared" si="366"/>
        <v>39</v>
      </c>
      <c r="AC1368" s="100">
        <f t="shared" si="367"/>
        <v>0.97696995919848995</v>
      </c>
    </row>
    <row r="1369" spans="4:29" x14ac:dyDescent="0.35">
      <c r="D1369">
        <f t="shared" si="368"/>
        <v>1365</v>
      </c>
      <c r="E1369" s="101">
        <v>5</v>
      </c>
      <c r="F1369" s="4">
        <v>2</v>
      </c>
      <c r="G1369" s="4">
        <v>1</v>
      </c>
      <c r="H1369" s="4">
        <v>2</v>
      </c>
      <c r="I1369" s="4">
        <v>3</v>
      </c>
      <c r="J1369" s="4">
        <v>4</v>
      </c>
      <c r="K1369" s="102">
        <v>1</v>
      </c>
      <c r="M1369" s="101">
        <f t="shared" si="353"/>
        <v>30</v>
      </c>
      <c r="N1369" s="4">
        <f t="shared" si="354"/>
        <v>56</v>
      </c>
      <c r="O1369" s="4">
        <f t="shared" si="355"/>
        <v>34</v>
      </c>
      <c r="P1369" s="4">
        <f t="shared" si="356"/>
        <v>56</v>
      </c>
      <c r="Q1369" s="4">
        <f t="shared" si="357"/>
        <v>23</v>
      </c>
      <c r="R1369" s="4">
        <f t="shared" si="358"/>
        <v>12</v>
      </c>
      <c r="S1369" s="102">
        <f t="shared" si="359"/>
        <v>34</v>
      </c>
      <c r="U1369" s="101">
        <f t="shared" si="360"/>
        <v>39</v>
      </c>
      <c r="V1369" s="4">
        <f t="shared" si="361"/>
        <v>78</v>
      </c>
      <c r="W1369" s="4">
        <f t="shared" si="362"/>
        <v>46</v>
      </c>
      <c r="X1369" s="4">
        <f t="shared" si="363"/>
        <v>78</v>
      </c>
      <c r="Y1369" s="4">
        <f t="shared" si="364"/>
        <v>39</v>
      </c>
      <c r="Z1369" s="4">
        <f t="shared" si="365"/>
        <v>9</v>
      </c>
      <c r="AA1369" s="102">
        <f t="shared" si="366"/>
        <v>46</v>
      </c>
      <c r="AC1369" s="100">
        <f t="shared" si="367"/>
        <v>0.98467764161726312</v>
      </c>
    </row>
    <row r="1370" spans="4:29" x14ac:dyDescent="0.35">
      <c r="D1370">
        <f t="shared" si="368"/>
        <v>1366</v>
      </c>
      <c r="E1370" s="101">
        <v>5</v>
      </c>
      <c r="F1370" s="4">
        <v>2</v>
      </c>
      <c r="G1370" s="4">
        <v>6</v>
      </c>
      <c r="H1370" s="4">
        <v>4</v>
      </c>
      <c r="I1370" s="4">
        <v>6</v>
      </c>
      <c r="J1370" s="4">
        <v>6</v>
      </c>
      <c r="K1370" s="102">
        <v>3</v>
      </c>
      <c r="M1370" s="101">
        <f t="shared" si="353"/>
        <v>30</v>
      </c>
      <c r="N1370" s="4">
        <f t="shared" si="354"/>
        <v>56</v>
      </c>
      <c r="O1370" s="4">
        <f t="shared" si="355"/>
        <v>45</v>
      </c>
      <c r="P1370" s="4">
        <f t="shared" si="356"/>
        <v>12</v>
      </c>
      <c r="Q1370" s="4">
        <f t="shared" si="357"/>
        <v>45</v>
      </c>
      <c r="R1370" s="4">
        <f t="shared" si="358"/>
        <v>45</v>
      </c>
      <c r="S1370" s="102">
        <f t="shared" si="359"/>
        <v>23</v>
      </c>
      <c r="U1370" s="101">
        <f t="shared" si="360"/>
        <v>39</v>
      </c>
      <c r="V1370" s="4">
        <f t="shared" si="361"/>
        <v>78</v>
      </c>
      <c r="W1370" s="4">
        <f t="shared" si="362"/>
        <v>71</v>
      </c>
      <c r="X1370" s="4">
        <f t="shared" si="363"/>
        <v>9</v>
      </c>
      <c r="Y1370" s="4">
        <f t="shared" si="364"/>
        <v>71</v>
      </c>
      <c r="Z1370" s="4">
        <f t="shared" si="365"/>
        <v>71</v>
      </c>
      <c r="AA1370" s="102">
        <f t="shared" si="366"/>
        <v>39</v>
      </c>
      <c r="AC1370" s="100">
        <f t="shared" si="367"/>
        <v>0.97621189519716378</v>
      </c>
    </row>
    <row r="1371" spans="4:29" x14ac:dyDescent="0.35">
      <c r="D1371">
        <f t="shared" si="368"/>
        <v>1367</v>
      </c>
      <c r="E1371" s="101">
        <v>1</v>
      </c>
      <c r="F1371" s="4">
        <v>1</v>
      </c>
      <c r="G1371" s="4">
        <v>4</v>
      </c>
      <c r="H1371" s="4">
        <v>4</v>
      </c>
      <c r="I1371" s="4">
        <v>1</v>
      </c>
      <c r="J1371" s="4">
        <v>3</v>
      </c>
      <c r="K1371" s="102">
        <v>1</v>
      </c>
      <c r="M1371" s="101">
        <f t="shared" si="353"/>
        <v>34</v>
      </c>
      <c r="N1371" s="4">
        <f t="shared" si="354"/>
        <v>34</v>
      </c>
      <c r="O1371" s="4">
        <f t="shared" si="355"/>
        <v>12</v>
      </c>
      <c r="P1371" s="4">
        <f t="shared" si="356"/>
        <v>12</v>
      </c>
      <c r="Q1371" s="4">
        <f t="shared" si="357"/>
        <v>34</v>
      </c>
      <c r="R1371" s="4">
        <f t="shared" si="358"/>
        <v>23</v>
      </c>
      <c r="S1371" s="102">
        <f t="shared" si="359"/>
        <v>34</v>
      </c>
      <c r="U1371" s="101">
        <f t="shared" si="360"/>
        <v>46</v>
      </c>
      <c r="V1371" s="4">
        <f t="shared" si="361"/>
        <v>46</v>
      </c>
      <c r="W1371" s="4">
        <f t="shared" si="362"/>
        <v>9</v>
      </c>
      <c r="X1371" s="4">
        <f t="shared" si="363"/>
        <v>9</v>
      </c>
      <c r="Y1371" s="4">
        <f t="shared" si="364"/>
        <v>46</v>
      </c>
      <c r="Z1371" s="4">
        <f t="shared" si="365"/>
        <v>39</v>
      </c>
      <c r="AA1371" s="102">
        <f t="shared" si="366"/>
        <v>46</v>
      </c>
      <c r="AC1371" s="100">
        <f t="shared" si="367"/>
        <v>0.96942846816229888</v>
      </c>
    </row>
    <row r="1372" spans="4:29" x14ac:dyDescent="0.35">
      <c r="D1372">
        <f t="shared" si="368"/>
        <v>1368</v>
      </c>
      <c r="E1372" s="101">
        <v>7</v>
      </c>
      <c r="F1372" s="4">
        <v>7</v>
      </c>
      <c r="G1372" s="4">
        <v>4</v>
      </c>
      <c r="H1372" s="4">
        <v>1</v>
      </c>
      <c r="I1372" s="4">
        <v>2</v>
      </c>
      <c r="J1372" s="4">
        <v>2</v>
      </c>
      <c r="K1372" s="102">
        <v>3</v>
      </c>
      <c r="M1372" s="101">
        <f t="shared" si="353"/>
        <v>29</v>
      </c>
      <c r="N1372" s="4">
        <f t="shared" si="354"/>
        <v>29</v>
      </c>
      <c r="O1372" s="4">
        <f t="shared" si="355"/>
        <v>12</v>
      </c>
      <c r="P1372" s="4">
        <f t="shared" si="356"/>
        <v>34</v>
      </c>
      <c r="Q1372" s="4">
        <f t="shared" si="357"/>
        <v>56</v>
      </c>
      <c r="R1372" s="4">
        <f t="shared" si="358"/>
        <v>56</v>
      </c>
      <c r="S1372" s="102">
        <f t="shared" si="359"/>
        <v>23</v>
      </c>
      <c r="U1372" s="101">
        <f t="shared" si="360"/>
        <v>41</v>
      </c>
      <c r="V1372" s="4">
        <f t="shared" si="361"/>
        <v>41</v>
      </c>
      <c r="W1372" s="4">
        <f t="shared" si="362"/>
        <v>9</v>
      </c>
      <c r="X1372" s="4">
        <f t="shared" si="363"/>
        <v>46</v>
      </c>
      <c r="Y1372" s="4">
        <f t="shared" si="364"/>
        <v>78</v>
      </c>
      <c r="Z1372" s="4">
        <f t="shared" si="365"/>
        <v>78</v>
      </c>
      <c r="AA1372" s="102">
        <f t="shared" si="366"/>
        <v>39</v>
      </c>
      <c r="AC1372" s="100">
        <f t="shared" si="367"/>
        <v>0.98477794947726305</v>
      </c>
    </row>
    <row r="1373" spans="4:29" x14ac:dyDescent="0.35">
      <c r="D1373">
        <f t="shared" si="368"/>
        <v>1369</v>
      </c>
      <c r="E1373" s="101">
        <v>3</v>
      </c>
      <c r="F1373" s="4">
        <v>1</v>
      </c>
      <c r="G1373" s="4">
        <v>3</v>
      </c>
      <c r="H1373" s="4">
        <v>1</v>
      </c>
      <c r="I1373" s="4">
        <v>3</v>
      </c>
      <c r="J1373" s="4">
        <v>6</v>
      </c>
      <c r="K1373" s="102">
        <v>2</v>
      </c>
      <c r="M1373" s="101">
        <f t="shared" si="353"/>
        <v>23</v>
      </c>
      <c r="N1373" s="4">
        <f t="shared" si="354"/>
        <v>34</v>
      </c>
      <c r="O1373" s="4">
        <f t="shared" si="355"/>
        <v>23</v>
      </c>
      <c r="P1373" s="4">
        <f t="shared" si="356"/>
        <v>34</v>
      </c>
      <c r="Q1373" s="4">
        <f t="shared" si="357"/>
        <v>23</v>
      </c>
      <c r="R1373" s="4">
        <f t="shared" si="358"/>
        <v>45</v>
      </c>
      <c r="S1373" s="102">
        <f t="shared" si="359"/>
        <v>56</v>
      </c>
      <c r="U1373" s="101">
        <f t="shared" si="360"/>
        <v>39</v>
      </c>
      <c r="V1373" s="4">
        <f t="shared" si="361"/>
        <v>46</v>
      </c>
      <c r="W1373" s="4">
        <f t="shared" si="362"/>
        <v>39</v>
      </c>
      <c r="X1373" s="4">
        <f t="shared" si="363"/>
        <v>46</v>
      </c>
      <c r="Y1373" s="4">
        <f t="shared" si="364"/>
        <v>39</v>
      </c>
      <c r="Z1373" s="4">
        <f t="shared" si="365"/>
        <v>71</v>
      </c>
      <c r="AA1373" s="102">
        <f t="shared" si="366"/>
        <v>78</v>
      </c>
      <c r="AC1373" s="100">
        <f t="shared" si="367"/>
        <v>0.96898973878476491</v>
      </c>
    </row>
    <row r="1374" spans="4:29" x14ac:dyDescent="0.35">
      <c r="D1374">
        <f t="shared" si="368"/>
        <v>1370</v>
      </c>
      <c r="E1374" s="101">
        <v>5</v>
      </c>
      <c r="F1374" s="4">
        <v>6</v>
      </c>
      <c r="G1374" s="4">
        <v>5</v>
      </c>
      <c r="H1374" s="4">
        <v>1</v>
      </c>
      <c r="I1374" s="4">
        <v>6</v>
      </c>
      <c r="J1374" s="4">
        <v>3</v>
      </c>
      <c r="K1374" s="102">
        <v>7</v>
      </c>
      <c r="M1374" s="101">
        <f t="shared" si="353"/>
        <v>30</v>
      </c>
      <c r="N1374" s="4">
        <f t="shared" si="354"/>
        <v>45</v>
      </c>
      <c r="O1374" s="4">
        <f t="shared" si="355"/>
        <v>30</v>
      </c>
      <c r="P1374" s="4">
        <f t="shared" si="356"/>
        <v>34</v>
      </c>
      <c r="Q1374" s="4">
        <f t="shared" si="357"/>
        <v>45</v>
      </c>
      <c r="R1374" s="4">
        <f t="shared" si="358"/>
        <v>23</v>
      </c>
      <c r="S1374" s="102">
        <f t="shared" si="359"/>
        <v>29</v>
      </c>
      <c r="U1374" s="101">
        <f t="shared" si="360"/>
        <v>39</v>
      </c>
      <c r="V1374" s="4">
        <f t="shared" si="361"/>
        <v>71</v>
      </c>
      <c r="W1374" s="4">
        <f t="shared" si="362"/>
        <v>39</v>
      </c>
      <c r="X1374" s="4">
        <f t="shared" si="363"/>
        <v>46</v>
      </c>
      <c r="Y1374" s="4">
        <f t="shared" si="364"/>
        <v>71</v>
      </c>
      <c r="Z1374" s="4">
        <f t="shared" si="365"/>
        <v>39</v>
      </c>
      <c r="AA1374" s="102">
        <f t="shared" si="366"/>
        <v>41</v>
      </c>
      <c r="AC1374" s="100">
        <f t="shared" si="367"/>
        <v>0.95363934593372002</v>
      </c>
    </row>
    <row r="1375" spans="4:29" x14ac:dyDescent="0.35">
      <c r="D1375">
        <f t="shared" si="368"/>
        <v>1371</v>
      </c>
      <c r="E1375" s="101">
        <v>3</v>
      </c>
      <c r="F1375" s="4">
        <v>3</v>
      </c>
      <c r="G1375" s="4">
        <v>6</v>
      </c>
      <c r="H1375" s="4">
        <v>1</v>
      </c>
      <c r="I1375" s="4">
        <v>5</v>
      </c>
      <c r="J1375" s="4">
        <v>6</v>
      </c>
      <c r="K1375" s="102">
        <v>6</v>
      </c>
      <c r="M1375" s="101">
        <f t="shared" si="353"/>
        <v>23</v>
      </c>
      <c r="N1375" s="4">
        <f t="shared" si="354"/>
        <v>23</v>
      </c>
      <c r="O1375" s="4">
        <f t="shared" si="355"/>
        <v>45</v>
      </c>
      <c r="P1375" s="4">
        <f t="shared" si="356"/>
        <v>34</v>
      </c>
      <c r="Q1375" s="4">
        <f t="shared" si="357"/>
        <v>30</v>
      </c>
      <c r="R1375" s="4">
        <f t="shared" si="358"/>
        <v>45</v>
      </c>
      <c r="S1375" s="102">
        <f t="shared" si="359"/>
        <v>45</v>
      </c>
      <c r="U1375" s="101">
        <f t="shared" si="360"/>
        <v>39</v>
      </c>
      <c r="V1375" s="4">
        <f t="shared" si="361"/>
        <v>39</v>
      </c>
      <c r="W1375" s="4">
        <f t="shared" si="362"/>
        <v>71</v>
      </c>
      <c r="X1375" s="4">
        <f t="shared" si="363"/>
        <v>46</v>
      </c>
      <c r="Y1375" s="4">
        <f t="shared" si="364"/>
        <v>39</v>
      </c>
      <c r="Z1375" s="4">
        <f t="shared" si="365"/>
        <v>71</v>
      </c>
      <c r="AA1375" s="102">
        <f t="shared" si="366"/>
        <v>71</v>
      </c>
      <c r="AC1375" s="100">
        <f t="shared" si="367"/>
        <v>0.95987177444496841</v>
      </c>
    </row>
    <row r="1376" spans="4:29" x14ac:dyDescent="0.35">
      <c r="D1376">
        <f t="shared" si="368"/>
        <v>1372</v>
      </c>
      <c r="E1376" s="101">
        <v>5</v>
      </c>
      <c r="F1376" s="4">
        <v>7</v>
      </c>
      <c r="G1376" s="4">
        <v>4</v>
      </c>
      <c r="H1376" s="4">
        <v>7</v>
      </c>
      <c r="I1376" s="4">
        <v>1</v>
      </c>
      <c r="J1376" s="4">
        <v>6</v>
      </c>
      <c r="K1376" s="102">
        <v>4</v>
      </c>
      <c r="M1376" s="101">
        <f t="shared" si="353"/>
        <v>30</v>
      </c>
      <c r="N1376" s="4">
        <f t="shared" si="354"/>
        <v>29</v>
      </c>
      <c r="O1376" s="4">
        <f t="shared" si="355"/>
        <v>12</v>
      </c>
      <c r="P1376" s="4">
        <f t="shared" si="356"/>
        <v>29</v>
      </c>
      <c r="Q1376" s="4">
        <f t="shared" si="357"/>
        <v>34</v>
      </c>
      <c r="R1376" s="4">
        <f t="shared" si="358"/>
        <v>45</v>
      </c>
      <c r="S1376" s="102">
        <f t="shared" si="359"/>
        <v>12</v>
      </c>
      <c r="U1376" s="101">
        <f t="shared" si="360"/>
        <v>39</v>
      </c>
      <c r="V1376" s="4">
        <f t="shared" si="361"/>
        <v>41</v>
      </c>
      <c r="W1376" s="4">
        <f t="shared" si="362"/>
        <v>9</v>
      </c>
      <c r="X1376" s="4">
        <f t="shared" si="363"/>
        <v>41</v>
      </c>
      <c r="Y1376" s="4">
        <f t="shared" si="364"/>
        <v>46</v>
      </c>
      <c r="Z1376" s="4">
        <f t="shared" si="365"/>
        <v>71</v>
      </c>
      <c r="AA1376" s="102">
        <f t="shared" si="366"/>
        <v>9</v>
      </c>
      <c r="AC1376" s="100">
        <f t="shared" si="367"/>
        <v>0.99606297586886217</v>
      </c>
    </row>
    <row r="1377" spans="4:29" x14ac:dyDescent="0.35">
      <c r="D1377">
        <f t="shared" si="368"/>
        <v>1373</v>
      </c>
      <c r="E1377" s="101">
        <v>1</v>
      </c>
      <c r="F1377" s="4">
        <v>6</v>
      </c>
      <c r="G1377" s="4">
        <v>1</v>
      </c>
      <c r="H1377" s="4">
        <v>7</v>
      </c>
      <c r="I1377" s="4">
        <v>5</v>
      </c>
      <c r="J1377" s="4">
        <v>3</v>
      </c>
      <c r="K1377" s="102">
        <v>6</v>
      </c>
      <c r="M1377" s="101">
        <f t="shared" si="353"/>
        <v>34</v>
      </c>
      <c r="N1377" s="4">
        <f t="shared" si="354"/>
        <v>45</v>
      </c>
      <c r="O1377" s="4">
        <f t="shared" si="355"/>
        <v>34</v>
      </c>
      <c r="P1377" s="4">
        <f t="shared" si="356"/>
        <v>29</v>
      </c>
      <c r="Q1377" s="4">
        <f t="shared" si="357"/>
        <v>30</v>
      </c>
      <c r="R1377" s="4">
        <f t="shared" si="358"/>
        <v>23</v>
      </c>
      <c r="S1377" s="102">
        <f t="shared" si="359"/>
        <v>45</v>
      </c>
      <c r="U1377" s="101">
        <f t="shared" si="360"/>
        <v>46</v>
      </c>
      <c r="V1377" s="4">
        <f t="shared" si="361"/>
        <v>71</v>
      </c>
      <c r="W1377" s="4">
        <f t="shared" si="362"/>
        <v>46</v>
      </c>
      <c r="X1377" s="4">
        <f t="shared" si="363"/>
        <v>41</v>
      </c>
      <c r="Y1377" s="4">
        <f t="shared" si="364"/>
        <v>39</v>
      </c>
      <c r="Z1377" s="4">
        <f t="shared" si="365"/>
        <v>39</v>
      </c>
      <c r="AA1377" s="102">
        <f t="shared" si="366"/>
        <v>71</v>
      </c>
      <c r="AC1377" s="100">
        <f t="shared" si="367"/>
        <v>0.95054484850236998</v>
      </c>
    </row>
    <row r="1378" spans="4:29" x14ac:dyDescent="0.35">
      <c r="D1378">
        <f t="shared" si="368"/>
        <v>1374</v>
      </c>
      <c r="E1378" s="101">
        <v>4</v>
      </c>
      <c r="F1378" s="4">
        <v>1</v>
      </c>
      <c r="G1378" s="4">
        <v>5</v>
      </c>
      <c r="H1378" s="4">
        <v>2</v>
      </c>
      <c r="I1378" s="4">
        <v>1</v>
      </c>
      <c r="J1378" s="4">
        <v>7</v>
      </c>
      <c r="K1378" s="102">
        <v>1</v>
      </c>
      <c r="M1378" s="101">
        <f t="shared" si="353"/>
        <v>12</v>
      </c>
      <c r="N1378" s="4">
        <f t="shared" si="354"/>
        <v>34</v>
      </c>
      <c r="O1378" s="4">
        <f t="shared" si="355"/>
        <v>30</v>
      </c>
      <c r="P1378" s="4">
        <f t="shared" si="356"/>
        <v>56</v>
      </c>
      <c r="Q1378" s="4">
        <f t="shared" si="357"/>
        <v>34</v>
      </c>
      <c r="R1378" s="4">
        <f t="shared" si="358"/>
        <v>29</v>
      </c>
      <c r="S1378" s="102">
        <f t="shared" si="359"/>
        <v>34</v>
      </c>
      <c r="U1378" s="101">
        <f t="shared" si="360"/>
        <v>9</v>
      </c>
      <c r="V1378" s="4">
        <f t="shared" si="361"/>
        <v>46</v>
      </c>
      <c r="W1378" s="4">
        <f t="shared" si="362"/>
        <v>39</v>
      </c>
      <c r="X1378" s="4">
        <f t="shared" si="363"/>
        <v>78</v>
      </c>
      <c r="Y1378" s="4">
        <f t="shared" si="364"/>
        <v>46</v>
      </c>
      <c r="Z1378" s="4">
        <f t="shared" si="365"/>
        <v>41</v>
      </c>
      <c r="AA1378" s="102">
        <f t="shared" si="366"/>
        <v>46</v>
      </c>
      <c r="AC1378" s="100">
        <f t="shared" si="367"/>
        <v>0.99593442377678176</v>
      </c>
    </row>
    <row r="1379" spans="4:29" x14ac:dyDescent="0.35">
      <c r="D1379">
        <f t="shared" si="368"/>
        <v>1375</v>
      </c>
      <c r="E1379" s="101">
        <v>1</v>
      </c>
      <c r="F1379" s="4">
        <v>6</v>
      </c>
      <c r="G1379" s="4">
        <v>2</v>
      </c>
      <c r="H1379" s="4">
        <v>7</v>
      </c>
      <c r="I1379" s="4">
        <v>5</v>
      </c>
      <c r="J1379" s="4">
        <v>3</v>
      </c>
      <c r="K1379" s="102">
        <v>1</v>
      </c>
      <c r="M1379" s="101">
        <f t="shared" si="353"/>
        <v>34</v>
      </c>
      <c r="N1379" s="4">
        <f t="shared" si="354"/>
        <v>45</v>
      </c>
      <c r="O1379" s="4">
        <f t="shared" si="355"/>
        <v>56</v>
      </c>
      <c r="P1379" s="4">
        <f t="shared" si="356"/>
        <v>29</v>
      </c>
      <c r="Q1379" s="4">
        <f t="shared" si="357"/>
        <v>30</v>
      </c>
      <c r="R1379" s="4">
        <f t="shared" si="358"/>
        <v>23</v>
      </c>
      <c r="S1379" s="102">
        <f t="shared" si="359"/>
        <v>34</v>
      </c>
      <c r="U1379" s="101">
        <f t="shared" si="360"/>
        <v>46</v>
      </c>
      <c r="V1379" s="4">
        <f t="shared" si="361"/>
        <v>71</v>
      </c>
      <c r="W1379" s="4">
        <f t="shared" si="362"/>
        <v>78</v>
      </c>
      <c r="X1379" s="4">
        <f t="shared" si="363"/>
        <v>41</v>
      </c>
      <c r="Y1379" s="4">
        <f t="shared" si="364"/>
        <v>39</v>
      </c>
      <c r="Z1379" s="4">
        <f t="shared" si="365"/>
        <v>39</v>
      </c>
      <c r="AA1379" s="102">
        <f t="shared" si="366"/>
        <v>46</v>
      </c>
      <c r="AC1379" s="100">
        <f t="shared" si="367"/>
        <v>0.9628701425561832</v>
      </c>
    </row>
    <row r="1380" spans="4:29" x14ac:dyDescent="0.35">
      <c r="D1380">
        <f t="shared" si="368"/>
        <v>1376</v>
      </c>
      <c r="E1380" s="101">
        <v>1</v>
      </c>
      <c r="F1380" s="4">
        <v>4</v>
      </c>
      <c r="G1380" s="4">
        <v>1</v>
      </c>
      <c r="H1380" s="4">
        <v>7</v>
      </c>
      <c r="I1380" s="4">
        <v>1</v>
      </c>
      <c r="J1380" s="4">
        <v>1</v>
      </c>
      <c r="K1380" s="102">
        <v>3</v>
      </c>
      <c r="M1380" s="101">
        <f t="shared" si="353"/>
        <v>34</v>
      </c>
      <c r="N1380" s="4">
        <f t="shared" si="354"/>
        <v>12</v>
      </c>
      <c r="O1380" s="4">
        <f t="shared" si="355"/>
        <v>34</v>
      </c>
      <c r="P1380" s="4">
        <f t="shared" si="356"/>
        <v>29</v>
      </c>
      <c r="Q1380" s="4">
        <f t="shared" si="357"/>
        <v>34</v>
      </c>
      <c r="R1380" s="4">
        <f t="shared" si="358"/>
        <v>34</v>
      </c>
      <c r="S1380" s="102">
        <f t="shared" si="359"/>
        <v>23</v>
      </c>
      <c r="U1380" s="101">
        <f t="shared" si="360"/>
        <v>46</v>
      </c>
      <c r="V1380" s="4">
        <f t="shared" si="361"/>
        <v>9</v>
      </c>
      <c r="W1380" s="4">
        <f t="shared" si="362"/>
        <v>46</v>
      </c>
      <c r="X1380" s="4">
        <f t="shared" si="363"/>
        <v>41</v>
      </c>
      <c r="Y1380" s="4">
        <f t="shared" si="364"/>
        <v>46</v>
      </c>
      <c r="Z1380" s="4">
        <f t="shared" si="365"/>
        <v>46</v>
      </c>
      <c r="AA1380" s="102">
        <f t="shared" si="366"/>
        <v>39</v>
      </c>
      <c r="AC1380" s="100">
        <f t="shared" si="367"/>
        <v>0.95209538648272374</v>
      </c>
    </row>
    <row r="1381" spans="4:29" x14ac:dyDescent="0.35">
      <c r="D1381">
        <f t="shared" si="368"/>
        <v>1377</v>
      </c>
      <c r="E1381" s="101">
        <v>2</v>
      </c>
      <c r="F1381" s="4">
        <v>7</v>
      </c>
      <c r="G1381" s="4">
        <v>2</v>
      </c>
      <c r="H1381" s="4">
        <v>7</v>
      </c>
      <c r="I1381" s="4">
        <v>2</v>
      </c>
      <c r="J1381" s="4">
        <v>4</v>
      </c>
      <c r="K1381" s="102">
        <v>7</v>
      </c>
      <c r="M1381" s="101">
        <f t="shared" si="353"/>
        <v>56</v>
      </c>
      <c r="N1381" s="4">
        <f t="shared" si="354"/>
        <v>29</v>
      </c>
      <c r="O1381" s="4">
        <f t="shared" si="355"/>
        <v>56</v>
      </c>
      <c r="P1381" s="4">
        <f t="shared" si="356"/>
        <v>29</v>
      </c>
      <c r="Q1381" s="4">
        <f t="shared" si="357"/>
        <v>56</v>
      </c>
      <c r="R1381" s="4">
        <f t="shared" si="358"/>
        <v>12</v>
      </c>
      <c r="S1381" s="102">
        <f t="shared" si="359"/>
        <v>29</v>
      </c>
      <c r="U1381" s="101">
        <f t="shared" si="360"/>
        <v>78</v>
      </c>
      <c r="V1381" s="4">
        <f t="shared" si="361"/>
        <v>41</v>
      </c>
      <c r="W1381" s="4">
        <f t="shared" si="362"/>
        <v>78</v>
      </c>
      <c r="X1381" s="4">
        <f t="shared" si="363"/>
        <v>41</v>
      </c>
      <c r="Y1381" s="4">
        <f t="shared" si="364"/>
        <v>78</v>
      </c>
      <c r="Z1381" s="4">
        <f t="shared" si="365"/>
        <v>9</v>
      </c>
      <c r="AA1381" s="102">
        <f t="shared" si="366"/>
        <v>41</v>
      </c>
      <c r="AC1381" s="100">
        <f t="shared" si="367"/>
        <v>0.99556136876416057</v>
      </c>
    </row>
    <row r="1382" spans="4:29" x14ac:dyDescent="0.35">
      <c r="D1382">
        <f t="shared" si="368"/>
        <v>1378</v>
      </c>
      <c r="E1382" s="101">
        <v>5</v>
      </c>
      <c r="F1382" s="4">
        <v>2</v>
      </c>
      <c r="G1382" s="4">
        <v>3</v>
      </c>
      <c r="H1382" s="4">
        <v>7</v>
      </c>
      <c r="I1382" s="4">
        <v>1</v>
      </c>
      <c r="J1382" s="4">
        <v>4</v>
      </c>
      <c r="K1382" s="102">
        <v>1</v>
      </c>
      <c r="M1382" s="101">
        <f t="shared" si="353"/>
        <v>30</v>
      </c>
      <c r="N1382" s="4">
        <f t="shared" si="354"/>
        <v>56</v>
      </c>
      <c r="O1382" s="4">
        <f t="shared" si="355"/>
        <v>23</v>
      </c>
      <c r="P1382" s="4">
        <f t="shared" si="356"/>
        <v>29</v>
      </c>
      <c r="Q1382" s="4">
        <f t="shared" si="357"/>
        <v>34</v>
      </c>
      <c r="R1382" s="4">
        <f t="shared" si="358"/>
        <v>12</v>
      </c>
      <c r="S1382" s="102">
        <f t="shared" si="359"/>
        <v>34</v>
      </c>
      <c r="U1382" s="101">
        <f t="shared" si="360"/>
        <v>39</v>
      </c>
      <c r="V1382" s="4">
        <f t="shared" si="361"/>
        <v>78</v>
      </c>
      <c r="W1382" s="4">
        <f t="shared" si="362"/>
        <v>39</v>
      </c>
      <c r="X1382" s="4">
        <f t="shared" si="363"/>
        <v>41</v>
      </c>
      <c r="Y1382" s="4">
        <f t="shared" si="364"/>
        <v>46</v>
      </c>
      <c r="Z1382" s="4">
        <f t="shared" si="365"/>
        <v>9</v>
      </c>
      <c r="AA1382" s="102">
        <f t="shared" si="366"/>
        <v>46</v>
      </c>
      <c r="AC1382" s="100">
        <f t="shared" si="367"/>
        <v>0.97744931327594864</v>
      </c>
    </row>
    <row r="1383" spans="4:29" x14ac:dyDescent="0.35">
      <c r="D1383">
        <f t="shared" si="368"/>
        <v>1379</v>
      </c>
      <c r="E1383" s="101">
        <v>1</v>
      </c>
      <c r="F1383" s="4">
        <v>7</v>
      </c>
      <c r="G1383" s="4">
        <v>1</v>
      </c>
      <c r="H1383" s="4">
        <v>7</v>
      </c>
      <c r="I1383" s="4">
        <v>5</v>
      </c>
      <c r="J1383" s="4">
        <v>5</v>
      </c>
      <c r="K1383" s="102">
        <v>5</v>
      </c>
      <c r="M1383" s="101">
        <f t="shared" si="353"/>
        <v>34</v>
      </c>
      <c r="N1383" s="4">
        <f t="shared" si="354"/>
        <v>29</v>
      </c>
      <c r="O1383" s="4">
        <f t="shared" si="355"/>
        <v>34</v>
      </c>
      <c r="P1383" s="4">
        <f t="shared" si="356"/>
        <v>29</v>
      </c>
      <c r="Q1383" s="4">
        <f t="shared" si="357"/>
        <v>30</v>
      </c>
      <c r="R1383" s="4">
        <f t="shared" si="358"/>
        <v>30</v>
      </c>
      <c r="S1383" s="102">
        <f t="shared" si="359"/>
        <v>30</v>
      </c>
      <c r="U1383" s="101">
        <f t="shared" si="360"/>
        <v>46</v>
      </c>
      <c r="V1383" s="4">
        <f t="shared" si="361"/>
        <v>41</v>
      </c>
      <c r="W1383" s="4">
        <f t="shared" si="362"/>
        <v>46</v>
      </c>
      <c r="X1383" s="4">
        <f t="shared" si="363"/>
        <v>41</v>
      </c>
      <c r="Y1383" s="4">
        <f t="shared" si="364"/>
        <v>39</v>
      </c>
      <c r="Z1383" s="4">
        <f t="shared" si="365"/>
        <v>39</v>
      </c>
      <c r="AA1383" s="102">
        <f t="shared" si="366"/>
        <v>39</v>
      </c>
      <c r="AC1383" s="100">
        <f t="shared" si="367"/>
        <v>0.88100046918772223</v>
      </c>
    </row>
    <row r="1384" spans="4:29" x14ac:dyDescent="0.35">
      <c r="D1384">
        <f t="shared" si="368"/>
        <v>1380</v>
      </c>
      <c r="E1384" s="101">
        <v>7</v>
      </c>
      <c r="F1384" s="4">
        <v>5</v>
      </c>
      <c r="G1384" s="4">
        <v>6</v>
      </c>
      <c r="H1384" s="4">
        <v>3</v>
      </c>
      <c r="I1384" s="4">
        <v>4</v>
      </c>
      <c r="J1384" s="4">
        <v>1</v>
      </c>
      <c r="K1384" s="102">
        <v>3</v>
      </c>
      <c r="M1384" s="101">
        <f t="shared" si="353"/>
        <v>29</v>
      </c>
      <c r="N1384" s="4">
        <f t="shared" si="354"/>
        <v>30</v>
      </c>
      <c r="O1384" s="4">
        <f t="shared" si="355"/>
        <v>45</v>
      </c>
      <c r="P1384" s="4">
        <f t="shared" si="356"/>
        <v>23</v>
      </c>
      <c r="Q1384" s="4">
        <f t="shared" si="357"/>
        <v>12</v>
      </c>
      <c r="R1384" s="4">
        <f t="shared" si="358"/>
        <v>34</v>
      </c>
      <c r="S1384" s="102">
        <f t="shared" si="359"/>
        <v>23</v>
      </c>
      <c r="U1384" s="101">
        <f t="shared" si="360"/>
        <v>41</v>
      </c>
      <c r="V1384" s="4">
        <f t="shared" si="361"/>
        <v>39</v>
      </c>
      <c r="W1384" s="4">
        <f t="shared" si="362"/>
        <v>71</v>
      </c>
      <c r="X1384" s="4">
        <f t="shared" si="363"/>
        <v>39</v>
      </c>
      <c r="Y1384" s="4">
        <f t="shared" si="364"/>
        <v>9</v>
      </c>
      <c r="Z1384" s="4">
        <f t="shared" si="365"/>
        <v>46</v>
      </c>
      <c r="AA1384" s="102">
        <f t="shared" si="366"/>
        <v>39</v>
      </c>
      <c r="AC1384" s="100">
        <f t="shared" si="367"/>
        <v>0.95663510890125913</v>
      </c>
    </row>
    <row r="1385" spans="4:29" x14ac:dyDescent="0.35">
      <c r="D1385">
        <f t="shared" si="368"/>
        <v>1381</v>
      </c>
      <c r="E1385" s="101">
        <v>4</v>
      </c>
      <c r="F1385" s="4">
        <v>5</v>
      </c>
      <c r="G1385" s="4">
        <v>6</v>
      </c>
      <c r="H1385" s="4">
        <v>6</v>
      </c>
      <c r="I1385" s="4">
        <v>4</v>
      </c>
      <c r="J1385" s="4">
        <v>3</v>
      </c>
      <c r="K1385" s="102">
        <v>1</v>
      </c>
      <c r="M1385" s="101">
        <f t="shared" si="353"/>
        <v>12</v>
      </c>
      <c r="N1385" s="4">
        <f t="shared" si="354"/>
        <v>30</v>
      </c>
      <c r="O1385" s="4">
        <f t="shared" si="355"/>
        <v>45</v>
      </c>
      <c r="P1385" s="4">
        <f t="shared" si="356"/>
        <v>45</v>
      </c>
      <c r="Q1385" s="4">
        <f t="shared" si="357"/>
        <v>12</v>
      </c>
      <c r="R1385" s="4">
        <f t="shared" si="358"/>
        <v>23</v>
      </c>
      <c r="S1385" s="102">
        <f t="shared" si="359"/>
        <v>34</v>
      </c>
      <c r="U1385" s="101">
        <f t="shared" si="360"/>
        <v>9</v>
      </c>
      <c r="V1385" s="4">
        <f t="shared" si="361"/>
        <v>39</v>
      </c>
      <c r="W1385" s="4">
        <f t="shared" si="362"/>
        <v>71</v>
      </c>
      <c r="X1385" s="4">
        <f t="shared" si="363"/>
        <v>71</v>
      </c>
      <c r="Y1385" s="4">
        <f t="shared" si="364"/>
        <v>9</v>
      </c>
      <c r="Z1385" s="4">
        <f t="shared" si="365"/>
        <v>39</v>
      </c>
      <c r="AA1385" s="102">
        <f t="shared" si="366"/>
        <v>46</v>
      </c>
      <c r="AC1385" s="100">
        <f t="shared" si="367"/>
        <v>0.98512683740495643</v>
      </c>
    </row>
    <row r="1386" spans="4:29" x14ac:dyDescent="0.35">
      <c r="D1386">
        <f t="shared" si="368"/>
        <v>1382</v>
      </c>
      <c r="E1386" s="101">
        <v>7</v>
      </c>
      <c r="F1386" s="4">
        <v>1</v>
      </c>
      <c r="G1386" s="4">
        <v>7</v>
      </c>
      <c r="H1386" s="4">
        <v>3</v>
      </c>
      <c r="I1386" s="4">
        <v>4</v>
      </c>
      <c r="J1386" s="4">
        <v>6</v>
      </c>
      <c r="K1386" s="102">
        <v>3</v>
      </c>
      <c r="M1386" s="101">
        <f t="shared" si="353"/>
        <v>29</v>
      </c>
      <c r="N1386" s="4">
        <f t="shared" si="354"/>
        <v>34</v>
      </c>
      <c r="O1386" s="4">
        <f t="shared" si="355"/>
        <v>29</v>
      </c>
      <c r="P1386" s="4">
        <f t="shared" si="356"/>
        <v>23</v>
      </c>
      <c r="Q1386" s="4">
        <f t="shared" si="357"/>
        <v>12</v>
      </c>
      <c r="R1386" s="4">
        <f t="shared" si="358"/>
        <v>45</v>
      </c>
      <c r="S1386" s="102">
        <f t="shared" si="359"/>
        <v>23</v>
      </c>
      <c r="U1386" s="101">
        <f t="shared" si="360"/>
        <v>41</v>
      </c>
      <c r="V1386" s="4">
        <f t="shared" si="361"/>
        <v>46</v>
      </c>
      <c r="W1386" s="4">
        <f t="shared" si="362"/>
        <v>41</v>
      </c>
      <c r="X1386" s="4">
        <f t="shared" si="363"/>
        <v>39</v>
      </c>
      <c r="Y1386" s="4">
        <f t="shared" si="364"/>
        <v>9</v>
      </c>
      <c r="Z1386" s="4">
        <f t="shared" si="365"/>
        <v>71</v>
      </c>
      <c r="AA1386" s="102">
        <f t="shared" si="366"/>
        <v>39</v>
      </c>
      <c r="AC1386" s="100">
        <f t="shared" si="367"/>
        <v>0.96317344934838278</v>
      </c>
    </row>
    <row r="1387" spans="4:29" x14ac:dyDescent="0.35">
      <c r="D1387">
        <f t="shared" si="368"/>
        <v>1383</v>
      </c>
      <c r="E1387" s="101">
        <v>4</v>
      </c>
      <c r="F1387" s="4">
        <v>4</v>
      </c>
      <c r="G1387" s="4">
        <v>7</v>
      </c>
      <c r="H1387" s="4">
        <v>3</v>
      </c>
      <c r="I1387" s="4">
        <v>5</v>
      </c>
      <c r="J1387" s="4">
        <v>6</v>
      </c>
      <c r="K1387" s="102">
        <v>7</v>
      </c>
      <c r="M1387" s="101">
        <f t="shared" si="353"/>
        <v>12</v>
      </c>
      <c r="N1387" s="4">
        <f t="shared" si="354"/>
        <v>12</v>
      </c>
      <c r="O1387" s="4">
        <f t="shared" si="355"/>
        <v>29</v>
      </c>
      <c r="P1387" s="4">
        <f t="shared" si="356"/>
        <v>23</v>
      </c>
      <c r="Q1387" s="4">
        <f t="shared" si="357"/>
        <v>30</v>
      </c>
      <c r="R1387" s="4">
        <f t="shared" si="358"/>
        <v>45</v>
      </c>
      <c r="S1387" s="102">
        <f t="shared" si="359"/>
        <v>29</v>
      </c>
      <c r="U1387" s="101">
        <f t="shared" si="360"/>
        <v>9</v>
      </c>
      <c r="V1387" s="4">
        <f t="shared" si="361"/>
        <v>9</v>
      </c>
      <c r="W1387" s="4">
        <f t="shared" si="362"/>
        <v>41</v>
      </c>
      <c r="X1387" s="4">
        <f t="shared" si="363"/>
        <v>39</v>
      </c>
      <c r="Y1387" s="4">
        <f t="shared" si="364"/>
        <v>39</v>
      </c>
      <c r="Z1387" s="4">
        <f t="shared" si="365"/>
        <v>71</v>
      </c>
      <c r="AA1387" s="102">
        <f t="shared" si="366"/>
        <v>41</v>
      </c>
      <c r="AC1387" s="100">
        <f t="shared" si="367"/>
        <v>0.98257098000103771</v>
      </c>
    </row>
    <row r="1388" spans="4:29" x14ac:dyDescent="0.35">
      <c r="D1388">
        <f t="shared" si="368"/>
        <v>1384</v>
      </c>
      <c r="E1388" s="101">
        <v>7</v>
      </c>
      <c r="F1388" s="4">
        <v>5</v>
      </c>
      <c r="G1388" s="4">
        <v>3</v>
      </c>
      <c r="H1388" s="4">
        <v>3</v>
      </c>
      <c r="I1388" s="4">
        <v>5</v>
      </c>
      <c r="J1388" s="4">
        <v>7</v>
      </c>
      <c r="K1388" s="102">
        <v>7</v>
      </c>
      <c r="M1388" s="101">
        <f t="shared" si="353"/>
        <v>29</v>
      </c>
      <c r="N1388" s="4">
        <f t="shared" si="354"/>
        <v>30</v>
      </c>
      <c r="O1388" s="4">
        <f t="shared" si="355"/>
        <v>23</v>
      </c>
      <c r="P1388" s="4">
        <f t="shared" si="356"/>
        <v>23</v>
      </c>
      <c r="Q1388" s="4">
        <f t="shared" si="357"/>
        <v>30</v>
      </c>
      <c r="R1388" s="4">
        <f t="shared" si="358"/>
        <v>29</v>
      </c>
      <c r="S1388" s="102">
        <f t="shared" si="359"/>
        <v>29</v>
      </c>
      <c r="U1388" s="101">
        <f t="shared" si="360"/>
        <v>41</v>
      </c>
      <c r="V1388" s="4">
        <f t="shared" si="361"/>
        <v>39</v>
      </c>
      <c r="W1388" s="4">
        <f t="shared" si="362"/>
        <v>39</v>
      </c>
      <c r="X1388" s="4">
        <f t="shared" si="363"/>
        <v>39</v>
      </c>
      <c r="Y1388" s="4">
        <f t="shared" si="364"/>
        <v>39</v>
      </c>
      <c r="Z1388" s="4">
        <f t="shared" si="365"/>
        <v>41</v>
      </c>
      <c r="AA1388" s="102">
        <f t="shared" si="366"/>
        <v>41</v>
      </c>
      <c r="AC1388" s="100">
        <f t="shared" si="367"/>
        <v>0.42358687104367881</v>
      </c>
    </row>
    <row r="1389" spans="4:29" x14ac:dyDescent="0.35">
      <c r="D1389">
        <f t="shared" si="368"/>
        <v>1385</v>
      </c>
      <c r="E1389" s="101">
        <v>6</v>
      </c>
      <c r="F1389" s="4">
        <v>7</v>
      </c>
      <c r="G1389" s="4">
        <v>3</v>
      </c>
      <c r="H1389" s="4">
        <v>7</v>
      </c>
      <c r="I1389" s="4">
        <v>3</v>
      </c>
      <c r="J1389" s="4">
        <v>3</v>
      </c>
      <c r="K1389" s="102">
        <v>3</v>
      </c>
      <c r="M1389" s="101">
        <f t="shared" si="353"/>
        <v>45</v>
      </c>
      <c r="N1389" s="4">
        <f t="shared" si="354"/>
        <v>29</v>
      </c>
      <c r="O1389" s="4">
        <f t="shared" si="355"/>
        <v>23</v>
      </c>
      <c r="P1389" s="4">
        <f t="shared" si="356"/>
        <v>29</v>
      </c>
      <c r="Q1389" s="4">
        <f t="shared" si="357"/>
        <v>23</v>
      </c>
      <c r="R1389" s="4">
        <f t="shared" si="358"/>
        <v>23</v>
      </c>
      <c r="S1389" s="102">
        <f t="shared" si="359"/>
        <v>23</v>
      </c>
      <c r="U1389" s="101">
        <f t="shared" si="360"/>
        <v>71</v>
      </c>
      <c r="V1389" s="4">
        <f t="shared" si="361"/>
        <v>41</v>
      </c>
      <c r="W1389" s="4">
        <f t="shared" si="362"/>
        <v>39</v>
      </c>
      <c r="X1389" s="4">
        <f t="shared" si="363"/>
        <v>41</v>
      </c>
      <c r="Y1389" s="4">
        <f t="shared" si="364"/>
        <v>39</v>
      </c>
      <c r="Z1389" s="4">
        <f t="shared" si="365"/>
        <v>39</v>
      </c>
      <c r="AA1389" s="102">
        <f t="shared" si="366"/>
        <v>39</v>
      </c>
      <c r="AC1389" s="100">
        <f t="shared" si="367"/>
        <v>0.96144225355435864</v>
      </c>
    </row>
    <row r="1390" spans="4:29" x14ac:dyDescent="0.35">
      <c r="D1390">
        <f t="shared" si="368"/>
        <v>1386</v>
      </c>
      <c r="E1390" s="101">
        <v>1</v>
      </c>
      <c r="F1390" s="4">
        <v>6</v>
      </c>
      <c r="G1390" s="4">
        <v>5</v>
      </c>
      <c r="H1390" s="4">
        <v>1</v>
      </c>
      <c r="I1390" s="4">
        <v>7</v>
      </c>
      <c r="J1390" s="4">
        <v>1</v>
      </c>
      <c r="K1390" s="102">
        <v>5</v>
      </c>
      <c r="M1390" s="101">
        <f t="shared" si="353"/>
        <v>34</v>
      </c>
      <c r="N1390" s="4">
        <f t="shared" si="354"/>
        <v>45</v>
      </c>
      <c r="O1390" s="4">
        <f t="shared" si="355"/>
        <v>30</v>
      </c>
      <c r="P1390" s="4">
        <f t="shared" si="356"/>
        <v>34</v>
      </c>
      <c r="Q1390" s="4">
        <f t="shared" si="357"/>
        <v>29</v>
      </c>
      <c r="R1390" s="4">
        <f t="shared" si="358"/>
        <v>34</v>
      </c>
      <c r="S1390" s="102">
        <f t="shared" si="359"/>
        <v>30</v>
      </c>
      <c r="U1390" s="101">
        <f t="shared" si="360"/>
        <v>46</v>
      </c>
      <c r="V1390" s="4">
        <f t="shared" si="361"/>
        <v>71</v>
      </c>
      <c r="W1390" s="4">
        <f t="shared" si="362"/>
        <v>39</v>
      </c>
      <c r="X1390" s="4">
        <f t="shared" si="363"/>
        <v>46</v>
      </c>
      <c r="Y1390" s="4">
        <f t="shared" si="364"/>
        <v>41</v>
      </c>
      <c r="Z1390" s="4">
        <f t="shared" si="365"/>
        <v>46</v>
      </c>
      <c r="AA1390" s="102">
        <f t="shared" si="366"/>
        <v>39</v>
      </c>
      <c r="AC1390" s="100">
        <f t="shared" si="367"/>
        <v>0.98530765023609468</v>
      </c>
    </row>
    <row r="1391" spans="4:29" x14ac:dyDescent="0.35">
      <c r="D1391">
        <f t="shared" si="368"/>
        <v>1387</v>
      </c>
      <c r="E1391" s="101">
        <v>1</v>
      </c>
      <c r="F1391" s="4">
        <v>5</v>
      </c>
      <c r="G1391" s="4">
        <v>1</v>
      </c>
      <c r="H1391" s="4">
        <v>2</v>
      </c>
      <c r="I1391" s="4">
        <v>1</v>
      </c>
      <c r="J1391" s="4">
        <v>3</v>
      </c>
      <c r="K1391" s="102">
        <v>3</v>
      </c>
      <c r="M1391" s="101">
        <f t="shared" si="353"/>
        <v>34</v>
      </c>
      <c r="N1391" s="4">
        <f t="shared" si="354"/>
        <v>30</v>
      </c>
      <c r="O1391" s="4">
        <f t="shared" si="355"/>
        <v>34</v>
      </c>
      <c r="P1391" s="4">
        <f t="shared" si="356"/>
        <v>56</v>
      </c>
      <c r="Q1391" s="4">
        <f t="shared" si="357"/>
        <v>34</v>
      </c>
      <c r="R1391" s="4">
        <f t="shared" si="358"/>
        <v>23</v>
      </c>
      <c r="S1391" s="102">
        <f t="shared" si="359"/>
        <v>23</v>
      </c>
      <c r="U1391" s="101">
        <f t="shared" si="360"/>
        <v>46</v>
      </c>
      <c r="V1391" s="4">
        <f t="shared" si="361"/>
        <v>39</v>
      </c>
      <c r="W1391" s="4">
        <f t="shared" si="362"/>
        <v>46</v>
      </c>
      <c r="X1391" s="4">
        <f t="shared" si="363"/>
        <v>78</v>
      </c>
      <c r="Y1391" s="4">
        <f t="shared" si="364"/>
        <v>46</v>
      </c>
      <c r="Z1391" s="4">
        <f t="shared" si="365"/>
        <v>39</v>
      </c>
      <c r="AA1391" s="102">
        <f t="shared" si="366"/>
        <v>39</v>
      </c>
      <c r="AC1391" s="100">
        <f t="shared" si="367"/>
        <v>0.96587917326445938</v>
      </c>
    </row>
    <row r="1392" spans="4:29" x14ac:dyDescent="0.35">
      <c r="D1392">
        <f t="shared" si="368"/>
        <v>1388</v>
      </c>
      <c r="E1392" s="101">
        <v>5</v>
      </c>
      <c r="F1392" s="4">
        <v>2</v>
      </c>
      <c r="G1392" s="4">
        <v>1</v>
      </c>
      <c r="H1392" s="4">
        <v>5</v>
      </c>
      <c r="I1392" s="4">
        <v>4</v>
      </c>
      <c r="J1392" s="4">
        <v>7</v>
      </c>
      <c r="K1392" s="102">
        <v>3</v>
      </c>
      <c r="M1392" s="101">
        <f t="shared" si="353"/>
        <v>30</v>
      </c>
      <c r="N1392" s="4">
        <f t="shared" si="354"/>
        <v>56</v>
      </c>
      <c r="O1392" s="4">
        <f t="shared" si="355"/>
        <v>34</v>
      </c>
      <c r="P1392" s="4">
        <f t="shared" si="356"/>
        <v>30</v>
      </c>
      <c r="Q1392" s="4">
        <f t="shared" si="357"/>
        <v>12</v>
      </c>
      <c r="R1392" s="4">
        <f t="shared" si="358"/>
        <v>29</v>
      </c>
      <c r="S1392" s="102">
        <f t="shared" si="359"/>
        <v>23</v>
      </c>
      <c r="U1392" s="101">
        <f t="shared" si="360"/>
        <v>39</v>
      </c>
      <c r="V1392" s="4">
        <f t="shared" si="361"/>
        <v>78</v>
      </c>
      <c r="W1392" s="4">
        <f t="shared" si="362"/>
        <v>46</v>
      </c>
      <c r="X1392" s="4">
        <f t="shared" si="363"/>
        <v>39</v>
      </c>
      <c r="Y1392" s="4">
        <f t="shared" si="364"/>
        <v>9</v>
      </c>
      <c r="Z1392" s="4">
        <f t="shared" si="365"/>
        <v>41</v>
      </c>
      <c r="AA1392" s="102">
        <f t="shared" si="366"/>
        <v>39</v>
      </c>
      <c r="AC1392" s="100">
        <f t="shared" si="367"/>
        <v>0.97680827001719739</v>
      </c>
    </row>
    <row r="1393" spans="4:29" x14ac:dyDescent="0.35">
      <c r="D1393">
        <f t="shared" si="368"/>
        <v>1389</v>
      </c>
      <c r="E1393" s="101">
        <v>5</v>
      </c>
      <c r="F1393" s="4">
        <v>3</v>
      </c>
      <c r="G1393" s="4">
        <v>2</v>
      </c>
      <c r="H1393" s="4">
        <v>4</v>
      </c>
      <c r="I1393" s="4">
        <v>2</v>
      </c>
      <c r="J1393" s="4">
        <v>7</v>
      </c>
      <c r="K1393" s="102">
        <v>2</v>
      </c>
      <c r="M1393" s="101">
        <f t="shared" si="353"/>
        <v>30</v>
      </c>
      <c r="N1393" s="4">
        <f t="shared" si="354"/>
        <v>23</v>
      </c>
      <c r="O1393" s="4">
        <f t="shared" si="355"/>
        <v>56</v>
      </c>
      <c r="P1393" s="4">
        <f t="shared" si="356"/>
        <v>12</v>
      </c>
      <c r="Q1393" s="4">
        <f t="shared" si="357"/>
        <v>56</v>
      </c>
      <c r="R1393" s="4">
        <f t="shared" si="358"/>
        <v>29</v>
      </c>
      <c r="S1393" s="102">
        <f t="shared" si="359"/>
        <v>56</v>
      </c>
      <c r="U1393" s="101">
        <f t="shared" si="360"/>
        <v>39</v>
      </c>
      <c r="V1393" s="4">
        <f t="shared" si="361"/>
        <v>39</v>
      </c>
      <c r="W1393" s="4">
        <f t="shared" si="362"/>
        <v>78</v>
      </c>
      <c r="X1393" s="4">
        <f t="shared" si="363"/>
        <v>9</v>
      </c>
      <c r="Y1393" s="4">
        <f t="shared" si="364"/>
        <v>78</v>
      </c>
      <c r="Z1393" s="4">
        <f t="shared" si="365"/>
        <v>41</v>
      </c>
      <c r="AA1393" s="102">
        <f t="shared" si="366"/>
        <v>78</v>
      </c>
      <c r="AC1393" s="100">
        <f t="shared" si="367"/>
        <v>0.98737547405609294</v>
      </c>
    </row>
    <row r="1394" spans="4:29" x14ac:dyDescent="0.35">
      <c r="D1394">
        <f t="shared" si="368"/>
        <v>1390</v>
      </c>
      <c r="E1394" s="101">
        <v>7</v>
      </c>
      <c r="F1394" s="4">
        <v>7</v>
      </c>
      <c r="G1394" s="4">
        <v>7</v>
      </c>
      <c r="H1394" s="4">
        <v>6</v>
      </c>
      <c r="I1394" s="4">
        <v>6</v>
      </c>
      <c r="J1394" s="4">
        <v>6</v>
      </c>
      <c r="K1394" s="102">
        <v>6</v>
      </c>
      <c r="M1394" s="101">
        <f t="shared" si="353"/>
        <v>29</v>
      </c>
      <c r="N1394" s="4">
        <f t="shared" si="354"/>
        <v>29</v>
      </c>
      <c r="O1394" s="4">
        <f t="shared" si="355"/>
        <v>29</v>
      </c>
      <c r="P1394" s="4">
        <f t="shared" si="356"/>
        <v>45</v>
      </c>
      <c r="Q1394" s="4">
        <f t="shared" si="357"/>
        <v>45</v>
      </c>
      <c r="R1394" s="4">
        <f t="shared" si="358"/>
        <v>45</v>
      </c>
      <c r="S1394" s="102">
        <f t="shared" si="359"/>
        <v>45</v>
      </c>
      <c r="U1394" s="101">
        <f t="shared" si="360"/>
        <v>41</v>
      </c>
      <c r="V1394" s="4">
        <f t="shared" si="361"/>
        <v>41</v>
      </c>
      <c r="W1394" s="4">
        <f t="shared" si="362"/>
        <v>41</v>
      </c>
      <c r="X1394" s="4">
        <f t="shared" si="363"/>
        <v>71</v>
      </c>
      <c r="Y1394" s="4">
        <f t="shared" si="364"/>
        <v>71</v>
      </c>
      <c r="Z1394" s="4">
        <f t="shared" si="365"/>
        <v>71</v>
      </c>
      <c r="AA1394" s="102">
        <f t="shared" si="366"/>
        <v>71</v>
      </c>
      <c r="AC1394" s="100">
        <f t="shared" si="367"/>
        <v>1.0000000000000002</v>
      </c>
    </row>
    <row r="1395" spans="4:29" x14ac:dyDescent="0.35">
      <c r="D1395">
        <f t="shared" si="368"/>
        <v>1391</v>
      </c>
      <c r="E1395" s="101">
        <v>4</v>
      </c>
      <c r="F1395" s="4">
        <v>7</v>
      </c>
      <c r="G1395" s="4">
        <v>5</v>
      </c>
      <c r="H1395" s="4">
        <v>1</v>
      </c>
      <c r="I1395" s="4">
        <v>6</v>
      </c>
      <c r="J1395" s="4">
        <v>6</v>
      </c>
      <c r="K1395" s="102">
        <v>7</v>
      </c>
      <c r="M1395" s="101">
        <f t="shared" si="353"/>
        <v>12</v>
      </c>
      <c r="N1395" s="4">
        <f t="shared" si="354"/>
        <v>29</v>
      </c>
      <c r="O1395" s="4">
        <f t="shared" si="355"/>
        <v>30</v>
      </c>
      <c r="P1395" s="4">
        <f t="shared" si="356"/>
        <v>34</v>
      </c>
      <c r="Q1395" s="4">
        <f t="shared" si="357"/>
        <v>45</v>
      </c>
      <c r="R1395" s="4">
        <f t="shared" si="358"/>
        <v>45</v>
      </c>
      <c r="S1395" s="102">
        <f t="shared" si="359"/>
        <v>29</v>
      </c>
      <c r="U1395" s="101">
        <f t="shared" si="360"/>
        <v>9</v>
      </c>
      <c r="V1395" s="4">
        <f t="shared" si="361"/>
        <v>41</v>
      </c>
      <c r="W1395" s="4">
        <f t="shared" si="362"/>
        <v>39</v>
      </c>
      <c r="X1395" s="4">
        <f t="shared" si="363"/>
        <v>46</v>
      </c>
      <c r="Y1395" s="4">
        <f t="shared" si="364"/>
        <v>71</v>
      </c>
      <c r="Z1395" s="4">
        <f t="shared" si="365"/>
        <v>71</v>
      </c>
      <c r="AA1395" s="102">
        <f t="shared" si="366"/>
        <v>41</v>
      </c>
      <c r="AC1395" s="100">
        <f t="shared" si="367"/>
        <v>0.99554394118557754</v>
      </c>
    </row>
    <row r="1396" spans="4:29" x14ac:dyDescent="0.35">
      <c r="D1396">
        <f t="shared" si="368"/>
        <v>1392</v>
      </c>
      <c r="E1396" s="101">
        <v>7</v>
      </c>
      <c r="F1396" s="4">
        <v>1</v>
      </c>
      <c r="G1396" s="4">
        <v>2</v>
      </c>
      <c r="H1396" s="4">
        <v>3</v>
      </c>
      <c r="I1396" s="4">
        <v>1</v>
      </c>
      <c r="J1396" s="4">
        <v>3</v>
      </c>
      <c r="K1396" s="102">
        <v>7</v>
      </c>
      <c r="M1396" s="101">
        <f t="shared" si="353"/>
        <v>29</v>
      </c>
      <c r="N1396" s="4">
        <f t="shared" si="354"/>
        <v>34</v>
      </c>
      <c r="O1396" s="4">
        <f t="shared" si="355"/>
        <v>56</v>
      </c>
      <c r="P1396" s="4">
        <f t="shared" si="356"/>
        <v>23</v>
      </c>
      <c r="Q1396" s="4">
        <f t="shared" si="357"/>
        <v>34</v>
      </c>
      <c r="R1396" s="4">
        <f t="shared" si="358"/>
        <v>23</v>
      </c>
      <c r="S1396" s="102">
        <f t="shared" si="359"/>
        <v>29</v>
      </c>
      <c r="U1396" s="101">
        <f t="shared" si="360"/>
        <v>41</v>
      </c>
      <c r="V1396" s="4">
        <f t="shared" si="361"/>
        <v>46</v>
      </c>
      <c r="W1396" s="4">
        <f t="shared" si="362"/>
        <v>78</v>
      </c>
      <c r="X1396" s="4">
        <f t="shared" si="363"/>
        <v>39</v>
      </c>
      <c r="Y1396" s="4">
        <f t="shared" si="364"/>
        <v>46</v>
      </c>
      <c r="Z1396" s="4">
        <f t="shared" si="365"/>
        <v>39</v>
      </c>
      <c r="AA1396" s="102">
        <f t="shared" si="366"/>
        <v>41</v>
      </c>
      <c r="AC1396" s="100">
        <f t="shared" si="367"/>
        <v>0.97691946423077547</v>
      </c>
    </row>
    <row r="1397" spans="4:29" x14ac:dyDescent="0.35">
      <c r="D1397">
        <f t="shared" si="368"/>
        <v>1393</v>
      </c>
      <c r="E1397" s="101">
        <v>2</v>
      </c>
      <c r="F1397" s="4">
        <v>4</v>
      </c>
      <c r="G1397" s="4">
        <v>5</v>
      </c>
      <c r="H1397" s="4">
        <v>3</v>
      </c>
      <c r="I1397" s="4">
        <v>6</v>
      </c>
      <c r="J1397" s="4">
        <v>7</v>
      </c>
      <c r="K1397" s="102">
        <v>1</v>
      </c>
      <c r="M1397" s="101">
        <f t="shared" si="353"/>
        <v>56</v>
      </c>
      <c r="N1397" s="4">
        <f t="shared" si="354"/>
        <v>12</v>
      </c>
      <c r="O1397" s="4">
        <f t="shared" si="355"/>
        <v>30</v>
      </c>
      <c r="P1397" s="4">
        <f t="shared" si="356"/>
        <v>23</v>
      </c>
      <c r="Q1397" s="4">
        <f t="shared" si="357"/>
        <v>45</v>
      </c>
      <c r="R1397" s="4">
        <f t="shared" si="358"/>
        <v>29</v>
      </c>
      <c r="S1397" s="102">
        <f t="shared" si="359"/>
        <v>34</v>
      </c>
      <c r="U1397" s="101">
        <f t="shared" si="360"/>
        <v>78</v>
      </c>
      <c r="V1397" s="4">
        <f t="shared" si="361"/>
        <v>9</v>
      </c>
      <c r="W1397" s="4">
        <f t="shared" si="362"/>
        <v>39</v>
      </c>
      <c r="X1397" s="4">
        <f t="shared" si="363"/>
        <v>39</v>
      </c>
      <c r="Y1397" s="4">
        <f t="shared" si="364"/>
        <v>71</v>
      </c>
      <c r="Z1397" s="4">
        <f t="shared" si="365"/>
        <v>41</v>
      </c>
      <c r="AA1397" s="102">
        <f t="shared" si="366"/>
        <v>46</v>
      </c>
      <c r="AC1397" s="100">
        <f t="shared" si="367"/>
        <v>0.97529211313754416</v>
      </c>
    </row>
    <row r="1398" spans="4:29" x14ac:dyDescent="0.35">
      <c r="D1398">
        <f t="shared" si="368"/>
        <v>1394</v>
      </c>
      <c r="E1398" s="101">
        <v>6</v>
      </c>
      <c r="F1398" s="4">
        <v>7</v>
      </c>
      <c r="G1398" s="4">
        <v>6</v>
      </c>
      <c r="H1398" s="4">
        <v>4</v>
      </c>
      <c r="I1398" s="4">
        <v>5</v>
      </c>
      <c r="J1398" s="4">
        <v>4</v>
      </c>
      <c r="K1398" s="102">
        <v>6</v>
      </c>
      <c r="M1398" s="101">
        <f t="shared" si="353"/>
        <v>45</v>
      </c>
      <c r="N1398" s="4">
        <f t="shared" si="354"/>
        <v>29</v>
      </c>
      <c r="O1398" s="4">
        <f t="shared" si="355"/>
        <v>45</v>
      </c>
      <c r="P1398" s="4">
        <f t="shared" si="356"/>
        <v>12</v>
      </c>
      <c r="Q1398" s="4">
        <f t="shared" si="357"/>
        <v>30</v>
      </c>
      <c r="R1398" s="4">
        <f t="shared" si="358"/>
        <v>12</v>
      </c>
      <c r="S1398" s="102">
        <f t="shared" si="359"/>
        <v>45</v>
      </c>
      <c r="U1398" s="101">
        <f t="shared" si="360"/>
        <v>71</v>
      </c>
      <c r="V1398" s="4">
        <f t="shared" si="361"/>
        <v>41</v>
      </c>
      <c r="W1398" s="4">
        <f t="shared" si="362"/>
        <v>71</v>
      </c>
      <c r="X1398" s="4">
        <f t="shared" si="363"/>
        <v>9</v>
      </c>
      <c r="Y1398" s="4">
        <f t="shared" si="364"/>
        <v>39</v>
      </c>
      <c r="Z1398" s="4">
        <f t="shared" si="365"/>
        <v>9</v>
      </c>
      <c r="AA1398" s="102">
        <f t="shared" si="366"/>
        <v>71</v>
      </c>
      <c r="AC1398" s="100">
        <f t="shared" si="367"/>
        <v>0.99865516988024317</v>
      </c>
    </row>
    <row r="1399" spans="4:29" x14ac:dyDescent="0.35">
      <c r="D1399">
        <f t="shared" si="368"/>
        <v>1395</v>
      </c>
      <c r="E1399" s="101">
        <v>2</v>
      </c>
      <c r="F1399" s="4">
        <v>7</v>
      </c>
      <c r="G1399" s="4">
        <v>3</v>
      </c>
      <c r="H1399" s="4">
        <v>2</v>
      </c>
      <c r="I1399" s="4">
        <v>2</v>
      </c>
      <c r="J1399" s="4">
        <v>7</v>
      </c>
      <c r="K1399" s="102">
        <v>5</v>
      </c>
      <c r="M1399" s="101">
        <f t="shared" si="353"/>
        <v>56</v>
      </c>
      <c r="N1399" s="4">
        <f t="shared" si="354"/>
        <v>29</v>
      </c>
      <c r="O1399" s="4">
        <f t="shared" si="355"/>
        <v>23</v>
      </c>
      <c r="P1399" s="4">
        <f t="shared" si="356"/>
        <v>56</v>
      </c>
      <c r="Q1399" s="4">
        <f t="shared" si="357"/>
        <v>56</v>
      </c>
      <c r="R1399" s="4">
        <f t="shared" si="358"/>
        <v>29</v>
      </c>
      <c r="S1399" s="102">
        <f t="shared" si="359"/>
        <v>30</v>
      </c>
      <c r="U1399" s="101">
        <f t="shared" si="360"/>
        <v>78</v>
      </c>
      <c r="V1399" s="4">
        <f t="shared" si="361"/>
        <v>41</v>
      </c>
      <c r="W1399" s="4">
        <f t="shared" si="362"/>
        <v>39</v>
      </c>
      <c r="X1399" s="4">
        <f t="shared" si="363"/>
        <v>78</v>
      </c>
      <c r="Y1399" s="4">
        <f t="shared" si="364"/>
        <v>78</v>
      </c>
      <c r="Z1399" s="4">
        <f t="shared" si="365"/>
        <v>41</v>
      </c>
      <c r="AA1399" s="102">
        <f t="shared" si="366"/>
        <v>39</v>
      </c>
      <c r="AC1399" s="100">
        <f t="shared" si="367"/>
        <v>0.99083453767429663</v>
      </c>
    </row>
    <row r="1400" spans="4:29" x14ac:dyDescent="0.35">
      <c r="D1400">
        <f t="shared" si="368"/>
        <v>1396</v>
      </c>
      <c r="E1400" s="101">
        <v>3</v>
      </c>
      <c r="F1400" s="4">
        <v>1</v>
      </c>
      <c r="G1400" s="4">
        <v>6</v>
      </c>
      <c r="H1400" s="4">
        <v>7</v>
      </c>
      <c r="I1400" s="4">
        <v>5</v>
      </c>
      <c r="J1400" s="4">
        <v>3</v>
      </c>
      <c r="K1400" s="102">
        <v>5</v>
      </c>
      <c r="M1400" s="101">
        <f t="shared" si="353"/>
        <v>23</v>
      </c>
      <c r="N1400" s="4">
        <f t="shared" si="354"/>
        <v>34</v>
      </c>
      <c r="O1400" s="4">
        <f t="shared" si="355"/>
        <v>45</v>
      </c>
      <c r="P1400" s="4">
        <f t="shared" si="356"/>
        <v>29</v>
      </c>
      <c r="Q1400" s="4">
        <f t="shared" si="357"/>
        <v>30</v>
      </c>
      <c r="R1400" s="4">
        <f t="shared" si="358"/>
        <v>23</v>
      </c>
      <c r="S1400" s="102">
        <f t="shared" si="359"/>
        <v>30</v>
      </c>
      <c r="U1400" s="101">
        <f t="shared" si="360"/>
        <v>39</v>
      </c>
      <c r="V1400" s="4">
        <f t="shared" si="361"/>
        <v>46</v>
      </c>
      <c r="W1400" s="4">
        <f t="shared" si="362"/>
        <v>71</v>
      </c>
      <c r="X1400" s="4">
        <f t="shared" si="363"/>
        <v>41</v>
      </c>
      <c r="Y1400" s="4">
        <f t="shared" si="364"/>
        <v>39</v>
      </c>
      <c r="Z1400" s="4">
        <f t="shared" si="365"/>
        <v>39</v>
      </c>
      <c r="AA1400" s="102">
        <f t="shared" si="366"/>
        <v>39</v>
      </c>
      <c r="AC1400" s="100">
        <f t="shared" si="367"/>
        <v>0.90773948205119281</v>
      </c>
    </row>
    <row r="1401" spans="4:29" x14ac:dyDescent="0.35">
      <c r="D1401">
        <f t="shared" si="368"/>
        <v>1397</v>
      </c>
      <c r="E1401" s="101">
        <v>6</v>
      </c>
      <c r="F1401" s="4">
        <v>7</v>
      </c>
      <c r="G1401" s="4">
        <v>3</v>
      </c>
      <c r="H1401" s="4">
        <v>1</v>
      </c>
      <c r="I1401" s="4">
        <v>2</v>
      </c>
      <c r="J1401" s="4">
        <v>1</v>
      </c>
      <c r="K1401" s="102">
        <v>4</v>
      </c>
      <c r="M1401" s="101">
        <f t="shared" si="353"/>
        <v>45</v>
      </c>
      <c r="N1401" s="4">
        <f t="shared" si="354"/>
        <v>29</v>
      </c>
      <c r="O1401" s="4">
        <f t="shared" si="355"/>
        <v>23</v>
      </c>
      <c r="P1401" s="4">
        <f t="shared" si="356"/>
        <v>34</v>
      </c>
      <c r="Q1401" s="4">
        <f t="shared" si="357"/>
        <v>56</v>
      </c>
      <c r="R1401" s="4">
        <f t="shared" si="358"/>
        <v>34</v>
      </c>
      <c r="S1401" s="102">
        <f t="shared" si="359"/>
        <v>12</v>
      </c>
      <c r="U1401" s="101">
        <f t="shared" si="360"/>
        <v>71</v>
      </c>
      <c r="V1401" s="4">
        <f t="shared" si="361"/>
        <v>41</v>
      </c>
      <c r="W1401" s="4">
        <f t="shared" si="362"/>
        <v>39</v>
      </c>
      <c r="X1401" s="4">
        <f t="shared" si="363"/>
        <v>46</v>
      </c>
      <c r="Y1401" s="4">
        <f t="shared" si="364"/>
        <v>78</v>
      </c>
      <c r="Z1401" s="4">
        <f t="shared" si="365"/>
        <v>46</v>
      </c>
      <c r="AA1401" s="102">
        <f t="shared" si="366"/>
        <v>9</v>
      </c>
      <c r="AC1401" s="100">
        <f t="shared" si="367"/>
        <v>0.97551853574507985</v>
      </c>
    </row>
    <row r="1402" spans="4:29" x14ac:dyDescent="0.35">
      <c r="D1402">
        <f t="shared" si="368"/>
        <v>1398</v>
      </c>
      <c r="E1402" s="101">
        <v>1</v>
      </c>
      <c r="F1402" s="4">
        <v>5</v>
      </c>
      <c r="G1402" s="4">
        <v>5</v>
      </c>
      <c r="H1402" s="4">
        <v>3</v>
      </c>
      <c r="I1402" s="4">
        <v>3</v>
      </c>
      <c r="J1402" s="4">
        <v>2</v>
      </c>
      <c r="K1402" s="102">
        <v>7</v>
      </c>
      <c r="M1402" s="101">
        <f t="shared" si="353"/>
        <v>34</v>
      </c>
      <c r="N1402" s="4">
        <f t="shared" si="354"/>
        <v>30</v>
      </c>
      <c r="O1402" s="4">
        <f t="shared" si="355"/>
        <v>30</v>
      </c>
      <c r="P1402" s="4">
        <f t="shared" si="356"/>
        <v>23</v>
      </c>
      <c r="Q1402" s="4">
        <f t="shared" si="357"/>
        <v>23</v>
      </c>
      <c r="R1402" s="4">
        <f t="shared" si="358"/>
        <v>56</v>
      </c>
      <c r="S1402" s="102">
        <f t="shared" si="359"/>
        <v>29</v>
      </c>
      <c r="U1402" s="101">
        <f t="shared" si="360"/>
        <v>46</v>
      </c>
      <c r="V1402" s="4">
        <f t="shared" si="361"/>
        <v>39</v>
      </c>
      <c r="W1402" s="4">
        <f t="shared" si="362"/>
        <v>39</v>
      </c>
      <c r="X1402" s="4">
        <f t="shared" si="363"/>
        <v>39</v>
      </c>
      <c r="Y1402" s="4">
        <f t="shared" si="364"/>
        <v>39</v>
      </c>
      <c r="Z1402" s="4">
        <f t="shared" si="365"/>
        <v>78</v>
      </c>
      <c r="AA1402" s="102">
        <f t="shared" si="366"/>
        <v>41</v>
      </c>
      <c r="AC1402" s="100">
        <f t="shared" si="367"/>
        <v>0.96419756060786421</v>
      </c>
    </row>
    <row r="1403" spans="4:29" x14ac:dyDescent="0.35">
      <c r="D1403">
        <f t="shared" si="368"/>
        <v>1399</v>
      </c>
      <c r="E1403" s="101">
        <v>4</v>
      </c>
      <c r="F1403" s="4">
        <v>4</v>
      </c>
      <c r="G1403" s="4">
        <v>3</v>
      </c>
      <c r="H1403" s="4">
        <v>7</v>
      </c>
      <c r="I1403" s="4">
        <v>6</v>
      </c>
      <c r="J1403" s="4">
        <v>4</v>
      </c>
      <c r="K1403" s="102">
        <v>6</v>
      </c>
      <c r="M1403" s="101">
        <f t="shared" si="353"/>
        <v>12</v>
      </c>
      <c r="N1403" s="4">
        <f t="shared" si="354"/>
        <v>12</v>
      </c>
      <c r="O1403" s="4">
        <f t="shared" si="355"/>
        <v>23</v>
      </c>
      <c r="P1403" s="4">
        <f t="shared" si="356"/>
        <v>29</v>
      </c>
      <c r="Q1403" s="4">
        <f t="shared" si="357"/>
        <v>45</v>
      </c>
      <c r="R1403" s="4">
        <f t="shared" si="358"/>
        <v>12</v>
      </c>
      <c r="S1403" s="102">
        <f t="shared" si="359"/>
        <v>45</v>
      </c>
      <c r="U1403" s="101">
        <f t="shared" si="360"/>
        <v>9</v>
      </c>
      <c r="V1403" s="4">
        <f t="shared" si="361"/>
        <v>9</v>
      </c>
      <c r="W1403" s="4">
        <f t="shared" si="362"/>
        <v>39</v>
      </c>
      <c r="X1403" s="4">
        <f t="shared" si="363"/>
        <v>41</v>
      </c>
      <c r="Y1403" s="4">
        <f t="shared" si="364"/>
        <v>71</v>
      </c>
      <c r="Z1403" s="4">
        <f t="shared" si="365"/>
        <v>9</v>
      </c>
      <c r="AA1403" s="102">
        <f t="shared" si="366"/>
        <v>71</v>
      </c>
      <c r="AC1403" s="100">
        <f t="shared" si="367"/>
        <v>0.99203114452458241</v>
      </c>
    </row>
    <row r="1404" spans="4:29" x14ac:dyDescent="0.35">
      <c r="D1404">
        <f t="shared" si="368"/>
        <v>1400</v>
      </c>
      <c r="E1404" s="101">
        <v>5</v>
      </c>
      <c r="F1404" s="4">
        <v>3</v>
      </c>
      <c r="G1404" s="4">
        <v>7</v>
      </c>
      <c r="H1404" s="4">
        <v>6</v>
      </c>
      <c r="I1404" s="4">
        <v>7</v>
      </c>
      <c r="J1404" s="4">
        <v>1</v>
      </c>
      <c r="K1404" s="102">
        <v>6</v>
      </c>
      <c r="M1404" s="101">
        <f t="shared" si="353"/>
        <v>30</v>
      </c>
      <c r="N1404" s="4">
        <f t="shared" si="354"/>
        <v>23</v>
      </c>
      <c r="O1404" s="4">
        <f t="shared" si="355"/>
        <v>29</v>
      </c>
      <c r="P1404" s="4">
        <f t="shared" si="356"/>
        <v>45</v>
      </c>
      <c r="Q1404" s="4">
        <f t="shared" si="357"/>
        <v>29</v>
      </c>
      <c r="R1404" s="4">
        <f t="shared" si="358"/>
        <v>34</v>
      </c>
      <c r="S1404" s="102">
        <f t="shared" si="359"/>
        <v>45</v>
      </c>
      <c r="U1404" s="101">
        <f t="shared" si="360"/>
        <v>39</v>
      </c>
      <c r="V1404" s="4">
        <f t="shared" si="361"/>
        <v>39</v>
      </c>
      <c r="W1404" s="4">
        <f t="shared" si="362"/>
        <v>41</v>
      </c>
      <c r="X1404" s="4">
        <f t="shared" si="363"/>
        <v>71</v>
      </c>
      <c r="Y1404" s="4">
        <f t="shared" si="364"/>
        <v>41</v>
      </c>
      <c r="Z1404" s="4">
        <f t="shared" si="365"/>
        <v>46</v>
      </c>
      <c r="AA1404" s="102">
        <f t="shared" si="366"/>
        <v>71</v>
      </c>
      <c r="AC1404" s="100">
        <f t="shared" si="367"/>
        <v>0.9598704415434699</v>
      </c>
    </row>
    <row r="1405" spans="4:29" x14ac:dyDescent="0.35">
      <c r="D1405">
        <f t="shared" si="368"/>
        <v>1401</v>
      </c>
      <c r="E1405" s="101">
        <v>3</v>
      </c>
      <c r="F1405" s="4">
        <v>4</v>
      </c>
      <c r="G1405" s="4">
        <v>4</v>
      </c>
      <c r="H1405" s="4">
        <v>5</v>
      </c>
      <c r="I1405" s="4">
        <v>6</v>
      </c>
      <c r="J1405" s="4">
        <v>6</v>
      </c>
      <c r="K1405" s="102">
        <v>6</v>
      </c>
      <c r="M1405" s="101">
        <f t="shared" si="353"/>
        <v>23</v>
      </c>
      <c r="N1405" s="4">
        <f t="shared" si="354"/>
        <v>12</v>
      </c>
      <c r="O1405" s="4">
        <f t="shared" si="355"/>
        <v>12</v>
      </c>
      <c r="P1405" s="4">
        <f t="shared" si="356"/>
        <v>30</v>
      </c>
      <c r="Q1405" s="4">
        <f t="shared" si="357"/>
        <v>45</v>
      </c>
      <c r="R1405" s="4">
        <f t="shared" si="358"/>
        <v>45</v>
      </c>
      <c r="S1405" s="102">
        <f t="shared" si="359"/>
        <v>45</v>
      </c>
      <c r="U1405" s="101">
        <f t="shared" si="360"/>
        <v>39</v>
      </c>
      <c r="V1405" s="4">
        <f t="shared" si="361"/>
        <v>9</v>
      </c>
      <c r="W1405" s="4">
        <f t="shared" si="362"/>
        <v>9</v>
      </c>
      <c r="X1405" s="4">
        <f t="shared" si="363"/>
        <v>39</v>
      </c>
      <c r="Y1405" s="4">
        <f t="shared" si="364"/>
        <v>71</v>
      </c>
      <c r="Z1405" s="4">
        <f t="shared" si="365"/>
        <v>71</v>
      </c>
      <c r="AA1405" s="102">
        <f t="shared" si="366"/>
        <v>71</v>
      </c>
      <c r="AC1405" s="100">
        <f t="shared" si="367"/>
        <v>0.98991254518288652</v>
      </c>
    </row>
    <row r="1406" spans="4:29" x14ac:dyDescent="0.35">
      <c r="D1406">
        <f t="shared" si="368"/>
        <v>1402</v>
      </c>
      <c r="E1406" s="101">
        <v>7</v>
      </c>
      <c r="F1406" s="4">
        <v>2</v>
      </c>
      <c r="G1406" s="4">
        <v>7</v>
      </c>
      <c r="H1406" s="4">
        <v>1</v>
      </c>
      <c r="I1406" s="4">
        <v>1</v>
      </c>
      <c r="J1406" s="4">
        <v>2</v>
      </c>
      <c r="K1406" s="102">
        <v>6</v>
      </c>
      <c r="M1406" s="101">
        <f t="shared" si="353"/>
        <v>29</v>
      </c>
      <c r="N1406" s="4">
        <f t="shared" si="354"/>
        <v>56</v>
      </c>
      <c r="O1406" s="4">
        <f t="shared" si="355"/>
        <v>29</v>
      </c>
      <c r="P1406" s="4">
        <f t="shared" si="356"/>
        <v>34</v>
      </c>
      <c r="Q1406" s="4">
        <f t="shared" si="357"/>
        <v>34</v>
      </c>
      <c r="R1406" s="4">
        <f t="shared" si="358"/>
        <v>56</v>
      </c>
      <c r="S1406" s="102">
        <f t="shared" si="359"/>
        <v>45</v>
      </c>
      <c r="U1406" s="101">
        <f t="shared" si="360"/>
        <v>41</v>
      </c>
      <c r="V1406" s="4">
        <f t="shared" si="361"/>
        <v>78</v>
      </c>
      <c r="W1406" s="4">
        <f t="shared" si="362"/>
        <v>41</v>
      </c>
      <c r="X1406" s="4">
        <f t="shared" si="363"/>
        <v>46</v>
      </c>
      <c r="Y1406" s="4">
        <f t="shared" si="364"/>
        <v>46</v>
      </c>
      <c r="Z1406" s="4">
        <f t="shared" si="365"/>
        <v>78</v>
      </c>
      <c r="AA1406" s="102">
        <f t="shared" si="366"/>
        <v>71</v>
      </c>
      <c r="AC1406" s="100">
        <f t="shared" si="367"/>
        <v>0.98209902487500311</v>
      </c>
    </row>
    <row r="1407" spans="4:29" x14ac:dyDescent="0.35">
      <c r="D1407">
        <f t="shared" si="368"/>
        <v>1403</v>
      </c>
      <c r="E1407" s="101">
        <v>3</v>
      </c>
      <c r="F1407" s="4">
        <v>4</v>
      </c>
      <c r="G1407" s="4">
        <v>4</v>
      </c>
      <c r="H1407" s="4">
        <v>5</v>
      </c>
      <c r="I1407" s="4">
        <v>2</v>
      </c>
      <c r="J1407" s="4">
        <v>3</v>
      </c>
      <c r="K1407" s="102">
        <v>4</v>
      </c>
      <c r="M1407" s="101">
        <f t="shared" si="353"/>
        <v>23</v>
      </c>
      <c r="N1407" s="4">
        <f t="shared" si="354"/>
        <v>12</v>
      </c>
      <c r="O1407" s="4">
        <f t="shared" si="355"/>
        <v>12</v>
      </c>
      <c r="P1407" s="4">
        <f t="shared" si="356"/>
        <v>30</v>
      </c>
      <c r="Q1407" s="4">
        <f t="shared" si="357"/>
        <v>56</v>
      </c>
      <c r="R1407" s="4">
        <f t="shared" si="358"/>
        <v>23</v>
      </c>
      <c r="S1407" s="102">
        <f t="shared" si="359"/>
        <v>12</v>
      </c>
      <c r="U1407" s="101">
        <f t="shared" si="360"/>
        <v>39</v>
      </c>
      <c r="V1407" s="4">
        <f t="shared" si="361"/>
        <v>9</v>
      </c>
      <c r="W1407" s="4">
        <f t="shared" si="362"/>
        <v>9</v>
      </c>
      <c r="X1407" s="4">
        <f t="shared" si="363"/>
        <v>39</v>
      </c>
      <c r="Y1407" s="4">
        <f t="shared" si="364"/>
        <v>78</v>
      </c>
      <c r="Z1407" s="4">
        <f t="shared" si="365"/>
        <v>39</v>
      </c>
      <c r="AA1407" s="102">
        <f t="shared" si="366"/>
        <v>9</v>
      </c>
      <c r="AC1407" s="100">
        <f t="shared" si="367"/>
        <v>0.97075479526936803</v>
      </c>
    </row>
    <row r="1408" spans="4:29" x14ac:dyDescent="0.35">
      <c r="D1408">
        <f t="shared" si="368"/>
        <v>1404</v>
      </c>
      <c r="E1408" s="101">
        <v>1</v>
      </c>
      <c r="F1408" s="4">
        <v>2</v>
      </c>
      <c r="G1408" s="4">
        <v>4</v>
      </c>
      <c r="H1408" s="4">
        <v>4</v>
      </c>
      <c r="I1408" s="4">
        <v>5</v>
      </c>
      <c r="J1408" s="4">
        <v>7</v>
      </c>
      <c r="K1408" s="102">
        <v>4</v>
      </c>
      <c r="M1408" s="101">
        <f t="shared" si="353"/>
        <v>34</v>
      </c>
      <c r="N1408" s="4">
        <f t="shared" si="354"/>
        <v>56</v>
      </c>
      <c r="O1408" s="4">
        <f t="shared" si="355"/>
        <v>12</v>
      </c>
      <c r="P1408" s="4">
        <f t="shared" si="356"/>
        <v>12</v>
      </c>
      <c r="Q1408" s="4">
        <f t="shared" si="357"/>
        <v>30</v>
      </c>
      <c r="R1408" s="4">
        <f t="shared" si="358"/>
        <v>29</v>
      </c>
      <c r="S1408" s="102">
        <f t="shared" si="359"/>
        <v>12</v>
      </c>
      <c r="U1408" s="101">
        <f t="shared" si="360"/>
        <v>46</v>
      </c>
      <c r="V1408" s="4">
        <f t="shared" si="361"/>
        <v>78</v>
      </c>
      <c r="W1408" s="4">
        <f t="shared" si="362"/>
        <v>9</v>
      </c>
      <c r="X1408" s="4">
        <f t="shared" si="363"/>
        <v>9</v>
      </c>
      <c r="Y1408" s="4">
        <f t="shared" si="364"/>
        <v>39</v>
      </c>
      <c r="Z1408" s="4">
        <f t="shared" si="365"/>
        <v>41</v>
      </c>
      <c r="AA1408" s="102">
        <f t="shared" si="366"/>
        <v>9</v>
      </c>
      <c r="AC1408" s="100">
        <f t="shared" si="367"/>
        <v>0.99704314549410156</v>
      </c>
    </row>
    <row r="1409" spans="4:29" x14ac:dyDescent="0.35">
      <c r="D1409">
        <f t="shared" si="368"/>
        <v>1405</v>
      </c>
      <c r="E1409" s="101">
        <v>6</v>
      </c>
      <c r="F1409" s="4">
        <v>2</v>
      </c>
      <c r="G1409" s="4">
        <v>7</v>
      </c>
      <c r="H1409" s="4">
        <v>7</v>
      </c>
      <c r="I1409" s="4">
        <v>6</v>
      </c>
      <c r="J1409" s="4">
        <v>7</v>
      </c>
      <c r="K1409" s="102">
        <v>7</v>
      </c>
      <c r="M1409" s="101">
        <f t="shared" si="353"/>
        <v>45</v>
      </c>
      <c r="N1409" s="4">
        <f t="shared" si="354"/>
        <v>56</v>
      </c>
      <c r="O1409" s="4">
        <f t="shared" si="355"/>
        <v>29</v>
      </c>
      <c r="P1409" s="4">
        <f t="shared" si="356"/>
        <v>29</v>
      </c>
      <c r="Q1409" s="4">
        <f t="shared" si="357"/>
        <v>45</v>
      </c>
      <c r="R1409" s="4">
        <f t="shared" si="358"/>
        <v>29</v>
      </c>
      <c r="S1409" s="102">
        <f t="shared" si="359"/>
        <v>29</v>
      </c>
      <c r="U1409" s="101">
        <f t="shared" si="360"/>
        <v>71</v>
      </c>
      <c r="V1409" s="4">
        <f t="shared" si="361"/>
        <v>78</v>
      </c>
      <c r="W1409" s="4">
        <f t="shared" si="362"/>
        <v>41</v>
      </c>
      <c r="X1409" s="4">
        <f t="shared" si="363"/>
        <v>41</v>
      </c>
      <c r="Y1409" s="4">
        <f t="shared" si="364"/>
        <v>71</v>
      </c>
      <c r="Z1409" s="4">
        <f t="shared" si="365"/>
        <v>41</v>
      </c>
      <c r="AA1409" s="102">
        <f t="shared" si="366"/>
        <v>41</v>
      </c>
      <c r="AC1409" s="100">
        <f t="shared" si="367"/>
        <v>0.97978602687785898</v>
      </c>
    </row>
    <row r="1410" spans="4:29" x14ac:dyDescent="0.35">
      <c r="D1410">
        <f t="shared" si="368"/>
        <v>1406</v>
      </c>
      <c r="E1410" s="101">
        <v>1</v>
      </c>
      <c r="F1410" s="4">
        <v>6</v>
      </c>
      <c r="G1410" s="4">
        <v>5</v>
      </c>
      <c r="H1410" s="4">
        <v>2</v>
      </c>
      <c r="I1410" s="4">
        <v>6</v>
      </c>
      <c r="J1410" s="4">
        <v>6</v>
      </c>
      <c r="K1410" s="102">
        <v>1</v>
      </c>
      <c r="M1410" s="101">
        <f t="shared" si="353"/>
        <v>34</v>
      </c>
      <c r="N1410" s="4">
        <f t="shared" si="354"/>
        <v>45</v>
      </c>
      <c r="O1410" s="4">
        <f t="shared" si="355"/>
        <v>30</v>
      </c>
      <c r="P1410" s="4">
        <f t="shared" si="356"/>
        <v>56</v>
      </c>
      <c r="Q1410" s="4">
        <f t="shared" si="357"/>
        <v>45</v>
      </c>
      <c r="R1410" s="4">
        <f t="shared" si="358"/>
        <v>45</v>
      </c>
      <c r="S1410" s="102">
        <f t="shared" si="359"/>
        <v>34</v>
      </c>
      <c r="U1410" s="101">
        <f t="shared" si="360"/>
        <v>46</v>
      </c>
      <c r="V1410" s="4">
        <f t="shared" si="361"/>
        <v>71</v>
      </c>
      <c r="W1410" s="4">
        <f t="shared" si="362"/>
        <v>39</v>
      </c>
      <c r="X1410" s="4">
        <f t="shared" si="363"/>
        <v>78</v>
      </c>
      <c r="Y1410" s="4">
        <f t="shared" si="364"/>
        <v>71</v>
      </c>
      <c r="Z1410" s="4">
        <f t="shared" si="365"/>
        <v>71</v>
      </c>
      <c r="AA1410" s="102">
        <f t="shared" si="366"/>
        <v>46</v>
      </c>
      <c r="AC1410" s="100">
        <f t="shared" si="367"/>
        <v>0.95870440563012083</v>
      </c>
    </row>
    <row r="1411" spans="4:29" x14ac:dyDescent="0.35">
      <c r="D1411">
        <f t="shared" si="368"/>
        <v>1407</v>
      </c>
      <c r="E1411" s="101">
        <v>6</v>
      </c>
      <c r="F1411" s="4">
        <v>1</v>
      </c>
      <c r="G1411" s="4">
        <v>2</v>
      </c>
      <c r="H1411" s="4">
        <v>2</v>
      </c>
      <c r="I1411" s="4">
        <v>1</v>
      </c>
      <c r="J1411" s="4">
        <v>3</v>
      </c>
      <c r="K1411" s="102">
        <v>2</v>
      </c>
      <c r="M1411" s="101">
        <f t="shared" si="353"/>
        <v>45</v>
      </c>
      <c r="N1411" s="4">
        <f t="shared" si="354"/>
        <v>34</v>
      </c>
      <c r="O1411" s="4">
        <f t="shared" si="355"/>
        <v>56</v>
      </c>
      <c r="P1411" s="4">
        <f t="shared" si="356"/>
        <v>56</v>
      </c>
      <c r="Q1411" s="4">
        <f t="shared" si="357"/>
        <v>34</v>
      </c>
      <c r="R1411" s="4">
        <f t="shared" si="358"/>
        <v>23</v>
      </c>
      <c r="S1411" s="102">
        <f t="shared" si="359"/>
        <v>56</v>
      </c>
      <c r="U1411" s="101">
        <f t="shared" si="360"/>
        <v>71</v>
      </c>
      <c r="V1411" s="4">
        <f t="shared" si="361"/>
        <v>46</v>
      </c>
      <c r="W1411" s="4">
        <f t="shared" si="362"/>
        <v>78</v>
      </c>
      <c r="X1411" s="4">
        <f t="shared" si="363"/>
        <v>78</v>
      </c>
      <c r="Y1411" s="4">
        <f t="shared" si="364"/>
        <v>46</v>
      </c>
      <c r="Z1411" s="4">
        <f t="shared" si="365"/>
        <v>39</v>
      </c>
      <c r="AA1411" s="102">
        <f t="shared" si="366"/>
        <v>78</v>
      </c>
      <c r="AC1411" s="100">
        <f t="shared" si="367"/>
        <v>0.9762075475457207</v>
      </c>
    </row>
    <row r="1412" spans="4:29" x14ac:dyDescent="0.35">
      <c r="D1412">
        <f t="shared" si="368"/>
        <v>1408</v>
      </c>
      <c r="E1412" s="101">
        <v>2</v>
      </c>
      <c r="F1412" s="4">
        <v>3</v>
      </c>
      <c r="G1412" s="4">
        <v>1</v>
      </c>
      <c r="H1412" s="4">
        <v>5</v>
      </c>
      <c r="I1412" s="4">
        <v>7</v>
      </c>
      <c r="J1412" s="4">
        <v>5</v>
      </c>
      <c r="K1412" s="102">
        <v>7</v>
      </c>
      <c r="M1412" s="101">
        <f t="shared" si="353"/>
        <v>56</v>
      </c>
      <c r="N1412" s="4">
        <f t="shared" si="354"/>
        <v>23</v>
      </c>
      <c r="O1412" s="4">
        <f t="shared" si="355"/>
        <v>34</v>
      </c>
      <c r="P1412" s="4">
        <f t="shared" si="356"/>
        <v>30</v>
      </c>
      <c r="Q1412" s="4">
        <f t="shared" si="357"/>
        <v>29</v>
      </c>
      <c r="R1412" s="4">
        <f t="shared" si="358"/>
        <v>30</v>
      </c>
      <c r="S1412" s="102">
        <f t="shared" si="359"/>
        <v>29</v>
      </c>
      <c r="U1412" s="101">
        <f t="shared" si="360"/>
        <v>78</v>
      </c>
      <c r="V1412" s="4">
        <f t="shared" si="361"/>
        <v>39</v>
      </c>
      <c r="W1412" s="4">
        <f t="shared" si="362"/>
        <v>46</v>
      </c>
      <c r="X1412" s="4">
        <f t="shared" si="363"/>
        <v>39</v>
      </c>
      <c r="Y1412" s="4">
        <f t="shared" si="364"/>
        <v>41</v>
      </c>
      <c r="Z1412" s="4">
        <f t="shared" si="365"/>
        <v>39</v>
      </c>
      <c r="AA1412" s="102">
        <f t="shared" si="366"/>
        <v>41</v>
      </c>
      <c r="AC1412" s="100">
        <f t="shared" si="367"/>
        <v>0.97459927772956456</v>
      </c>
    </row>
    <row r="1413" spans="4:29" x14ac:dyDescent="0.35">
      <c r="D1413">
        <f t="shared" si="368"/>
        <v>1409</v>
      </c>
      <c r="E1413" s="101">
        <v>1</v>
      </c>
      <c r="F1413" s="4">
        <v>5</v>
      </c>
      <c r="G1413" s="4">
        <v>7</v>
      </c>
      <c r="H1413" s="4">
        <v>2</v>
      </c>
      <c r="I1413" s="4">
        <v>6</v>
      </c>
      <c r="J1413" s="4">
        <v>1</v>
      </c>
      <c r="K1413" s="102">
        <v>3</v>
      </c>
      <c r="M1413" s="101">
        <f t="shared" si="353"/>
        <v>34</v>
      </c>
      <c r="N1413" s="4">
        <f t="shared" si="354"/>
        <v>30</v>
      </c>
      <c r="O1413" s="4">
        <f t="shared" si="355"/>
        <v>29</v>
      </c>
      <c r="P1413" s="4">
        <f t="shared" si="356"/>
        <v>56</v>
      </c>
      <c r="Q1413" s="4">
        <f t="shared" si="357"/>
        <v>45</v>
      </c>
      <c r="R1413" s="4">
        <f t="shared" si="358"/>
        <v>34</v>
      </c>
      <c r="S1413" s="102">
        <f t="shared" si="359"/>
        <v>23</v>
      </c>
      <c r="U1413" s="101">
        <f t="shared" si="360"/>
        <v>46</v>
      </c>
      <c r="V1413" s="4">
        <f t="shared" si="361"/>
        <v>39</v>
      </c>
      <c r="W1413" s="4">
        <f t="shared" si="362"/>
        <v>41</v>
      </c>
      <c r="X1413" s="4">
        <f t="shared" si="363"/>
        <v>78</v>
      </c>
      <c r="Y1413" s="4">
        <f t="shared" si="364"/>
        <v>71</v>
      </c>
      <c r="Z1413" s="4">
        <f t="shared" si="365"/>
        <v>46</v>
      </c>
      <c r="AA1413" s="102">
        <f t="shared" si="366"/>
        <v>39</v>
      </c>
      <c r="AC1413" s="100">
        <f t="shared" si="367"/>
        <v>0.9628701425561832</v>
      </c>
    </row>
    <row r="1414" spans="4:29" x14ac:dyDescent="0.35">
      <c r="D1414">
        <f t="shared" si="368"/>
        <v>1410</v>
      </c>
      <c r="E1414" s="101">
        <v>3</v>
      </c>
      <c r="F1414" s="4">
        <v>5</v>
      </c>
      <c r="G1414" s="4">
        <v>6</v>
      </c>
      <c r="H1414" s="4">
        <v>3</v>
      </c>
      <c r="I1414" s="4">
        <v>7</v>
      </c>
      <c r="J1414" s="4">
        <v>4</v>
      </c>
      <c r="K1414" s="102">
        <v>2</v>
      </c>
      <c r="M1414" s="101">
        <f t="shared" ref="M1414:M1477" si="369">INDEX($A$5:$A$11,E1414)</f>
        <v>23</v>
      </c>
      <c r="N1414" s="4">
        <f t="shared" ref="N1414:N1477" si="370">INDEX($A$5:$A$11,F1414)</f>
        <v>30</v>
      </c>
      <c r="O1414" s="4">
        <f t="shared" ref="O1414:O1477" si="371">INDEX($A$5:$A$11,G1414)</f>
        <v>45</v>
      </c>
      <c r="P1414" s="4">
        <f t="shared" ref="P1414:P1477" si="372">INDEX($A$5:$A$11,H1414)</f>
        <v>23</v>
      </c>
      <c r="Q1414" s="4">
        <f t="shared" ref="Q1414:Q1477" si="373">INDEX($A$5:$A$11,I1414)</f>
        <v>29</v>
      </c>
      <c r="R1414" s="4">
        <f t="shared" ref="R1414:R1477" si="374">INDEX($A$5:$A$11,J1414)</f>
        <v>12</v>
      </c>
      <c r="S1414" s="102">
        <f t="shared" ref="S1414:S1477" si="375">INDEX($A$5:$A$11,K1414)</f>
        <v>56</v>
      </c>
      <c r="U1414" s="101">
        <f t="shared" ref="U1414:U1477" si="376">INDEX($B$5:$B$11,E1414)</f>
        <v>39</v>
      </c>
      <c r="V1414" s="4">
        <f t="shared" ref="V1414:V1477" si="377">INDEX($B$5:$B$11,F1414)</f>
        <v>39</v>
      </c>
      <c r="W1414" s="4">
        <f t="shared" ref="W1414:W1477" si="378">INDEX($B$5:$B$11,G1414)</f>
        <v>71</v>
      </c>
      <c r="X1414" s="4">
        <f t="shared" ref="X1414:X1477" si="379">INDEX($B$5:$B$11,H1414)</f>
        <v>39</v>
      </c>
      <c r="Y1414" s="4">
        <f t="shared" ref="Y1414:Y1477" si="380">INDEX($B$5:$B$11,I1414)</f>
        <v>41</v>
      </c>
      <c r="Z1414" s="4">
        <f t="shared" ref="Z1414:Z1477" si="381">INDEX($B$5:$B$11,J1414)</f>
        <v>9</v>
      </c>
      <c r="AA1414" s="102">
        <f t="shared" ref="AA1414:AA1477" si="382">INDEX($B$5:$B$11,K1414)</f>
        <v>78</v>
      </c>
      <c r="AC1414" s="100">
        <f t="shared" ref="AC1414:AC1477" si="383">CORREL(M1414:S1414,U1414:AA1414)</f>
        <v>0.96896293074172468</v>
      </c>
    </row>
    <row r="1415" spans="4:29" x14ac:dyDescent="0.35">
      <c r="D1415">
        <f t="shared" ref="D1415:D1478" si="384">D1414+1</f>
        <v>1411</v>
      </c>
      <c r="E1415" s="101">
        <v>2</v>
      </c>
      <c r="F1415" s="4">
        <v>7</v>
      </c>
      <c r="G1415" s="4">
        <v>6</v>
      </c>
      <c r="H1415" s="4">
        <v>5</v>
      </c>
      <c r="I1415" s="4">
        <v>5</v>
      </c>
      <c r="J1415" s="4">
        <v>3</v>
      </c>
      <c r="K1415" s="102">
        <v>5</v>
      </c>
      <c r="M1415" s="101">
        <f t="shared" si="369"/>
        <v>56</v>
      </c>
      <c r="N1415" s="4">
        <f t="shared" si="370"/>
        <v>29</v>
      </c>
      <c r="O1415" s="4">
        <f t="shared" si="371"/>
        <v>45</v>
      </c>
      <c r="P1415" s="4">
        <f t="shared" si="372"/>
        <v>30</v>
      </c>
      <c r="Q1415" s="4">
        <f t="shared" si="373"/>
        <v>30</v>
      </c>
      <c r="R1415" s="4">
        <f t="shared" si="374"/>
        <v>23</v>
      </c>
      <c r="S1415" s="102">
        <f t="shared" si="375"/>
        <v>30</v>
      </c>
      <c r="U1415" s="101">
        <f t="shared" si="376"/>
        <v>78</v>
      </c>
      <c r="V1415" s="4">
        <f t="shared" si="377"/>
        <v>41</v>
      </c>
      <c r="W1415" s="4">
        <f t="shared" si="378"/>
        <v>71</v>
      </c>
      <c r="X1415" s="4">
        <f t="shared" si="379"/>
        <v>39</v>
      </c>
      <c r="Y1415" s="4">
        <f t="shared" si="380"/>
        <v>39</v>
      </c>
      <c r="Z1415" s="4">
        <f t="shared" si="381"/>
        <v>39</v>
      </c>
      <c r="AA1415" s="102">
        <f t="shared" si="382"/>
        <v>39</v>
      </c>
      <c r="AC1415" s="100">
        <f t="shared" si="383"/>
        <v>0.96258301122103418</v>
      </c>
    </row>
    <row r="1416" spans="4:29" x14ac:dyDescent="0.35">
      <c r="D1416">
        <f t="shared" si="384"/>
        <v>1412</v>
      </c>
      <c r="E1416" s="101">
        <v>5</v>
      </c>
      <c r="F1416" s="4">
        <v>6</v>
      </c>
      <c r="G1416" s="4">
        <v>6</v>
      </c>
      <c r="H1416" s="4">
        <v>6</v>
      </c>
      <c r="I1416" s="4">
        <v>5</v>
      </c>
      <c r="J1416" s="4">
        <v>6</v>
      </c>
      <c r="K1416" s="102">
        <v>7</v>
      </c>
      <c r="M1416" s="101">
        <f t="shared" si="369"/>
        <v>30</v>
      </c>
      <c r="N1416" s="4">
        <f t="shared" si="370"/>
        <v>45</v>
      </c>
      <c r="O1416" s="4">
        <f t="shared" si="371"/>
        <v>45</v>
      </c>
      <c r="P1416" s="4">
        <f t="shared" si="372"/>
        <v>45</v>
      </c>
      <c r="Q1416" s="4">
        <f t="shared" si="373"/>
        <v>30</v>
      </c>
      <c r="R1416" s="4">
        <f t="shared" si="374"/>
        <v>45</v>
      </c>
      <c r="S1416" s="102">
        <f t="shared" si="375"/>
        <v>29</v>
      </c>
      <c r="U1416" s="101">
        <f t="shared" si="376"/>
        <v>39</v>
      </c>
      <c r="V1416" s="4">
        <f t="shared" si="377"/>
        <v>71</v>
      </c>
      <c r="W1416" s="4">
        <f t="shared" si="378"/>
        <v>71</v>
      </c>
      <c r="X1416" s="4">
        <f t="shared" si="379"/>
        <v>71</v>
      </c>
      <c r="Y1416" s="4">
        <f t="shared" si="380"/>
        <v>39</v>
      </c>
      <c r="Z1416" s="4">
        <f t="shared" si="381"/>
        <v>71</v>
      </c>
      <c r="AA1416" s="102">
        <f t="shared" si="382"/>
        <v>41</v>
      </c>
      <c r="AC1416" s="100">
        <f t="shared" si="383"/>
        <v>0.99676711821070318</v>
      </c>
    </row>
    <row r="1417" spans="4:29" x14ac:dyDescent="0.35">
      <c r="D1417">
        <f t="shared" si="384"/>
        <v>1413</v>
      </c>
      <c r="E1417" s="101">
        <v>7</v>
      </c>
      <c r="F1417" s="4">
        <v>7</v>
      </c>
      <c r="G1417" s="4">
        <v>5</v>
      </c>
      <c r="H1417" s="4">
        <v>6</v>
      </c>
      <c r="I1417" s="4">
        <v>6</v>
      </c>
      <c r="J1417" s="4">
        <v>3</v>
      </c>
      <c r="K1417" s="102">
        <v>5</v>
      </c>
      <c r="M1417" s="101">
        <f t="shared" si="369"/>
        <v>29</v>
      </c>
      <c r="N1417" s="4">
        <f t="shared" si="370"/>
        <v>29</v>
      </c>
      <c r="O1417" s="4">
        <f t="shared" si="371"/>
        <v>30</v>
      </c>
      <c r="P1417" s="4">
        <f t="shared" si="372"/>
        <v>45</v>
      </c>
      <c r="Q1417" s="4">
        <f t="shared" si="373"/>
        <v>45</v>
      </c>
      <c r="R1417" s="4">
        <f t="shared" si="374"/>
        <v>23</v>
      </c>
      <c r="S1417" s="102">
        <f t="shared" si="375"/>
        <v>30</v>
      </c>
      <c r="U1417" s="101">
        <f t="shared" si="376"/>
        <v>41</v>
      </c>
      <c r="V1417" s="4">
        <f t="shared" si="377"/>
        <v>41</v>
      </c>
      <c r="W1417" s="4">
        <f t="shared" si="378"/>
        <v>39</v>
      </c>
      <c r="X1417" s="4">
        <f t="shared" si="379"/>
        <v>71</v>
      </c>
      <c r="Y1417" s="4">
        <f t="shared" si="380"/>
        <v>71</v>
      </c>
      <c r="Z1417" s="4">
        <f t="shared" si="381"/>
        <v>39</v>
      </c>
      <c r="AA1417" s="102">
        <f t="shared" si="382"/>
        <v>39</v>
      </c>
      <c r="AC1417" s="100">
        <f t="shared" si="383"/>
        <v>0.96189347758749444</v>
      </c>
    </row>
    <row r="1418" spans="4:29" x14ac:dyDescent="0.35">
      <c r="D1418">
        <f t="shared" si="384"/>
        <v>1414</v>
      </c>
      <c r="E1418" s="101">
        <v>7</v>
      </c>
      <c r="F1418" s="4">
        <v>7</v>
      </c>
      <c r="G1418" s="4">
        <v>4</v>
      </c>
      <c r="H1418" s="4">
        <v>5</v>
      </c>
      <c r="I1418" s="4">
        <v>6</v>
      </c>
      <c r="J1418" s="4">
        <v>6</v>
      </c>
      <c r="K1418" s="102">
        <v>5</v>
      </c>
      <c r="M1418" s="101">
        <f t="shared" si="369"/>
        <v>29</v>
      </c>
      <c r="N1418" s="4">
        <f t="shared" si="370"/>
        <v>29</v>
      </c>
      <c r="O1418" s="4">
        <f t="shared" si="371"/>
        <v>12</v>
      </c>
      <c r="P1418" s="4">
        <f t="shared" si="372"/>
        <v>30</v>
      </c>
      <c r="Q1418" s="4">
        <f t="shared" si="373"/>
        <v>45</v>
      </c>
      <c r="R1418" s="4">
        <f t="shared" si="374"/>
        <v>45</v>
      </c>
      <c r="S1418" s="102">
        <f t="shared" si="375"/>
        <v>30</v>
      </c>
      <c r="U1418" s="101">
        <f t="shared" si="376"/>
        <v>41</v>
      </c>
      <c r="V1418" s="4">
        <f t="shared" si="377"/>
        <v>41</v>
      </c>
      <c r="W1418" s="4">
        <f t="shared" si="378"/>
        <v>9</v>
      </c>
      <c r="X1418" s="4">
        <f t="shared" si="379"/>
        <v>39</v>
      </c>
      <c r="Y1418" s="4">
        <f t="shared" si="380"/>
        <v>71</v>
      </c>
      <c r="Z1418" s="4">
        <f t="shared" si="381"/>
        <v>71</v>
      </c>
      <c r="AA1418" s="102">
        <f t="shared" si="382"/>
        <v>39</v>
      </c>
      <c r="AC1418" s="100">
        <f t="shared" si="383"/>
        <v>0.99618355122745117</v>
      </c>
    </row>
    <row r="1419" spans="4:29" x14ac:dyDescent="0.35">
      <c r="D1419">
        <f t="shared" si="384"/>
        <v>1415</v>
      </c>
      <c r="E1419" s="101">
        <v>6</v>
      </c>
      <c r="F1419" s="4">
        <v>3</v>
      </c>
      <c r="G1419" s="4">
        <v>1</v>
      </c>
      <c r="H1419" s="4">
        <v>4</v>
      </c>
      <c r="I1419" s="4">
        <v>4</v>
      </c>
      <c r="J1419" s="4">
        <v>5</v>
      </c>
      <c r="K1419" s="102">
        <v>4</v>
      </c>
      <c r="M1419" s="101">
        <f t="shared" si="369"/>
        <v>45</v>
      </c>
      <c r="N1419" s="4">
        <f t="shared" si="370"/>
        <v>23</v>
      </c>
      <c r="O1419" s="4">
        <f t="shared" si="371"/>
        <v>34</v>
      </c>
      <c r="P1419" s="4">
        <f t="shared" si="372"/>
        <v>12</v>
      </c>
      <c r="Q1419" s="4">
        <f t="shared" si="373"/>
        <v>12</v>
      </c>
      <c r="R1419" s="4">
        <f t="shared" si="374"/>
        <v>30</v>
      </c>
      <c r="S1419" s="102">
        <f t="shared" si="375"/>
        <v>12</v>
      </c>
      <c r="U1419" s="101">
        <f t="shared" si="376"/>
        <v>71</v>
      </c>
      <c r="V1419" s="4">
        <f t="shared" si="377"/>
        <v>39</v>
      </c>
      <c r="W1419" s="4">
        <f t="shared" si="378"/>
        <v>46</v>
      </c>
      <c r="X1419" s="4">
        <f t="shared" si="379"/>
        <v>9</v>
      </c>
      <c r="Y1419" s="4">
        <f t="shared" si="380"/>
        <v>9</v>
      </c>
      <c r="Z1419" s="4">
        <f t="shared" si="381"/>
        <v>39</v>
      </c>
      <c r="AA1419" s="102">
        <f t="shared" si="382"/>
        <v>9</v>
      </c>
      <c r="AC1419" s="100">
        <f t="shared" si="383"/>
        <v>0.98300789993525262</v>
      </c>
    </row>
    <row r="1420" spans="4:29" x14ac:dyDescent="0.35">
      <c r="D1420">
        <f t="shared" si="384"/>
        <v>1416</v>
      </c>
      <c r="E1420" s="101">
        <v>4</v>
      </c>
      <c r="F1420" s="4">
        <v>2</v>
      </c>
      <c r="G1420" s="4">
        <v>5</v>
      </c>
      <c r="H1420" s="4">
        <v>3</v>
      </c>
      <c r="I1420" s="4">
        <v>4</v>
      </c>
      <c r="J1420" s="4">
        <v>7</v>
      </c>
      <c r="K1420" s="102">
        <v>4</v>
      </c>
      <c r="M1420" s="101">
        <f t="shared" si="369"/>
        <v>12</v>
      </c>
      <c r="N1420" s="4">
        <f t="shared" si="370"/>
        <v>56</v>
      </c>
      <c r="O1420" s="4">
        <f t="shared" si="371"/>
        <v>30</v>
      </c>
      <c r="P1420" s="4">
        <f t="shared" si="372"/>
        <v>23</v>
      </c>
      <c r="Q1420" s="4">
        <f t="shared" si="373"/>
        <v>12</v>
      </c>
      <c r="R1420" s="4">
        <f t="shared" si="374"/>
        <v>29</v>
      </c>
      <c r="S1420" s="102">
        <f t="shared" si="375"/>
        <v>12</v>
      </c>
      <c r="U1420" s="101">
        <f t="shared" si="376"/>
        <v>9</v>
      </c>
      <c r="V1420" s="4">
        <f t="shared" si="377"/>
        <v>78</v>
      </c>
      <c r="W1420" s="4">
        <f t="shared" si="378"/>
        <v>39</v>
      </c>
      <c r="X1420" s="4">
        <f t="shared" si="379"/>
        <v>39</v>
      </c>
      <c r="Y1420" s="4">
        <f t="shared" si="380"/>
        <v>9</v>
      </c>
      <c r="Z1420" s="4">
        <f t="shared" si="381"/>
        <v>41</v>
      </c>
      <c r="AA1420" s="102">
        <f t="shared" si="382"/>
        <v>9</v>
      </c>
      <c r="AC1420" s="100">
        <f t="shared" si="383"/>
        <v>0.98208760877454904</v>
      </c>
    </row>
    <row r="1421" spans="4:29" x14ac:dyDescent="0.35">
      <c r="D1421">
        <f t="shared" si="384"/>
        <v>1417</v>
      </c>
      <c r="E1421" s="101">
        <v>7</v>
      </c>
      <c r="F1421" s="4">
        <v>4</v>
      </c>
      <c r="G1421" s="4">
        <v>4</v>
      </c>
      <c r="H1421" s="4">
        <v>3</v>
      </c>
      <c r="I1421" s="4">
        <v>4</v>
      </c>
      <c r="J1421" s="4">
        <v>5</v>
      </c>
      <c r="K1421" s="102">
        <v>4</v>
      </c>
      <c r="M1421" s="101">
        <f t="shared" si="369"/>
        <v>29</v>
      </c>
      <c r="N1421" s="4">
        <f t="shared" si="370"/>
        <v>12</v>
      </c>
      <c r="O1421" s="4">
        <f t="shared" si="371"/>
        <v>12</v>
      </c>
      <c r="P1421" s="4">
        <f t="shared" si="372"/>
        <v>23</v>
      </c>
      <c r="Q1421" s="4">
        <f t="shared" si="373"/>
        <v>12</v>
      </c>
      <c r="R1421" s="4">
        <f t="shared" si="374"/>
        <v>30</v>
      </c>
      <c r="S1421" s="102">
        <f t="shared" si="375"/>
        <v>12</v>
      </c>
      <c r="U1421" s="101">
        <f t="shared" si="376"/>
        <v>41</v>
      </c>
      <c r="V1421" s="4">
        <f t="shared" si="377"/>
        <v>9</v>
      </c>
      <c r="W1421" s="4">
        <f t="shared" si="378"/>
        <v>9</v>
      </c>
      <c r="X1421" s="4">
        <f t="shared" si="379"/>
        <v>39</v>
      </c>
      <c r="Y1421" s="4">
        <f t="shared" si="380"/>
        <v>9</v>
      </c>
      <c r="Z1421" s="4">
        <f t="shared" si="381"/>
        <v>39</v>
      </c>
      <c r="AA1421" s="102">
        <f t="shared" si="382"/>
        <v>9</v>
      </c>
      <c r="AC1421" s="100">
        <f t="shared" si="383"/>
        <v>0.96942288040051217</v>
      </c>
    </row>
    <row r="1422" spans="4:29" x14ac:dyDescent="0.35">
      <c r="D1422">
        <f t="shared" si="384"/>
        <v>1418</v>
      </c>
      <c r="E1422" s="101">
        <v>3</v>
      </c>
      <c r="F1422" s="4">
        <v>5</v>
      </c>
      <c r="G1422" s="4">
        <v>2</v>
      </c>
      <c r="H1422" s="4">
        <v>7</v>
      </c>
      <c r="I1422" s="4">
        <v>1</v>
      </c>
      <c r="J1422" s="4">
        <v>7</v>
      </c>
      <c r="K1422" s="102">
        <v>6</v>
      </c>
      <c r="M1422" s="101">
        <f t="shared" si="369"/>
        <v>23</v>
      </c>
      <c r="N1422" s="4">
        <f t="shared" si="370"/>
        <v>30</v>
      </c>
      <c r="O1422" s="4">
        <f t="shared" si="371"/>
        <v>56</v>
      </c>
      <c r="P1422" s="4">
        <f t="shared" si="372"/>
        <v>29</v>
      </c>
      <c r="Q1422" s="4">
        <f t="shared" si="373"/>
        <v>34</v>
      </c>
      <c r="R1422" s="4">
        <f t="shared" si="374"/>
        <v>29</v>
      </c>
      <c r="S1422" s="102">
        <f t="shared" si="375"/>
        <v>45</v>
      </c>
      <c r="U1422" s="101">
        <f t="shared" si="376"/>
        <v>39</v>
      </c>
      <c r="V1422" s="4">
        <f t="shared" si="377"/>
        <v>39</v>
      </c>
      <c r="W1422" s="4">
        <f t="shared" si="378"/>
        <v>78</v>
      </c>
      <c r="X1422" s="4">
        <f t="shared" si="379"/>
        <v>41</v>
      </c>
      <c r="Y1422" s="4">
        <f t="shared" si="380"/>
        <v>46</v>
      </c>
      <c r="Z1422" s="4">
        <f t="shared" si="381"/>
        <v>41</v>
      </c>
      <c r="AA1422" s="102">
        <f t="shared" si="382"/>
        <v>71</v>
      </c>
      <c r="AC1422" s="100">
        <f t="shared" si="383"/>
        <v>0.96710026273565763</v>
      </c>
    </row>
    <row r="1423" spans="4:29" x14ac:dyDescent="0.35">
      <c r="D1423">
        <f t="shared" si="384"/>
        <v>1419</v>
      </c>
      <c r="E1423" s="101">
        <v>3</v>
      </c>
      <c r="F1423" s="4">
        <v>2</v>
      </c>
      <c r="G1423" s="4">
        <v>2</v>
      </c>
      <c r="H1423" s="4">
        <v>1</v>
      </c>
      <c r="I1423" s="4">
        <v>7</v>
      </c>
      <c r="J1423" s="4">
        <v>2</v>
      </c>
      <c r="K1423" s="102">
        <v>5</v>
      </c>
      <c r="M1423" s="101">
        <f t="shared" si="369"/>
        <v>23</v>
      </c>
      <c r="N1423" s="4">
        <f t="shared" si="370"/>
        <v>56</v>
      </c>
      <c r="O1423" s="4">
        <f t="shared" si="371"/>
        <v>56</v>
      </c>
      <c r="P1423" s="4">
        <f t="shared" si="372"/>
        <v>34</v>
      </c>
      <c r="Q1423" s="4">
        <f t="shared" si="373"/>
        <v>29</v>
      </c>
      <c r="R1423" s="4">
        <f t="shared" si="374"/>
        <v>56</v>
      </c>
      <c r="S1423" s="102">
        <f t="shared" si="375"/>
        <v>30</v>
      </c>
      <c r="U1423" s="101">
        <f t="shared" si="376"/>
        <v>39</v>
      </c>
      <c r="V1423" s="4">
        <f t="shared" si="377"/>
        <v>78</v>
      </c>
      <c r="W1423" s="4">
        <f t="shared" si="378"/>
        <v>78</v>
      </c>
      <c r="X1423" s="4">
        <f t="shared" si="379"/>
        <v>46</v>
      </c>
      <c r="Y1423" s="4">
        <f t="shared" si="380"/>
        <v>41</v>
      </c>
      <c r="Z1423" s="4">
        <f t="shared" si="381"/>
        <v>78</v>
      </c>
      <c r="AA1423" s="102">
        <f t="shared" si="382"/>
        <v>39</v>
      </c>
      <c r="AC1423" s="100">
        <f t="shared" si="383"/>
        <v>0.98919303625855648</v>
      </c>
    </row>
    <row r="1424" spans="4:29" x14ac:dyDescent="0.35">
      <c r="D1424">
        <f t="shared" si="384"/>
        <v>1420</v>
      </c>
      <c r="E1424" s="101">
        <v>1</v>
      </c>
      <c r="F1424" s="4">
        <v>3</v>
      </c>
      <c r="G1424" s="4">
        <v>2</v>
      </c>
      <c r="H1424" s="4">
        <v>6</v>
      </c>
      <c r="I1424" s="4">
        <v>7</v>
      </c>
      <c r="J1424" s="4">
        <v>3</v>
      </c>
      <c r="K1424" s="102">
        <v>6</v>
      </c>
      <c r="M1424" s="101">
        <f t="shared" si="369"/>
        <v>34</v>
      </c>
      <c r="N1424" s="4">
        <f t="shared" si="370"/>
        <v>23</v>
      </c>
      <c r="O1424" s="4">
        <f t="shared" si="371"/>
        <v>56</v>
      </c>
      <c r="P1424" s="4">
        <f t="shared" si="372"/>
        <v>45</v>
      </c>
      <c r="Q1424" s="4">
        <f t="shared" si="373"/>
        <v>29</v>
      </c>
      <c r="R1424" s="4">
        <f t="shared" si="374"/>
        <v>23</v>
      </c>
      <c r="S1424" s="102">
        <f t="shared" si="375"/>
        <v>45</v>
      </c>
      <c r="U1424" s="101">
        <f t="shared" si="376"/>
        <v>46</v>
      </c>
      <c r="V1424" s="4">
        <f t="shared" si="377"/>
        <v>39</v>
      </c>
      <c r="W1424" s="4">
        <f t="shared" si="378"/>
        <v>78</v>
      </c>
      <c r="X1424" s="4">
        <f t="shared" si="379"/>
        <v>71</v>
      </c>
      <c r="Y1424" s="4">
        <f t="shared" si="380"/>
        <v>41</v>
      </c>
      <c r="Z1424" s="4">
        <f t="shared" si="381"/>
        <v>39</v>
      </c>
      <c r="AA1424" s="102">
        <f t="shared" si="382"/>
        <v>71</v>
      </c>
      <c r="AC1424" s="100">
        <f t="shared" si="383"/>
        <v>0.96990931567179539</v>
      </c>
    </row>
    <row r="1425" spans="4:29" x14ac:dyDescent="0.35">
      <c r="D1425">
        <f t="shared" si="384"/>
        <v>1421</v>
      </c>
      <c r="E1425" s="101">
        <v>7</v>
      </c>
      <c r="F1425" s="4">
        <v>2</v>
      </c>
      <c r="G1425" s="4">
        <v>2</v>
      </c>
      <c r="H1425" s="4">
        <v>5</v>
      </c>
      <c r="I1425" s="4">
        <v>3</v>
      </c>
      <c r="J1425" s="4">
        <v>2</v>
      </c>
      <c r="K1425" s="102">
        <v>4</v>
      </c>
      <c r="M1425" s="101">
        <f t="shared" si="369"/>
        <v>29</v>
      </c>
      <c r="N1425" s="4">
        <f t="shared" si="370"/>
        <v>56</v>
      </c>
      <c r="O1425" s="4">
        <f t="shared" si="371"/>
        <v>56</v>
      </c>
      <c r="P1425" s="4">
        <f t="shared" si="372"/>
        <v>30</v>
      </c>
      <c r="Q1425" s="4">
        <f t="shared" si="373"/>
        <v>23</v>
      </c>
      <c r="R1425" s="4">
        <f t="shared" si="374"/>
        <v>56</v>
      </c>
      <c r="S1425" s="102">
        <f t="shared" si="375"/>
        <v>12</v>
      </c>
      <c r="U1425" s="101">
        <f t="shared" si="376"/>
        <v>41</v>
      </c>
      <c r="V1425" s="4">
        <f t="shared" si="377"/>
        <v>78</v>
      </c>
      <c r="W1425" s="4">
        <f t="shared" si="378"/>
        <v>78</v>
      </c>
      <c r="X1425" s="4">
        <f t="shared" si="379"/>
        <v>39</v>
      </c>
      <c r="Y1425" s="4">
        <f t="shared" si="380"/>
        <v>39</v>
      </c>
      <c r="Z1425" s="4">
        <f t="shared" si="381"/>
        <v>78</v>
      </c>
      <c r="AA1425" s="102">
        <f t="shared" si="382"/>
        <v>9</v>
      </c>
      <c r="AC1425" s="100">
        <f t="shared" si="383"/>
        <v>0.98737547405609294</v>
      </c>
    </row>
    <row r="1426" spans="4:29" x14ac:dyDescent="0.35">
      <c r="D1426">
        <f t="shared" si="384"/>
        <v>1422</v>
      </c>
      <c r="E1426" s="101">
        <v>2</v>
      </c>
      <c r="F1426" s="4">
        <v>7</v>
      </c>
      <c r="G1426" s="4">
        <v>4</v>
      </c>
      <c r="H1426" s="4">
        <v>7</v>
      </c>
      <c r="I1426" s="4">
        <v>5</v>
      </c>
      <c r="J1426" s="4">
        <v>1</v>
      </c>
      <c r="K1426" s="102">
        <v>6</v>
      </c>
      <c r="M1426" s="101">
        <f t="shared" si="369"/>
        <v>56</v>
      </c>
      <c r="N1426" s="4">
        <f t="shared" si="370"/>
        <v>29</v>
      </c>
      <c r="O1426" s="4">
        <f t="shared" si="371"/>
        <v>12</v>
      </c>
      <c r="P1426" s="4">
        <f t="shared" si="372"/>
        <v>29</v>
      </c>
      <c r="Q1426" s="4">
        <f t="shared" si="373"/>
        <v>30</v>
      </c>
      <c r="R1426" s="4">
        <f t="shared" si="374"/>
        <v>34</v>
      </c>
      <c r="S1426" s="102">
        <f t="shared" si="375"/>
        <v>45</v>
      </c>
      <c r="U1426" s="101">
        <f t="shared" si="376"/>
        <v>78</v>
      </c>
      <c r="V1426" s="4">
        <f t="shared" si="377"/>
        <v>41</v>
      </c>
      <c r="W1426" s="4">
        <f t="shared" si="378"/>
        <v>9</v>
      </c>
      <c r="X1426" s="4">
        <f t="shared" si="379"/>
        <v>41</v>
      </c>
      <c r="Y1426" s="4">
        <f t="shared" si="380"/>
        <v>39</v>
      </c>
      <c r="Z1426" s="4">
        <f t="shared" si="381"/>
        <v>46</v>
      </c>
      <c r="AA1426" s="102">
        <f t="shared" si="382"/>
        <v>71</v>
      </c>
      <c r="AC1426" s="100">
        <f t="shared" si="383"/>
        <v>0.98751607909185291</v>
      </c>
    </row>
    <row r="1427" spans="4:29" x14ac:dyDescent="0.35">
      <c r="D1427">
        <f t="shared" si="384"/>
        <v>1423</v>
      </c>
      <c r="E1427" s="101">
        <v>5</v>
      </c>
      <c r="F1427" s="4">
        <v>6</v>
      </c>
      <c r="G1427" s="4">
        <v>1</v>
      </c>
      <c r="H1427" s="4">
        <v>2</v>
      </c>
      <c r="I1427" s="4">
        <v>5</v>
      </c>
      <c r="J1427" s="4">
        <v>6</v>
      </c>
      <c r="K1427" s="102">
        <v>1</v>
      </c>
      <c r="M1427" s="101">
        <f t="shared" si="369"/>
        <v>30</v>
      </c>
      <c r="N1427" s="4">
        <f t="shared" si="370"/>
        <v>45</v>
      </c>
      <c r="O1427" s="4">
        <f t="shared" si="371"/>
        <v>34</v>
      </c>
      <c r="P1427" s="4">
        <f t="shared" si="372"/>
        <v>56</v>
      </c>
      <c r="Q1427" s="4">
        <f t="shared" si="373"/>
        <v>30</v>
      </c>
      <c r="R1427" s="4">
        <f t="shared" si="374"/>
        <v>45</v>
      </c>
      <c r="S1427" s="102">
        <f t="shared" si="375"/>
        <v>34</v>
      </c>
      <c r="U1427" s="101">
        <f t="shared" si="376"/>
        <v>39</v>
      </c>
      <c r="V1427" s="4">
        <f t="shared" si="377"/>
        <v>71</v>
      </c>
      <c r="W1427" s="4">
        <f t="shared" si="378"/>
        <v>46</v>
      </c>
      <c r="X1427" s="4">
        <f t="shared" si="379"/>
        <v>78</v>
      </c>
      <c r="Y1427" s="4">
        <f t="shared" si="380"/>
        <v>39</v>
      </c>
      <c r="Z1427" s="4">
        <f t="shared" si="381"/>
        <v>71</v>
      </c>
      <c r="AA1427" s="102">
        <f t="shared" si="382"/>
        <v>46</v>
      </c>
      <c r="AC1427" s="100">
        <f t="shared" si="383"/>
        <v>0.96983513320363401</v>
      </c>
    </row>
    <row r="1428" spans="4:29" x14ac:dyDescent="0.35">
      <c r="D1428">
        <f t="shared" si="384"/>
        <v>1424</v>
      </c>
      <c r="E1428" s="101">
        <v>2</v>
      </c>
      <c r="F1428" s="4">
        <v>4</v>
      </c>
      <c r="G1428" s="4">
        <v>1</v>
      </c>
      <c r="H1428" s="4">
        <v>6</v>
      </c>
      <c r="I1428" s="4">
        <v>5</v>
      </c>
      <c r="J1428" s="4">
        <v>6</v>
      </c>
      <c r="K1428" s="102">
        <v>4</v>
      </c>
      <c r="M1428" s="101">
        <f t="shared" si="369"/>
        <v>56</v>
      </c>
      <c r="N1428" s="4">
        <f t="shared" si="370"/>
        <v>12</v>
      </c>
      <c r="O1428" s="4">
        <f t="shared" si="371"/>
        <v>34</v>
      </c>
      <c r="P1428" s="4">
        <f t="shared" si="372"/>
        <v>45</v>
      </c>
      <c r="Q1428" s="4">
        <f t="shared" si="373"/>
        <v>30</v>
      </c>
      <c r="R1428" s="4">
        <f t="shared" si="374"/>
        <v>45</v>
      </c>
      <c r="S1428" s="102">
        <f t="shared" si="375"/>
        <v>12</v>
      </c>
      <c r="U1428" s="101">
        <f t="shared" si="376"/>
        <v>78</v>
      </c>
      <c r="V1428" s="4">
        <f t="shared" si="377"/>
        <v>9</v>
      </c>
      <c r="W1428" s="4">
        <f t="shared" si="378"/>
        <v>46</v>
      </c>
      <c r="X1428" s="4">
        <f t="shared" si="379"/>
        <v>71</v>
      </c>
      <c r="Y1428" s="4">
        <f t="shared" si="380"/>
        <v>39</v>
      </c>
      <c r="Z1428" s="4">
        <f t="shared" si="381"/>
        <v>71</v>
      </c>
      <c r="AA1428" s="102">
        <f t="shared" si="382"/>
        <v>9</v>
      </c>
      <c r="AC1428" s="100">
        <f t="shared" si="383"/>
        <v>0.99005339402589854</v>
      </c>
    </row>
    <row r="1429" spans="4:29" x14ac:dyDescent="0.35">
      <c r="D1429">
        <f t="shared" si="384"/>
        <v>1425</v>
      </c>
      <c r="E1429" s="101">
        <v>6</v>
      </c>
      <c r="F1429" s="4">
        <v>5</v>
      </c>
      <c r="G1429" s="4">
        <v>2</v>
      </c>
      <c r="H1429" s="4">
        <v>3</v>
      </c>
      <c r="I1429" s="4">
        <v>7</v>
      </c>
      <c r="J1429" s="4">
        <v>6</v>
      </c>
      <c r="K1429" s="102">
        <v>5</v>
      </c>
      <c r="M1429" s="101">
        <f t="shared" si="369"/>
        <v>45</v>
      </c>
      <c r="N1429" s="4">
        <f t="shared" si="370"/>
        <v>30</v>
      </c>
      <c r="O1429" s="4">
        <f t="shared" si="371"/>
        <v>56</v>
      </c>
      <c r="P1429" s="4">
        <f t="shared" si="372"/>
        <v>23</v>
      </c>
      <c r="Q1429" s="4">
        <f t="shared" si="373"/>
        <v>29</v>
      </c>
      <c r="R1429" s="4">
        <f t="shared" si="374"/>
        <v>45</v>
      </c>
      <c r="S1429" s="102">
        <f t="shared" si="375"/>
        <v>30</v>
      </c>
      <c r="U1429" s="101">
        <f t="shared" si="376"/>
        <v>71</v>
      </c>
      <c r="V1429" s="4">
        <f t="shared" si="377"/>
        <v>39</v>
      </c>
      <c r="W1429" s="4">
        <f t="shared" si="378"/>
        <v>78</v>
      </c>
      <c r="X1429" s="4">
        <f t="shared" si="379"/>
        <v>39</v>
      </c>
      <c r="Y1429" s="4">
        <f t="shared" si="380"/>
        <v>41</v>
      </c>
      <c r="Z1429" s="4">
        <f t="shared" si="381"/>
        <v>71</v>
      </c>
      <c r="AA1429" s="102">
        <f t="shared" si="382"/>
        <v>39</v>
      </c>
      <c r="AC1429" s="100">
        <f t="shared" si="383"/>
        <v>0.96250170932036694</v>
      </c>
    </row>
    <row r="1430" spans="4:29" x14ac:dyDescent="0.35">
      <c r="D1430">
        <f t="shared" si="384"/>
        <v>1426</v>
      </c>
      <c r="E1430" s="101">
        <v>7</v>
      </c>
      <c r="F1430" s="4">
        <v>7</v>
      </c>
      <c r="G1430" s="4">
        <v>3</v>
      </c>
      <c r="H1430" s="4">
        <v>3</v>
      </c>
      <c r="I1430" s="4">
        <v>5</v>
      </c>
      <c r="J1430" s="4">
        <v>6</v>
      </c>
      <c r="K1430" s="102">
        <v>1</v>
      </c>
      <c r="M1430" s="101">
        <f t="shared" si="369"/>
        <v>29</v>
      </c>
      <c r="N1430" s="4">
        <f t="shared" si="370"/>
        <v>29</v>
      </c>
      <c r="O1430" s="4">
        <f t="shared" si="371"/>
        <v>23</v>
      </c>
      <c r="P1430" s="4">
        <f t="shared" si="372"/>
        <v>23</v>
      </c>
      <c r="Q1430" s="4">
        <f t="shared" si="373"/>
        <v>30</v>
      </c>
      <c r="R1430" s="4">
        <f t="shared" si="374"/>
        <v>45</v>
      </c>
      <c r="S1430" s="102">
        <f t="shared" si="375"/>
        <v>34</v>
      </c>
      <c r="U1430" s="101">
        <f t="shared" si="376"/>
        <v>41</v>
      </c>
      <c r="V1430" s="4">
        <f t="shared" si="377"/>
        <v>41</v>
      </c>
      <c r="W1430" s="4">
        <f t="shared" si="378"/>
        <v>39</v>
      </c>
      <c r="X1430" s="4">
        <f t="shared" si="379"/>
        <v>39</v>
      </c>
      <c r="Y1430" s="4">
        <f t="shared" si="380"/>
        <v>39</v>
      </c>
      <c r="Z1430" s="4">
        <f t="shared" si="381"/>
        <v>71</v>
      </c>
      <c r="AA1430" s="102">
        <f t="shared" si="382"/>
        <v>46</v>
      </c>
      <c r="AC1430" s="100">
        <f t="shared" si="383"/>
        <v>0.92177126178929381</v>
      </c>
    </row>
    <row r="1431" spans="4:29" x14ac:dyDescent="0.35">
      <c r="D1431">
        <f t="shared" si="384"/>
        <v>1427</v>
      </c>
      <c r="E1431" s="101">
        <v>2</v>
      </c>
      <c r="F1431" s="4">
        <v>5</v>
      </c>
      <c r="G1431" s="4">
        <v>2</v>
      </c>
      <c r="H1431" s="4">
        <v>4</v>
      </c>
      <c r="I1431" s="4">
        <v>4</v>
      </c>
      <c r="J1431" s="4">
        <v>5</v>
      </c>
      <c r="K1431" s="102">
        <v>5</v>
      </c>
      <c r="M1431" s="101">
        <f t="shared" si="369"/>
        <v>56</v>
      </c>
      <c r="N1431" s="4">
        <f t="shared" si="370"/>
        <v>30</v>
      </c>
      <c r="O1431" s="4">
        <f t="shared" si="371"/>
        <v>56</v>
      </c>
      <c r="P1431" s="4">
        <f t="shared" si="372"/>
        <v>12</v>
      </c>
      <c r="Q1431" s="4">
        <f t="shared" si="373"/>
        <v>12</v>
      </c>
      <c r="R1431" s="4">
        <f t="shared" si="374"/>
        <v>30</v>
      </c>
      <c r="S1431" s="102">
        <f t="shared" si="375"/>
        <v>30</v>
      </c>
      <c r="U1431" s="101">
        <f t="shared" si="376"/>
        <v>78</v>
      </c>
      <c r="V1431" s="4">
        <f t="shared" si="377"/>
        <v>39</v>
      </c>
      <c r="W1431" s="4">
        <f t="shared" si="378"/>
        <v>78</v>
      </c>
      <c r="X1431" s="4">
        <f t="shared" si="379"/>
        <v>9</v>
      </c>
      <c r="Y1431" s="4">
        <f t="shared" si="380"/>
        <v>9</v>
      </c>
      <c r="Z1431" s="4">
        <f t="shared" si="381"/>
        <v>39</v>
      </c>
      <c r="AA1431" s="102">
        <f t="shared" si="382"/>
        <v>39</v>
      </c>
      <c r="AC1431" s="100">
        <f t="shared" si="383"/>
        <v>0.99944601970144109</v>
      </c>
    </row>
    <row r="1432" spans="4:29" x14ac:dyDescent="0.35">
      <c r="D1432">
        <f t="shared" si="384"/>
        <v>1428</v>
      </c>
      <c r="E1432" s="101">
        <v>5</v>
      </c>
      <c r="F1432" s="4">
        <v>6</v>
      </c>
      <c r="G1432" s="4">
        <v>1</v>
      </c>
      <c r="H1432" s="4">
        <v>7</v>
      </c>
      <c r="I1432" s="4">
        <v>4</v>
      </c>
      <c r="J1432" s="4">
        <v>5</v>
      </c>
      <c r="K1432" s="102">
        <v>7</v>
      </c>
      <c r="M1432" s="101">
        <f t="shared" si="369"/>
        <v>30</v>
      </c>
      <c r="N1432" s="4">
        <f t="shared" si="370"/>
        <v>45</v>
      </c>
      <c r="O1432" s="4">
        <f t="shared" si="371"/>
        <v>34</v>
      </c>
      <c r="P1432" s="4">
        <f t="shared" si="372"/>
        <v>29</v>
      </c>
      <c r="Q1432" s="4">
        <f t="shared" si="373"/>
        <v>12</v>
      </c>
      <c r="R1432" s="4">
        <f t="shared" si="374"/>
        <v>30</v>
      </c>
      <c r="S1432" s="102">
        <f t="shared" si="375"/>
        <v>29</v>
      </c>
      <c r="U1432" s="101">
        <f t="shared" si="376"/>
        <v>39</v>
      </c>
      <c r="V1432" s="4">
        <f t="shared" si="377"/>
        <v>71</v>
      </c>
      <c r="W1432" s="4">
        <f t="shared" si="378"/>
        <v>46</v>
      </c>
      <c r="X1432" s="4">
        <f t="shared" si="379"/>
        <v>41</v>
      </c>
      <c r="Y1432" s="4">
        <f t="shared" si="380"/>
        <v>9</v>
      </c>
      <c r="Z1432" s="4">
        <f t="shared" si="381"/>
        <v>39</v>
      </c>
      <c r="AA1432" s="102">
        <f t="shared" si="382"/>
        <v>41</v>
      </c>
      <c r="AC1432" s="100">
        <f t="shared" si="383"/>
        <v>0.99301542389456965</v>
      </c>
    </row>
    <row r="1433" spans="4:29" x14ac:dyDescent="0.35">
      <c r="D1433">
        <f t="shared" si="384"/>
        <v>1429</v>
      </c>
      <c r="E1433" s="101">
        <v>5</v>
      </c>
      <c r="F1433" s="4">
        <v>1</v>
      </c>
      <c r="G1433" s="4">
        <v>2</v>
      </c>
      <c r="H1433" s="4">
        <v>2</v>
      </c>
      <c r="I1433" s="4">
        <v>5</v>
      </c>
      <c r="J1433" s="4">
        <v>4</v>
      </c>
      <c r="K1433" s="102">
        <v>7</v>
      </c>
      <c r="M1433" s="101">
        <f t="shared" si="369"/>
        <v>30</v>
      </c>
      <c r="N1433" s="4">
        <f t="shared" si="370"/>
        <v>34</v>
      </c>
      <c r="O1433" s="4">
        <f t="shared" si="371"/>
        <v>56</v>
      </c>
      <c r="P1433" s="4">
        <f t="shared" si="372"/>
        <v>56</v>
      </c>
      <c r="Q1433" s="4">
        <f t="shared" si="373"/>
        <v>30</v>
      </c>
      <c r="R1433" s="4">
        <f t="shared" si="374"/>
        <v>12</v>
      </c>
      <c r="S1433" s="102">
        <f t="shared" si="375"/>
        <v>29</v>
      </c>
      <c r="U1433" s="101">
        <f t="shared" si="376"/>
        <v>39</v>
      </c>
      <c r="V1433" s="4">
        <f t="shared" si="377"/>
        <v>46</v>
      </c>
      <c r="W1433" s="4">
        <f t="shared" si="378"/>
        <v>78</v>
      </c>
      <c r="X1433" s="4">
        <f t="shared" si="379"/>
        <v>78</v>
      </c>
      <c r="Y1433" s="4">
        <f t="shared" si="380"/>
        <v>39</v>
      </c>
      <c r="Z1433" s="4">
        <f t="shared" si="381"/>
        <v>9</v>
      </c>
      <c r="AA1433" s="102">
        <f t="shared" si="382"/>
        <v>41</v>
      </c>
      <c r="AC1433" s="100">
        <f t="shared" si="383"/>
        <v>0.99709561446177808</v>
      </c>
    </row>
    <row r="1434" spans="4:29" x14ac:dyDescent="0.35">
      <c r="D1434">
        <f t="shared" si="384"/>
        <v>1430</v>
      </c>
      <c r="E1434" s="101">
        <v>2</v>
      </c>
      <c r="F1434" s="4">
        <v>1</v>
      </c>
      <c r="G1434" s="4">
        <v>1</v>
      </c>
      <c r="H1434" s="4">
        <v>5</v>
      </c>
      <c r="I1434" s="4">
        <v>1</v>
      </c>
      <c r="J1434" s="4">
        <v>5</v>
      </c>
      <c r="K1434" s="102">
        <v>7</v>
      </c>
      <c r="M1434" s="101">
        <f t="shared" si="369"/>
        <v>56</v>
      </c>
      <c r="N1434" s="4">
        <f t="shared" si="370"/>
        <v>34</v>
      </c>
      <c r="O1434" s="4">
        <f t="shared" si="371"/>
        <v>34</v>
      </c>
      <c r="P1434" s="4">
        <f t="shared" si="372"/>
        <v>30</v>
      </c>
      <c r="Q1434" s="4">
        <f t="shared" si="373"/>
        <v>34</v>
      </c>
      <c r="R1434" s="4">
        <f t="shared" si="374"/>
        <v>30</v>
      </c>
      <c r="S1434" s="102">
        <f t="shared" si="375"/>
        <v>29</v>
      </c>
      <c r="U1434" s="101">
        <f t="shared" si="376"/>
        <v>78</v>
      </c>
      <c r="V1434" s="4">
        <f t="shared" si="377"/>
        <v>46</v>
      </c>
      <c r="W1434" s="4">
        <f t="shared" si="378"/>
        <v>46</v>
      </c>
      <c r="X1434" s="4">
        <f t="shared" si="379"/>
        <v>39</v>
      </c>
      <c r="Y1434" s="4">
        <f t="shared" si="380"/>
        <v>46</v>
      </c>
      <c r="Z1434" s="4">
        <f t="shared" si="381"/>
        <v>39</v>
      </c>
      <c r="AA1434" s="102">
        <f t="shared" si="382"/>
        <v>41</v>
      </c>
      <c r="AC1434" s="100">
        <f t="shared" si="383"/>
        <v>0.99645299622732775</v>
      </c>
    </row>
    <row r="1435" spans="4:29" x14ac:dyDescent="0.35">
      <c r="D1435">
        <f t="shared" si="384"/>
        <v>1431</v>
      </c>
      <c r="E1435" s="101">
        <v>2</v>
      </c>
      <c r="F1435" s="4">
        <v>2</v>
      </c>
      <c r="G1435" s="4">
        <v>2</v>
      </c>
      <c r="H1435" s="4">
        <v>6</v>
      </c>
      <c r="I1435" s="4">
        <v>1</v>
      </c>
      <c r="J1435" s="4">
        <v>3</v>
      </c>
      <c r="K1435" s="102">
        <v>7</v>
      </c>
      <c r="M1435" s="101">
        <f t="shared" si="369"/>
        <v>56</v>
      </c>
      <c r="N1435" s="4">
        <f t="shared" si="370"/>
        <v>56</v>
      </c>
      <c r="O1435" s="4">
        <f t="shared" si="371"/>
        <v>56</v>
      </c>
      <c r="P1435" s="4">
        <f t="shared" si="372"/>
        <v>45</v>
      </c>
      <c r="Q1435" s="4">
        <f t="shared" si="373"/>
        <v>34</v>
      </c>
      <c r="R1435" s="4">
        <f t="shared" si="374"/>
        <v>23</v>
      </c>
      <c r="S1435" s="102">
        <f t="shared" si="375"/>
        <v>29</v>
      </c>
      <c r="U1435" s="101">
        <f t="shared" si="376"/>
        <v>78</v>
      </c>
      <c r="V1435" s="4">
        <f t="shared" si="377"/>
        <v>78</v>
      </c>
      <c r="W1435" s="4">
        <f t="shared" si="378"/>
        <v>78</v>
      </c>
      <c r="X1435" s="4">
        <f t="shared" si="379"/>
        <v>71</v>
      </c>
      <c r="Y1435" s="4">
        <f t="shared" si="380"/>
        <v>46</v>
      </c>
      <c r="Z1435" s="4">
        <f t="shared" si="381"/>
        <v>39</v>
      </c>
      <c r="AA1435" s="102">
        <f t="shared" si="382"/>
        <v>41</v>
      </c>
      <c r="AC1435" s="100">
        <f t="shared" si="383"/>
        <v>0.98084577155614205</v>
      </c>
    </row>
    <row r="1436" spans="4:29" x14ac:dyDescent="0.35">
      <c r="D1436">
        <f t="shared" si="384"/>
        <v>1432</v>
      </c>
      <c r="E1436" s="101">
        <v>2</v>
      </c>
      <c r="F1436" s="4">
        <v>3</v>
      </c>
      <c r="G1436" s="4">
        <v>1</v>
      </c>
      <c r="H1436" s="4">
        <v>2</v>
      </c>
      <c r="I1436" s="4">
        <v>2</v>
      </c>
      <c r="J1436" s="4">
        <v>4</v>
      </c>
      <c r="K1436" s="102">
        <v>7</v>
      </c>
      <c r="M1436" s="101">
        <f t="shared" si="369"/>
        <v>56</v>
      </c>
      <c r="N1436" s="4">
        <f t="shared" si="370"/>
        <v>23</v>
      </c>
      <c r="O1436" s="4">
        <f t="shared" si="371"/>
        <v>34</v>
      </c>
      <c r="P1436" s="4">
        <f t="shared" si="372"/>
        <v>56</v>
      </c>
      <c r="Q1436" s="4">
        <f t="shared" si="373"/>
        <v>56</v>
      </c>
      <c r="R1436" s="4">
        <f t="shared" si="374"/>
        <v>12</v>
      </c>
      <c r="S1436" s="102">
        <f t="shared" si="375"/>
        <v>29</v>
      </c>
      <c r="U1436" s="101">
        <f t="shared" si="376"/>
        <v>78</v>
      </c>
      <c r="V1436" s="4">
        <f t="shared" si="377"/>
        <v>39</v>
      </c>
      <c r="W1436" s="4">
        <f t="shared" si="378"/>
        <v>46</v>
      </c>
      <c r="X1436" s="4">
        <f t="shared" si="379"/>
        <v>78</v>
      </c>
      <c r="Y1436" s="4">
        <f t="shared" si="380"/>
        <v>78</v>
      </c>
      <c r="Z1436" s="4">
        <f t="shared" si="381"/>
        <v>9</v>
      </c>
      <c r="AA1436" s="102">
        <f t="shared" si="382"/>
        <v>41</v>
      </c>
      <c r="AC1436" s="100">
        <f t="shared" si="383"/>
        <v>0.98739319007368009</v>
      </c>
    </row>
    <row r="1437" spans="4:29" x14ac:dyDescent="0.35">
      <c r="D1437">
        <f t="shared" si="384"/>
        <v>1433</v>
      </c>
      <c r="E1437" s="101">
        <v>6</v>
      </c>
      <c r="F1437" s="4">
        <v>7</v>
      </c>
      <c r="G1437" s="4">
        <v>5</v>
      </c>
      <c r="H1437" s="4">
        <v>6</v>
      </c>
      <c r="I1437" s="4">
        <v>4</v>
      </c>
      <c r="J1437" s="4">
        <v>3</v>
      </c>
      <c r="K1437" s="102">
        <v>4</v>
      </c>
      <c r="M1437" s="101">
        <f t="shared" si="369"/>
        <v>45</v>
      </c>
      <c r="N1437" s="4">
        <f t="shared" si="370"/>
        <v>29</v>
      </c>
      <c r="O1437" s="4">
        <f t="shared" si="371"/>
        <v>30</v>
      </c>
      <c r="P1437" s="4">
        <f t="shared" si="372"/>
        <v>45</v>
      </c>
      <c r="Q1437" s="4">
        <f t="shared" si="373"/>
        <v>12</v>
      </c>
      <c r="R1437" s="4">
        <f t="shared" si="374"/>
        <v>23</v>
      </c>
      <c r="S1437" s="102">
        <f t="shared" si="375"/>
        <v>12</v>
      </c>
      <c r="U1437" s="101">
        <f t="shared" si="376"/>
        <v>71</v>
      </c>
      <c r="V1437" s="4">
        <f t="shared" si="377"/>
        <v>41</v>
      </c>
      <c r="W1437" s="4">
        <f t="shared" si="378"/>
        <v>39</v>
      </c>
      <c r="X1437" s="4">
        <f t="shared" si="379"/>
        <v>71</v>
      </c>
      <c r="Y1437" s="4">
        <f t="shared" si="380"/>
        <v>9</v>
      </c>
      <c r="Z1437" s="4">
        <f t="shared" si="381"/>
        <v>39</v>
      </c>
      <c r="AA1437" s="102">
        <f t="shared" si="382"/>
        <v>9</v>
      </c>
      <c r="AC1437" s="100">
        <f t="shared" si="383"/>
        <v>0.98762442148844221</v>
      </c>
    </row>
    <row r="1438" spans="4:29" x14ac:dyDescent="0.35">
      <c r="D1438">
        <f t="shared" si="384"/>
        <v>1434</v>
      </c>
      <c r="E1438" s="101">
        <v>4</v>
      </c>
      <c r="F1438" s="4">
        <v>7</v>
      </c>
      <c r="G1438" s="4">
        <v>6</v>
      </c>
      <c r="H1438" s="4">
        <v>3</v>
      </c>
      <c r="I1438" s="4">
        <v>2</v>
      </c>
      <c r="J1438" s="4">
        <v>4</v>
      </c>
      <c r="K1438" s="102">
        <v>2</v>
      </c>
      <c r="M1438" s="101">
        <f t="shared" si="369"/>
        <v>12</v>
      </c>
      <c r="N1438" s="4">
        <f t="shared" si="370"/>
        <v>29</v>
      </c>
      <c r="O1438" s="4">
        <f t="shared" si="371"/>
        <v>45</v>
      </c>
      <c r="P1438" s="4">
        <f t="shared" si="372"/>
        <v>23</v>
      </c>
      <c r="Q1438" s="4">
        <f t="shared" si="373"/>
        <v>56</v>
      </c>
      <c r="R1438" s="4">
        <f t="shared" si="374"/>
        <v>12</v>
      </c>
      <c r="S1438" s="102">
        <f t="shared" si="375"/>
        <v>56</v>
      </c>
      <c r="U1438" s="101">
        <f t="shared" si="376"/>
        <v>9</v>
      </c>
      <c r="V1438" s="4">
        <f t="shared" si="377"/>
        <v>41</v>
      </c>
      <c r="W1438" s="4">
        <f t="shared" si="378"/>
        <v>71</v>
      </c>
      <c r="X1438" s="4">
        <f t="shared" si="379"/>
        <v>39</v>
      </c>
      <c r="Y1438" s="4">
        <f t="shared" si="380"/>
        <v>78</v>
      </c>
      <c r="Z1438" s="4">
        <f t="shared" si="381"/>
        <v>9</v>
      </c>
      <c r="AA1438" s="102">
        <f t="shared" si="382"/>
        <v>78</v>
      </c>
      <c r="AC1438" s="100">
        <f t="shared" si="383"/>
        <v>0.9833690478319741</v>
      </c>
    </row>
    <row r="1439" spans="4:29" x14ac:dyDescent="0.35">
      <c r="D1439">
        <f t="shared" si="384"/>
        <v>1435</v>
      </c>
      <c r="E1439" s="101">
        <v>5</v>
      </c>
      <c r="F1439" s="4">
        <v>7</v>
      </c>
      <c r="G1439" s="4">
        <v>4</v>
      </c>
      <c r="H1439" s="4">
        <v>5</v>
      </c>
      <c r="I1439" s="4">
        <v>7</v>
      </c>
      <c r="J1439" s="4">
        <v>6</v>
      </c>
      <c r="K1439" s="102">
        <v>5</v>
      </c>
      <c r="M1439" s="101">
        <f t="shared" si="369"/>
        <v>30</v>
      </c>
      <c r="N1439" s="4">
        <f t="shared" si="370"/>
        <v>29</v>
      </c>
      <c r="O1439" s="4">
        <f t="shared" si="371"/>
        <v>12</v>
      </c>
      <c r="P1439" s="4">
        <f t="shared" si="372"/>
        <v>30</v>
      </c>
      <c r="Q1439" s="4">
        <f t="shared" si="373"/>
        <v>29</v>
      </c>
      <c r="R1439" s="4">
        <f t="shared" si="374"/>
        <v>45</v>
      </c>
      <c r="S1439" s="102">
        <f t="shared" si="375"/>
        <v>30</v>
      </c>
      <c r="U1439" s="101">
        <f t="shared" si="376"/>
        <v>39</v>
      </c>
      <c r="V1439" s="4">
        <f t="shared" si="377"/>
        <v>41</v>
      </c>
      <c r="W1439" s="4">
        <f t="shared" si="378"/>
        <v>9</v>
      </c>
      <c r="X1439" s="4">
        <f t="shared" si="379"/>
        <v>39</v>
      </c>
      <c r="Y1439" s="4">
        <f t="shared" si="380"/>
        <v>41</v>
      </c>
      <c r="Z1439" s="4">
        <f t="shared" si="381"/>
        <v>71</v>
      </c>
      <c r="AA1439" s="102">
        <f t="shared" si="382"/>
        <v>39</v>
      </c>
      <c r="AC1439" s="100">
        <f t="shared" si="383"/>
        <v>0.99342095579245426</v>
      </c>
    </row>
    <row r="1440" spans="4:29" x14ac:dyDescent="0.35">
      <c r="D1440">
        <f t="shared" si="384"/>
        <v>1436</v>
      </c>
      <c r="E1440" s="101">
        <v>4</v>
      </c>
      <c r="F1440" s="4">
        <v>4</v>
      </c>
      <c r="G1440" s="4">
        <v>7</v>
      </c>
      <c r="H1440" s="4">
        <v>5</v>
      </c>
      <c r="I1440" s="4">
        <v>6</v>
      </c>
      <c r="J1440" s="4">
        <v>6</v>
      </c>
      <c r="K1440" s="102">
        <v>6</v>
      </c>
      <c r="M1440" s="101">
        <f t="shared" si="369"/>
        <v>12</v>
      </c>
      <c r="N1440" s="4">
        <f t="shared" si="370"/>
        <v>12</v>
      </c>
      <c r="O1440" s="4">
        <f t="shared" si="371"/>
        <v>29</v>
      </c>
      <c r="P1440" s="4">
        <f t="shared" si="372"/>
        <v>30</v>
      </c>
      <c r="Q1440" s="4">
        <f t="shared" si="373"/>
        <v>45</v>
      </c>
      <c r="R1440" s="4">
        <f t="shared" si="374"/>
        <v>45</v>
      </c>
      <c r="S1440" s="102">
        <f t="shared" si="375"/>
        <v>45</v>
      </c>
      <c r="U1440" s="101">
        <f t="shared" si="376"/>
        <v>9</v>
      </c>
      <c r="V1440" s="4">
        <f t="shared" si="377"/>
        <v>9</v>
      </c>
      <c r="W1440" s="4">
        <f t="shared" si="378"/>
        <v>41</v>
      </c>
      <c r="X1440" s="4">
        <f t="shared" si="379"/>
        <v>39</v>
      </c>
      <c r="Y1440" s="4">
        <f t="shared" si="380"/>
        <v>71</v>
      </c>
      <c r="Z1440" s="4">
        <f t="shared" si="381"/>
        <v>71</v>
      </c>
      <c r="AA1440" s="102">
        <f t="shared" si="382"/>
        <v>71</v>
      </c>
      <c r="AC1440" s="100">
        <f t="shared" si="383"/>
        <v>0.99865516988024317</v>
      </c>
    </row>
    <row r="1441" spans="4:29" x14ac:dyDescent="0.35">
      <c r="D1441">
        <f t="shared" si="384"/>
        <v>1437</v>
      </c>
      <c r="E1441" s="101">
        <v>5</v>
      </c>
      <c r="F1441" s="4">
        <v>5</v>
      </c>
      <c r="G1441" s="4">
        <v>2</v>
      </c>
      <c r="H1441" s="4">
        <v>1</v>
      </c>
      <c r="I1441" s="4">
        <v>7</v>
      </c>
      <c r="J1441" s="4">
        <v>7</v>
      </c>
      <c r="K1441" s="102">
        <v>4</v>
      </c>
      <c r="M1441" s="101">
        <f t="shared" si="369"/>
        <v>30</v>
      </c>
      <c r="N1441" s="4">
        <f t="shared" si="370"/>
        <v>30</v>
      </c>
      <c r="O1441" s="4">
        <f t="shared" si="371"/>
        <v>56</v>
      </c>
      <c r="P1441" s="4">
        <f t="shared" si="372"/>
        <v>34</v>
      </c>
      <c r="Q1441" s="4">
        <f t="shared" si="373"/>
        <v>29</v>
      </c>
      <c r="R1441" s="4">
        <f t="shared" si="374"/>
        <v>29</v>
      </c>
      <c r="S1441" s="102">
        <f t="shared" si="375"/>
        <v>12</v>
      </c>
      <c r="U1441" s="101">
        <f t="shared" si="376"/>
        <v>39</v>
      </c>
      <c r="V1441" s="4">
        <f t="shared" si="377"/>
        <v>39</v>
      </c>
      <c r="W1441" s="4">
        <f t="shared" si="378"/>
        <v>78</v>
      </c>
      <c r="X1441" s="4">
        <f t="shared" si="379"/>
        <v>46</v>
      </c>
      <c r="Y1441" s="4">
        <f t="shared" si="380"/>
        <v>41</v>
      </c>
      <c r="Z1441" s="4">
        <f t="shared" si="381"/>
        <v>41</v>
      </c>
      <c r="AA1441" s="102">
        <f t="shared" si="382"/>
        <v>9</v>
      </c>
      <c r="AC1441" s="100">
        <f t="shared" si="383"/>
        <v>0.99398979657724063</v>
      </c>
    </row>
    <row r="1442" spans="4:29" x14ac:dyDescent="0.35">
      <c r="D1442">
        <f t="shared" si="384"/>
        <v>1438</v>
      </c>
      <c r="E1442" s="101">
        <v>6</v>
      </c>
      <c r="F1442" s="4">
        <v>2</v>
      </c>
      <c r="G1442" s="4">
        <v>6</v>
      </c>
      <c r="H1442" s="4">
        <v>3</v>
      </c>
      <c r="I1442" s="4">
        <v>3</v>
      </c>
      <c r="J1442" s="4">
        <v>7</v>
      </c>
      <c r="K1442" s="102">
        <v>7</v>
      </c>
      <c r="M1442" s="101">
        <f t="shared" si="369"/>
        <v>45</v>
      </c>
      <c r="N1442" s="4">
        <f t="shared" si="370"/>
        <v>56</v>
      </c>
      <c r="O1442" s="4">
        <f t="shared" si="371"/>
        <v>45</v>
      </c>
      <c r="P1442" s="4">
        <f t="shared" si="372"/>
        <v>23</v>
      </c>
      <c r="Q1442" s="4">
        <f t="shared" si="373"/>
        <v>23</v>
      </c>
      <c r="R1442" s="4">
        <f t="shared" si="374"/>
        <v>29</v>
      </c>
      <c r="S1442" s="102">
        <f t="shared" si="375"/>
        <v>29</v>
      </c>
      <c r="U1442" s="101">
        <f t="shared" si="376"/>
        <v>71</v>
      </c>
      <c r="V1442" s="4">
        <f t="shared" si="377"/>
        <v>78</v>
      </c>
      <c r="W1442" s="4">
        <f t="shared" si="378"/>
        <v>71</v>
      </c>
      <c r="X1442" s="4">
        <f t="shared" si="379"/>
        <v>39</v>
      </c>
      <c r="Y1442" s="4">
        <f t="shared" si="380"/>
        <v>39</v>
      </c>
      <c r="Z1442" s="4">
        <f t="shared" si="381"/>
        <v>41</v>
      </c>
      <c r="AA1442" s="102">
        <f t="shared" si="382"/>
        <v>41</v>
      </c>
      <c r="AC1442" s="100">
        <f t="shared" si="383"/>
        <v>0.97629455312508506</v>
      </c>
    </row>
    <row r="1443" spans="4:29" x14ac:dyDescent="0.35">
      <c r="D1443">
        <f t="shared" si="384"/>
        <v>1439</v>
      </c>
      <c r="E1443" s="101">
        <v>4</v>
      </c>
      <c r="F1443" s="4">
        <v>4</v>
      </c>
      <c r="G1443" s="4">
        <v>3</v>
      </c>
      <c r="H1443" s="4">
        <v>4</v>
      </c>
      <c r="I1443" s="4">
        <v>6</v>
      </c>
      <c r="J1443" s="4">
        <v>4</v>
      </c>
      <c r="K1443" s="102">
        <v>2</v>
      </c>
      <c r="M1443" s="101">
        <f t="shared" si="369"/>
        <v>12</v>
      </c>
      <c r="N1443" s="4">
        <f t="shared" si="370"/>
        <v>12</v>
      </c>
      <c r="O1443" s="4">
        <f t="shared" si="371"/>
        <v>23</v>
      </c>
      <c r="P1443" s="4">
        <f t="shared" si="372"/>
        <v>12</v>
      </c>
      <c r="Q1443" s="4">
        <f t="shared" si="373"/>
        <v>45</v>
      </c>
      <c r="R1443" s="4">
        <f t="shared" si="374"/>
        <v>12</v>
      </c>
      <c r="S1443" s="102">
        <f t="shared" si="375"/>
        <v>56</v>
      </c>
      <c r="U1443" s="101">
        <f t="shared" si="376"/>
        <v>9</v>
      </c>
      <c r="V1443" s="4">
        <f t="shared" si="377"/>
        <v>9</v>
      </c>
      <c r="W1443" s="4">
        <f t="shared" si="378"/>
        <v>39</v>
      </c>
      <c r="X1443" s="4">
        <f t="shared" si="379"/>
        <v>9</v>
      </c>
      <c r="Y1443" s="4">
        <f t="shared" si="380"/>
        <v>71</v>
      </c>
      <c r="Z1443" s="4">
        <f t="shared" si="381"/>
        <v>9</v>
      </c>
      <c r="AA1443" s="102">
        <f t="shared" si="382"/>
        <v>78</v>
      </c>
      <c r="AC1443" s="100">
        <f t="shared" si="383"/>
        <v>0.98484950422482009</v>
      </c>
    </row>
    <row r="1444" spans="4:29" x14ac:dyDescent="0.35">
      <c r="D1444">
        <f t="shared" si="384"/>
        <v>1440</v>
      </c>
      <c r="E1444" s="101">
        <v>1</v>
      </c>
      <c r="F1444" s="4">
        <v>7</v>
      </c>
      <c r="G1444" s="4">
        <v>1</v>
      </c>
      <c r="H1444" s="4">
        <v>6</v>
      </c>
      <c r="I1444" s="4">
        <v>2</v>
      </c>
      <c r="J1444" s="4">
        <v>2</v>
      </c>
      <c r="K1444" s="102">
        <v>6</v>
      </c>
      <c r="M1444" s="101">
        <f t="shared" si="369"/>
        <v>34</v>
      </c>
      <c r="N1444" s="4">
        <f t="shared" si="370"/>
        <v>29</v>
      </c>
      <c r="O1444" s="4">
        <f t="shared" si="371"/>
        <v>34</v>
      </c>
      <c r="P1444" s="4">
        <f t="shared" si="372"/>
        <v>45</v>
      </c>
      <c r="Q1444" s="4">
        <f t="shared" si="373"/>
        <v>56</v>
      </c>
      <c r="R1444" s="4">
        <f t="shared" si="374"/>
        <v>56</v>
      </c>
      <c r="S1444" s="102">
        <f t="shared" si="375"/>
        <v>45</v>
      </c>
      <c r="U1444" s="101">
        <f t="shared" si="376"/>
        <v>46</v>
      </c>
      <c r="V1444" s="4">
        <f t="shared" si="377"/>
        <v>41</v>
      </c>
      <c r="W1444" s="4">
        <f t="shared" si="378"/>
        <v>46</v>
      </c>
      <c r="X1444" s="4">
        <f t="shared" si="379"/>
        <v>71</v>
      </c>
      <c r="Y1444" s="4">
        <f t="shared" si="380"/>
        <v>78</v>
      </c>
      <c r="Z1444" s="4">
        <f t="shared" si="381"/>
        <v>78</v>
      </c>
      <c r="AA1444" s="102">
        <f t="shared" si="382"/>
        <v>71</v>
      </c>
      <c r="AC1444" s="100">
        <f t="shared" si="383"/>
        <v>0.96611375256843635</v>
      </c>
    </row>
    <row r="1445" spans="4:29" x14ac:dyDescent="0.35">
      <c r="D1445">
        <f t="shared" si="384"/>
        <v>1441</v>
      </c>
      <c r="E1445" s="101">
        <v>6</v>
      </c>
      <c r="F1445" s="4">
        <v>1</v>
      </c>
      <c r="G1445" s="4">
        <v>3</v>
      </c>
      <c r="H1445" s="4">
        <v>2</v>
      </c>
      <c r="I1445" s="4">
        <v>1</v>
      </c>
      <c r="J1445" s="4">
        <v>7</v>
      </c>
      <c r="K1445" s="102">
        <v>1</v>
      </c>
      <c r="M1445" s="101">
        <f t="shared" si="369"/>
        <v>45</v>
      </c>
      <c r="N1445" s="4">
        <f t="shared" si="370"/>
        <v>34</v>
      </c>
      <c r="O1445" s="4">
        <f t="shared" si="371"/>
        <v>23</v>
      </c>
      <c r="P1445" s="4">
        <f t="shared" si="372"/>
        <v>56</v>
      </c>
      <c r="Q1445" s="4">
        <f t="shared" si="373"/>
        <v>34</v>
      </c>
      <c r="R1445" s="4">
        <f t="shared" si="374"/>
        <v>29</v>
      </c>
      <c r="S1445" s="102">
        <f t="shared" si="375"/>
        <v>34</v>
      </c>
      <c r="U1445" s="101">
        <f t="shared" si="376"/>
        <v>71</v>
      </c>
      <c r="V1445" s="4">
        <f t="shared" si="377"/>
        <v>46</v>
      </c>
      <c r="W1445" s="4">
        <f t="shared" si="378"/>
        <v>39</v>
      </c>
      <c r="X1445" s="4">
        <f t="shared" si="379"/>
        <v>78</v>
      </c>
      <c r="Y1445" s="4">
        <f t="shared" si="380"/>
        <v>46</v>
      </c>
      <c r="Z1445" s="4">
        <f t="shared" si="381"/>
        <v>41</v>
      </c>
      <c r="AA1445" s="102">
        <f t="shared" si="382"/>
        <v>46</v>
      </c>
      <c r="AC1445" s="100">
        <f t="shared" si="383"/>
        <v>0.96330875570072017</v>
      </c>
    </row>
    <row r="1446" spans="4:29" x14ac:dyDescent="0.35">
      <c r="D1446">
        <f t="shared" si="384"/>
        <v>1442</v>
      </c>
      <c r="E1446" s="101">
        <v>7</v>
      </c>
      <c r="F1446" s="4">
        <v>2</v>
      </c>
      <c r="G1446" s="4">
        <v>3</v>
      </c>
      <c r="H1446" s="4">
        <v>5</v>
      </c>
      <c r="I1446" s="4">
        <v>7</v>
      </c>
      <c r="J1446" s="4">
        <v>7</v>
      </c>
      <c r="K1446" s="102">
        <v>3</v>
      </c>
      <c r="M1446" s="101">
        <f t="shared" si="369"/>
        <v>29</v>
      </c>
      <c r="N1446" s="4">
        <f t="shared" si="370"/>
        <v>56</v>
      </c>
      <c r="O1446" s="4">
        <f t="shared" si="371"/>
        <v>23</v>
      </c>
      <c r="P1446" s="4">
        <f t="shared" si="372"/>
        <v>30</v>
      </c>
      <c r="Q1446" s="4">
        <f t="shared" si="373"/>
        <v>29</v>
      </c>
      <c r="R1446" s="4">
        <f t="shared" si="374"/>
        <v>29</v>
      </c>
      <c r="S1446" s="102">
        <f t="shared" si="375"/>
        <v>23</v>
      </c>
      <c r="U1446" s="101">
        <f t="shared" si="376"/>
        <v>41</v>
      </c>
      <c r="V1446" s="4">
        <f t="shared" si="377"/>
        <v>78</v>
      </c>
      <c r="W1446" s="4">
        <f t="shared" si="378"/>
        <v>39</v>
      </c>
      <c r="X1446" s="4">
        <f t="shared" si="379"/>
        <v>39</v>
      </c>
      <c r="Y1446" s="4">
        <f t="shared" si="380"/>
        <v>41</v>
      </c>
      <c r="Z1446" s="4">
        <f t="shared" si="381"/>
        <v>41</v>
      </c>
      <c r="AA1446" s="102">
        <f t="shared" si="382"/>
        <v>39</v>
      </c>
      <c r="AC1446" s="100">
        <f t="shared" si="383"/>
        <v>0.97381455589621524</v>
      </c>
    </row>
    <row r="1447" spans="4:29" x14ac:dyDescent="0.35">
      <c r="D1447">
        <f t="shared" si="384"/>
        <v>1443</v>
      </c>
      <c r="E1447" s="101">
        <v>1</v>
      </c>
      <c r="F1447" s="4">
        <v>3</v>
      </c>
      <c r="G1447" s="4">
        <v>4</v>
      </c>
      <c r="H1447" s="4">
        <v>2</v>
      </c>
      <c r="I1447" s="4">
        <v>6</v>
      </c>
      <c r="J1447" s="4">
        <v>4</v>
      </c>
      <c r="K1447" s="102">
        <v>6</v>
      </c>
      <c r="M1447" s="101">
        <f t="shared" si="369"/>
        <v>34</v>
      </c>
      <c r="N1447" s="4">
        <f t="shared" si="370"/>
        <v>23</v>
      </c>
      <c r="O1447" s="4">
        <f t="shared" si="371"/>
        <v>12</v>
      </c>
      <c r="P1447" s="4">
        <f t="shared" si="372"/>
        <v>56</v>
      </c>
      <c r="Q1447" s="4">
        <f t="shared" si="373"/>
        <v>45</v>
      </c>
      <c r="R1447" s="4">
        <f t="shared" si="374"/>
        <v>12</v>
      </c>
      <c r="S1447" s="102">
        <f t="shared" si="375"/>
        <v>45</v>
      </c>
      <c r="U1447" s="101">
        <f t="shared" si="376"/>
        <v>46</v>
      </c>
      <c r="V1447" s="4">
        <f t="shared" si="377"/>
        <v>39</v>
      </c>
      <c r="W1447" s="4">
        <f t="shared" si="378"/>
        <v>9</v>
      </c>
      <c r="X1447" s="4">
        <f t="shared" si="379"/>
        <v>78</v>
      </c>
      <c r="Y1447" s="4">
        <f t="shared" si="380"/>
        <v>71</v>
      </c>
      <c r="Z1447" s="4">
        <f t="shared" si="381"/>
        <v>9</v>
      </c>
      <c r="AA1447" s="102">
        <f t="shared" si="382"/>
        <v>71</v>
      </c>
      <c r="AC1447" s="100">
        <f t="shared" si="383"/>
        <v>0.9815290768038003</v>
      </c>
    </row>
    <row r="1448" spans="4:29" x14ac:dyDescent="0.35">
      <c r="D1448">
        <f t="shared" si="384"/>
        <v>1444</v>
      </c>
      <c r="E1448" s="101">
        <v>4</v>
      </c>
      <c r="F1448" s="4">
        <v>2</v>
      </c>
      <c r="G1448" s="4">
        <v>3</v>
      </c>
      <c r="H1448" s="4">
        <v>1</v>
      </c>
      <c r="I1448" s="4">
        <v>5</v>
      </c>
      <c r="J1448" s="4">
        <v>7</v>
      </c>
      <c r="K1448" s="102">
        <v>6</v>
      </c>
      <c r="M1448" s="101">
        <f t="shared" si="369"/>
        <v>12</v>
      </c>
      <c r="N1448" s="4">
        <f t="shared" si="370"/>
        <v>56</v>
      </c>
      <c r="O1448" s="4">
        <f t="shared" si="371"/>
        <v>23</v>
      </c>
      <c r="P1448" s="4">
        <f t="shared" si="372"/>
        <v>34</v>
      </c>
      <c r="Q1448" s="4">
        <f t="shared" si="373"/>
        <v>30</v>
      </c>
      <c r="R1448" s="4">
        <f t="shared" si="374"/>
        <v>29</v>
      </c>
      <c r="S1448" s="102">
        <f t="shared" si="375"/>
        <v>45</v>
      </c>
      <c r="U1448" s="101">
        <f t="shared" si="376"/>
        <v>9</v>
      </c>
      <c r="V1448" s="4">
        <f t="shared" si="377"/>
        <v>78</v>
      </c>
      <c r="W1448" s="4">
        <f t="shared" si="378"/>
        <v>39</v>
      </c>
      <c r="X1448" s="4">
        <f t="shared" si="379"/>
        <v>46</v>
      </c>
      <c r="Y1448" s="4">
        <f t="shared" si="380"/>
        <v>39</v>
      </c>
      <c r="Z1448" s="4">
        <f t="shared" si="381"/>
        <v>41</v>
      </c>
      <c r="AA1448" s="102">
        <f t="shared" si="382"/>
        <v>71</v>
      </c>
      <c r="AC1448" s="100">
        <f t="shared" si="383"/>
        <v>0.97529211313754438</v>
      </c>
    </row>
    <row r="1449" spans="4:29" x14ac:dyDescent="0.35">
      <c r="D1449">
        <f t="shared" si="384"/>
        <v>1445</v>
      </c>
      <c r="E1449" s="101">
        <v>7</v>
      </c>
      <c r="F1449" s="4">
        <v>2</v>
      </c>
      <c r="G1449" s="4">
        <v>3</v>
      </c>
      <c r="H1449" s="4">
        <v>6</v>
      </c>
      <c r="I1449" s="4">
        <v>2</v>
      </c>
      <c r="J1449" s="4">
        <v>3</v>
      </c>
      <c r="K1449" s="102">
        <v>2</v>
      </c>
      <c r="M1449" s="101">
        <f t="shared" si="369"/>
        <v>29</v>
      </c>
      <c r="N1449" s="4">
        <f t="shared" si="370"/>
        <v>56</v>
      </c>
      <c r="O1449" s="4">
        <f t="shared" si="371"/>
        <v>23</v>
      </c>
      <c r="P1449" s="4">
        <f t="shared" si="372"/>
        <v>45</v>
      </c>
      <c r="Q1449" s="4">
        <f t="shared" si="373"/>
        <v>56</v>
      </c>
      <c r="R1449" s="4">
        <f t="shared" si="374"/>
        <v>23</v>
      </c>
      <c r="S1449" s="102">
        <f t="shared" si="375"/>
        <v>56</v>
      </c>
      <c r="U1449" s="101">
        <f t="shared" si="376"/>
        <v>41</v>
      </c>
      <c r="V1449" s="4">
        <f t="shared" si="377"/>
        <v>78</v>
      </c>
      <c r="W1449" s="4">
        <f t="shared" si="378"/>
        <v>39</v>
      </c>
      <c r="X1449" s="4">
        <f t="shared" si="379"/>
        <v>71</v>
      </c>
      <c r="Y1449" s="4">
        <f t="shared" si="380"/>
        <v>78</v>
      </c>
      <c r="Z1449" s="4">
        <f t="shared" si="381"/>
        <v>39</v>
      </c>
      <c r="AA1449" s="102">
        <f t="shared" si="382"/>
        <v>78</v>
      </c>
      <c r="AC1449" s="100">
        <f t="shared" si="383"/>
        <v>0.98772709219308885</v>
      </c>
    </row>
    <row r="1450" spans="4:29" x14ac:dyDescent="0.35">
      <c r="D1450">
        <f t="shared" si="384"/>
        <v>1446</v>
      </c>
      <c r="E1450" s="101">
        <v>4</v>
      </c>
      <c r="F1450" s="4">
        <v>2</v>
      </c>
      <c r="G1450" s="4">
        <v>4</v>
      </c>
      <c r="H1450" s="4">
        <v>1</v>
      </c>
      <c r="I1450" s="4">
        <v>7</v>
      </c>
      <c r="J1450" s="4">
        <v>4</v>
      </c>
      <c r="K1450" s="102">
        <v>4</v>
      </c>
      <c r="M1450" s="101">
        <f t="shared" si="369"/>
        <v>12</v>
      </c>
      <c r="N1450" s="4">
        <f t="shared" si="370"/>
        <v>56</v>
      </c>
      <c r="O1450" s="4">
        <f t="shared" si="371"/>
        <v>12</v>
      </c>
      <c r="P1450" s="4">
        <f t="shared" si="372"/>
        <v>34</v>
      </c>
      <c r="Q1450" s="4">
        <f t="shared" si="373"/>
        <v>29</v>
      </c>
      <c r="R1450" s="4">
        <f t="shared" si="374"/>
        <v>12</v>
      </c>
      <c r="S1450" s="102">
        <f t="shared" si="375"/>
        <v>12</v>
      </c>
      <c r="U1450" s="101">
        <f t="shared" si="376"/>
        <v>9</v>
      </c>
      <c r="V1450" s="4">
        <f t="shared" si="377"/>
        <v>78</v>
      </c>
      <c r="W1450" s="4">
        <f t="shared" si="378"/>
        <v>9</v>
      </c>
      <c r="X1450" s="4">
        <f t="shared" si="379"/>
        <v>46</v>
      </c>
      <c r="Y1450" s="4">
        <f t="shared" si="380"/>
        <v>41</v>
      </c>
      <c r="Z1450" s="4">
        <f t="shared" si="381"/>
        <v>9</v>
      </c>
      <c r="AA1450" s="102">
        <f t="shared" si="382"/>
        <v>9</v>
      </c>
      <c r="AC1450" s="100">
        <f t="shared" si="383"/>
        <v>0.99724724510226426</v>
      </c>
    </row>
    <row r="1451" spans="4:29" x14ac:dyDescent="0.35">
      <c r="D1451">
        <f t="shared" si="384"/>
        <v>1447</v>
      </c>
      <c r="E1451" s="101">
        <v>2</v>
      </c>
      <c r="F1451" s="4">
        <v>7</v>
      </c>
      <c r="G1451" s="4">
        <v>4</v>
      </c>
      <c r="H1451" s="4">
        <v>6</v>
      </c>
      <c r="I1451" s="4">
        <v>5</v>
      </c>
      <c r="J1451" s="4">
        <v>4</v>
      </c>
      <c r="K1451" s="102">
        <v>2</v>
      </c>
      <c r="M1451" s="101">
        <f t="shared" si="369"/>
        <v>56</v>
      </c>
      <c r="N1451" s="4">
        <f t="shared" si="370"/>
        <v>29</v>
      </c>
      <c r="O1451" s="4">
        <f t="shared" si="371"/>
        <v>12</v>
      </c>
      <c r="P1451" s="4">
        <f t="shared" si="372"/>
        <v>45</v>
      </c>
      <c r="Q1451" s="4">
        <f t="shared" si="373"/>
        <v>30</v>
      </c>
      <c r="R1451" s="4">
        <f t="shared" si="374"/>
        <v>12</v>
      </c>
      <c r="S1451" s="102">
        <f t="shared" si="375"/>
        <v>56</v>
      </c>
      <c r="U1451" s="101">
        <f t="shared" si="376"/>
        <v>78</v>
      </c>
      <c r="V1451" s="4">
        <f t="shared" si="377"/>
        <v>41</v>
      </c>
      <c r="W1451" s="4">
        <f t="shared" si="378"/>
        <v>9</v>
      </c>
      <c r="X1451" s="4">
        <f t="shared" si="379"/>
        <v>71</v>
      </c>
      <c r="Y1451" s="4">
        <f t="shared" si="380"/>
        <v>39</v>
      </c>
      <c r="Z1451" s="4">
        <f t="shared" si="381"/>
        <v>9</v>
      </c>
      <c r="AA1451" s="102">
        <f t="shared" si="382"/>
        <v>78</v>
      </c>
      <c r="AC1451" s="100">
        <f t="shared" si="383"/>
        <v>0.99166347144710942</v>
      </c>
    </row>
    <row r="1452" spans="4:29" x14ac:dyDescent="0.35">
      <c r="D1452">
        <f t="shared" si="384"/>
        <v>1448</v>
      </c>
      <c r="E1452" s="101">
        <v>2</v>
      </c>
      <c r="F1452" s="4">
        <v>4</v>
      </c>
      <c r="G1452" s="4">
        <v>4</v>
      </c>
      <c r="H1452" s="4">
        <v>2</v>
      </c>
      <c r="I1452" s="4">
        <v>3</v>
      </c>
      <c r="J1452" s="4">
        <v>5</v>
      </c>
      <c r="K1452" s="102">
        <v>3</v>
      </c>
      <c r="M1452" s="101">
        <f t="shared" si="369"/>
        <v>56</v>
      </c>
      <c r="N1452" s="4">
        <f t="shared" si="370"/>
        <v>12</v>
      </c>
      <c r="O1452" s="4">
        <f t="shared" si="371"/>
        <v>12</v>
      </c>
      <c r="P1452" s="4">
        <f t="shared" si="372"/>
        <v>56</v>
      </c>
      <c r="Q1452" s="4">
        <f t="shared" si="373"/>
        <v>23</v>
      </c>
      <c r="R1452" s="4">
        <f t="shared" si="374"/>
        <v>30</v>
      </c>
      <c r="S1452" s="102">
        <f t="shared" si="375"/>
        <v>23</v>
      </c>
      <c r="U1452" s="101">
        <f t="shared" si="376"/>
        <v>78</v>
      </c>
      <c r="V1452" s="4">
        <f t="shared" si="377"/>
        <v>9</v>
      </c>
      <c r="W1452" s="4">
        <f t="shared" si="378"/>
        <v>9</v>
      </c>
      <c r="X1452" s="4">
        <f t="shared" si="379"/>
        <v>78</v>
      </c>
      <c r="Y1452" s="4">
        <f t="shared" si="380"/>
        <v>39</v>
      </c>
      <c r="Z1452" s="4">
        <f t="shared" si="381"/>
        <v>39</v>
      </c>
      <c r="AA1452" s="102">
        <f t="shared" si="382"/>
        <v>39</v>
      </c>
      <c r="AC1452" s="100">
        <f t="shared" si="383"/>
        <v>0.97834389754476137</v>
      </c>
    </row>
    <row r="1453" spans="4:29" x14ac:dyDescent="0.35">
      <c r="D1453">
        <f t="shared" si="384"/>
        <v>1449</v>
      </c>
      <c r="E1453" s="101">
        <v>2</v>
      </c>
      <c r="F1453" s="4">
        <v>4</v>
      </c>
      <c r="G1453" s="4">
        <v>3</v>
      </c>
      <c r="H1453" s="4">
        <v>5</v>
      </c>
      <c r="I1453" s="4">
        <v>6</v>
      </c>
      <c r="J1453" s="4">
        <v>6</v>
      </c>
      <c r="K1453" s="102">
        <v>5</v>
      </c>
      <c r="M1453" s="101">
        <f t="shared" si="369"/>
        <v>56</v>
      </c>
      <c r="N1453" s="4">
        <f t="shared" si="370"/>
        <v>12</v>
      </c>
      <c r="O1453" s="4">
        <f t="shared" si="371"/>
        <v>23</v>
      </c>
      <c r="P1453" s="4">
        <f t="shared" si="372"/>
        <v>30</v>
      </c>
      <c r="Q1453" s="4">
        <f t="shared" si="373"/>
        <v>45</v>
      </c>
      <c r="R1453" s="4">
        <f t="shared" si="374"/>
        <v>45</v>
      </c>
      <c r="S1453" s="102">
        <f t="shared" si="375"/>
        <v>30</v>
      </c>
      <c r="U1453" s="101">
        <f t="shared" si="376"/>
        <v>78</v>
      </c>
      <c r="V1453" s="4">
        <f t="shared" si="377"/>
        <v>9</v>
      </c>
      <c r="W1453" s="4">
        <f t="shared" si="378"/>
        <v>39</v>
      </c>
      <c r="X1453" s="4">
        <f t="shared" si="379"/>
        <v>39</v>
      </c>
      <c r="Y1453" s="4">
        <f t="shared" si="380"/>
        <v>71</v>
      </c>
      <c r="Z1453" s="4">
        <f t="shared" si="381"/>
        <v>71</v>
      </c>
      <c r="AA1453" s="102">
        <f t="shared" si="382"/>
        <v>39</v>
      </c>
      <c r="AC1453" s="100">
        <f t="shared" si="383"/>
        <v>0.97496631996209782</v>
      </c>
    </row>
    <row r="1454" spans="4:29" x14ac:dyDescent="0.35">
      <c r="D1454">
        <f t="shared" si="384"/>
        <v>1450</v>
      </c>
      <c r="E1454" s="101">
        <v>5</v>
      </c>
      <c r="F1454" s="4">
        <v>4</v>
      </c>
      <c r="G1454" s="4">
        <v>1</v>
      </c>
      <c r="H1454" s="4">
        <v>7</v>
      </c>
      <c r="I1454" s="4">
        <v>7</v>
      </c>
      <c r="J1454" s="4">
        <v>3</v>
      </c>
      <c r="K1454" s="102">
        <v>7</v>
      </c>
      <c r="M1454" s="101">
        <f t="shared" si="369"/>
        <v>30</v>
      </c>
      <c r="N1454" s="4">
        <f t="shared" si="370"/>
        <v>12</v>
      </c>
      <c r="O1454" s="4">
        <f t="shared" si="371"/>
        <v>34</v>
      </c>
      <c r="P1454" s="4">
        <f t="shared" si="372"/>
        <v>29</v>
      </c>
      <c r="Q1454" s="4">
        <f t="shared" si="373"/>
        <v>29</v>
      </c>
      <c r="R1454" s="4">
        <f t="shared" si="374"/>
        <v>23</v>
      </c>
      <c r="S1454" s="102">
        <f t="shared" si="375"/>
        <v>29</v>
      </c>
      <c r="U1454" s="101">
        <f t="shared" si="376"/>
        <v>39</v>
      </c>
      <c r="V1454" s="4">
        <f t="shared" si="377"/>
        <v>9</v>
      </c>
      <c r="W1454" s="4">
        <f t="shared" si="378"/>
        <v>46</v>
      </c>
      <c r="X1454" s="4">
        <f t="shared" si="379"/>
        <v>41</v>
      </c>
      <c r="Y1454" s="4">
        <f t="shared" si="380"/>
        <v>41</v>
      </c>
      <c r="Z1454" s="4">
        <f t="shared" si="381"/>
        <v>39</v>
      </c>
      <c r="AA1454" s="102">
        <f t="shared" si="382"/>
        <v>41</v>
      </c>
      <c r="AC1454" s="100">
        <f t="shared" si="383"/>
        <v>0.9437939365183533</v>
      </c>
    </row>
    <row r="1455" spans="4:29" x14ac:dyDescent="0.35">
      <c r="D1455">
        <f t="shared" si="384"/>
        <v>1451</v>
      </c>
      <c r="E1455" s="101">
        <v>4</v>
      </c>
      <c r="F1455" s="4">
        <v>5</v>
      </c>
      <c r="G1455" s="4">
        <v>5</v>
      </c>
      <c r="H1455" s="4">
        <v>3</v>
      </c>
      <c r="I1455" s="4">
        <v>7</v>
      </c>
      <c r="J1455" s="4">
        <v>6</v>
      </c>
      <c r="K1455" s="102">
        <v>3</v>
      </c>
      <c r="M1455" s="101">
        <f t="shared" si="369"/>
        <v>12</v>
      </c>
      <c r="N1455" s="4">
        <f t="shared" si="370"/>
        <v>30</v>
      </c>
      <c r="O1455" s="4">
        <f t="shared" si="371"/>
        <v>30</v>
      </c>
      <c r="P1455" s="4">
        <f t="shared" si="372"/>
        <v>23</v>
      </c>
      <c r="Q1455" s="4">
        <f t="shared" si="373"/>
        <v>29</v>
      </c>
      <c r="R1455" s="4">
        <f t="shared" si="374"/>
        <v>45</v>
      </c>
      <c r="S1455" s="102">
        <f t="shared" si="375"/>
        <v>23</v>
      </c>
      <c r="U1455" s="101">
        <f t="shared" si="376"/>
        <v>9</v>
      </c>
      <c r="V1455" s="4">
        <f t="shared" si="377"/>
        <v>39</v>
      </c>
      <c r="W1455" s="4">
        <f t="shared" si="378"/>
        <v>39</v>
      </c>
      <c r="X1455" s="4">
        <f t="shared" si="379"/>
        <v>39</v>
      </c>
      <c r="Y1455" s="4">
        <f t="shared" si="380"/>
        <v>41</v>
      </c>
      <c r="Z1455" s="4">
        <f t="shared" si="381"/>
        <v>71</v>
      </c>
      <c r="AA1455" s="102">
        <f t="shared" si="382"/>
        <v>39</v>
      </c>
      <c r="AC1455" s="100">
        <f t="shared" si="383"/>
        <v>0.95526246841897056</v>
      </c>
    </row>
    <row r="1456" spans="4:29" x14ac:dyDescent="0.35">
      <c r="D1456">
        <f t="shared" si="384"/>
        <v>1452</v>
      </c>
      <c r="E1456" s="101">
        <v>6</v>
      </c>
      <c r="F1456" s="4">
        <v>5</v>
      </c>
      <c r="G1456" s="4">
        <v>2</v>
      </c>
      <c r="H1456" s="4">
        <v>3</v>
      </c>
      <c r="I1456" s="4">
        <v>2</v>
      </c>
      <c r="J1456" s="4">
        <v>1</v>
      </c>
      <c r="K1456" s="102">
        <v>6</v>
      </c>
      <c r="M1456" s="101">
        <f t="shared" si="369"/>
        <v>45</v>
      </c>
      <c r="N1456" s="4">
        <f t="shared" si="370"/>
        <v>30</v>
      </c>
      <c r="O1456" s="4">
        <f t="shared" si="371"/>
        <v>56</v>
      </c>
      <c r="P1456" s="4">
        <f t="shared" si="372"/>
        <v>23</v>
      </c>
      <c r="Q1456" s="4">
        <f t="shared" si="373"/>
        <v>56</v>
      </c>
      <c r="R1456" s="4">
        <f t="shared" si="374"/>
        <v>34</v>
      </c>
      <c r="S1456" s="102">
        <f t="shared" si="375"/>
        <v>45</v>
      </c>
      <c r="U1456" s="101">
        <f t="shared" si="376"/>
        <v>71</v>
      </c>
      <c r="V1456" s="4">
        <f t="shared" si="377"/>
        <v>39</v>
      </c>
      <c r="W1456" s="4">
        <f t="shared" si="378"/>
        <v>78</v>
      </c>
      <c r="X1456" s="4">
        <f t="shared" si="379"/>
        <v>39</v>
      </c>
      <c r="Y1456" s="4">
        <f t="shared" si="380"/>
        <v>78</v>
      </c>
      <c r="Z1456" s="4">
        <f t="shared" si="381"/>
        <v>46</v>
      </c>
      <c r="AA1456" s="102">
        <f t="shared" si="382"/>
        <v>71</v>
      </c>
      <c r="AC1456" s="100">
        <f t="shared" si="383"/>
        <v>0.96327016407967792</v>
      </c>
    </row>
    <row r="1457" spans="4:29" x14ac:dyDescent="0.35">
      <c r="D1457">
        <f t="shared" si="384"/>
        <v>1453</v>
      </c>
      <c r="E1457" s="101">
        <v>5</v>
      </c>
      <c r="F1457" s="4">
        <v>6</v>
      </c>
      <c r="G1457" s="4">
        <v>6</v>
      </c>
      <c r="H1457" s="4">
        <v>3</v>
      </c>
      <c r="I1457" s="4">
        <v>3</v>
      </c>
      <c r="J1457" s="4">
        <v>7</v>
      </c>
      <c r="K1457" s="102">
        <v>4</v>
      </c>
      <c r="M1457" s="101">
        <f t="shared" si="369"/>
        <v>30</v>
      </c>
      <c r="N1457" s="4">
        <f t="shared" si="370"/>
        <v>45</v>
      </c>
      <c r="O1457" s="4">
        <f t="shared" si="371"/>
        <v>45</v>
      </c>
      <c r="P1457" s="4">
        <f t="shared" si="372"/>
        <v>23</v>
      </c>
      <c r="Q1457" s="4">
        <f t="shared" si="373"/>
        <v>23</v>
      </c>
      <c r="R1457" s="4">
        <f t="shared" si="374"/>
        <v>29</v>
      </c>
      <c r="S1457" s="102">
        <f t="shared" si="375"/>
        <v>12</v>
      </c>
      <c r="U1457" s="101">
        <f t="shared" si="376"/>
        <v>39</v>
      </c>
      <c r="V1457" s="4">
        <f t="shared" si="377"/>
        <v>71</v>
      </c>
      <c r="W1457" s="4">
        <f t="shared" si="378"/>
        <v>71</v>
      </c>
      <c r="X1457" s="4">
        <f t="shared" si="379"/>
        <v>39</v>
      </c>
      <c r="Y1457" s="4">
        <f t="shared" si="380"/>
        <v>39</v>
      </c>
      <c r="Z1457" s="4">
        <f t="shared" si="381"/>
        <v>41</v>
      </c>
      <c r="AA1457" s="102">
        <f t="shared" si="382"/>
        <v>9</v>
      </c>
      <c r="AC1457" s="100">
        <f t="shared" si="383"/>
        <v>0.97449918160719295</v>
      </c>
    </row>
    <row r="1458" spans="4:29" x14ac:dyDescent="0.35">
      <c r="D1458">
        <f t="shared" si="384"/>
        <v>1454</v>
      </c>
      <c r="E1458" s="101">
        <v>4</v>
      </c>
      <c r="F1458" s="4">
        <v>1</v>
      </c>
      <c r="G1458" s="4">
        <v>3</v>
      </c>
      <c r="H1458" s="4">
        <v>6</v>
      </c>
      <c r="I1458" s="4">
        <v>6</v>
      </c>
      <c r="J1458" s="4">
        <v>5</v>
      </c>
      <c r="K1458" s="102">
        <v>2</v>
      </c>
      <c r="M1458" s="101">
        <f t="shared" si="369"/>
        <v>12</v>
      </c>
      <c r="N1458" s="4">
        <f t="shared" si="370"/>
        <v>34</v>
      </c>
      <c r="O1458" s="4">
        <f t="shared" si="371"/>
        <v>23</v>
      </c>
      <c r="P1458" s="4">
        <f t="shared" si="372"/>
        <v>45</v>
      </c>
      <c r="Q1458" s="4">
        <f t="shared" si="373"/>
        <v>45</v>
      </c>
      <c r="R1458" s="4">
        <f t="shared" si="374"/>
        <v>30</v>
      </c>
      <c r="S1458" s="102">
        <f t="shared" si="375"/>
        <v>56</v>
      </c>
      <c r="U1458" s="101">
        <f t="shared" si="376"/>
        <v>9</v>
      </c>
      <c r="V1458" s="4">
        <f t="shared" si="377"/>
        <v>46</v>
      </c>
      <c r="W1458" s="4">
        <f t="shared" si="378"/>
        <v>39</v>
      </c>
      <c r="X1458" s="4">
        <f t="shared" si="379"/>
        <v>71</v>
      </c>
      <c r="Y1458" s="4">
        <f t="shared" si="380"/>
        <v>71</v>
      </c>
      <c r="Z1458" s="4">
        <f t="shared" si="381"/>
        <v>39</v>
      </c>
      <c r="AA1458" s="102">
        <f t="shared" si="382"/>
        <v>78</v>
      </c>
      <c r="AC1458" s="100">
        <f t="shared" si="383"/>
        <v>0.97474696498290037</v>
      </c>
    </row>
    <row r="1459" spans="4:29" x14ac:dyDescent="0.35">
      <c r="D1459">
        <f t="shared" si="384"/>
        <v>1455</v>
      </c>
      <c r="E1459" s="101">
        <v>3</v>
      </c>
      <c r="F1459" s="4">
        <v>5</v>
      </c>
      <c r="G1459" s="4">
        <v>2</v>
      </c>
      <c r="H1459" s="4">
        <v>1</v>
      </c>
      <c r="I1459" s="4">
        <v>6</v>
      </c>
      <c r="J1459" s="4">
        <v>3</v>
      </c>
      <c r="K1459" s="102">
        <v>5</v>
      </c>
      <c r="M1459" s="101">
        <f t="shared" si="369"/>
        <v>23</v>
      </c>
      <c r="N1459" s="4">
        <f t="shared" si="370"/>
        <v>30</v>
      </c>
      <c r="O1459" s="4">
        <f t="shared" si="371"/>
        <v>56</v>
      </c>
      <c r="P1459" s="4">
        <f t="shared" si="372"/>
        <v>34</v>
      </c>
      <c r="Q1459" s="4">
        <f t="shared" si="373"/>
        <v>45</v>
      </c>
      <c r="R1459" s="4">
        <f t="shared" si="374"/>
        <v>23</v>
      </c>
      <c r="S1459" s="102">
        <f t="shared" si="375"/>
        <v>30</v>
      </c>
      <c r="U1459" s="101">
        <f t="shared" si="376"/>
        <v>39</v>
      </c>
      <c r="V1459" s="4">
        <f t="shared" si="377"/>
        <v>39</v>
      </c>
      <c r="W1459" s="4">
        <f t="shared" si="378"/>
        <v>78</v>
      </c>
      <c r="X1459" s="4">
        <f t="shared" si="379"/>
        <v>46</v>
      </c>
      <c r="Y1459" s="4">
        <f t="shared" si="380"/>
        <v>71</v>
      </c>
      <c r="Z1459" s="4">
        <f t="shared" si="381"/>
        <v>39</v>
      </c>
      <c r="AA1459" s="102">
        <f t="shared" si="382"/>
        <v>39</v>
      </c>
      <c r="AC1459" s="100">
        <f t="shared" si="383"/>
        <v>0.95623612959597826</v>
      </c>
    </row>
    <row r="1460" spans="4:29" x14ac:dyDescent="0.35">
      <c r="D1460">
        <f t="shared" si="384"/>
        <v>1456</v>
      </c>
      <c r="E1460" s="101">
        <v>4</v>
      </c>
      <c r="F1460" s="4">
        <v>1</v>
      </c>
      <c r="G1460" s="4">
        <v>1</v>
      </c>
      <c r="H1460" s="4">
        <v>7</v>
      </c>
      <c r="I1460" s="4">
        <v>5</v>
      </c>
      <c r="J1460" s="4">
        <v>3</v>
      </c>
      <c r="K1460" s="102">
        <v>3</v>
      </c>
      <c r="M1460" s="101">
        <f t="shared" si="369"/>
        <v>12</v>
      </c>
      <c r="N1460" s="4">
        <f t="shared" si="370"/>
        <v>34</v>
      </c>
      <c r="O1460" s="4">
        <f t="shared" si="371"/>
        <v>34</v>
      </c>
      <c r="P1460" s="4">
        <f t="shared" si="372"/>
        <v>29</v>
      </c>
      <c r="Q1460" s="4">
        <f t="shared" si="373"/>
        <v>30</v>
      </c>
      <c r="R1460" s="4">
        <f t="shared" si="374"/>
        <v>23</v>
      </c>
      <c r="S1460" s="102">
        <f t="shared" si="375"/>
        <v>23</v>
      </c>
      <c r="U1460" s="101">
        <f t="shared" si="376"/>
        <v>9</v>
      </c>
      <c r="V1460" s="4">
        <f t="shared" si="377"/>
        <v>46</v>
      </c>
      <c r="W1460" s="4">
        <f t="shared" si="378"/>
        <v>46</v>
      </c>
      <c r="X1460" s="4">
        <f t="shared" si="379"/>
        <v>41</v>
      </c>
      <c r="Y1460" s="4">
        <f t="shared" si="380"/>
        <v>39</v>
      </c>
      <c r="Z1460" s="4">
        <f t="shared" si="381"/>
        <v>39</v>
      </c>
      <c r="AA1460" s="102">
        <f t="shared" si="382"/>
        <v>39</v>
      </c>
      <c r="AC1460" s="100">
        <f t="shared" si="383"/>
        <v>0.91148275976851889</v>
      </c>
    </row>
    <row r="1461" spans="4:29" x14ac:dyDescent="0.35">
      <c r="D1461">
        <f t="shared" si="384"/>
        <v>1457</v>
      </c>
      <c r="E1461" s="101">
        <v>5</v>
      </c>
      <c r="F1461" s="4">
        <v>2</v>
      </c>
      <c r="G1461" s="4">
        <v>7</v>
      </c>
      <c r="H1461" s="4">
        <v>4</v>
      </c>
      <c r="I1461" s="4">
        <v>2</v>
      </c>
      <c r="J1461" s="4">
        <v>6</v>
      </c>
      <c r="K1461" s="102">
        <v>2</v>
      </c>
      <c r="M1461" s="101">
        <f t="shared" si="369"/>
        <v>30</v>
      </c>
      <c r="N1461" s="4">
        <f t="shared" si="370"/>
        <v>56</v>
      </c>
      <c r="O1461" s="4">
        <f t="shared" si="371"/>
        <v>29</v>
      </c>
      <c r="P1461" s="4">
        <f t="shared" si="372"/>
        <v>12</v>
      </c>
      <c r="Q1461" s="4">
        <f t="shared" si="373"/>
        <v>56</v>
      </c>
      <c r="R1461" s="4">
        <f t="shared" si="374"/>
        <v>45</v>
      </c>
      <c r="S1461" s="102">
        <f t="shared" si="375"/>
        <v>56</v>
      </c>
      <c r="U1461" s="101">
        <f t="shared" si="376"/>
        <v>39</v>
      </c>
      <c r="V1461" s="4">
        <f t="shared" si="377"/>
        <v>78</v>
      </c>
      <c r="W1461" s="4">
        <f t="shared" si="378"/>
        <v>41</v>
      </c>
      <c r="X1461" s="4">
        <f t="shared" si="379"/>
        <v>9</v>
      </c>
      <c r="Y1461" s="4">
        <f t="shared" si="380"/>
        <v>78</v>
      </c>
      <c r="Z1461" s="4">
        <f t="shared" si="381"/>
        <v>71</v>
      </c>
      <c r="AA1461" s="102">
        <f t="shared" si="382"/>
        <v>78</v>
      </c>
      <c r="AC1461" s="100">
        <f t="shared" si="383"/>
        <v>0.98937726106300583</v>
      </c>
    </row>
    <row r="1462" spans="4:29" x14ac:dyDescent="0.35">
      <c r="D1462">
        <f t="shared" si="384"/>
        <v>1458</v>
      </c>
      <c r="E1462" s="101">
        <v>7</v>
      </c>
      <c r="F1462" s="4">
        <v>5</v>
      </c>
      <c r="G1462" s="4">
        <v>6</v>
      </c>
      <c r="H1462" s="4">
        <v>3</v>
      </c>
      <c r="I1462" s="4">
        <v>3</v>
      </c>
      <c r="J1462" s="4">
        <v>4</v>
      </c>
      <c r="K1462" s="102">
        <v>5</v>
      </c>
      <c r="M1462" s="101">
        <f t="shared" si="369"/>
        <v>29</v>
      </c>
      <c r="N1462" s="4">
        <f t="shared" si="370"/>
        <v>30</v>
      </c>
      <c r="O1462" s="4">
        <f t="shared" si="371"/>
        <v>45</v>
      </c>
      <c r="P1462" s="4">
        <f t="shared" si="372"/>
        <v>23</v>
      </c>
      <c r="Q1462" s="4">
        <f t="shared" si="373"/>
        <v>23</v>
      </c>
      <c r="R1462" s="4">
        <f t="shared" si="374"/>
        <v>12</v>
      </c>
      <c r="S1462" s="102">
        <f t="shared" si="375"/>
        <v>30</v>
      </c>
      <c r="U1462" s="101">
        <f t="shared" si="376"/>
        <v>41</v>
      </c>
      <c r="V1462" s="4">
        <f t="shared" si="377"/>
        <v>39</v>
      </c>
      <c r="W1462" s="4">
        <f t="shared" si="378"/>
        <v>71</v>
      </c>
      <c r="X1462" s="4">
        <f t="shared" si="379"/>
        <v>39</v>
      </c>
      <c r="Y1462" s="4">
        <f t="shared" si="380"/>
        <v>39</v>
      </c>
      <c r="Z1462" s="4">
        <f t="shared" si="381"/>
        <v>9</v>
      </c>
      <c r="AA1462" s="102">
        <f t="shared" si="382"/>
        <v>39</v>
      </c>
      <c r="AC1462" s="100">
        <f t="shared" si="383"/>
        <v>0.95526246841897067</v>
      </c>
    </row>
    <row r="1463" spans="4:29" x14ac:dyDescent="0.35">
      <c r="D1463">
        <f t="shared" si="384"/>
        <v>1459</v>
      </c>
      <c r="E1463" s="101">
        <v>4</v>
      </c>
      <c r="F1463" s="4">
        <v>6</v>
      </c>
      <c r="G1463" s="4">
        <v>2</v>
      </c>
      <c r="H1463" s="4">
        <v>3</v>
      </c>
      <c r="I1463" s="4">
        <v>3</v>
      </c>
      <c r="J1463" s="4">
        <v>7</v>
      </c>
      <c r="K1463" s="102">
        <v>3</v>
      </c>
      <c r="M1463" s="101">
        <f t="shared" si="369"/>
        <v>12</v>
      </c>
      <c r="N1463" s="4">
        <f t="shared" si="370"/>
        <v>45</v>
      </c>
      <c r="O1463" s="4">
        <f t="shared" si="371"/>
        <v>56</v>
      </c>
      <c r="P1463" s="4">
        <f t="shared" si="372"/>
        <v>23</v>
      </c>
      <c r="Q1463" s="4">
        <f t="shared" si="373"/>
        <v>23</v>
      </c>
      <c r="R1463" s="4">
        <f t="shared" si="374"/>
        <v>29</v>
      </c>
      <c r="S1463" s="102">
        <f t="shared" si="375"/>
        <v>23</v>
      </c>
      <c r="U1463" s="101">
        <f t="shared" si="376"/>
        <v>9</v>
      </c>
      <c r="V1463" s="4">
        <f t="shared" si="377"/>
        <v>71</v>
      </c>
      <c r="W1463" s="4">
        <f t="shared" si="378"/>
        <v>78</v>
      </c>
      <c r="X1463" s="4">
        <f t="shared" si="379"/>
        <v>39</v>
      </c>
      <c r="Y1463" s="4">
        <f t="shared" si="380"/>
        <v>39</v>
      </c>
      <c r="Z1463" s="4">
        <f t="shared" si="381"/>
        <v>41</v>
      </c>
      <c r="AA1463" s="102">
        <f t="shared" si="382"/>
        <v>39</v>
      </c>
      <c r="AC1463" s="100">
        <f t="shared" si="383"/>
        <v>0.9688380007119809</v>
      </c>
    </row>
    <row r="1464" spans="4:29" x14ac:dyDescent="0.35">
      <c r="D1464">
        <f t="shared" si="384"/>
        <v>1460</v>
      </c>
      <c r="E1464" s="101">
        <v>2</v>
      </c>
      <c r="F1464" s="4">
        <v>6</v>
      </c>
      <c r="G1464" s="4">
        <v>5</v>
      </c>
      <c r="H1464" s="4">
        <v>5</v>
      </c>
      <c r="I1464" s="4">
        <v>7</v>
      </c>
      <c r="J1464" s="4">
        <v>1</v>
      </c>
      <c r="K1464" s="102">
        <v>4</v>
      </c>
      <c r="M1464" s="101">
        <f t="shared" si="369"/>
        <v>56</v>
      </c>
      <c r="N1464" s="4">
        <f t="shared" si="370"/>
        <v>45</v>
      </c>
      <c r="O1464" s="4">
        <f t="shared" si="371"/>
        <v>30</v>
      </c>
      <c r="P1464" s="4">
        <f t="shared" si="372"/>
        <v>30</v>
      </c>
      <c r="Q1464" s="4">
        <f t="shared" si="373"/>
        <v>29</v>
      </c>
      <c r="R1464" s="4">
        <f t="shared" si="374"/>
        <v>34</v>
      </c>
      <c r="S1464" s="102">
        <f t="shared" si="375"/>
        <v>12</v>
      </c>
      <c r="U1464" s="101">
        <f t="shared" si="376"/>
        <v>78</v>
      </c>
      <c r="V1464" s="4">
        <f t="shared" si="377"/>
        <v>71</v>
      </c>
      <c r="W1464" s="4">
        <f t="shared" si="378"/>
        <v>39</v>
      </c>
      <c r="X1464" s="4">
        <f t="shared" si="379"/>
        <v>39</v>
      </c>
      <c r="Y1464" s="4">
        <f t="shared" si="380"/>
        <v>41</v>
      </c>
      <c r="Z1464" s="4">
        <f t="shared" si="381"/>
        <v>46</v>
      </c>
      <c r="AA1464" s="102">
        <f t="shared" si="382"/>
        <v>9</v>
      </c>
      <c r="AC1464" s="100">
        <f t="shared" si="383"/>
        <v>0.9881609722049397</v>
      </c>
    </row>
    <row r="1465" spans="4:29" x14ac:dyDescent="0.35">
      <c r="D1465">
        <f t="shared" si="384"/>
        <v>1461</v>
      </c>
      <c r="E1465" s="101">
        <v>2</v>
      </c>
      <c r="F1465" s="4">
        <v>4</v>
      </c>
      <c r="G1465" s="4">
        <v>7</v>
      </c>
      <c r="H1465" s="4">
        <v>3</v>
      </c>
      <c r="I1465" s="4">
        <v>4</v>
      </c>
      <c r="J1465" s="4">
        <v>5</v>
      </c>
      <c r="K1465" s="102">
        <v>2</v>
      </c>
      <c r="M1465" s="101">
        <f t="shared" si="369"/>
        <v>56</v>
      </c>
      <c r="N1465" s="4">
        <f t="shared" si="370"/>
        <v>12</v>
      </c>
      <c r="O1465" s="4">
        <f t="shared" si="371"/>
        <v>29</v>
      </c>
      <c r="P1465" s="4">
        <f t="shared" si="372"/>
        <v>23</v>
      </c>
      <c r="Q1465" s="4">
        <f t="shared" si="373"/>
        <v>12</v>
      </c>
      <c r="R1465" s="4">
        <f t="shared" si="374"/>
        <v>30</v>
      </c>
      <c r="S1465" s="102">
        <f t="shared" si="375"/>
        <v>56</v>
      </c>
      <c r="U1465" s="101">
        <f t="shared" si="376"/>
        <v>78</v>
      </c>
      <c r="V1465" s="4">
        <f t="shared" si="377"/>
        <v>9</v>
      </c>
      <c r="W1465" s="4">
        <f t="shared" si="378"/>
        <v>41</v>
      </c>
      <c r="X1465" s="4">
        <f t="shared" si="379"/>
        <v>39</v>
      </c>
      <c r="Y1465" s="4">
        <f t="shared" si="380"/>
        <v>9</v>
      </c>
      <c r="Z1465" s="4">
        <f t="shared" si="381"/>
        <v>39</v>
      </c>
      <c r="AA1465" s="102">
        <f t="shared" si="382"/>
        <v>78</v>
      </c>
      <c r="AC1465" s="100">
        <f t="shared" si="383"/>
        <v>0.98621454745940018</v>
      </c>
    </row>
    <row r="1466" spans="4:29" x14ac:dyDescent="0.35">
      <c r="D1466">
        <f t="shared" si="384"/>
        <v>1462</v>
      </c>
      <c r="E1466" s="101">
        <v>5</v>
      </c>
      <c r="F1466" s="4">
        <v>6</v>
      </c>
      <c r="G1466" s="4">
        <v>1</v>
      </c>
      <c r="H1466" s="4">
        <v>5</v>
      </c>
      <c r="I1466" s="4">
        <v>5</v>
      </c>
      <c r="J1466" s="4">
        <v>4</v>
      </c>
      <c r="K1466" s="102">
        <v>5</v>
      </c>
      <c r="M1466" s="101">
        <f t="shared" si="369"/>
        <v>30</v>
      </c>
      <c r="N1466" s="4">
        <f t="shared" si="370"/>
        <v>45</v>
      </c>
      <c r="O1466" s="4">
        <f t="shared" si="371"/>
        <v>34</v>
      </c>
      <c r="P1466" s="4">
        <f t="shared" si="372"/>
        <v>30</v>
      </c>
      <c r="Q1466" s="4">
        <f t="shared" si="373"/>
        <v>30</v>
      </c>
      <c r="R1466" s="4">
        <f t="shared" si="374"/>
        <v>12</v>
      </c>
      <c r="S1466" s="102">
        <f t="shared" si="375"/>
        <v>30</v>
      </c>
      <c r="U1466" s="101">
        <f t="shared" si="376"/>
        <v>39</v>
      </c>
      <c r="V1466" s="4">
        <f t="shared" si="377"/>
        <v>71</v>
      </c>
      <c r="W1466" s="4">
        <f t="shared" si="378"/>
        <v>46</v>
      </c>
      <c r="X1466" s="4">
        <f t="shared" si="379"/>
        <v>39</v>
      </c>
      <c r="Y1466" s="4">
        <f t="shared" si="380"/>
        <v>39</v>
      </c>
      <c r="Z1466" s="4">
        <f t="shared" si="381"/>
        <v>9</v>
      </c>
      <c r="AA1466" s="102">
        <f t="shared" si="382"/>
        <v>39</v>
      </c>
      <c r="AC1466" s="100">
        <f t="shared" si="383"/>
        <v>0.99442627408489548</v>
      </c>
    </row>
    <row r="1467" spans="4:29" x14ac:dyDescent="0.35">
      <c r="D1467">
        <f t="shared" si="384"/>
        <v>1463</v>
      </c>
      <c r="E1467" s="101">
        <v>2</v>
      </c>
      <c r="F1467" s="4">
        <v>4</v>
      </c>
      <c r="G1467" s="4">
        <v>4</v>
      </c>
      <c r="H1467" s="4">
        <v>2</v>
      </c>
      <c r="I1467" s="4">
        <v>2</v>
      </c>
      <c r="J1467" s="4">
        <v>2</v>
      </c>
      <c r="K1467" s="102">
        <v>1</v>
      </c>
      <c r="M1467" s="101">
        <f t="shared" si="369"/>
        <v>56</v>
      </c>
      <c r="N1467" s="4">
        <f t="shared" si="370"/>
        <v>12</v>
      </c>
      <c r="O1467" s="4">
        <f t="shared" si="371"/>
        <v>12</v>
      </c>
      <c r="P1467" s="4">
        <f t="shared" si="372"/>
        <v>56</v>
      </c>
      <c r="Q1467" s="4">
        <f t="shared" si="373"/>
        <v>56</v>
      </c>
      <c r="R1467" s="4">
        <f t="shared" si="374"/>
        <v>56</v>
      </c>
      <c r="S1467" s="102">
        <f t="shared" si="375"/>
        <v>34</v>
      </c>
      <c r="U1467" s="101">
        <f t="shared" si="376"/>
        <v>78</v>
      </c>
      <c r="V1467" s="4">
        <f t="shared" si="377"/>
        <v>9</v>
      </c>
      <c r="W1467" s="4">
        <f t="shared" si="378"/>
        <v>9</v>
      </c>
      <c r="X1467" s="4">
        <f t="shared" si="379"/>
        <v>78</v>
      </c>
      <c r="Y1467" s="4">
        <f t="shared" si="380"/>
        <v>78</v>
      </c>
      <c r="Z1467" s="4">
        <f t="shared" si="381"/>
        <v>78</v>
      </c>
      <c r="AA1467" s="102">
        <f t="shared" si="382"/>
        <v>46</v>
      </c>
      <c r="AC1467" s="100">
        <f t="shared" si="383"/>
        <v>0.999589848378996</v>
      </c>
    </row>
    <row r="1468" spans="4:29" x14ac:dyDescent="0.35">
      <c r="D1468">
        <f t="shared" si="384"/>
        <v>1464</v>
      </c>
      <c r="E1468" s="101">
        <v>6</v>
      </c>
      <c r="F1468" s="4">
        <v>3</v>
      </c>
      <c r="G1468" s="4">
        <v>4</v>
      </c>
      <c r="H1468" s="4">
        <v>2</v>
      </c>
      <c r="I1468" s="4">
        <v>1</v>
      </c>
      <c r="J1468" s="4">
        <v>5</v>
      </c>
      <c r="K1468" s="102">
        <v>4</v>
      </c>
      <c r="M1468" s="101">
        <f t="shared" si="369"/>
        <v>45</v>
      </c>
      <c r="N1468" s="4">
        <f t="shared" si="370"/>
        <v>23</v>
      </c>
      <c r="O1468" s="4">
        <f t="shared" si="371"/>
        <v>12</v>
      </c>
      <c r="P1468" s="4">
        <f t="shared" si="372"/>
        <v>56</v>
      </c>
      <c r="Q1468" s="4">
        <f t="shared" si="373"/>
        <v>34</v>
      </c>
      <c r="R1468" s="4">
        <f t="shared" si="374"/>
        <v>30</v>
      </c>
      <c r="S1468" s="102">
        <f t="shared" si="375"/>
        <v>12</v>
      </c>
      <c r="U1468" s="101">
        <f t="shared" si="376"/>
        <v>71</v>
      </c>
      <c r="V1468" s="4">
        <f t="shared" si="377"/>
        <v>39</v>
      </c>
      <c r="W1468" s="4">
        <f t="shared" si="378"/>
        <v>9</v>
      </c>
      <c r="X1468" s="4">
        <f t="shared" si="379"/>
        <v>78</v>
      </c>
      <c r="Y1468" s="4">
        <f t="shared" si="380"/>
        <v>46</v>
      </c>
      <c r="Z1468" s="4">
        <f t="shared" si="381"/>
        <v>39</v>
      </c>
      <c r="AA1468" s="102">
        <f t="shared" si="382"/>
        <v>9</v>
      </c>
      <c r="AC1468" s="100">
        <f t="shared" si="383"/>
        <v>0.98048891763588553</v>
      </c>
    </row>
    <row r="1469" spans="4:29" x14ac:dyDescent="0.35">
      <c r="D1469">
        <f t="shared" si="384"/>
        <v>1465</v>
      </c>
      <c r="E1469" s="101">
        <v>4</v>
      </c>
      <c r="F1469" s="4">
        <v>4</v>
      </c>
      <c r="G1469" s="4">
        <v>2</v>
      </c>
      <c r="H1469" s="4">
        <v>5</v>
      </c>
      <c r="I1469" s="4">
        <v>4</v>
      </c>
      <c r="J1469" s="4">
        <v>1</v>
      </c>
      <c r="K1469" s="102">
        <v>3</v>
      </c>
      <c r="M1469" s="101">
        <f t="shared" si="369"/>
        <v>12</v>
      </c>
      <c r="N1469" s="4">
        <f t="shared" si="370"/>
        <v>12</v>
      </c>
      <c r="O1469" s="4">
        <f t="shared" si="371"/>
        <v>56</v>
      </c>
      <c r="P1469" s="4">
        <f t="shared" si="372"/>
        <v>30</v>
      </c>
      <c r="Q1469" s="4">
        <f t="shared" si="373"/>
        <v>12</v>
      </c>
      <c r="R1469" s="4">
        <f t="shared" si="374"/>
        <v>34</v>
      </c>
      <c r="S1469" s="102">
        <f t="shared" si="375"/>
        <v>23</v>
      </c>
      <c r="U1469" s="101">
        <f t="shared" si="376"/>
        <v>9</v>
      </c>
      <c r="V1469" s="4">
        <f t="shared" si="377"/>
        <v>9</v>
      </c>
      <c r="W1469" s="4">
        <f t="shared" si="378"/>
        <v>78</v>
      </c>
      <c r="X1469" s="4">
        <f t="shared" si="379"/>
        <v>39</v>
      </c>
      <c r="Y1469" s="4">
        <f t="shared" si="380"/>
        <v>9</v>
      </c>
      <c r="Z1469" s="4">
        <f t="shared" si="381"/>
        <v>46</v>
      </c>
      <c r="AA1469" s="102">
        <f t="shared" si="382"/>
        <v>39</v>
      </c>
      <c r="AC1469" s="100">
        <f t="shared" si="383"/>
        <v>0.98351865289124429</v>
      </c>
    </row>
    <row r="1470" spans="4:29" x14ac:dyDescent="0.35">
      <c r="D1470">
        <f t="shared" si="384"/>
        <v>1466</v>
      </c>
      <c r="E1470" s="101">
        <v>1</v>
      </c>
      <c r="F1470" s="4">
        <v>7</v>
      </c>
      <c r="G1470" s="4">
        <v>7</v>
      </c>
      <c r="H1470" s="4">
        <v>7</v>
      </c>
      <c r="I1470" s="4">
        <v>7</v>
      </c>
      <c r="J1470" s="4">
        <v>5</v>
      </c>
      <c r="K1470" s="102">
        <v>7</v>
      </c>
      <c r="M1470" s="101">
        <f t="shared" si="369"/>
        <v>34</v>
      </c>
      <c r="N1470" s="4">
        <f t="shared" si="370"/>
        <v>29</v>
      </c>
      <c r="O1470" s="4">
        <f t="shared" si="371"/>
        <v>29</v>
      </c>
      <c r="P1470" s="4">
        <f t="shared" si="372"/>
        <v>29</v>
      </c>
      <c r="Q1470" s="4">
        <f t="shared" si="373"/>
        <v>29</v>
      </c>
      <c r="R1470" s="4">
        <f t="shared" si="374"/>
        <v>30</v>
      </c>
      <c r="S1470" s="102">
        <f t="shared" si="375"/>
        <v>29</v>
      </c>
      <c r="U1470" s="101">
        <f t="shared" si="376"/>
        <v>46</v>
      </c>
      <c r="V1470" s="4">
        <f t="shared" si="377"/>
        <v>41</v>
      </c>
      <c r="W1470" s="4">
        <f t="shared" si="378"/>
        <v>41</v>
      </c>
      <c r="X1470" s="4">
        <f t="shared" si="379"/>
        <v>41</v>
      </c>
      <c r="Y1470" s="4">
        <f t="shared" si="380"/>
        <v>41</v>
      </c>
      <c r="Z1470" s="4">
        <f t="shared" si="381"/>
        <v>39</v>
      </c>
      <c r="AA1470" s="102">
        <f t="shared" si="382"/>
        <v>41</v>
      </c>
      <c r="AC1470" s="100">
        <f t="shared" si="383"/>
        <v>0.8496865517742791</v>
      </c>
    </row>
    <row r="1471" spans="4:29" x14ac:dyDescent="0.35">
      <c r="D1471">
        <f t="shared" si="384"/>
        <v>1467</v>
      </c>
      <c r="E1471" s="101">
        <v>7</v>
      </c>
      <c r="F1471" s="4">
        <v>1</v>
      </c>
      <c r="G1471" s="4">
        <v>6</v>
      </c>
      <c r="H1471" s="4">
        <v>4</v>
      </c>
      <c r="I1471" s="4">
        <v>5</v>
      </c>
      <c r="J1471" s="4">
        <v>7</v>
      </c>
      <c r="K1471" s="102">
        <v>6</v>
      </c>
      <c r="M1471" s="101">
        <f t="shared" si="369"/>
        <v>29</v>
      </c>
      <c r="N1471" s="4">
        <f t="shared" si="370"/>
        <v>34</v>
      </c>
      <c r="O1471" s="4">
        <f t="shared" si="371"/>
        <v>45</v>
      </c>
      <c r="P1471" s="4">
        <f t="shared" si="372"/>
        <v>12</v>
      </c>
      <c r="Q1471" s="4">
        <f t="shared" si="373"/>
        <v>30</v>
      </c>
      <c r="R1471" s="4">
        <f t="shared" si="374"/>
        <v>29</v>
      </c>
      <c r="S1471" s="102">
        <f t="shared" si="375"/>
        <v>45</v>
      </c>
      <c r="U1471" s="101">
        <f t="shared" si="376"/>
        <v>41</v>
      </c>
      <c r="V1471" s="4">
        <f t="shared" si="377"/>
        <v>46</v>
      </c>
      <c r="W1471" s="4">
        <f t="shared" si="378"/>
        <v>71</v>
      </c>
      <c r="X1471" s="4">
        <f t="shared" si="379"/>
        <v>9</v>
      </c>
      <c r="Y1471" s="4">
        <f t="shared" si="380"/>
        <v>39</v>
      </c>
      <c r="Z1471" s="4">
        <f t="shared" si="381"/>
        <v>41</v>
      </c>
      <c r="AA1471" s="102">
        <f t="shared" si="382"/>
        <v>71</v>
      </c>
      <c r="AC1471" s="100">
        <f t="shared" si="383"/>
        <v>0.99554394118557754</v>
      </c>
    </row>
    <row r="1472" spans="4:29" x14ac:dyDescent="0.35">
      <c r="D1472">
        <f t="shared" si="384"/>
        <v>1468</v>
      </c>
      <c r="E1472" s="101">
        <v>7</v>
      </c>
      <c r="F1472" s="4">
        <v>3</v>
      </c>
      <c r="G1472" s="4">
        <v>4</v>
      </c>
      <c r="H1472" s="4">
        <v>3</v>
      </c>
      <c r="I1472" s="4">
        <v>6</v>
      </c>
      <c r="J1472" s="4">
        <v>6</v>
      </c>
      <c r="K1472" s="102">
        <v>5</v>
      </c>
      <c r="M1472" s="101">
        <f t="shared" si="369"/>
        <v>29</v>
      </c>
      <c r="N1472" s="4">
        <f t="shared" si="370"/>
        <v>23</v>
      </c>
      <c r="O1472" s="4">
        <f t="shared" si="371"/>
        <v>12</v>
      </c>
      <c r="P1472" s="4">
        <f t="shared" si="372"/>
        <v>23</v>
      </c>
      <c r="Q1472" s="4">
        <f t="shared" si="373"/>
        <v>45</v>
      </c>
      <c r="R1472" s="4">
        <f t="shared" si="374"/>
        <v>45</v>
      </c>
      <c r="S1472" s="102">
        <f t="shared" si="375"/>
        <v>30</v>
      </c>
      <c r="U1472" s="101">
        <f t="shared" si="376"/>
        <v>41</v>
      </c>
      <c r="V1472" s="4">
        <f t="shared" si="377"/>
        <v>39</v>
      </c>
      <c r="W1472" s="4">
        <f t="shared" si="378"/>
        <v>9</v>
      </c>
      <c r="X1472" s="4">
        <f t="shared" si="379"/>
        <v>39</v>
      </c>
      <c r="Y1472" s="4">
        <f t="shared" si="380"/>
        <v>71</v>
      </c>
      <c r="Z1472" s="4">
        <f t="shared" si="381"/>
        <v>71</v>
      </c>
      <c r="AA1472" s="102">
        <f t="shared" si="382"/>
        <v>39</v>
      </c>
      <c r="AC1472" s="100">
        <f t="shared" si="383"/>
        <v>0.97449918160719329</v>
      </c>
    </row>
    <row r="1473" spans="4:29" x14ac:dyDescent="0.35">
      <c r="D1473">
        <f t="shared" si="384"/>
        <v>1469</v>
      </c>
      <c r="E1473" s="101">
        <v>4</v>
      </c>
      <c r="F1473" s="4">
        <v>3</v>
      </c>
      <c r="G1473" s="4">
        <v>5</v>
      </c>
      <c r="H1473" s="4">
        <v>1</v>
      </c>
      <c r="I1473" s="4">
        <v>7</v>
      </c>
      <c r="J1473" s="4">
        <v>2</v>
      </c>
      <c r="K1473" s="102">
        <v>4</v>
      </c>
      <c r="M1473" s="101">
        <f t="shared" si="369"/>
        <v>12</v>
      </c>
      <c r="N1473" s="4">
        <f t="shared" si="370"/>
        <v>23</v>
      </c>
      <c r="O1473" s="4">
        <f t="shared" si="371"/>
        <v>30</v>
      </c>
      <c r="P1473" s="4">
        <f t="shared" si="372"/>
        <v>34</v>
      </c>
      <c r="Q1473" s="4">
        <f t="shared" si="373"/>
        <v>29</v>
      </c>
      <c r="R1473" s="4">
        <f t="shared" si="374"/>
        <v>56</v>
      </c>
      <c r="S1473" s="102">
        <f t="shared" si="375"/>
        <v>12</v>
      </c>
      <c r="U1473" s="101">
        <f t="shared" si="376"/>
        <v>9</v>
      </c>
      <c r="V1473" s="4">
        <f t="shared" si="377"/>
        <v>39</v>
      </c>
      <c r="W1473" s="4">
        <f t="shared" si="378"/>
        <v>39</v>
      </c>
      <c r="X1473" s="4">
        <f t="shared" si="379"/>
        <v>46</v>
      </c>
      <c r="Y1473" s="4">
        <f t="shared" si="380"/>
        <v>41</v>
      </c>
      <c r="Z1473" s="4">
        <f t="shared" si="381"/>
        <v>78</v>
      </c>
      <c r="AA1473" s="102">
        <f t="shared" si="382"/>
        <v>9</v>
      </c>
      <c r="AC1473" s="100">
        <f t="shared" si="383"/>
        <v>0.9807497236014463</v>
      </c>
    </row>
    <row r="1474" spans="4:29" x14ac:dyDescent="0.35">
      <c r="D1474">
        <f t="shared" si="384"/>
        <v>1470</v>
      </c>
      <c r="E1474" s="101">
        <v>5</v>
      </c>
      <c r="F1474" s="4">
        <v>4</v>
      </c>
      <c r="G1474" s="4">
        <v>2</v>
      </c>
      <c r="H1474" s="4">
        <v>2</v>
      </c>
      <c r="I1474" s="4">
        <v>1</v>
      </c>
      <c r="J1474" s="4">
        <v>2</v>
      </c>
      <c r="K1474" s="102">
        <v>7</v>
      </c>
      <c r="M1474" s="101">
        <f t="shared" si="369"/>
        <v>30</v>
      </c>
      <c r="N1474" s="4">
        <f t="shared" si="370"/>
        <v>12</v>
      </c>
      <c r="O1474" s="4">
        <f t="shared" si="371"/>
        <v>56</v>
      </c>
      <c r="P1474" s="4">
        <f t="shared" si="372"/>
        <v>56</v>
      </c>
      <c r="Q1474" s="4">
        <f t="shared" si="373"/>
        <v>34</v>
      </c>
      <c r="R1474" s="4">
        <f t="shared" si="374"/>
        <v>56</v>
      </c>
      <c r="S1474" s="102">
        <f t="shared" si="375"/>
        <v>29</v>
      </c>
      <c r="U1474" s="101">
        <f t="shared" si="376"/>
        <v>39</v>
      </c>
      <c r="V1474" s="4">
        <f t="shared" si="377"/>
        <v>9</v>
      </c>
      <c r="W1474" s="4">
        <f t="shared" si="378"/>
        <v>78</v>
      </c>
      <c r="X1474" s="4">
        <f t="shared" si="379"/>
        <v>78</v>
      </c>
      <c r="Y1474" s="4">
        <f t="shared" si="380"/>
        <v>46</v>
      </c>
      <c r="Z1474" s="4">
        <f t="shared" si="381"/>
        <v>78</v>
      </c>
      <c r="AA1474" s="102">
        <f t="shared" si="382"/>
        <v>41</v>
      </c>
      <c r="AC1474" s="100">
        <f t="shared" si="383"/>
        <v>0.99749703711322113</v>
      </c>
    </row>
    <row r="1475" spans="4:29" x14ac:dyDescent="0.35">
      <c r="D1475">
        <f t="shared" si="384"/>
        <v>1471</v>
      </c>
      <c r="E1475" s="101">
        <v>7</v>
      </c>
      <c r="F1475" s="4">
        <v>3</v>
      </c>
      <c r="G1475" s="4">
        <v>5</v>
      </c>
      <c r="H1475" s="4">
        <v>2</v>
      </c>
      <c r="I1475" s="4">
        <v>6</v>
      </c>
      <c r="J1475" s="4">
        <v>1</v>
      </c>
      <c r="K1475" s="102">
        <v>3</v>
      </c>
      <c r="M1475" s="101">
        <f t="shared" si="369"/>
        <v>29</v>
      </c>
      <c r="N1475" s="4">
        <f t="shared" si="370"/>
        <v>23</v>
      </c>
      <c r="O1475" s="4">
        <f t="shared" si="371"/>
        <v>30</v>
      </c>
      <c r="P1475" s="4">
        <f t="shared" si="372"/>
        <v>56</v>
      </c>
      <c r="Q1475" s="4">
        <f t="shared" si="373"/>
        <v>45</v>
      </c>
      <c r="R1475" s="4">
        <f t="shared" si="374"/>
        <v>34</v>
      </c>
      <c r="S1475" s="102">
        <f t="shared" si="375"/>
        <v>23</v>
      </c>
      <c r="U1475" s="101">
        <f t="shared" si="376"/>
        <v>41</v>
      </c>
      <c r="V1475" s="4">
        <f t="shared" si="377"/>
        <v>39</v>
      </c>
      <c r="W1475" s="4">
        <f t="shared" si="378"/>
        <v>39</v>
      </c>
      <c r="X1475" s="4">
        <f t="shared" si="379"/>
        <v>78</v>
      </c>
      <c r="Y1475" s="4">
        <f t="shared" si="380"/>
        <v>71</v>
      </c>
      <c r="Z1475" s="4">
        <f t="shared" si="381"/>
        <v>46</v>
      </c>
      <c r="AA1475" s="102">
        <f t="shared" si="382"/>
        <v>39</v>
      </c>
      <c r="AC1475" s="100">
        <f t="shared" si="383"/>
        <v>0.96300439634993651</v>
      </c>
    </row>
    <row r="1476" spans="4:29" x14ac:dyDescent="0.35">
      <c r="D1476">
        <f t="shared" si="384"/>
        <v>1472</v>
      </c>
      <c r="E1476" s="101">
        <v>4</v>
      </c>
      <c r="F1476" s="4">
        <v>3</v>
      </c>
      <c r="G1476" s="4">
        <v>2</v>
      </c>
      <c r="H1476" s="4">
        <v>6</v>
      </c>
      <c r="I1476" s="4">
        <v>4</v>
      </c>
      <c r="J1476" s="4">
        <v>6</v>
      </c>
      <c r="K1476" s="102">
        <v>5</v>
      </c>
      <c r="M1476" s="101">
        <f t="shared" si="369"/>
        <v>12</v>
      </c>
      <c r="N1476" s="4">
        <f t="shared" si="370"/>
        <v>23</v>
      </c>
      <c r="O1476" s="4">
        <f t="shared" si="371"/>
        <v>56</v>
      </c>
      <c r="P1476" s="4">
        <f t="shared" si="372"/>
        <v>45</v>
      </c>
      <c r="Q1476" s="4">
        <f t="shared" si="373"/>
        <v>12</v>
      </c>
      <c r="R1476" s="4">
        <f t="shared" si="374"/>
        <v>45</v>
      </c>
      <c r="S1476" s="102">
        <f t="shared" si="375"/>
        <v>30</v>
      </c>
      <c r="U1476" s="101">
        <f t="shared" si="376"/>
        <v>9</v>
      </c>
      <c r="V1476" s="4">
        <f t="shared" si="377"/>
        <v>39</v>
      </c>
      <c r="W1476" s="4">
        <f t="shared" si="378"/>
        <v>78</v>
      </c>
      <c r="X1476" s="4">
        <f t="shared" si="379"/>
        <v>71</v>
      </c>
      <c r="Y1476" s="4">
        <f t="shared" si="380"/>
        <v>9</v>
      </c>
      <c r="Z1476" s="4">
        <f t="shared" si="381"/>
        <v>71</v>
      </c>
      <c r="AA1476" s="102">
        <f t="shared" si="382"/>
        <v>39</v>
      </c>
      <c r="AC1476" s="100">
        <f t="shared" si="383"/>
        <v>0.98145793623200184</v>
      </c>
    </row>
    <row r="1477" spans="4:29" x14ac:dyDescent="0.35">
      <c r="D1477">
        <f t="shared" si="384"/>
        <v>1473</v>
      </c>
      <c r="E1477" s="101">
        <v>2</v>
      </c>
      <c r="F1477" s="4">
        <v>1</v>
      </c>
      <c r="G1477" s="4">
        <v>6</v>
      </c>
      <c r="H1477" s="4">
        <v>3</v>
      </c>
      <c r="I1477" s="4">
        <v>2</v>
      </c>
      <c r="J1477" s="4">
        <v>3</v>
      </c>
      <c r="K1477" s="102">
        <v>7</v>
      </c>
      <c r="M1477" s="101">
        <f t="shared" si="369"/>
        <v>56</v>
      </c>
      <c r="N1477" s="4">
        <f t="shared" si="370"/>
        <v>34</v>
      </c>
      <c r="O1477" s="4">
        <f t="shared" si="371"/>
        <v>45</v>
      </c>
      <c r="P1477" s="4">
        <f t="shared" si="372"/>
        <v>23</v>
      </c>
      <c r="Q1477" s="4">
        <f t="shared" si="373"/>
        <v>56</v>
      </c>
      <c r="R1477" s="4">
        <f t="shared" si="374"/>
        <v>23</v>
      </c>
      <c r="S1477" s="102">
        <f t="shared" si="375"/>
        <v>29</v>
      </c>
      <c r="U1477" s="101">
        <f t="shared" si="376"/>
        <v>78</v>
      </c>
      <c r="V1477" s="4">
        <f t="shared" si="377"/>
        <v>46</v>
      </c>
      <c r="W1477" s="4">
        <f t="shared" si="378"/>
        <v>71</v>
      </c>
      <c r="X1477" s="4">
        <f t="shared" si="379"/>
        <v>39</v>
      </c>
      <c r="Y1477" s="4">
        <f t="shared" si="380"/>
        <v>78</v>
      </c>
      <c r="Z1477" s="4">
        <f t="shared" si="381"/>
        <v>39</v>
      </c>
      <c r="AA1477" s="102">
        <f t="shared" si="382"/>
        <v>41</v>
      </c>
      <c r="AC1477" s="100">
        <f t="shared" si="383"/>
        <v>0.97971701321537374</v>
      </c>
    </row>
    <row r="1478" spans="4:29" x14ac:dyDescent="0.35">
      <c r="D1478">
        <f t="shared" si="384"/>
        <v>1474</v>
      </c>
      <c r="E1478" s="101">
        <v>5</v>
      </c>
      <c r="F1478" s="4">
        <v>6</v>
      </c>
      <c r="G1478" s="4">
        <v>6</v>
      </c>
      <c r="H1478" s="4">
        <v>4</v>
      </c>
      <c r="I1478" s="4">
        <v>7</v>
      </c>
      <c r="J1478" s="4">
        <v>4</v>
      </c>
      <c r="K1478" s="102">
        <v>2</v>
      </c>
      <c r="M1478" s="101">
        <f t="shared" ref="M1478:M1541" si="385">INDEX($A$5:$A$11,E1478)</f>
        <v>30</v>
      </c>
      <c r="N1478" s="4">
        <f t="shared" ref="N1478:N1541" si="386">INDEX($A$5:$A$11,F1478)</f>
        <v>45</v>
      </c>
      <c r="O1478" s="4">
        <f t="shared" ref="O1478:O1541" si="387">INDEX($A$5:$A$11,G1478)</f>
        <v>45</v>
      </c>
      <c r="P1478" s="4">
        <f t="shared" ref="P1478:P1541" si="388">INDEX($A$5:$A$11,H1478)</f>
        <v>12</v>
      </c>
      <c r="Q1478" s="4">
        <f t="shared" ref="Q1478:Q1541" si="389">INDEX($A$5:$A$11,I1478)</f>
        <v>29</v>
      </c>
      <c r="R1478" s="4">
        <f t="shared" ref="R1478:R1541" si="390">INDEX($A$5:$A$11,J1478)</f>
        <v>12</v>
      </c>
      <c r="S1478" s="102">
        <f t="shared" ref="S1478:S1541" si="391">INDEX($A$5:$A$11,K1478)</f>
        <v>56</v>
      </c>
      <c r="U1478" s="101">
        <f t="shared" ref="U1478:U1541" si="392">INDEX($B$5:$B$11,E1478)</f>
        <v>39</v>
      </c>
      <c r="V1478" s="4">
        <f t="shared" ref="V1478:V1541" si="393">INDEX($B$5:$B$11,F1478)</f>
        <v>71</v>
      </c>
      <c r="W1478" s="4">
        <f t="shared" ref="W1478:W1541" si="394">INDEX($B$5:$B$11,G1478)</f>
        <v>71</v>
      </c>
      <c r="X1478" s="4">
        <f t="shared" ref="X1478:X1541" si="395">INDEX($B$5:$B$11,H1478)</f>
        <v>9</v>
      </c>
      <c r="Y1478" s="4">
        <f t="shared" ref="Y1478:Y1541" si="396">INDEX($B$5:$B$11,I1478)</f>
        <v>41</v>
      </c>
      <c r="Z1478" s="4">
        <f t="shared" ref="Z1478:Z1541" si="397">INDEX($B$5:$B$11,J1478)</f>
        <v>9</v>
      </c>
      <c r="AA1478" s="102">
        <f t="shared" ref="AA1478:AA1541" si="398">INDEX($B$5:$B$11,K1478)</f>
        <v>78</v>
      </c>
      <c r="AC1478" s="100">
        <f t="shared" ref="AC1478:AC1541" si="399">CORREL(M1478:S1478,U1478:AA1478)</f>
        <v>0.98982685757859523</v>
      </c>
    </row>
    <row r="1479" spans="4:29" x14ac:dyDescent="0.35">
      <c r="D1479">
        <f t="shared" ref="D1479:D1542" si="400">D1478+1</f>
        <v>1475</v>
      </c>
      <c r="E1479" s="101">
        <v>7</v>
      </c>
      <c r="F1479" s="4">
        <v>6</v>
      </c>
      <c r="G1479" s="4">
        <v>5</v>
      </c>
      <c r="H1479" s="4">
        <v>7</v>
      </c>
      <c r="I1479" s="4">
        <v>6</v>
      </c>
      <c r="J1479" s="4">
        <v>7</v>
      </c>
      <c r="K1479" s="102">
        <v>4</v>
      </c>
      <c r="M1479" s="101">
        <f t="shared" si="385"/>
        <v>29</v>
      </c>
      <c r="N1479" s="4">
        <f t="shared" si="386"/>
        <v>45</v>
      </c>
      <c r="O1479" s="4">
        <f t="shared" si="387"/>
        <v>30</v>
      </c>
      <c r="P1479" s="4">
        <f t="shared" si="388"/>
        <v>29</v>
      </c>
      <c r="Q1479" s="4">
        <f t="shared" si="389"/>
        <v>45</v>
      </c>
      <c r="R1479" s="4">
        <f t="shared" si="390"/>
        <v>29</v>
      </c>
      <c r="S1479" s="102">
        <f t="shared" si="391"/>
        <v>12</v>
      </c>
      <c r="U1479" s="101">
        <f t="shared" si="392"/>
        <v>41</v>
      </c>
      <c r="V1479" s="4">
        <f t="shared" si="393"/>
        <v>71</v>
      </c>
      <c r="W1479" s="4">
        <f t="shared" si="394"/>
        <v>39</v>
      </c>
      <c r="X1479" s="4">
        <f t="shared" si="395"/>
        <v>41</v>
      </c>
      <c r="Y1479" s="4">
        <f t="shared" si="396"/>
        <v>71</v>
      </c>
      <c r="Z1479" s="4">
        <f t="shared" si="397"/>
        <v>41</v>
      </c>
      <c r="AA1479" s="102">
        <f t="shared" si="398"/>
        <v>9</v>
      </c>
      <c r="AC1479" s="100">
        <f t="shared" si="399"/>
        <v>0.99767724683952597</v>
      </c>
    </row>
    <row r="1480" spans="4:29" x14ac:dyDescent="0.35">
      <c r="D1480">
        <f t="shared" si="400"/>
        <v>1476</v>
      </c>
      <c r="E1480" s="101">
        <v>6</v>
      </c>
      <c r="F1480" s="4">
        <v>5</v>
      </c>
      <c r="G1480" s="4">
        <v>3</v>
      </c>
      <c r="H1480" s="4">
        <v>4</v>
      </c>
      <c r="I1480" s="4">
        <v>6</v>
      </c>
      <c r="J1480" s="4">
        <v>3</v>
      </c>
      <c r="K1480" s="102">
        <v>5</v>
      </c>
      <c r="M1480" s="101">
        <f t="shared" si="385"/>
        <v>45</v>
      </c>
      <c r="N1480" s="4">
        <f t="shared" si="386"/>
        <v>30</v>
      </c>
      <c r="O1480" s="4">
        <f t="shared" si="387"/>
        <v>23</v>
      </c>
      <c r="P1480" s="4">
        <f t="shared" si="388"/>
        <v>12</v>
      </c>
      <c r="Q1480" s="4">
        <f t="shared" si="389"/>
        <v>45</v>
      </c>
      <c r="R1480" s="4">
        <f t="shared" si="390"/>
        <v>23</v>
      </c>
      <c r="S1480" s="102">
        <f t="shared" si="391"/>
        <v>30</v>
      </c>
      <c r="U1480" s="101">
        <f t="shared" si="392"/>
        <v>71</v>
      </c>
      <c r="V1480" s="4">
        <f t="shared" si="393"/>
        <v>39</v>
      </c>
      <c r="W1480" s="4">
        <f t="shared" si="394"/>
        <v>39</v>
      </c>
      <c r="X1480" s="4">
        <f t="shared" si="395"/>
        <v>9</v>
      </c>
      <c r="Y1480" s="4">
        <f t="shared" si="396"/>
        <v>71</v>
      </c>
      <c r="Z1480" s="4">
        <f t="shared" si="397"/>
        <v>39</v>
      </c>
      <c r="AA1480" s="102">
        <f t="shared" si="398"/>
        <v>39</v>
      </c>
      <c r="AC1480" s="100">
        <f t="shared" si="399"/>
        <v>0.96946784883265769</v>
      </c>
    </row>
    <row r="1481" spans="4:29" x14ac:dyDescent="0.35">
      <c r="D1481">
        <f t="shared" si="400"/>
        <v>1477</v>
      </c>
      <c r="E1481" s="101">
        <v>5</v>
      </c>
      <c r="F1481" s="4">
        <v>3</v>
      </c>
      <c r="G1481" s="4">
        <v>6</v>
      </c>
      <c r="H1481" s="4">
        <v>6</v>
      </c>
      <c r="I1481" s="4">
        <v>6</v>
      </c>
      <c r="J1481" s="4">
        <v>6</v>
      </c>
      <c r="K1481" s="102">
        <v>5</v>
      </c>
      <c r="M1481" s="101">
        <f t="shared" si="385"/>
        <v>30</v>
      </c>
      <c r="N1481" s="4">
        <f t="shared" si="386"/>
        <v>23</v>
      </c>
      <c r="O1481" s="4">
        <f t="shared" si="387"/>
        <v>45</v>
      </c>
      <c r="P1481" s="4">
        <f t="shared" si="388"/>
        <v>45</v>
      </c>
      <c r="Q1481" s="4">
        <f t="shared" si="389"/>
        <v>45</v>
      </c>
      <c r="R1481" s="4">
        <f t="shared" si="390"/>
        <v>45</v>
      </c>
      <c r="S1481" s="102">
        <f t="shared" si="391"/>
        <v>30</v>
      </c>
      <c r="U1481" s="101">
        <f t="shared" si="392"/>
        <v>39</v>
      </c>
      <c r="V1481" s="4">
        <f t="shared" si="393"/>
        <v>39</v>
      </c>
      <c r="W1481" s="4">
        <f t="shared" si="394"/>
        <v>71</v>
      </c>
      <c r="X1481" s="4">
        <f t="shared" si="395"/>
        <v>71</v>
      </c>
      <c r="Y1481" s="4">
        <f t="shared" si="396"/>
        <v>71</v>
      </c>
      <c r="Z1481" s="4">
        <f t="shared" si="397"/>
        <v>71</v>
      </c>
      <c r="AA1481" s="102">
        <f t="shared" si="398"/>
        <v>39</v>
      </c>
      <c r="AC1481" s="100">
        <f t="shared" si="399"/>
        <v>0.96972068069839623</v>
      </c>
    </row>
    <row r="1482" spans="4:29" x14ac:dyDescent="0.35">
      <c r="D1482">
        <f t="shared" si="400"/>
        <v>1478</v>
      </c>
      <c r="E1482" s="101">
        <v>1</v>
      </c>
      <c r="F1482" s="4">
        <v>1</v>
      </c>
      <c r="G1482" s="4">
        <v>1</v>
      </c>
      <c r="H1482" s="4">
        <v>6</v>
      </c>
      <c r="I1482" s="4">
        <v>7</v>
      </c>
      <c r="J1482" s="4">
        <v>5</v>
      </c>
      <c r="K1482" s="102">
        <v>3</v>
      </c>
      <c r="M1482" s="101">
        <f t="shared" si="385"/>
        <v>34</v>
      </c>
      <c r="N1482" s="4">
        <f t="shared" si="386"/>
        <v>34</v>
      </c>
      <c r="O1482" s="4">
        <f t="shared" si="387"/>
        <v>34</v>
      </c>
      <c r="P1482" s="4">
        <f t="shared" si="388"/>
        <v>45</v>
      </c>
      <c r="Q1482" s="4">
        <f t="shared" si="389"/>
        <v>29</v>
      </c>
      <c r="R1482" s="4">
        <f t="shared" si="390"/>
        <v>30</v>
      </c>
      <c r="S1482" s="102">
        <f t="shared" si="391"/>
        <v>23</v>
      </c>
      <c r="U1482" s="101">
        <f t="shared" si="392"/>
        <v>46</v>
      </c>
      <c r="V1482" s="4">
        <f t="shared" si="393"/>
        <v>46</v>
      </c>
      <c r="W1482" s="4">
        <f t="shared" si="394"/>
        <v>46</v>
      </c>
      <c r="X1482" s="4">
        <f t="shared" si="395"/>
        <v>71</v>
      </c>
      <c r="Y1482" s="4">
        <f t="shared" si="396"/>
        <v>41</v>
      </c>
      <c r="Z1482" s="4">
        <f t="shared" si="397"/>
        <v>39</v>
      </c>
      <c r="AA1482" s="102">
        <f t="shared" si="398"/>
        <v>39</v>
      </c>
      <c r="AC1482" s="100">
        <f t="shared" si="399"/>
        <v>0.91911334011851109</v>
      </c>
    </row>
    <row r="1483" spans="4:29" x14ac:dyDescent="0.35">
      <c r="D1483">
        <f t="shared" si="400"/>
        <v>1479</v>
      </c>
      <c r="E1483" s="101">
        <v>6</v>
      </c>
      <c r="F1483" s="4">
        <v>3</v>
      </c>
      <c r="G1483" s="4">
        <v>1</v>
      </c>
      <c r="H1483" s="4">
        <v>2</v>
      </c>
      <c r="I1483" s="4">
        <v>5</v>
      </c>
      <c r="J1483" s="4">
        <v>5</v>
      </c>
      <c r="K1483" s="102">
        <v>7</v>
      </c>
      <c r="M1483" s="101">
        <f t="shared" si="385"/>
        <v>45</v>
      </c>
      <c r="N1483" s="4">
        <f t="shared" si="386"/>
        <v>23</v>
      </c>
      <c r="O1483" s="4">
        <f t="shared" si="387"/>
        <v>34</v>
      </c>
      <c r="P1483" s="4">
        <f t="shared" si="388"/>
        <v>56</v>
      </c>
      <c r="Q1483" s="4">
        <f t="shared" si="389"/>
        <v>30</v>
      </c>
      <c r="R1483" s="4">
        <f t="shared" si="390"/>
        <v>30</v>
      </c>
      <c r="S1483" s="102">
        <f t="shared" si="391"/>
        <v>29</v>
      </c>
      <c r="U1483" s="101">
        <f t="shared" si="392"/>
        <v>71</v>
      </c>
      <c r="V1483" s="4">
        <f t="shared" si="393"/>
        <v>39</v>
      </c>
      <c r="W1483" s="4">
        <f t="shared" si="394"/>
        <v>46</v>
      </c>
      <c r="X1483" s="4">
        <f t="shared" si="395"/>
        <v>78</v>
      </c>
      <c r="Y1483" s="4">
        <f t="shared" si="396"/>
        <v>39</v>
      </c>
      <c r="Z1483" s="4">
        <f t="shared" si="397"/>
        <v>39</v>
      </c>
      <c r="AA1483" s="102">
        <f t="shared" si="398"/>
        <v>41</v>
      </c>
      <c r="AC1483" s="100">
        <f t="shared" si="399"/>
        <v>0.96267816560012409</v>
      </c>
    </row>
    <row r="1484" spans="4:29" x14ac:dyDescent="0.35">
      <c r="D1484">
        <f t="shared" si="400"/>
        <v>1480</v>
      </c>
      <c r="E1484" s="101">
        <v>6</v>
      </c>
      <c r="F1484" s="4">
        <v>7</v>
      </c>
      <c r="G1484" s="4">
        <v>5</v>
      </c>
      <c r="H1484" s="4">
        <v>5</v>
      </c>
      <c r="I1484" s="4">
        <v>2</v>
      </c>
      <c r="J1484" s="4">
        <v>2</v>
      </c>
      <c r="K1484" s="102">
        <v>6</v>
      </c>
      <c r="M1484" s="101">
        <f t="shared" si="385"/>
        <v>45</v>
      </c>
      <c r="N1484" s="4">
        <f t="shared" si="386"/>
        <v>29</v>
      </c>
      <c r="O1484" s="4">
        <f t="shared" si="387"/>
        <v>30</v>
      </c>
      <c r="P1484" s="4">
        <f t="shared" si="388"/>
        <v>30</v>
      </c>
      <c r="Q1484" s="4">
        <f t="shared" si="389"/>
        <v>56</v>
      </c>
      <c r="R1484" s="4">
        <f t="shared" si="390"/>
        <v>56</v>
      </c>
      <c r="S1484" s="102">
        <f t="shared" si="391"/>
        <v>45</v>
      </c>
      <c r="U1484" s="101">
        <f t="shared" si="392"/>
        <v>71</v>
      </c>
      <c r="V1484" s="4">
        <f t="shared" si="393"/>
        <v>41</v>
      </c>
      <c r="W1484" s="4">
        <f t="shared" si="394"/>
        <v>39</v>
      </c>
      <c r="X1484" s="4">
        <f t="shared" si="395"/>
        <v>39</v>
      </c>
      <c r="Y1484" s="4">
        <f t="shared" si="396"/>
        <v>78</v>
      </c>
      <c r="Z1484" s="4">
        <f t="shared" si="397"/>
        <v>78</v>
      </c>
      <c r="AA1484" s="102">
        <f t="shared" si="398"/>
        <v>71</v>
      </c>
      <c r="AC1484" s="100">
        <f t="shared" si="399"/>
        <v>0.97146716881697726</v>
      </c>
    </row>
    <row r="1485" spans="4:29" x14ac:dyDescent="0.35">
      <c r="D1485">
        <f t="shared" si="400"/>
        <v>1481</v>
      </c>
      <c r="E1485" s="101">
        <v>7</v>
      </c>
      <c r="F1485" s="4">
        <v>2</v>
      </c>
      <c r="G1485" s="4">
        <v>2</v>
      </c>
      <c r="H1485" s="4">
        <v>6</v>
      </c>
      <c r="I1485" s="4">
        <v>5</v>
      </c>
      <c r="J1485" s="4">
        <v>6</v>
      </c>
      <c r="K1485" s="102">
        <v>5</v>
      </c>
      <c r="M1485" s="101">
        <f t="shared" si="385"/>
        <v>29</v>
      </c>
      <c r="N1485" s="4">
        <f t="shared" si="386"/>
        <v>56</v>
      </c>
      <c r="O1485" s="4">
        <f t="shared" si="387"/>
        <v>56</v>
      </c>
      <c r="P1485" s="4">
        <f t="shared" si="388"/>
        <v>45</v>
      </c>
      <c r="Q1485" s="4">
        <f t="shared" si="389"/>
        <v>30</v>
      </c>
      <c r="R1485" s="4">
        <f t="shared" si="390"/>
        <v>45</v>
      </c>
      <c r="S1485" s="102">
        <f t="shared" si="391"/>
        <v>30</v>
      </c>
      <c r="U1485" s="101">
        <f t="shared" si="392"/>
        <v>41</v>
      </c>
      <c r="V1485" s="4">
        <f t="shared" si="393"/>
        <v>78</v>
      </c>
      <c r="W1485" s="4">
        <f t="shared" si="394"/>
        <v>78</v>
      </c>
      <c r="X1485" s="4">
        <f t="shared" si="395"/>
        <v>71</v>
      </c>
      <c r="Y1485" s="4">
        <f t="shared" si="396"/>
        <v>39</v>
      </c>
      <c r="Z1485" s="4">
        <f t="shared" si="397"/>
        <v>71</v>
      </c>
      <c r="AA1485" s="102">
        <f t="shared" si="398"/>
        <v>39</v>
      </c>
      <c r="AC1485" s="100">
        <f t="shared" si="399"/>
        <v>0.97146716881697737</v>
      </c>
    </row>
    <row r="1486" spans="4:29" x14ac:dyDescent="0.35">
      <c r="D1486">
        <f t="shared" si="400"/>
        <v>1482</v>
      </c>
      <c r="E1486" s="101">
        <v>3</v>
      </c>
      <c r="F1486" s="4">
        <v>5</v>
      </c>
      <c r="G1486" s="4">
        <v>3</v>
      </c>
      <c r="H1486" s="4">
        <v>7</v>
      </c>
      <c r="I1486" s="4">
        <v>7</v>
      </c>
      <c r="J1486" s="4">
        <v>6</v>
      </c>
      <c r="K1486" s="102">
        <v>5</v>
      </c>
      <c r="M1486" s="101">
        <f t="shared" si="385"/>
        <v>23</v>
      </c>
      <c r="N1486" s="4">
        <f t="shared" si="386"/>
        <v>30</v>
      </c>
      <c r="O1486" s="4">
        <f t="shared" si="387"/>
        <v>23</v>
      </c>
      <c r="P1486" s="4">
        <f t="shared" si="388"/>
        <v>29</v>
      </c>
      <c r="Q1486" s="4">
        <f t="shared" si="389"/>
        <v>29</v>
      </c>
      <c r="R1486" s="4">
        <f t="shared" si="390"/>
        <v>45</v>
      </c>
      <c r="S1486" s="102">
        <f t="shared" si="391"/>
        <v>30</v>
      </c>
      <c r="U1486" s="101">
        <f t="shared" si="392"/>
        <v>39</v>
      </c>
      <c r="V1486" s="4">
        <f t="shared" si="393"/>
        <v>39</v>
      </c>
      <c r="W1486" s="4">
        <f t="shared" si="394"/>
        <v>39</v>
      </c>
      <c r="X1486" s="4">
        <f t="shared" si="395"/>
        <v>41</v>
      </c>
      <c r="Y1486" s="4">
        <f t="shared" si="396"/>
        <v>41</v>
      </c>
      <c r="Z1486" s="4">
        <f t="shared" si="397"/>
        <v>71</v>
      </c>
      <c r="AA1486" s="102">
        <f t="shared" si="398"/>
        <v>39</v>
      </c>
      <c r="AC1486" s="100">
        <f t="shared" si="399"/>
        <v>0.91732399796940445</v>
      </c>
    </row>
    <row r="1487" spans="4:29" x14ac:dyDescent="0.35">
      <c r="D1487">
        <f t="shared" si="400"/>
        <v>1483</v>
      </c>
      <c r="E1487" s="101">
        <v>4</v>
      </c>
      <c r="F1487" s="4">
        <v>7</v>
      </c>
      <c r="G1487" s="4">
        <v>3</v>
      </c>
      <c r="H1487" s="4">
        <v>2</v>
      </c>
      <c r="I1487" s="4">
        <v>6</v>
      </c>
      <c r="J1487" s="4">
        <v>7</v>
      </c>
      <c r="K1487" s="102">
        <v>2</v>
      </c>
      <c r="M1487" s="101">
        <f t="shared" si="385"/>
        <v>12</v>
      </c>
      <c r="N1487" s="4">
        <f t="shared" si="386"/>
        <v>29</v>
      </c>
      <c r="O1487" s="4">
        <f t="shared" si="387"/>
        <v>23</v>
      </c>
      <c r="P1487" s="4">
        <f t="shared" si="388"/>
        <v>56</v>
      </c>
      <c r="Q1487" s="4">
        <f t="shared" si="389"/>
        <v>45</v>
      </c>
      <c r="R1487" s="4">
        <f t="shared" si="390"/>
        <v>29</v>
      </c>
      <c r="S1487" s="102">
        <f t="shared" si="391"/>
        <v>56</v>
      </c>
      <c r="U1487" s="101">
        <f t="shared" si="392"/>
        <v>9</v>
      </c>
      <c r="V1487" s="4">
        <f t="shared" si="393"/>
        <v>41</v>
      </c>
      <c r="W1487" s="4">
        <f t="shared" si="394"/>
        <v>39</v>
      </c>
      <c r="X1487" s="4">
        <f t="shared" si="395"/>
        <v>78</v>
      </c>
      <c r="Y1487" s="4">
        <f t="shared" si="396"/>
        <v>71</v>
      </c>
      <c r="Z1487" s="4">
        <f t="shared" si="397"/>
        <v>41</v>
      </c>
      <c r="AA1487" s="102">
        <f t="shared" si="398"/>
        <v>78</v>
      </c>
      <c r="AC1487" s="100">
        <f t="shared" si="399"/>
        <v>0.98071997656067111</v>
      </c>
    </row>
    <row r="1488" spans="4:29" x14ac:dyDescent="0.35">
      <c r="D1488">
        <f t="shared" si="400"/>
        <v>1484</v>
      </c>
      <c r="E1488" s="101">
        <v>1</v>
      </c>
      <c r="F1488" s="4">
        <v>6</v>
      </c>
      <c r="G1488" s="4">
        <v>3</v>
      </c>
      <c r="H1488" s="4">
        <v>3</v>
      </c>
      <c r="I1488" s="4">
        <v>7</v>
      </c>
      <c r="J1488" s="4">
        <v>3</v>
      </c>
      <c r="K1488" s="102">
        <v>6</v>
      </c>
      <c r="M1488" s="101">
        <f t="shared" si="385"/>
        <v>34</v>
      </c>
      <c r="N1488" s="4">
        <f t="shared" si="386"/>
        <v>45</v>
      </c>
      <c r="O1488" s="4">
        <f t="shared" si="387"/>
        <v>23</v>
      </c>
      <c r="P1488" s="4">
        <f t="shared" si="388"/>
        <v>23</v>
      </c>
      <c r="Q1488" s="4">
        <f t="shared" si="389"/>
        <v>29</v>
      </c>
      <c r="R1488" s="4">
        <f t="shared" si="390"/>
        <v>23</v>
      </c>
      <c r="S1488" s="102">
        <f t="shared" si="391"/>
        <v>45</v>
      </c>
      <c r="U1488" s="101">
        <f t="shared" si="392"/>
        <v>46</v>
      </c>
      <c r="V1488" s="4">
        <f t="shared" si="393"/>
        <v>71</v>
      </c>
      <c r="W1488" s="4">
        <f t="shared" si="394"/>
        <v>39</v>
      </c>
      <c r="X1488" s="4">
        <f t="shared" si="395"/>
        <v>39</v>
      </c>
      <c r="Y1488" s="4">
        <f t="shared" si="396"/>
        <v>41</v>
      </c>
      <c r="Z1488" s="4">
        <f t="shared" si="397"/>
        <v>39</v>
      </c>
      <c r="AA1488" s="102">
        <f t="shared" si="398"/>
        <v>71</v>
      </c>
      <c r="AC1488" s="100">
        <f t="shared" si="399"/>
        <v>0.96547440953090691</v>
      </c>
    </row>
    <row r="1489" spans="4:29" x14ac:dyDescent="0.35">
      <c r="D1489">
        <f t="shared" si="400"/>
        <v>1485</v>
      </c>
      <c r="E1489" s="101">
        <v>2</v>
      </c>
      <c r="F1489" s="4">
        <v>7</v>
      </c>
      <c r="G1489" s="4">
        <v>4</v>
      </c>
      <c r="H1489" s="4">
        <v>4</v>
      </c>
      <c r="I1489" s="4">
        <v>1</v>
      </c>
      <c r="J1489" s="4">
        <v>2</v>
      </c>
      <c r="K1489" s="102">
        <v>6</v>
      </c>
      <c r="M1489" s="101">
        <f t="shared" si="385"/>
        <v>56</v>
      </c>
      <c r="N1489" s="4">
        <f t="shared" si="386"/>
        <v>29</v>
      </c>
      <c r="O1489" s="4">
        <f t="shared" si="387"/>
        <v>12</v>
      </c>
      <c r="P1489" s="4">
        <f t="shared" si="388"/>
        <v>12</v>
      </c>
      <c r="Q1489" s="4">
        <f t="shared" si="389"/>
        <v>34</v>
      </c>
      <c r="R1489" s="4">
        <f t="shared" si="390"/>
        <v>56</v>
      </c>
      <c r="S1489" s="102">
        <f t="shared" si="391"/>
        <v>45</v>
      </c>
      <c r="U1489" s="101">
        <f t="shared" si="392"/>
        <v>78</v>
      </c>
      <c r="V1489" s="4">
        <f t="shared" si="393"/>
        <v>41</v>
      </c>
      <c r="W1489" s="4">
        <f t="shared" si="394"/>
        <v>9</v>
      </c>
      <c r="X1489" s="4">
        <f t="shared" si="395"/>
        <v>9</v>
      </c>
      <c r="Y1489" s="4">
        <f t="shared" si="396"/>
        <v>46</v>
      </c>
      <c r="Z1489" s="4">
        <f t="shared" si="397"/>
        <v>78</v>
      </c>
      <c r="AA1489" s="102">
        <f t="shared" si="398"/>
        <v>71</v>
      </c>
      <c r="AC1489" s="100">
        <f t="shared" si="399"/>
        <v>0.99160136402321364</v>
      </c>
    </row>
    <row r="1490" spans="4:29" x14ac:dyDescent="0.35">
      <c r="D1490">
        <f t="shared" si="400"/>
        <v>1486</v>
      </c>
      <c r="E1490" s="101">
        <v>5</v>
      </c>
      <c r="F1490" s="4">
        <v>1</v>
      </c>
      <c r="G1490" s="4">
        <v>1</v>
      </c>
      <c r="H1490" s="4">
        <v>4</v>
      </c>
      <c r="I1490" s="4">
        <v>2</v>
      </c>
      <c r="J1490" s="4">
        <v>5</v>
      </c>
      <c r="K1490" s="102">
        <v>7</v>
      </c>
      <c r="M1490" s="101">
        <f t="shared" si="385"/>
        <v>30</v>
      </c>
      <c r="N1490" s="4">
        <f t="shared" si="386"/>
        <v>34</v>
      </c>
      <c r="O1490" s="4">
        <f t="shared" si="387"/>
        <v>34</v>
      </c>
      <c r="P1490" s="4">
        <f t="shared" si="388"/>
        <v>12</v>
      </c>
      <c r="Q1490" s="4">
        <f t="shared" si="389"/>
        <v>56</v>
      </c>
      <c r="R1490" s="4">
        <f t="shared" si="390"/>
        <v>30</v>
      </c>
      <c r="S1490" s="102">
        <f t="shared" si="391"/>
        <v>29</v>
      </c>
      <c r="U1490" s="101">
        <f t="shared" si="392"/>
        <v>39</v>
      </c>
      <c r="V1490" s="4">
        <f t="shared" si="393"/>
        <v>46</v>
      </c>
      <c r="W1490" s="4">
        <f t="shared" si="394"/>
        <v>46</v>
      </c>
      <c r="X1490" s="4">
        <f t="shared" si="395"/>
        <v>9</v>
      </c>
      <c r="Y1490" s="4">
        <f t="shared" si="396"/>
        <v>78</v>
      </c>
      <c r="Z1490" s="4">
        <f t="shared" si="397"/>
        <v>39</v>
      </c>
      <c r="AA1490" s="102">
        <f t="shared" si="398"/>
        <v>41</v>
      </c>
      <c r="AC1490" s="100">
        <f t="shared" si="399"/>
        <v>0.99597841885430138</v>
      </c>
    </row>
    <row r="1491" spans="4:29" x14ac:dyDescent="0.35">
      <c r="D1491">
        <f t="shared" si="400"/>
        <v>1487</v>
      </c>
      <c r="E1491" s="101">
        <v>7</v>
      </c>
      <c r="F1491" s="4">
        <v>5</v>
      </c>
      <c r="G1491" s="4">
        <v>2</v>
      </c>
      <c r="H1491" s="4">
        <v>3</v>
      </c>
      <c r="I1491" s="4">
        <v>7</v>
      </c>
      <c r="J1491" s="4">
        <v>2</v>
      </c>
      <c r="K1491" s="102">
        <v>5</v>
      </c>
      <c r="M1491" s="101">
        <f t="shared" si="385"/>
        <v>29</v>
      </c>
      <c r="N1491" s="4">
        <f t="shared" si="386"/>
        <v>30</v>
      </c>
      <c r="O1491" s="4">
        <f t="shared" si="387"/>
        <v>56</v>
      </c>
      <c r="P1491" s="4">
        <f t="shared" si="388"/>
        <v>23</v>
      </c>
      <c r="Q1491" s="4">
        <f t="shared" si="389"/>
        <v>29</v>
      </c>
      <c r="R1491" s="4">
        <f t="shared" si="390"/>
        <v>56</v>
      </c>
      <c r="S1491" s="102">
        <f t="shared" si="391"/>
        <v>30</v>
      </c>
      <c r="U1491" s="101">
        <f t="shared" si="392"/>
        <v>41</v>
      </c>
      <c r="V1491" s="4">
        <f t="shared" si="393"/>
        <v>39</v>
      </c>
      <c r="W1491" s="4">
        <f t="shared" si="394"/>
        <v>78</v>
      </c>
      <c r="X1491" s="4">
        <f t="shared" si="395"/>
        <v>39</v>
      </c>
      <c r="Y1491" s="4">
        <f t="shared" si="396"/>
        <v>41</v>
      </c>
      <c r="Z1491" s="4">
        <f t="shared" si="397"/>
        <v>78</v>
      </c>
      <c r="AA1491" s="102">
        <f t="shared" si="398"/>
        <v>39</v>
      </c>
      <c r="AC1491" s="100">
        <f t="shared" si="399"/>
        <v>0.98554583072205626</v>
      </c>
    </row>
    <row r="1492" spans="4:29" x14ac:dyDescent="0.35">
      <c r="D1492">
        <f t="shared" si="400"/>
        <v>1488</v>
      </c>
      <c r="E1492" s="101">
        <v>2</v>
      </c>
      <c r="F1492" s="4">
        <v>5</v>
      </c>
      <c r="G1492" s="4">
        <v>2</v>
      </c>
      <c r="H1492" s="4">
        <v>4</v>
      </c>
      <c r="I1492" s="4">
        <v>1</v>
      </c>
      <c r="J1492" s="4">
        <v>3</v>
      </c>
      <c r="K1492" s="102">
        <v>4</v>
      </c>
      <c r="M1492" s="101">
        <f t="shared" si="385"/>
        <v>56</v>
      </c>
      <c r="N1492" s="4">
        <f t="shared" si="386"/>
        <v>30</v>
      </c>
      <c r="O1492" s="4">
        <f t="shared" si="387"/>
        <v>56</v>
      </c>
      <c r="P1492" s="4">
        <f t="shared" si="388"/>
        <v>12</v>
      </c>
      <c r="Q1492" s="4">
        <f t="shared" si="389"/>
        <v>34</v>
      </c>
      <c r="R1492" s="4">
        <f t="shared" si="390"/>
        <v>23</v>
      </c>
      <c r="S1492" s="102">
        <f t="shared" si="391"/>
        <v>12</v>
      </c>
      <c r="U1492" s="101">
        <f t="shared" si="392"/>
        <v>78</v>
      </c>
      <c r="V1492" s="4">
        <f t="shared" si="393"/>
        <v>39</v>
      </c>
      <c r="W1492" s="4">
        <f t="shared" si="394"/>
        <v>78</v>
      </c>
      <c r="X1492" s="4">
        <f t="shared" si="395"/>
        <v>9</v>
      </c>
      <c r="Y1492" s="4">
        <f t="shared" si="396"/>
        <v>46</v>
      </c>
      <c r="Z1492" s="4">
        <f t="shared" si="397"/>
        <v>39</v>
      </c>
      <c r="AA1492" s="102">
        <f t="shared" si="398"/>
        <v>9</v>
      </c>
      <c r="AC1492" s="100">
        <f t="shared" si="399"/>
        <v>0.98694688330003655</v>
      </c>
    </row>
    <row r="1493" spans="4:29" x14ac:dyDescent="0.35">
      <c r="D1493">
        <f t="shared" si="400"/>
        <v>1489</v>
      </c>
      <c r="E1493" s="101">
        <v>5</v>
      </c>
      <c r="F1493" s="4">
        <v>6</v>
      </c>
      <c r="G1493" s="4">
        <v>7</v>
      </c>
      <c r="H1493" s="4">
        <v>6</v>
      </c>
      <c r="I1493" s="4">
        <v>6</v>
      </c>
      <c r="J1493" s="4">
        <v>2</v>
      </c>
      <c r="K1493" s="102">
        <v>6</v>
      </c>
      <c r="M1493" s="101">
        <f t="shared" si="385"/>
        <v>30</v>
      </c>
      <c r="N1493" s="4">
        <f t="shared" si="386"/>
        <v>45</v>
      </c>
      <c r="O1493" s="4">
        <f t="shared" si="387"/>
        <v>29</v>
      </c>
      <c r="P1493" s="4">
        <f t="shared" si="388"/>
        <v>45</v>
      </c>
      <c r="Q1493" s="4">
        <f t="shared" si="389"/>
        <v>45</v>
      </c>
      <c r="R1493" s="4">
        <f t="shared" si="390"/>
        <v>56</v>
      </c>
      <c r="S1493" s="102">
        <f t="shared" si="391"/>
        <v>45</v>
      </c>
      <c r="U1493" s="101">
        <f t="shared" si="392"/>
        <v>39</v>
      </c>
      <c r="V1493" s="4">
        <f t="shared" si="393"/>
        <v>71</v>
      </c>
      <c r="W1493" s="4">
        <f t="shared" si="394"/>
        <v>41</v>
      </c>
      <c r="X1493" s="4">
        <f t="shared" si="395"/>
        <v>71</v>
      </c>
      <c r="Y1493" s="4">
        <f t="shared" si="396"/>
        <v>71</v>
      </c>
      <c r="Z1493" s="4">
        <f t="shared" si="397"/>
        <v>78</v>
      </c>
      <c r="AA1493" s="102">
        <f t="shared" si="398"/>
        <v>71</v>
      </c>
      <c r="AC1493" s="100">
        <f t="shared" si="399"/>
        <v>0.96026179810190371</v>
      </c>
    </row>
    <row r="1494" spans="4:29" x14ac:dyDescent="0.35">
      <c r="D1494">
        <f t="shared" si="400"/>
        <v>1490</v>
      </c>
      <c r="E1494" s="101">
        <v>5</v>
      </c>
      <c r="F1494" s="4">
        <v>6</v>
      </c>
      <c r="G1494" s="4">
        <v>5</v>
      </c>
      <c r="H1494" s="4">
        <v>3</v>
      </c>
      <c r="I1494" s="4">
        <v>2</v>
      </c>
      <c r="J1494" s="4">
        <v>4</v>
      </c>
      <c r="K1494" s="102">
        <v>3</v>
      </c>
      <c r="M1494" s="101">
        <f t="shared" si="385"/>
        <v>30</v>
      </c>
      <c r="N1494" s="4">
        <f t="shared" si="386"/>
        <v>45</v>
      </c>
      <c r="O1494" s="4">
        <f t="shared" si="387"/>
        <v>30</v>
      </c>
      <c r="P1494" s="4">
        <f t="shared" si="388"/>
        <v>23</v>
      </c>
      <c r="Q1494" s="4">
        <f t="shared" si="389"/>
        <v>56</v>
      </c>
      <c r="R1494" s="4">
        <f t="shared" si="390"/>
        <v>12</v>
      </c>
      <c r="S1494" s="102">
        <f t="shared" si="391"/>
        <v>23</v>
      </c>
      <c r="U1494" s="101">
        <f t="shared" si="392"/>
        <v>39</v>
      </c>
      <c r="V1494" s="4">
        <f t="shared" si="393"/>
        <v>71</v>
      </c>
      <c r="W1494" s="4">
        <f t="shared" si="394"/>
        <v>39</v>
      </c>
      <c r="X1494" s="4">
        <f t="shared" si="395"/>
        <v>39</v>
      </c>
      <c r="Y1494" s="4">
        <f t="shared" si="396"/>
        <v>78</v>
      </c>
      <c r="Z1494" s="4">
        <f t="shared" si="397"/>
        <v>9</v>
      </c>
      <c r="AA1494" s="102">
        <f t="shared" si="398"/>
        <v>39</v>
      </c>
      <c r="AC1494" s="100">
        <f t="shared" si="399"/>
        <v>0.96643010435853527</v>
      </c>
    </row>
    <row r="1495" spans="4:29" x14ac:dyDescent="0.35">
      <c r="D1495">
        <f t="shared" si="400"/>
        <v>1491</v>
      </c>
      <c r="E1495" s="101">
        <v>3</v>
      </c>
      <c r="F1495" s="4">
        <v>3</v>
      </c>
      <c r="G1495" s="4">
        <v>6</v>
      </c>
      <c r="H1495" s="4">
        <v>5</v>
      </c>
      <c r="I1495" s="4">
        <v>4</v>
      </c>
      <c r="J1495" s="4">
        <v>5</v>
      </c>
      <c r="K1495" s="102">
        <v>6</v>
      </c>
      <c r="M1495" s="101">
        <f t="shared" si="385"/>
        <v>23</v>
      </c>
      <c r="N1495" s="4">
        <f t="shared" si="386"/>
        <v>23</v>
      </c>
      <c r="O1495" s="4">
        <f t="shared" si="387"/>
        <v>45</v>
      </c>
      <c r="P1495" s="4">
        <f t="shared" si="388"/>
        <v>30</v>
      </c>
      <c r="Q1495" s="4">
        <f t="shared" si="389"/>
        <v>12</v>
      </c>
      <c r="R1495" s="4">
        <f t="shared" si="390"/>
        <v>30</v>
      </c>
      <c r="S1495" s="102">
        <f t="shared" si="391"/>
        <v>45</v>
      </c>
      <c r="U1495" s="101">
        <f t="shared" si="392"/>
        <v>39</v>
      </c>
      <c r="V1495" s="4">
        <f t="shared" si="393"/>
        <v>39</v>
      </c>
      <c r="W1495" s="4">
        <f t="shared" si="394"/>
        <v>71</v>
      </c>
      <c r="X1495" s="4">
        <f t="shared" si="395"/>
        <v>39</v>
      </c>
      <c r="Y1495" s="4">
        <f t="shared" si="396"/>
        <v>9</v>
      </c>
      <c r="Z1495" s="4">
        <f t="shared" si="397"/>
        <v>39</v>
      </c>
      <c r="AA1495" s="102">
        <f t="shared" si="398"/>
        <v>71</v>
      </c>
      <c r="AC1495" s="100">
        <f t="shared" si="399"/>
        <v>0.9694678488326578</v>
      </c>
    </row>
    <row r="1496" spans="4:29" x14ac:dyDescent="0.35">
      <c r="D1496">
        <f t="shared" si="400"/>
        <v>1492</v>
      </c>
      <c r="E1496" s="101">
        <v>1</v>
      </c>
      <c r="F1496" s="4">
        <v>5</v>
      </c>
      <c r="G1496" s="4">
        <v>5</v>
      </c>
      <c r="H1496" s="4">
        <v>1</v>
      </c>
      <c r="I1496" s="4">
        <v>1</v>
      </c>
      <c r="J1496" s="4">
        <v>5</v>
      </c>
      <c r="K1496" s="102">
        <v>2</v>
      </c>
      <c r="M1496" s="101">
        <f t="shared" si="385"/>
        <v>34</v>
      </c>
      <c r="N1496" s="4">
        <f t="shared" si="386"/>
        <v>30</v>
      </c>
      <c r="O1496" s="4">
        <f t="shared" si="387"/>
        <v>30</v>
      </c>
      <c r="P1496" s="4">
        <f t="shared" si="388"/>
        <v>34</v>
      </c>
      <c r="Q1496" s="4">
        <f t="shared" si="389"/>
        <v>34</v>
      </c>
      <c r="R1496" s="4">
        <f t="shared" si="390"/>
        <v>30</v>
      </c>
      <c r="S1496" s="102">
        <f t="shared" si="391"/>
        <v>56</v>
      </c>
      <c r="U1496" s="101">
        <f t="shared" si="392"/>
        <v>46</v>
      </c>
      <c r="V1496" s="4">
        <f t="shared" si="393"/>
        <v>39</v>
      </c>
      <c r="W1496" s="4">
        <f t="shared" si="394"/>
        <v>39</v>
      </c>
      <c r="X1496" s="4">
        <f t="shared" si="395"/>
        <v>46</v>
      </c>
      <c r="Y1496" s="4">
        <f t="shared" si="396"/>
        <v>46</v>
      </c>
      <c r="Z1496" s="4">
        <f t="shared" si="397"/>
        <v>39</v>
      </c>
      <c r="AA1496" s="102">
        <f t="shared" si="398"/>
        <v>78</v>
      </c>
      <c r="AC1496" s="100">
        <f t="shared" si="399"/>
        <v>0.99927216853650391</v>
      </c>
    </row>
    <row r="1497" spans="4:29" x14ac:dyDescent="0.35">
      <c r="D1497">
        <f t="shared" si="400"/>
        <v>1493</v>
      </c>
      <c r="E1497" s="101">
        <v>5</v>
      </c>
      <c r="F1497" s="4">
        <v>1</v>
      </c>
      <c r="G1497" s="4">
        <v>3</v>
      </c>
      <c r="H1497" s="4">
        <v>6</v>
      </c>
      <c r="I1497" s="4">
        <v>4</v>
      </c>
      <c r="J1497" s="4">
        <v>6</v>
      </c>
      <c r="K1497" s="102">
        <v>7</v>
      </c>
      <c r="M1497" s="101">
        <f t="shared" si="385"/>
        <v>30</v>
      </c>
      <c r="N1497" s="4">
        <f t="shared" si="386"/>
        <v>34</v>
      </c>
      <c r="O1497" s="4">
        <f t="shared" si="387"/>
        <v>23</v>
      </c>
      <c r="P1497" s="4">
        <f t="shared" si="388"/>
        <v>45</v>
      </c>
      <c r="Q1497" s="4">
        <f t="shared" si="389"/>
        <v>12</v>
      </c>
      <c r="R1497" s="4">
        <f t="shared" si="390"/>
        <v>45</v>
      </c>
      <c r="S1497" s="102">
        <f t="shared" si="391"/>
        <v>29</v>
      </c>
      <c r="U1497" s="101">
        <f t="shared" si="392"/>
        <v>39</v>
      </c>
      <c r="V1497" s="4">
        <f t="shared" si="393"/>
        <v>46</v>
      </c>
      <c r="W1497" s="4">
        <f t="shared" si="394"/>
        <v>39</v>
      </c>
      <c r="X1497" s="4">
        <f t="shared" si="395"/>
        <v>71</v>
      </c>
      <c r="Y1497" s="4">
        <f t="shared" si="396"/>
        <v>9</v>
      </c>
      <c r="Z1497" s="4">
        <f t="shared" si="397"/>
        <v>71</v>
      </c>
      <c r="AA1497" s="102">
        <f t="shared" si="398"/>
        <v>41</v>
      </c>
      <c r="AC1497" s="100">
        <f t="shared" si="399"/>
        <v>0.97937552009697748</v>
      </c>
    </row>
    <row r="1498" spans="4:29" x14ac:dyDescent="0.35">
      <c r="D1498">
        <f t="shared" si="400"/>
        <v>1494</v>
      </c>
      <c r="E1498" s="101">
        <v>4</v>
      </c>
      <c r="F1498" s="4">
        <v>3</v>
      </c>
      <c r="G1498" s="4">
        <v>5</v>
      </c>
      <c r="H1498" s="4">
        <v>7</v>
      </c>
      <c r="I1498" s="4">
        <v>1</v>
      </c>
      <c r="J1498" s="4">
        <v>2</v>
      </c>
      <c r="K1498" s="102">
        <v>7</v>
      </c>
      <c r="M1498" s="101">
        <f t="shared" si="385"/>
        <v>12</v>
      </c>
      <c r="N1498" s="4">
        <f t="shared" si="386"/>
        <v>23</v>
      </c>
      <c r="O1498" s="4">
        <f t="shared" si="387"/>
        <v>30</v>
      </c>
      <c r="P1498" s="4">
        <f t="shared" si="388"/>
        <v>29</v>
      </c>
      <c r="Q1498" s="4">
        <f t="shared" si="389"/>
        <v>34</v>
      </c>
      <c r="R1498" s="4">
        <f t="shared" si="390"/>
        <v>56</v>
      </c>
      <c r="S1498" s="102">
        <f t="shared" si="391"/>
        <v>29</v>
      </c>
      <c r="U1498" s="101">
        <f t="shared" si="392"/>
        <v>9</v>
      </c>
      <c r="V1498" s="4">
        <f t="shared" si="393"/>
        <v>39</v>
      </c>
      <c r="W1498" s="4">
        <f t="shared" si="394"/>
        <v>39</v>
      </c>
      <c r="X1498" s="4">
        <f t="shared" si="395"/>
        <v>41</v>
      </c>
      <c r="Y1498" s="4">
        <f t="shared" si="396"/>
        <v>46</v>
      </c>
      <c r="Z1498" s="4">
        <f t="shared" si="397"/>
        <v>78</v>
      </c>
      <c r="AA1498" s="102">
        <f t="shared" si="398"/>
        <v>41</v>
      </c>
      <c r="AC1498" s="100">
        <f t="shared" si="399"/>
        <v>0.97709452528133567</v>
      </c>
    </row>
    <row r="1499" spans="4:29" x14ac:dyDescent="0.35">
      <c r="D1499">
        <f t="shared" si="400"/>
        <v>1495</v>
      </c>
      <c r="E1499" s="101">
        <v>3</v>
      </c>
      <c r="F1499" s="4">
        <v>2</v>
      </c>
      <c r="G1499" s="4">
        <v>7</v>
      </c>
      <c r="H1499" s="4">
        <v>4</v>
      </c>
      <c r="I1499" s="4">
        <v>7</v>
      </c>
      <c r="J1499" s="4">
        <v>4</v>
      </c>
      <c r="K1499" s="102">
        <v>3</v>
      </c>
      <c r="M1499" s="101">
        <f t="shared" si="385"/>
        <v>23</v>
      </c>
      <c r="N1499" s="4">
        <f t="shared" si="386"/>
        <v>56</v>
      </c>
      <c r="O1499" s="4">
        <f t="shared" si="387"/>
        <v>29</v>
      </c>
      <c r="P1499" s="4">
        <f t="shared" si="388"/>
        <v>12</v>
      </c>
      <c r="Q1499" s="4">
        <f t="shared" si="389"/>
        <v>29</v>
      </c>
      <c r="R1499" s="4">
        <f t="shared" si="390"/>
        <v>12</v>
      </c>
      <c r="S1499" s="102">
        <f t="shared" si="391"/>
        <v>23</v>
      </c>
      <c r="U1499" s="101">
        <f t="shared" si="392"/>
        <v>39</v>
      </c>
      <c r="V1499" s="4">
        <f t="shared" si="393"/>
        <v>78</v>
      </c>
      <c r="W1499" s="4">
        <f t="shared" si="394"/>
        <v>41</v>
      </c>
      <c r="X1499" s="4">
        <f t="shared" si="395"/>
        <v>9</v>
      </c>
      <c r="Y1499" s="4">
        <f t="shared" si="396"/>
        <v>41</v>
      </c>
      <c r="Z1499" s="4">
        <f t="shared" si="397"/>
        <v>9</v>
      </c>
      <c r="AA1499" s="102">
        <f t="shared" si="398"/>
        <v>39</v>
      </c>
      <c r="AC1499" s="100">
        <f t="shared" si="399"/>
        <v>0.97022067462701789</v>
      </c>
    </row>
    <row r="1500" spans="4:29" x14ac:dyDescent="0.35">
      <c r="D1500">
        <f t="shared" si="400"/>
        <v>1496</v>
      </c>
      <c r="E1500" s="101">
        <v>1</v>
      </c>
      <c r="F1500" s="4">
        <v>3</v>
      </c>
      <c r="G1500" s="4">
        <v>1</v>
      </c>
      <c r="H1500" s="4">
        <v>6</v>
      </c>
      <c r="I1500" s="4">
        <v>4</v>
      </c>
      <c r="J1500" s="4">
        <v>3</v>
      </c>
      <c r="K1500" s="102">
        <v>2</v>
      </c>
      <c r="M1500" s="101">
        <f t="shared" si="385"/>
        <v>34</v>
      </c>
      <c r="N1500" s="4">
        <f t="shared" si="386"/>
        <v>23</v>
      </c>
      <c r="O1500" s="4">
        <f t="shared" si="387"/>
        <v>34</v>
      </c>
      <c r="P1500" s="4">
        <f t="shared" si="388"/>
        <v>45</v>
      </c>
      <c r="Q1500" s="4">
        <f t="shared" si="389"/>
        <v>12</v>
      </c>
      <c r="R1500" s="4">
        <f t="shared" si="390"/>
        <v>23</v>
      </c>
      <c r="S1500" s="102">
        <f t="shared" si="391"/>
        <v>56</v>
      </c>
      <c r="U1500" s="101">
        <f t="shared" si="392"/>
        <v>46</v>
      </c>
      <c r="V1500" s="4">
        <f t="shared" si="393"/>
        <v>39</v>
      </c>
      <c r="W1500" s="4">
        <f t="shared" si="394"/>
        <v>46</v>
      </c>
      <c r="X1500" s="4">
        <f t="shared" si="395"/>
        <v>71</v>
      </c>
      <c r="Y1500" s="4">
        <f t="shared" si="396"/>
        <v>9</v>
      </c>
      <c r="Z1500" s="4">
        <f t="shared" si="397"/>
        <v>39</v>
      </c>
      <c r="AA1500" s="102">
        <f t="shared" si="398"/>
        <v>78</v>
      </c>
      <c r="AC1500" s="100">
        <f t="shared" si="399"/>
        <v>0.96777299965954111</v>
      </c>
    </row>
    <row r="1501" spans="4:29" x14ac:dyDescent="0.35">
      <c r="D1501">
        <f t="shared" si="400"/>
        <v>1497</v>
      </c>
      <c r="E1501" s="101">
        <v>4</v>
      </c>
      <c r="F1501" s="4">
        <v>1</v>
      </c>
      <c r="G1501" s="4">
        <v>4</v>
      </c>
      <c r="H1501" s="4">
        <v>1</v>
      </c>
      <c r="I1501" s="4">
        <v>3</v>
      </c>
      <c r="J1501" s="4">
        <v>1</v>
      </c>
      <c r="K1501" s="102">
        <v>2</v>
      </c>
      <c r="M1501" s="101">
        <f t="shared" si="385"/>
        <v>12</v>
      </c>
      <c r="N1501" s="4">
        <f t="shared" si="386"/>
        <v>34</v>
      </c>
      <c r="O1501" s="4">
        <f t="shared" si="387"/>
        <v>12</v>
      </c>
      <c r="P1501" s="4">
        <f t="shared" si="388"/>
        <v>34</v>
      </c>
      <c r="Q1501" s="4">
        <f t="shared" si="389"/>
        <v>23</v>
      </c>
      <c r="R1501" s="4">
        <f t="shared" si="390"/>
        <v>34</v>
      </c>
      <c r="S1501" s="102">
        <f t="shared" si="391"/>
        <v>56</v>
      </c>
      <c r="U1501" s="101">
        <f t="shared" si="392"/>
        <v>9</v>
      </c>
      <c r="V1501" s="4">
        <f t="shared" si="393"/>
        <v>46</v>
      </c>
      <c r="W1501" s="4">
        <f t="shared" si="394"/>
        <v>9</v>
      </c>
      <c r="X1501" s="4">
        <f t="shared" si="395"/>
        <v>46</v>
      </c>
      <c r="Y1501" s="4">
        <f t="shared" si="396"/>
        <v>39</v>
      </c>
      <c r="Z1501" s="4">
        <f t="shared" si="397"/>
        <v>46</v>
      </c>
      <c r="AA1501" s="102">
        <f t="shared" si="398"/>
        <v>78</v>
      </c>
      <c r="AC1501" s="100">
        <f t="shared" si="399"/>
        <v>0.98235337073333162</v>
      </c>
    </row>
    <row r="1502" spans="4:29" x14ac:dyDescent="0.35">
      <c r="D1502">
        <f t="shared" si="400"/>
        <v>1498</v>
      </c>
      <c r="E1502" s="101">
        <v>2</v>
      </c>
      <c r="F1502" s="4">
        <v>2</v>
      </c>
      <c r="G1502" s="4">
        <v>7</v>
      </c>
      <c r="H1502" s="4">
        <v>4</v>
      </c>
      <c r="I1502" s="4">
        <v>5</v>
      </c>
      <c r="J1502" s="4">
        <v>4</v>
      </c>
      <c r="K1502" s="102">
        <v>7</v>
      </c>
      <c r="M1502" s="101">
        <f t="shared" si="385"/>
        <v>56</v>
      </c>
      <c r="N1502" s="4">
        <f t="shared" si="386"/>
        <v>56</v>
      </c>
      <c r="O1502" s="4">
        <f t="shared" si="387"/>
        <v>29</v>
      </c>
      <c r="P1502" s="4">
        <f t="shared" si="388"/>
        <v>12</v>
      </c>
      <c r="Q1502" s="4">
        <f t="shared" si="389"/>
        <v>30</v>
      </c>
      <c r="R1502" s="4">
        <f t="shared" si="390"/>
        <v>12</v>
      </c>
      <c r="S1502" s="102">
        <f t="shared" si="391"/>
        <v>29</v>
      </c>
      <c r="U1502" s="101">
        <f t="shared" si="392"/>
        <v>78</v>
      </c>
      <c r="V1502" s="4">
        <f t="shared" si="393"/>
        <v>78</v>
      </c>
      <c r="W1502" s="4">
        <f t="shared" si="394"/>
        <v>41</v>
      </c>
      <c r="X1502" s="4">
        <f t="shared" si="395"/>
        <v>9</v>
      </c>
      <c r="Y1502" s="4">
        <f t="shared" si="396"/>
        <v>39</v>
      </c>
      <c r="Z1502" s="4">
        <f t="shared" si="397"/>
        <v>9</v>
      </c>
      <c r="AA1502" s="102">
        <f t="shared" si="398"/>
        <v>41</v>
      </c>
      <c r="AC1502" s="100">
        <f t="shared" si="399"/>
        <v>0.9960817175303619</v>
      </c>
    </row>
    <row r="1503" spans="4:29" x14ac:dyDescent="0.35">
      <c r="D1503">
        <f t="shared" si="400"/>
        <v>1499</v>
      </c>
      <c r="E1503" s="101">
        <v>1</v>
      </c>
      <c r="F1503" s="4">
        <v>3</v>
      </c>
      <c r="G1503" s="4">
        <v>1</v>
      </c>
      <c r="H1503" s="4">
        <v>4</v>
      </c>
      <c r="I1503" s="4">
        <v>7</v>
      </c>
      <c r="J1503" s="4">
        <v>6</v>
      </c>
      <c r="K1503" s="102">
        <v>7</v>
      </c>
      <c r="M1503" s="101">
        <f t="shared" si="385"/>
        <v>34</v>
      </c>
      <c r="N1503" s="4">
        <f t="shared" si="386"/>
        <v>23</v>
      </c>
      <c r="O1503" s="4">
        <f t="shared" si="387"/>
        <v>34</v>
      </c>
      <c r="P1503" s="4">
        <f t="shared" si="388"/>
        <v>12</v>
      </c>
      <c r="Q1503" s="4">
        <f t="shared" si="389"/>
        <v>29</v>
      </c>
      <c r="R1503" s="4">
        <f t="shared" si="390"/>
        <v>45</v>
      </c>
      <c r="S1503" s="102">
        <f t="shared" si="391"/>
        <v>29</v>
      </c>
      <c r="U1503" s="101">
        <f t="shared" si="392"/>
        <v>46</v>
      </c>
      <c r="V1503" s="4">
        <f t="shared" si="393"/>
        <v>39</v>
      </c>
      <c r="W1503" s="4">
        <f t="shared" si="394"/>
        <v>46</v>
      </c>
      <c r="X1503" s="4">
        <f t="shared" si="395"/>
        <v>9</v>
      </c>
      <c r="Y1503" s="4">
        <f t="shared" si="396"/>
        <v>41</v>
      </c>
      <c r="Z1503" s="4">
        <f t="shared" si="397"/>
        <v>71</v>
      </c>
      <c r="AA1503" s="102">
        <f t="shared" si="398"/>
        <v>41</v>
      </c>
      <c r="AC1503" s="100">
        <f t="shared" si="399"/>
        <v>0.9720322902193681</v>
      </c>
    </row>
    <row r="1504" spans="4:29" x14ac:dyDescent="0.35">
      <c r="D1504">
        <f t="shared" si="400"/>
        <v>1500</v>
      </c>
      <c r="E1504" s="101">
        <v>4</v>
      </c>
      <c r="F1504" s="4">
        <v>7</v>
      </c>
      <c r="G1504" s="4">
        <v>2</v>
      </c>
      <c r="H1504" s="4">
        <v>1</v>
      </c>
      <c r="I1504" s="4">
        <v>4</v>
      </c>
      <c r="J1504" s="4">
        <v>2</v>
      </c>
      <c r="K1504" s="102">
        <v>4</v>
      </c>
      <c r="M1504" s="101">
        <f t="shared" si="385"/>
        <v>12</v>
      </c>
      <c r="N1504" s="4">
        <f t="shared" si="386"/>
        <v>29</v>
      </c>
      <c r="O1504" s="4">
        <f t="shared" si="387"/>
        <v>56</v>
      </c>
      <c r="P1504" s="4">
        <f t="shared" si="388"/>
        <v>34</v>
      </c>
      <c r="Q1504" s="4">
        <f t="shared" si="389"/>
        <v>12</v>
      </c>
      <c r="R1504" s="4">
        <f t="shared" si="390"/>
        <v>56</v>
      </c>
      <c r="S1504" s="102">
        <f t="shared" si="391"/>
        <v>12</v>
      </c>
      <c r="U1504" s="101">
        <f t="shared" si="392"/>
        <v>9</v>
      </c>
      <c r="V1504" s="4">
        <f t="shared" si="393"/>
        <v>41</v>
      </c>
      <c r="W1504" s="4">
        <f t="shared" si="394"/>
        <v>78</v>
      </c>
      <c r="X1504" s="4">
        <f t="shared" si="395"/>
        <v>46</v>
      </c>
      <c r="Y1504" s="4">
        <f t="shared" si="396"/>
        <v>9</v>
      </c>
      <c r="Z1504" s="4">
        <f t="shared" si="397"/>
        <v>78</v>
      </c>
      <c r="AA1504" s="102">
        <f t="shared" si="398"/>
        <v>9</v>
      </c>
      <c r="AC1504" s="100">
        <f t="shared" si="399"/>
        <v>0.9977547797435502</v>
      </c>
    </row>
    <row r="1505" spans="4:29" x14ac:dyDescent="0.35">
      <c r="D1505">
        <f t="shared" si="400"/>
        <v>1501</v>
      </c>
      <c r="E1505" s="101">
        <v>5</v>
      </c>
      <c r="F1505" s="4">
        <v>4</v>
      </c>
      <c r="G1505" s="4">
        <v>5</v>
      </c>
      <c r="H1505" s="4">
        <v>5</v>
      </c>
      <c r="I1505" s="4">
        <v>6</v>
      </c>
      <c r="J1505" s="4">
        <v>3</v>
      </c>
      <c r="K1505" s="102">
        <v>5</v>
      </c>
      <c r="M1505" s="101">
        <f t="shared" si="385"/>
        <v>30</v>
      </c>
      <c r="N1505" s="4">
        <f t="shared" si="386"/>
        <v>12</v>
      </c>
      <c r="O1505" s="4">
        <f t="shared" si="387"/>
        <v>30</v>
      </c>
      <c r="P1505" s="4">
        <f t="shared" si="388"/>
        <v>30</v>
      </c>
      <c r="Q1505" s="4">
        <f t="shared" si="389"/>
        <v>45</v>
      </c>
      <c r="R1505" s="4">
        <f t="shared" si="390"/>
        <v>23</v>
      </c>
      <c r="S1505" s="102">
        <f t="shared" si="391"/>
        <v>30</v>
      </c>
      <c r="U1505" s="101">
        <f t="shared" si="392"/>
        <v>39</v>
      </c>
      <c r="V1505" s="4">
        <f t="shared" si="393"/>
        <v>9</v>
      </c>
      <c r="W1505" s="4">
        <f t="shared" si="394"/>
        <v>39</v>
      </c>
      <c r="X1505" s="4">
        <f t="shared" si="395"/>
        <v>39</v>
      </c>
      <c r="Y1505" s="4">
        <f t="shared" si="396"/>
        <v>71</v>
      </c>
      <c r="Z1505" s="4">
        <f t="shared" si="397"/>
        <v>39</v>
      </c>
      <c r="AA1505" s="102">
        <f t="shared" si="398"/>
        <v>39</v>
      </c>
      <c r="AC1505" s="100">
        <f t="shared" si="399"/>
        <v>0.96533219276875915</v>
      </c>
    </row>
    <row r="1506" spans="4:29" x14ac:dyDescent="0.35">
      <c r="D1506">
        <f t="shared" si="400"/>
        <v>1502</v>
      </c>
      <c r="E1506" s="101">
        <v>3</v>
      </c>
      <c r="F1506" s="4">
        <v>6</v>
      </c>
      <c r="G1506" s="4">
        <v>6</v>
      </c>
      <c r="H1506" s="4">
        <v>7</v>
      </c>
      <c r="I1506" s="4">
        <v>1</v>
      </c>
      <c r="J1506" s="4">
        <v>1</v>
      </c>
      <c r="K1506" s="102">
        <v>4</v>
      </c>
      <c r="M1506" s="101">
        <f t="shared" si="385"/>
        <v>23</v>
      </c>
      <c r="N1506" s="4">
        <f t="shared" si="386"/>
        <v>45</v>
      </c>
      <c r="O1506" s="4">
        <f t="shared" si="387"/>
        <v>45</v>
      </c>
      <c r="P1506" s="4">
        <f t="shared" si="388"/>
        <v>29</v>
      </c>
      <c r="Q1506" s="4">
        <f t="shared" si="389"/>
        <v>34</v>
      </c>
      <c r="R1506" s="4">
        <f t="shared" si="390"/>
        <v>34</v>
      </c>
      <c r="S1506" s="102">
        <f t="shared" si="391"/>
        <v>12</v>
      </c>
      <c r="U1506" s="101">
        <f t="shared" si="392"/>
        <v>39</v>
      </c>
      <c r="V1506" s="4">
        <f t="shared" si="393"/>
        <v>71</v>
      </c>
      <c r="W1506" s="4">
        <f t="shared" si="394"/>
        <v>71</v>
      </c>
      <c r="X1506" s="4">
        <f t="shared" si="395"/>
        <v>41</v>
      </c>
      <c r="Y1506" s="4">
        <f t="shared" si="396"/>
        <v>46</v>
      </c>
      <c r="Z1506" s="4">
        <f t="shared" si="397"/>
        <v>46</v>
      </c>
      <c r="AA1506" s="102">
        <f t="shared" si="398"/>
        <v>9</v>
      </c>
      <c r="AC1506" s="100">
        <f t="shared" si="399"/>
        <v>0.97892462660870139</v>
      </c>
    </row>
    <row r="1507" spans="4:29" x14ac:dyDescent="0.35">
      <c r="D1507">
        <f t="shared" si="400"/>
        <v>1503</v>
      </c>
      <c r="E1507" s="101">
        <v>5</v>
      </c>
      <c r="F1507" s="4">
        <v>1</v>
      </c>
      <c r="G1507" s="4">
        <v>2</v>
      </c>
      <c r="H1507" s="4">
        <v>5</v>
      </c>
      <c r="I1507" s="4">
        <v>7</v>
      </c>
      <c r="J1507" s="4">
        <v>2</v>
      </c>
      <c r="K1507" s="102">
        <v>1</v>
      </c>
      <c r="M1507" s="101">
        <f t="shared" si="385"/>
        <v>30</v>
      </c>
      <c r="N1507" s="4">
        <f t="shared" si="386"/>
        <v>34</v>
      </c>
      <c r="O1507" s="4">
        <f t="shared" si="387"/>
        <v>56</v>
      </c>
      <c r="P1507" s="4">
        <f t="shared" si="388"/>
        <v>30</v>
      </c>
      <c r="Q1507" s="4">
        <f t="shared" si="389"/>
        <v>29</v>
      </c>
      <c r="R1507" s="4">
        <f t="shared" si="390"/>
        <v>56</v>
      </c>
      <c r="S1507" s="102">
        <f t="shared" si="391"/>
        <v>34</v>
      </c>
      <c r="U1507" s="101">
        <f t="shared" si="392"/>
        <v>39</v>
      </c>
      <c r="V1507" s="4">
        <f t="shared" si="393"/>
        <v>46</v>
      </c>
      <c r="W1507" s="4">
        <f t="shared" si="394"/>
        <v>78</v>
      </c>
      <c r="X1507" s="4">
        <f t="shared" si="395"/>
        <v>39</v>
      </c>
      <c r="Y1507" s="4">
        <f t="shared" si="396"/>
        <v>41</v>
      </c>
      <c r="Z1507" s="4">
        <f t="shared" si="397"/>
        <v>78</v>
      </c>
      <c r="AA1507" s="102">
        <f t="shared" si="398"/>
        <v>46</v>
      </c>
      <c r="AC1507" s="100">
        <f t="shared" si="399"/>
        <v>0.99788401307619401</v>
      </c>
    </row>
    <row r="1508" spans="4:29" x14ac:dyDescent="0.35">
      <c r="D1508">
        <f t="shared" si="400"/>
        <v>1504</v>
      </c>
      <c r="E1508" s="101">
        <v>3</v>
      </c>
      <c r="F1508" s="4">
        <v>4</v>
      </c>
      <c r="G1508" s="4">
        <v>1</v>
      </c>
      <c r="H1508" s="4">
        <v>1</v>
      </c>
      <c r="I1508" s="4">
        <v>1</v>
      </c>
      <c r="J1508" s="4">
        <v>2</v>
      </c>
      <c r="K1508" s="102">
        <v>5</v>
      </c>
      <c r="M1508" s="101">
        <f t="shared" si="385"/>
        <v>23</v>
      </c>
      <c r="N1508" s="4">
        <f t="shared" si="386"/>
        <v>12</v>
      </c>
      <c r="O1508" s="4">
        <f t="shared" si="387"/>
        <v>34</v>
      </c>
      <c r="P1508" s="4">
        <f t="shared" si="388"/>
        <v>34</v>
      </c>
      <c r="Q1508" s="4">
        <f t="shared" si="389"/>
        <v>34</v>
      </c>
      <c r="R1508" s="4">
        <f t="shared" si="390"/>
        <v>56</v>
      </c>
      <c r="S1508" s="102">
        <f t="shared" si="391"/>
        <v>30</v>
      </c>
      <c r="U1508" s="101">
        <f t="shared" si="392"/>
        <v>39</v>
      </c>
      <c r="V1508" s="4">
        <f t="shared" si="393"/>
        <v>9</v>
      </c>
      <c r="W1508" s="4">
        <f t="shared" si="394"/>
        <v>46</v>
      </c>
      <c r="X1508" s="4">
        <f t="shared" si="395"/>
        <v>46</v>
      </c>
      <c r="Y1508" s="4">
        <f t="shared" si="396"/>
        <v>46</v>
      </c>
      <c r="Z1508" s="4">
        <f t="shared" si="397"/>
        <v>78</v>
      </c>
      <c r="AA1508" s="102">
        <f t="shared" si="398"/>
        <v>39</v>
      </c>
      <c r="AC1508" s="100">
        <f t="shared" si="399"/>
        <v>0.97806992648764679</v>
      </c>
    </row>
    <row r="1509" spans="4:29" x14ac:dyDescent="0.35">
      <c r="D1509">
        <f t="shared" si="400"/>
        <v>1505</v>
      </c>
      <c r="E1509" s="101">
        <v>1</v>
      </c>
      <c r="F1509" s="4">
        <v>3</v>
      </c>
      <c r="G1509" s="4">
        <v>1</v>
      </c>
      <c r="H1509" s="4">
        <v>3</v>
      </c>
      <c r="I1509" s="4">
        <v>1</v>
      </c>
      <c r="J1509" s="4">
        <v>7</v>
      </c>
      <c r="K1509" s="102">
        <v>7</v>
      </c>
      <c r="M1509" s="101">
        <f t="shared" si="385"/>
        <v>34</v>
      </c>
      <c r="N1509" s="4">
        <f t="shared" si="386"/>
        <v>23</v>
      </c>
      <c r="O1509" s="4">
        <f t="shared" si="387"/>
        <v>34</v>
      </c>
      <c r="P1509" s="4">
        <f t="shared" si="388"/>
        <v>23</v>
      </c>
      <c r="Q1509" s="4">
        <f t="shared" si="389"/>
        <v>34</v>
      </c>
      <c r="R1509" s="4">
        <f t="shared" si="390"/>
        <v>29</v>
      </c>
      <c r="S1509" s="102">
        <f t="shared" si="391"/>
        <v>29</v>
      </c>
      <c r="U1509" s="101">
        <f t="shared" si="392"/>
        <v>46</v>
      </c>
      <c r="V1509" s="4">
        <f t="shared" si="393"/>
        <v>39</v>
      </c>
      <c r="W1509" s="4">
        <f t="shared" si="394"/>
        <v>46</v>
      </c>
      <c r="X1509" s="4">
        <f t="shared" si="395"/>
        <v>39</v>
      </c>
      <c r="Y1509" s="4">
        <f t="shared" si="396"/>
        <v>46</v>
      </c>
      <c r="Z1509" s="4">
        <f t="shared" si="397"/>
        <v>41</v>
      </c>
      <c r="AA1509" s="102">
        <f t="shared" si="398"/>
        <v>41</v>
      </c>
      <c r="AC1509" s="100">
        <f t="shared" si="399"/>
        <v>0.96352931808174369</v>
      </c>
    </row>
    <row r="1510" spans="4:29" x14ac:dyDescent="0.35">
      <c r="D1510">
        <f t="shared" si="400"/>
        <v>1506</v>
      </c>
      <c r="E1510" s="101">
        <v>2</v>
      </c>
      <c r="F1510" s="4">
        <v>1</v>
      </c>
      <c r="G1510" s="4">
        <v>3</v>
      </c>
      <c r="H1510" s="4">
        <v>5</v>
      </c>
      <c r="I1510" s="4">
        <v>1</v>
      </c>
      <c r="J1510" s="4">
        <v>3</v>
      </c>
      <c r="K1510" s="102">
        <v>3</v>
      </c>
      <c r="M1510" s="101">
        <f t="shared" si="385"/>
        <v>56</v>
      </c>
      <c r="N1510" s="4">
        <f t="shared" si="386"/>
        <v>34</v>
      </c>
      <c r="O1510" s="4">
        <f t="shared" si="387"/>
        <v>23</v>
      </c>
      <c r="P1510" s="4">
        <f t="shared" si="388"/>
        <v>30</v>
      </c>
      <c r="Q1510" s="4">
        <f t="shared" si="389"/>
        <v>34</v>
      </c>
      <c r="R1510" s="4">
        <f t="shared" si="390"/>
        <v>23</v>
      </c>
      <c r="S1510" s="102">
        <f t="shared" si="391"/>
        <v>23</v>
      </c>
      <c r="U1510" s="101">
        <f t="shared" si="392"/>
        <v>78</v>
      </c>
      <c r="V1510" s="4">
        <f t="shared" si="393"/>
        <v>46</v>
      </c>
      <c r="W1510" s="4">
        <f t="shared" si="394"/>
        <v>39</v>
      </c>
      <c r="X1510" s="4">
        <f t="shared" si="395"/>
        <v>39</v>
      </c>
      <c r="Y1510" s="4">
        <f t="shared" si="396"/>
        <v>46</v>
      </c>
      <c r="Z1510" s="4">
        <f t="shared" si="397"/>
        <v>39</v>
      </c>
      <c r="AA1510" s="102">
        <f t="shared" si="398"/>
        <v>39</v>
      </c>
      <c r="AC1510" s="100">
        <f t="shared" si="399"/>
        <v>0.96591487763717232</v>
      </c>
    </row>
    <row r="1511" spans="4:29" x14ac:dyDescent="0.35">
      <c r="D1511">
        <f t="shared" si="400"/>
        <v>1507</v>
      </c>
      <c r="E1511" s="101">
        <v>3</v>
      </c>
      <c r="F1511" s="4">
        <v>5</v>
      </c>
      <c r="G1511" s="4">
        <v>4</v>
      </c>
      <c r="H1511" s="4">
        <v>6</v>
      </c>
      <c r="I1511" s="4">
        <v>5</v>
      </c>
      <c r="J1511" s="4">
        <v>4</v>
      </c>
      <c r="K1511" s="102">
        <v>5</v>
      </c>
      <c r="M1511" s="101">
        <f t="shared" si="385"/>
        <v>23</v>
      </c>
      <c r="N1511" s="4">
        <f t="shared" si="386"/>
        <v>30</v>
      </c>
      <c r="O1511" s="4">
        <f t="shared" si="387"/>
        <v>12</v>
      </c>
      <c r="P1511" s="4">
        <f t="shared" si="388"/>
        <v>45</v>
      </c>
      <c r="Q1511" s="4">
        <f t="shared" si="389"/>
        <v>30</v>
      </c>
      <c r="R1511" s="4">
        <f t="shared" si="390"/>
        <v>12</v>
      </c>
      <c r="S1511" s="102">
        <f t="shared" si="391"/>
        <v>30</v>
      </c>
      <c r="U1511" s="101">
        <f t="shared" si="392"/>
        <v>39</v>
      </c>
      <c r="V1511" s="4">
        <f t="shared" si="393"/>
        <v>39</v>
      </c>
      <c r="W1511" s="4">
        <f t="shared" si="394"/>
        <v>9</v>
      </c>
      <c r="X1511" s="4">
        <f t="shared" si="395"/>
        <v>71</v>
      </c>
      <c r="Y1511" s="4">
        <f t="shared" si="396"/>
        <v>39</v>
      </c>
      <c r="Z1511" s="4">
        <f t="shared" si="397"/>
        <v>9</v>
      </c>
      <c r="AA1511" s="102">
        <f t="shared" si="398"/>
        <v>39</v>
      </c>
      <c r="AC1511" s="100">
        <f t="shared" si="399"/>
        <v>0.97696995919848995</v>
      </c>
    </row>
    <row r="1512" spans="4:29" x14ac:dyDescent="0.35">
      <c r="D1512">
        <f t="shared" si="400"/>
        <v>1508</v>
      </c>
      <c r="E1512" s="101">
        <v>6</v>
      </c>
      <c r="F1512" s="4">
        <v>3</v>
      </c>
      <c r="G1512" s="4">
        <v>2</v>
      </c>
      <c r="H1512" s="4">
        <v>2</v>
      </c>
      <c r="I1512" s="4">
        <v>2</v>
      </c>
      <c r="J1512" s="4">
        <v>4</v>
      </c>
      <c r="K1512" s="102">
        <v>3</v>
      </c>
      <c r="M1512" s="101">
        <f t="shared" si="385"/>
        <v>45</v>
      </c>
      <c r="N1512" s="4">
        <f t="shared" si="386"/>
        <v>23</v>
      </c>
      <c r="O1512" s="4">
        <f t="shared" si="387"/>
        <v>56</v>
      </c>
      <c r="P1512" s="4">
        <f t="shared" si="388"/>
        <v>56</v>
      </c>
      <c r="Q1512" s="4">
        <f t="shared" si="389"/>
        <v>56</v>
      </c>
      <c r="R1512" s="4">
        <f t="shared" si="390"/>
        <v>12</v>
      </c>
      <c r="S1512" s="102">
        <f t="shared" si="391"/>
        <v>23</v>
      </c>
      <c r="U1512" s="101">
        <f t="shared" si="392"/>
        <v>71</v>
      </c>
      <c r="V1512" s="4">
        <f t="shared" si="393"/>
        <v>39</v>
      </c>
      <c r="W1512" s="4">
        <f t="shared" si="394"/>
        <v>78</v>
      </c>
      <c r="X1512" s="4">
        <f t="shared" si="395"/>
        <v>78</v>
      </c>
      <c r="Y1512" s="4">
        <f t="shared" si="396"/>
        <v>78</v>
      </c>
      <c r="Z1512" s="4">
        <f t="shared" si="397"/>
        <v>9</v>
      </c>
      <c r="AA1512" s="102">
        <f t="shared" si="398"/>
        <v>39</v>
      </c>
      <c r="AC1512" s="100">
        <f t="shared" si="399"/>
        <v>0.97793227223489587</v>
      </c>
    </row>
    <row r="1513" spans="4:29" x14ac:dyDescent="0.35">
      <c r="D1513">
        <f t="shared" si="400"/>
        <v>1509</v>
      </c>
      <c r="E1513" s="101">
        <v>7</v>
      </c>
      <c r="F1513" s="4">
        <v>6</v>
      </c>
      <c r="G1513" s="4">
        <v>3</v>
      </c>
      <c r="H1513" s="4">
        <v>4</v>
      </c>
      <c r="I1513" s="4">
        <v>6</v>
      </c>
      <c r="J1513" s="4">
        <v>1</v>
      </c>
      <c r="K1513" s="102">
        <v>2</v>
      </c>
      <c r="M1513" s="101">
        <f t="shared" si="385"/>
        <v>29</v>
      </c>
      <c r="N1513" s="4">
        <f t="shared" si="386"/>
        <v>45</v>
      </c>
      <c r="O1513" s="4">
        <f t="shared" si="387"/>
        <v>23</v>
      </c>
      <c r="P1513" s="4">
        <f t="shared" si="388"/>
        <v>12</v>
      </c>
      <c r="Q1513" s="4">
        <f t="shared" si="389"/>
        <v>45</v>
      </c>
      <c r="R1513" s="4">
        <f t="shared" si="390"/>
        <v>34</v>
      </c>
      <c r="S1513" s="102">
        <f t="shared" si="391"/>
        <v>56</v>
      </c>
      <c r="U1513" s="101">
        <f t="shared" si="392"/>
        <v>41</v>
      </c>
      <c r="V1513" s="4">
        <f t="shared" si="393"/>
        <v>71</v>
      </c>
      <c r="W1513" s="4">
        <f t="shared" si="394"/>
        <v>39</v>
      </c>
      <c r="X1513" s="4">
        <f t="shared" si="395"/>
        <v>9</v>
      </c>
      <c r="Y1513" s="4">
        <f t="shared" si="396"/>
        <v>71</v>
      </c>
      <c r="Z1513" s="4">
        <f t="shared" si="397"/>
        <v>46</v>
      </c>
      <c r="AA1513" s="102">
        <f t="shared" si="398"/>
        <v>78</v>
      </c>
      <c r="AC1513" s="100">
        <f t="shared" si="399"/>
        <v>0.97643806751196416</v>
      </c>
    </row>
    <row r="1514" spans="4:29" x14ac:dyDescent="0.35">
      <c r="D1514">
        <f t="shared" si="400"/>
        <v>1510</v>
      </c>
      <c r="E1514" s="101">
        <v>3</v>
      </c>
      <c r="F1514" s="4">
        <v>5</v>
      </c>
      <c r="G1514" s="4">
        <v>7</v>
      </c>
      <c r="H1514" s="4">
        <v>3</v>
      </c>
      <c r="I1514" s="4">
        <v>5</v>
      </c>
      <c r="J1514" s="4">
        <v>3</v>
      </c>
      <c r="K1514" s="102">
        <v>5</v>
      </c>
      <c r="M1514" s="101">
        <f t="shared" si="385"/>
        <v>23</v>
      </c>
      <c r="N1514" s="4">
        <f t="shared" si="386"/>
        <v>30</v>
      </c>
      <c r="O1514" s="4">
        <f t="shared" si="387"/>
        <v>29</v>
      </c>
      <c r="P1514" s="4">
        <f t="shared" si="388"/>
        <v>23</v>
      </c>
      <c r="Q1514" s="4">
        <f t="shared" si="389"/>
        <v>30</v>
      </c>
      <c r="R1514" s="4">
        <f t="shared" si="390"/>
        <v>23</v>
      </c>
      <c r="S1514" s="102">
        <f t="shared" si="391"/>
        <v>30</v>
      </c>
      <c r="U1514" s="101">
        <f t="shared" si="392"/>
        <v>39</v>
      </c>
      <c r="V1514" s="4">
        <f t="shared" si="393"/>
        <v>39</v>
      </c>
      <c r="W1514" s="4">
        <f t="shared" si="394"/>
        <v>41</v>
      </c>
      <c r="X1514" s="4">
        <f t="shared" si="395"/>
        <v>39</v>
      </c>
      <c r="Y1514" s="4">
        <f t="shared" si="396"/>
        <v>39</v>
      </c>
      <c r="Z1514" s="4">
        <f t="shared" si="397"/>
        <v>39</v>
      </c>
      <c r="AA1514" s="102">
        <f t="shared" si="398"/>
        <v>39</v>
      </c>
      <c r="AC1514" s="100">
        <f t="shared" si="399"/>
        <v>0.26064301757134356</v>
      </c>
    </row>
    <row r="1515" spans="4:29" x14ac:dyDescent="0.35">
      <c r="D1515">
        <f t="shared" si="400"/>
        <v>1511</v>
      </c>
      <c r="E1515" s="101">
        <v>1</v>
      </c>
      <c r="F1515" s="4">
        <v>6</v>
      </c>
      <c r="G1515" s="4">
        <v>7</v>
      </c>
      <c r="H1515" s="4">
        <v>5</v>
      </c>
      <c r="I1515" s="4">
        <v>1</v>
      </c>
      <c r="J1515" s="4">
        <v>7</v>
      </c>
      <c r="K1515" s="102">
        <v>6</v>
      </c>
      <c r="M1515" s="101">
        <f t="shared" si="385"/>
        <v>34</v>
      </c>
      <c r="N1515" s="4">
        <f t="shared" si="386"/>
        <v>45</v>
      </c>
      <c r="O1515" s="4">
        <f t="shared" si="387"/>
        <v>29</v>
      </c>
      <c r="P1515" s="4">
        <f t="shared" si="388"/>
        <v>30</v>
      </c>
      <c r="Q1515" s="4">
        <f t="shared" si="389"/>
        <v>34</v>
      </c>
      <c r="R1515" s="4">
        <f t="shared" si="390"/>
        <v>29</v>
      </c>
      <c r="S1515" s="102">
        <f t="shared" si="391"/>
        <v>45</v>
      </c>
      <c r="U1515" s="101">
        <f t="shared" si="392"/>
        <v>46</v>
      </c>
      <c r="V1515" s="4">
        <f t="shared" si="393"/>
        <v>71</v>
      </c>
      <c r="W1515" s="4">
        <f t="shared" si="394"/>
        <v>41</v>
      </c>
      <c r="X1515" s="4">
        <f t="shared" si="395"/>
        <v>39</v>
      </c>
      <c r="Y1515" s="4">
        <f t="shared" si="396"/>
        <v>46</v>
      </c>
      <c r="Z1515" s="4">
        <f t="shared" si="397"/>
        <v>41</v>
      </c>
      <c r="AA1515" s="102">
        <f t="shared" si="398"/>
        <v>71</v>
      </c>
      <c r="AC1515" s="100">
        <f t="shared" si="399"/>
        <v>0.98839886332705729</v>
      </c>
    </row>
    <row r="1516" spans="4:29" x14ac:dyDescent="0.35">
      <c r="D1516">
        <f t="shared" si="400"/>
        <v>1512</v>
      </c>
      <c r="E1516" s="101">
        <v>5</v>
      </c>
      <c r="F1516" s="4">
        <v>6</v>
      </c>
      <c r="G1516" s="4">
        <v>5</v>
      </c>
      <c r="H1516" s="4">
        <v>6</v>
      </c>
      <c r="I1516" s="4">
        <v>4</v>
      </c>
      <c r="J1516" s="4">
        <v>5</v>
      </c>
      <c r="K1516" s="102">
        <v>4</v>
      </c>
      <c r="M1516" s="101">
        <f t="shared" si="385"/>
        <v>30</v>
      </c>
      <c r="N1516" s="4">
        <f t="shared" si="386"/>
        <v>45</v>
      </c>
      <c r="O1516" s="4">
        <f t="shared" si="387"/>
        <v>30</v>
      </c>
      <c r="P1516" s="4">
        <f t="shared" si="388"/>
        <v>45</v>
      </c>
      <c r="Q1516" s="4">
        <f t="shared" si="389"/>
        <v>12</v>
      </c>
      <c r="R1516" s="4">
        <f t="shared" si="390"/>
        <v>30</v>
      </c>
      <c r="S1516" s="102">
        <f t="shared" si="391"/>
        <v>12</v>
      </c>
      <c r="U1516" s="101">
        <f t="shared" si="392"/>
        <v>39</v>
      </c>
      <c r="V1516" s="4">
        <f t="shared" si="393"/>
        <v>71</v>
      </c>
      <c r="W1516" s="4">
        <f t="shared" si="394"/>
        <v>39</v>
      </c>
      <c r="X1516" s="4">
        <f t="shared" si="395"/>
        <v>71</v>
      </c>
      <c r="Y1516" s="4">
        <f t="shared" si="396"/>
        <v>9</v>
      </c>
      <c r="Z1516" s="4">
        <f t="shared" si="397"/>
        <v>39</v>
      </c>
      <c r="AA1516" s="102">
        <f t="shared" si="398"/>
        <v>9</v>
      </c>
      <c r="AC1516" s="100">
        <f t="shared" si="399"/>
        <v>0.99675691233006913</v>
      </c>
    </row>
    <row r="1517" spans="4:29" x14ac:dyDescent="0.35">
      <c r="D1517">
        <f t="shared" si="400"/>
        <v>1513</v>
      </c>
      <c r="E1517" s="101">
        <v>3</v>
      </c>
      <c r="F1517" s="4">
        <v>3</v>
      </c>
      <c r="G1517" s="4">
        <v>4</v>
      </c>
      <c r="H1517" s="4">
        <v>5</v>
      </c>
      <c r="I1517" s="4">
        <v>2</v>
      </c>
      <c r="J1517" s="4">
        <v>6</v>
      </c>
      <c r="K1517" s="102">
        <v>1</v>
      </c>
      <c r="M1517" s="101">
        <f t="shared" si="385"/>
        <v>23</v>
      </c>
      <c r="N1517" s="4">
        <f t="shared" si="386"/>
        <v>23</v>
      </c>
      <c r="O1517" s="4">
        <f t="shared" si="387"/>
        <v>12</v>
      </c>
      <c r="P1517" s="4">
        <f t="shared" si="388"/>
        <v>30</v>
      </c>
      <c r="Q1517" s="4">
        <f t="shared" si="389"/>
        <v>56</v>
      </c>
      <c r="R1517" s="4">
        <f t="shared" si="390"/>
        <v>45</v>
      </c>
      <c r="S1517" s="102">
        <f t="shared" si="391"/>
        <v>34</v>
      </c>
      <c r="U1517" s="101">
        <f t="shared" si="392"/>
        <v>39</v>
      </c>
      <c r="V1517" s="4">
        <f t="shared" si="393"/>
        <v>39</v>
      </c>
      <c r="W1517" s="4">
        <f t="shared" si="394"/>
        <v>9</v>
      </c>
      <c r="X1517" s="4">
        <f t="shared" si="395"/>
        <v>39</v>
      </c>
      <c r="Y1517" s="4">
        <f t="shared" si="396"/>
        <v>78</v>
      </c>
      <c r="Z1517" s="4">
        <f t="shared" si="397"/>
        <v>71</v>
      </c>
      <c r="AA1517" s="102">
        <f t="shared" si="398"/>
        <v>46</v>
      </c>
      <c r="AC1517" s="100">
        <f t="shared" si="399"/>
        <v>0.96711762463595596</v>
      </c>
    </row>
    <row r="1518" spans="4:29" x14ac:dyDescent="0.35">
      <c r="D1518">
        <f t="shared" si="400"/>
        <v>1514</v>
      </c>
      <c r="E1518" s="101">
        <v>3</v>
      </c>
      <c r="F1518" s="4">
        <v>3</v>
      </c>
      <c r="G1518" s="4">
        <v>3</v>
      </c>
      <c r="H1518" s="4">
        <v>5</v>
      </c>
      <c r="I1518" s="4">
        <v>4</v>
      </c>
      <c r="J1518" s="4">
        <v>4</v>
      </c>
      <c r="K1518" s="102">
        <v>1</v>
      </c>
      <c r="M1518" s="101">
        <f t="shared" si="385"/>
        <v>23</v>
      </c>
      <c r="N1518" s="4">
        <f t="shared" si="386"/>
        <v>23</v>
      </c>
      <c r="O1518" s="4">
        <f t="shared" si="387"/>
        <v>23</v>
      </c>
      <c r="P1518" s="4">
        <f t="shared" si="388"/>
        <v>30</v>
      </c>
      <c r="Q1518" s="4">
        <f t="shared" si="389"/>
        <v>12</v>
      </c>
      <c r="R1518" s="4">
        <f t="shared" si="390"/>
        <v>12</v>
      </c>
      <c r="S1518" s="102">
        <f t="shared" si="391"/>
        <v>34</v>
      </c>
      <c r="U1518" s="101">
        <f t="shared" si="392"/>
        <v>39</v>
      </c>
      <c r="V1518" s="4">
        <f t="shared" si="393"/>
        <v>39</v>
      </c>
      <c r="W1518" s="4">
        <f t="shared" si="394"/>
        <v>39</v>
      </c>
      <c r="X1518" s="4">
        <f t="shared" si="395"/>
        <v>39</v>
      </c>
      <c r="Y1518" s="4">
        <f t="shared" si="396"/>
        <v>9</v>
      </c>
      <c r="Z1518" s="4">
        <f t="shared" si="397"/>
        <v>9</v>
      </c>
      <c r="AA1518" s="102">
        <f t="shared" si="398"/>
        <v>46</v>
      </c>
      <c r="AC1518" s="100">
        <f t="shared" si="399"/>
        <v>0.91761792137740716</v>
      </c>
    </row>
    <row r="1519" spans="4:29" x14ac:dyDescent="0.35">
      <c r="D1519">
        <f t="shared" si="400"/>
        <v>1515</v>
      </c>
      <c r="E1519" s="101">
        <v>7</v>
      </c>
      <c r="F1519" s="4">
        <v>1</v>
      </c>
      <c r="G1519" s="4">
        <v>5</v>
      </c>
      <c r="H1519" s="4">
        <v>3</v>
      </c>
      <c r="I1519" s="4">
        <v>3</v>
      </c>
      <c r="J1519" s="4">
        <v>1</v>
      </c>
      <c r="K1519" s="102">
        <v>1</v>
      </c>
      <c r="M1519" s="101">
        <f t="shared" si="385"/>
        <v>29</v>
      </c>
      <c r="N1519" s="4">
        <f t="shared" si="386"/>
        <v>34</v>
      </c>
      <c r="O1519" s="4">
        <f t="shared" si="387"/>
        <v>30</v>
      </c>
      <c r="P1519" s="4">
        <f t="shared" si="388"/>
        <v>23</v>
      </c>
      <c r="Q1519" s="4">
        <f t="shared" si="389"/>
        <v>23</v>
      </c>
      <c r="R1519" s="4">
        <f t="shared" si="390"/>
        <v>34</v>
      </c>
      <c r="S1519" s="102">
        <f t="shared" si="391"/>
        <v>34</v>
      </c>
      <c r="U1519" s="101">
        <f t="shared" si="392"/>
        <v>41</v>
      </c>
      <c r="V1519" s="4">
        <f t="shared" si="393"/>
        <v>46</v>
      </c>
      <c r="W1519" s="4">
        <f t="shared" si="394"/>
        <v>39</v>
      </c>
      <c r="X1519" s="4">
        <f t="shared" si="395"/>
        <v>39</v>
      </c>
      <c r="Y1519" s="4">
        <f t="shared" si="396"/>
        <v>39</v>
      </c>
      <c r="Z1519" s="4">
        <f t="shared" si="397"/>
        <v>46</v>
      </c>
      <c r="AA1519" s="102">
        <f t="shared" si="398"/>
        <v>46</v>
      </c>
      <c r="AC1519" s="100">
        <f t="shared" si="399"/>
        <v>0.87618119068301969</v>
      </c>
    </row>
    <row r="1520" spans="4:29" x14ac:dyDescent="0.35">
      <c r="D1520">
        <f t="shared" si="400"/>
        <v>1516</v>
      </c>
      <c r="E1520" s="101">
        <v>4</v>
      </c>
      <c r="F1520" s="4">
        <v>7</v>
      </c>
      <c r="G1520" s="4">
        <v>5</v>
      </c>
      <c r="H1520" s="4">
        <v>2</v>
      </c>
      <c r="I1520" s="4">
        <v>6</v>
      </c>
      <c r="J1520" s="4">
        <v>5</v>
      </c>
      <c r="K1520" s="102">
        <v>3</v>
      </c>
      <c r="M1520" s="101">
        <f t="shared" si="385"/>
        <v>12</v>
      </c>
      <c r="N1520" s="4">
        <f t="shared" si="386"/>
        <v>29</v>
      </c>
      <c r="O1520" s="4">
        <f t="shared" si="387"/>
        <v>30</v>
      </c>
      <c r="P1520" s="4">
        <f t="shared" si="388"/>
        <v>56</v>
      </c>
      <c r="Q1520" s="4">
        <f t="shared" si="389"/>
        <v>45</v>
      </c>
      <c r="R1520" s="4">
        <f t="shared" si="390"/>
        <v>30</v>
      </c>
      <c r="S1520" s="102">
        <f t="shared" si="391"/>
        <v>23</v>
      </c>
      <c r="U1520" s="101">
        <f t="shared" si="392"/>
        <v>9</v>
      </c>
      <c r="V1520" s="4">
        <f t="shared" si="393"/>
        <v>41</v>
      </c>
      <c r="W1520" s="4">
        <f t="shared" si="394"/>
        <v>39</v>
      </c>
      <c r="X1520" s="4">
        <f t="shared" si="395"/>
        <v>78</v>
      </c>
      <c r="Y1520" s="4">
        <f t="shared" si="396"/>
        <v>71</v>
      </c>
      <c r="Z1520" s="4">
        <f t="shared" si="397"/>
        <v>39</v>
      </c>
      <c r="AA1520" s="102">
        <f t="shared" si="398"/>
        <v>39</v>
      </c>
      <c r="AC1520" s="100">
        <f t="shared" si="399"/>
        <v>0.97502143550041609</v>
      </c>
    </row>
    <row r="1521" spans="4:29" x14ac:dyDescent="0.35">
      <c r="D1521">
        <f t="shared" si="400"/>
        <v>1517</v>
      </c>
      <c r="E1521" s="101">
        <v>6</v>
      </c>
      <c r="F1521" s="4">
        <v>5</v>
      </c>
      <c r="G1521" s="4">
        <v>4</v>
      </c>
      <c r="H1521" s="4">
        <v>4</v>
      </c>
      <c r="I1521" s="4">
        <v>7</v>
      </c>
      <c r="J1521" s="4">
        <v>7</v>
      </c>
      <c r="K1521" s="102">
        <v>6</v>
      </c>
      <c r="M1521" s="101">
        <f t="shared" si="385"/>
        <v>45</v>
      </c>
      <c r="N1521" s="4">
        <f t="shared" si="386"/>
        <v>30</v>
      </c>
      <c r="O1521" s="4">
        <f t="shared" si="387"/>
        <v>12</v>
      </c>
      <c r="P1521" s="4">
        <f t="shared" si="388"/>
        <v>12</v>
      </c>
      <c r="Q1521" s="4">
        <f t="shared" si="389"/>
        <v>29</v>
      </c>
      <c r="R1521" s="4">
        <f t="shared" si="390"/>
        <v>29</v>
      </c>
      <c r="S1521" s="102">
        <f t="shared" si="391"/>
        <v>45</v>
      </c>
      <c r="U1521" s="101">
        <f t="shared" si="392"/>
        <v>71</v>
      </c>
      <c r="V1521" s="4">
        <f t="shared" si="393"/>
        <v>39</v>
      </c>
      <c r="W1521" s="4">
        <f t="shared" si="394"/>
        <v>9</v>
      </c>
      <c r="X1521" s="4">
        <f t="shared" si="395"/>
        <v>9</v>
      </c>
      <c r="Y1521" s="4">
        <f t="shared" si="396"/>
        <v>41</v>
      </c>
      <c r="Z1521" s="4">
        <f t="shared" si="397"/>
        <v>41</v>
      </c>
      <c r="AA1521" s="102">
        <f t="shared" si="398"/>
        <v>71</v>
      </c>
      <c r="AC1521" s="100">
        <f t="shared" si="399"/>
        <v>0.99835886937783691</v>
      </c>
    </row>
    <row r="1522" spans="4:29" x14ac:dyDescent="0.35">
      <c r="D1522">
        <f t="shared" si="400"/>
        <v>1518</v>
      </c>
      <c r="E1522" s="101">
        <v>2</v>
      </c>
      <c r="F1522" s="4">
        <v>3</v>
      </c>
      <c r="G1522" s="4">
        <v>7</v>
      </c>
      <c r="H1522" s="4">
        <v>3</v>
      </c>
      <c r="I1522" s="4">
        <v>3</v>
      </c>
      <c r="J1522" s="4">
        <v>7</v>
      </c>
      <c r="K1522" s="102">
        <v>5</v>
      </c>
      <c r="M1522" s="101">
        <f t="shared" si="385"/>
        <v>56</v>
      </c>
      <c r="N1522" s="4">
        <f t="shared" si="386"/>
        <v>23</v>
      </c>
      <c r="O1522" s="4">
        <f t="shared" si="387"/>
        <v>29</v>
      </c>
      <c r="P1522" s="4">
        <f t="shared" si="388"/>
        <v>23</v>
      </c>
      <c r="Q1522" s="4">
        <f t="shared" si="389"/>
        <v>23</v>
      </c>
      <c r="R1522" s="4">
        <f t="shared" si="390"/>
        <v>29</v>
      </c>
      <c r="S1522" s="102">
        <f t="shared" si="391"/>
        <v>30</v>
      </c>
      <c r="U1522" s="101">
        <f t="shared" si="392"/>
        <v>78</v>
      </c>
      <c r="V1522" s="4">
        <f t="shared" si="393"/>
        <v>39</v>
      </c>
      <c r="W1522" s="4">
        <f t="shared" si="394"/>
        <v>41</v>
      </c>
      <c r="X1522" s="4">
        <f t="shared" si="395"/>
        <v>39</v>
      </c>
      <c r="Y1522" s="4">
        <f t="shared" si="396"/>
        <v>39</v>
      </c>
      <c r="Z1522" s="4">
        <f t="shared" si="397"/>
        <v>41</v>
      </c>
      <c r="AA1522" s="102">
        <f t="shared" si="398"/>
        <v>39</v>
      </c>
      <c r="AC1522" s="100">
        <f t="shared" si="399"/>
        <v>0.97143772861170408</v>
      </c>
    </row>
    <row r="1523" spans="4:29" x14ac:dyDescent="0.35">
      <c r="D1523">
        <f t="shared" si="400"/>
        <v>1519</v>
      </c>
      <c r="E1523" s="101">
        <v>6</v>
      </c>
      <c r="F1523" s="4">
        <v>6</v>
      </c>
      <c r="G1523" s="4">
        <v>6</v>
      </c>
      <c r="H1523" s="4">
        <v>5</v>
      </c>
      <c r="I1523" s="4">
        <v>2</v>
      </c>
      <c r="J1523" s="4">
        <v>5</v>
      </c>
      <c r="K1523" s="102">
        <v>4</v>
      </c>
      <c r="M1523" s="101">
        <f t="shared" si="385"/>
        <v>45</v>
      </c>
      <c r="N1523" s="4">
        <f t="shared" si="386"/>
        <v>45</v>
      </c>
      <c r="O1523" s="4">
        <f t="shared" si="387"/>
        <v>45</v>
      </c>
      <c r="P1523" s="4">
        <f t="shared" si="388"/>
        <v>30</v>
      </c>
      <c r="Q1523" s="4">
        <f t="shared" si="389"/>
        <v>56</v>
      </c>
      <c r="R1523" s="4">
        <f t="shared" si="390"/>
        <v>30</v>
      </c>
      <c r="S1523" s="102">
        <f t="shared" si="391"/>
        <v>12</v>
      </c>
      <c r="U1523" s="101">
        <f t="shared" si="392"/>
        <v>71</v>
      </c>
      <c r="V1523" s="4">
        <f t="shared" si="393"/>
        <v>71</v>
      </c>
      <c r="W1523" s="4">
        <f t="shared" si="394"/>
        <v>71</v>
      </c>
      <c r="X1523" s="4">
        <f t="shared" si="395"/>
        <v>39</v>
      </c>
      <c r="Y1523" s="4">
        <f t="shared" si="396"/>
        <v>78</v>
      </c>
      <c r="Z1523" s="4">
        <f t="shared" si="397"/>
        <v>39</v>
      </c>
      <c r="AA1523" s="102">
        <f t="shared" si="398"/>
        <v>9</v>
      </c>
      <c r="AC1523" s="100">
        <f t="shared" si="399"/>
        <v>0.98436690408582928</v>
      </c>
    </row>
    <row r="1524" spans="4:29" x14ac:dyDescent="0.35">
      <c r="D1524">
        <f t="shared" si="400"/>
        <v>1520</v>
      </c>
      <c r="E1524" s="101">
        <v>2</v>
      </c>
      <c r="F1524" s="4">
        <v>5</v>
      </c>
      <c r="G1524" s="4">
        <v>7</v>
      </c>
      <c r="H1524" s="4">
        <v>4</v>
      </c>
      <c r="I1524" s="4">
        <v>7</v>
      </c>
      <c r="J1524" s="4">
        <v>3</v>
      </c>
      <c r="K1524" s="102">
        <v>6</v>
      </c>
      <c r="M1524" s="101">
        <f t="shared" si="385"/>
        <v>56</v>
      </c>
      <c r="N1524" s="4">
        <f t="shared" si="386"/>
        <v>30</v>
      </c>
      <c r="O1524" s="4">
        <f t="shared" si="387"/>
        <v>29</v>
      </c>
      <c r="P1524" s="4">
        <f t="shared" si="388"/>
        <v>12</v>
      </c>
      <c r="Q1524" s="4">
        <f t="shared" si="389"/>
        <v>29</v>
      </c>
      <c r="R1524" s="4">
        <f t="shared" si="390"/>
        <v>23</v>
      </c>
      <c r="S1524" s="102">
        <f t="shared" si="391"/>
        <v>45</v>
      </c>
      <c r="U1524" s="101">
        <f t="shared" si="392"/>
        <v>78</v>
      </c>
      <c r="V1524" s="4">
        <f t="shared" si="393"/>
        <v>39</v>
      </c>
      <c r="W1524" s="4">
        <f t="shared" si="394"/>
        <v>41</v>
      </c>
      <c r="X1524" s="4">
        <f t="shared" si="395"/>
        <v>9</v>
      </c>
      <c r="Y1524" s="4">
        <f t="shared" si="396"/>
        <v>41</v>
      </c>
      <c r="Z1524" s="4">
        <f t="shared" si="397"/>
        <v>39</v>
      </c>
      <c r="AA1524" s="102">
        <f t="shared" si="398"/>
        <v>71</v>
      </c>
      <c r="AC1524" s="100">
        <f t="shared" si="399"/>
        <v>0.97632814590635097</v>
      </c>
    </row>
    <row r="1525" spans="4:29" x14ac:dyDescent="0.35">
      <c r="D1525">
        <f t="shared" si="400"/>
        <v>1521</v>
      </c>
      <c r="E1525" s="101">
        <v>1</v>
      </c>
      <c r="F1525" s="4">
        <v>6</v>
      </c>
      <c r="G1525" s="4">
        <v>5</v>
      </c>
      <c r="H1525" s="4">
        <v>2</v>
      </c>
      <c r="I1525" s="4">
        <v>5</v>
      </c>
      <c r="J1525" s="4">
        <v>5</v>
      </c>
      <c r="K1525" s="102">
        <v>7</v>
      </c>
      <c r="M1525" s="101">
        <f t="shared" si="385"/>
        <v>34</v>
      </c>
      <c r="N1525" s="4">
        <f t="shared" si="386"/>
        <v>45</v>
      </c>
      <c r="O1525" s="4">
        <f t="shared" si="387"/>
        <v>30</v>
      </c>
      <c r="P1525" s="4">
        <f t="shared" si="388"/>
        <v>56</v>
      </c>
      <c r="Q1525" s="4">
        <f t="shared" si="389"/>
        <v>30</v>
      </c>
      <c r="R1525" s="4">
        <f t="shared" si="390"/>
        <v>30</v>
      </c>
      <c r="S1525" s="102">
        <f t="shared" si="391"/>
        <v>29</v>
      </c>
      <c r="U1525" s="101">
        <f t="shared" si="392"/>
        <v>46</v>
      </c>
      <c r="V1525" s="4">
        <f t="shared" si="393"/>
        <v>71</v>
      </c>
      <c r="W1525" s="4">
        <f t="shared" si="394"/>
        <v>39</v>
      </c>
      <c r="X1525" s="4">
        <f t="shared" si="395"/>
        <v>78</v>
      </c>
      <c r="Y1525" s="4">
        <f t="shared" si="396"/>
        <v>39</v>
      </c>
      <c r="Z1525" s="4">
        <f t="shared" si="397"/>
        <v>39</v>
      </c>
      <c r="AA1525" s="102">
        <f t="shared" si="398"/>
        <v>41</v>
      </c>
      <c r="AC1525" s="100">
        <f t="shared" si="399"/>
        <v>0.97875412349816104</v>
      </c>
    </row>
    <row r="1526" spans="4:29" x14ac:dyDescent="0.35">
      <c r="D1526">
        <f t="shared" si="400"/>
        <v>1522</v>
      </c>
      <c r="E1526" s="101">
        <v>4</v>
      </c>
      <c r="F1526" s="4">
        <v>6</v>
      </c>
      <c r="G1526" s="4">
        <v>4</v>
      </c>
      <c r="H1526" s="4">
        <v>3</v>
      </c>
      <c r="I1526" s="4">
        <v>4</v>
      </c>
      <c r="J1526" s="4">
        <v>6</v>
      </c>
      <c r="K1526" s="102">
        <v>2</v>
      </c>
      <c r="M1526" s="101">
        <f t="shared" si="385"/>
        <v>12</v>
      </c>
      <c r="N1526" s="4">
        <f t="shared" si="386"/>
        <v>45</v>
      </c>
      <c r="O1526" s="4">
        <f t="shared" si="387"/>
        <v>12</v>
      </c>
      <c r="P1526" s="4">
        <f t="shared" si="388"/>
        <v>23</v>
      </c>
      <c r="Q1526" s="4">
        <f t="shared" si="389"/>
        <v>12</v>
      </c>
      <c r="R1526" s="4">
        <f t="shared" si="390"/>
        <v>45</v>
      </c>
      <c r="S1526" s="102">
        <f t="shared" si="391"/>
        <v>56</v>
      </c>
      <c r="U1526" s="101">
        <f t="shared" si="392"/>
        <v>9</v>
      </c>
      <c r="V1526" s="4">
        <f t="shared" si="393"/>
        <v>71</v>
      </c>
      <c r="W1526" s="4">
        <f t="shared" si="394"/>
        <v>9</v>
      </c>
      <c r="X1526" s="4">
        <f t="shared" si="395"/>
        <v>39</v>
      </c>
      <c r="Y1526" s="4">
        <f t="shared" si="396"/>
        <v>9</v>
      </c>
      <c r="Z1526" s="4">
        <f t="shared" si="397"/>
        <v>71</v>
      </c>
      <c r="AA1526" s="102">
        <f t="shared" si="398"/>
        <v>78</v>
      </c>
      <c r="AC1526" s="100">
        <f t="shared" si="399"/>
        <v>0.98487913797735882</v>
      </c>
    </row>
    <row r="1527" spans="4:29" x14ac:dyDescent="0.35">
      <c r="D1527">
        <f t="shared" si="400"/>
        <v>1523</v>
      </c>
      <c r="E1527" s="101">
        <v>2</v>
      </c>
      <c r="F1527" s="4">
        <v>2</v>
      </c>
      <c r="G1527" s="4">
        <v>2</v>
      </c>
      <c r="H1527" s="4">
        <v>5</v>
      </c>
      <c r="I1527" s="4">
        <v>2</v>
      </c>
      <c r="J1527" s="4">
        <v>2</v>
      </c>
      <c r="K1527" s="102">
        <v>1</v>
      </c>
      <c r="M1527" s="101">
        <f t="shared" si="385"/>
        <v>56</v>
      </c>
      <c r="N1527" s="4">
        <f t="shared" si="386"/>
        <v>56</v>
      </c>
      <c r="O1527" s="4">
        <f t="shared" si="387"/>
        <v>56</v>
      </c>
      <c r="P1527" s="4">
        <f t="shared" si="388"/>
        <v>30</v>
      </c>
      <c r="Q1527" s="4">
        <f t="shared" si="389"/>
        <v>56</v>
      </c>
      <c r="R1527" s="4">
        <f t="shared" si="390"/>
        <v>56</v>
      </c>
      <c r="S1527" s="102">
        <f t="shared" si="391"/>
        <v>34</v>
      </c>
      <c r="U1527" s="101">
        <f t="shared" si="392"/>
        <v>78</v>
      </c>
      <c r="V1527" s="4">
        <f t="shared" si="393"/>
        <v>78</v>
      </c>
      <c r="W1527" s="4">
        <f t="shared" si="394"/>
        <v>78</v>
      </c>
      <c r="X1527" s="4">
        <f t="shared" si="395"/>
        <v>39</v>
      </c>
      <c r="Y1527" s="4">
        <f t="shared" si="396"/>
        <v>78</v>
      </c>
      <c r="Z1527" s="4">
        <f t="shared" si="397"/>
        <v>78</v>
      </c>
      <c r="AA1527" s="102">
        <f t="shared" si="398"/>
        <v>46</v>
      </c>
      <c r="AC1527" s="100">
        <f t="shared" si="399"/>
        <v>0.99984075418929885</v>
      </c>
    </row>
    <row r="1528" spans="4:29" x14ac:dyDescent="0.35">
      <c r="D1528">
        <f t="shared" si="400"/>
        <v>1524</v>
      </c>
      <c r="E1528" s="101">
        <v>4</v>
      </c>
      <c r="F1528" s="4">
        <v>7</v>
      </c>
      <c r="G1528" s="4">
        <v>6</v>
      </c>
      <c r="H1528" s="4">
        <v>5</v>
      </c>
      <c r="I1528" s="4">
        <v>2</v>
      </c>
      <c r="J1528" s="4">
        <v>6</v>
      </c>
      <c r="K1528" s="102">
        <v>1</v>
      </c>
      <c r="M1528" s="101">
        <f t="shared" si="385"/>
        <v>12</v>
      </c>
      <c r="N1528" s="4">
        <f t="shared" si="386"/>
        <v>29</v>
      </c>
      <c r="O1528" s="4">
        <f t="shared" si="387"/>
        <v>45</v>
      </c>
      <c r="P1528" s="4">
        <f t="shared" si="388"/>
        <v>30</v>
      </c>
      <c r="Q1528" s="4">
        <f t="shared" si="389"/>
        <v>56</v>
      </c>
      <c r="R1528" s="4">
        <f t="shared" si="390"/>
        <v>45</v>
      </c>
      <c r="S1528" s="102">
        <f t="shared" si="391"/>
        <v>34</v>
      </c>
      <c r="U1528" s="101">
        <f t="shared" si="392"/>
        <v>9</v>
      </c>
      <c r="V1528" s="4">
        <f t="shared" si="393"/>
        <v>41</v>
      </c>
      <c r="W1528" s="4">
        <f t="shared" si="394"/>
        <v>71</v>
      </c>
      <c r="X1528" s="4">
        <f t="shared" si="395"/>
        <v>39</v>
      </c>
      <c r="Y1528" s="4">
        <f t="shared" si="396"/>
        <v>78</v>
      </c>
      <c r="Z1528" s="4">
        <f t="shared" si="397"/>
        <v>71</v>
      </c>
      <c r="AA1528" s="102">
        <f t="shared" si="398"/>
        <v>46</v>
      </c>
      <c r="AC1528" s="100">
        <f t="shared" si="399"/>
        <v>0.98536666061791622</v>
      </c>
    </row>
    <row r="1529" spans="4:29" x14ac:dyDescent="0.35">
      <c r="D1529">
        <f t="shared" si="400"/>
        <v>1525</v>
      </c>
      <c r="E1529" s="101">
        <v>1</v>
      </c>
      <c r="F1529" s="4">
        <v>6</v>
      </c>
      <c r="G1529" s="4">
        <v>7</v>
      </c>
      <c r="H1529" s="4">
        <v>6</v>
      </c>
      <c r="I1529" s="4">
        <v>2</v>
      </c>
      <c r="J1529" s="4">
        <v>7</v>
      </c>
      <c r="K1529" s="102">
        <v>6</v>
      </c>
      <c r="M1529" s="101">
        <f t="shared" si="385"/>
        <v>34</v>
      </c>
      <c r="N1529" s="4">
        <f t="shared" si="386"/>
        <v>45</v>
      </c>
      <c r="O1529" s="4">
        <f t="shared" si="387"/>
        <v>29</v>
      </c>
      <c r="P1529" s="4">
        <f t="shared" si="388"/>
        <v>45</v>
      </c>
      <c r="Q1529" s="4">
        <f t="shared" si="389"/>
        <v>56</v>
      </c>
      <c r="R1529" s="4">
        <f t="shared" si="390"/>
        <v>29</v>
      </c>
      <c r="S1529" s="102">
        <f t="shared" si="391"/>
        <v>45</v>
      </c>
      <c r="U1529" s="101">
        <f t="shared" si="392"/>
        <v>46</v>
      </c>
      <c r="V1529" s="4">
        <f t="shared" si="393"/>
        <v>71</v>
      </c>
      <c r="W1529" s="4">
        <f t="shared" si="394"/>
        <v>41</v>
      </c>
      <c r="X1529" s="4">
        <f t="shared" si="395"/>
        <v>71</v>
      </c>
      <c r="Y1529" s="4">
        <f t="shared" si="396"/>
        <v>78</v>
      </c>
      <c r="Z1529" s="4">
        <f t="shared" si="397"/>
        <v>41</v>
      </c>
      <c r="AA1529" s="102">
        <f t="shared" si="398"/>
        <v>71</v>
      </c>
      <c r="AC1529" s="100">
        <f t="shared" si="399"/>
        <v>0.96745397171784242</v>
      </c>
    </row>
    <row r="1530" spans="4:29" x14ac:dyDescent="0.35">
      <c r="D1530">
        <f t="shared" si="400"/>
        <v>1526</v>
      </c>
      <c r="E1530" s="101">
        <v>1</v>
      </c>
      <c r="F1530" s="4">
        <v>4</v>
      </c>
      <c r="G1530" s="4">
        <v>1</v>
      </c>
      <c r="H1530" s="4">
        <v>3</v>
      </c>
      <c r="I1530" s="4">
        <v>2</v>
      </c>
      <c r="J1530" s="4">
        <v>1</v>
      </c>
      <c r="K1530" s="102">
        <v>6</v>
      </c>
      <c r="M1530" s="101">
        <f t="shared" si="385"/>
        <v>34</v>
      </c>
      <c r="N1530" s="4">
        <f t="shared" si="386"/>
        <v>12</v>
      </c>
      <c r="O1530" s="4">
        <f t="shared" si="387"/>
        <v>34</v>
      </c>
      <c r="P1530" s="4">
        <f t="shared" si="388"/>
        <v>23</v>
      </c>
      <c r="Q1530" s="4">
        <f t="shared" si="389"/>
        <v>56</v>
      </c>
      <c r="R1530" s="4">
        <f t="shared" si="390"/>
        <v>34</v>
      </c>
      <c r="S1530" s="102">
        <f t="shared" si="391"/>
        <v>45</v>
      </c>
      <c r="U1530" s="101">
        <f t="shared" si="392"/>
        <v>46</v>
      </c>
      <c r="V1530" s="4">
        <f t="shared" si="393"/>
        <v>9</v>
      </c>
      <c r="W1530" s="4">
        <f t="shared" si="394"/>
        <v>46</v>
      </c>
      <c r="X1530" s="4">
        <f t="shared" si="395"/>
        <v>39</v>
      </c>
      <c r="Y1530" s="4">
        <f t="shared" si="396"/>
        <v>78</v>
      </c>
      <c r="Z1530" s="4">
        <f t="shared" si="397"/>
        <v>46</v>
      </c>
      <c r="AA1530" s="102">
        <f t="shared" si="398"/>
        <v>71</v>
      </c>
      <c r="AC1530" s="100">
        <f t="shared" si="399"/>
        <v>0.97455900704675791</v>
      </c>
    </row>
    <row r="1531" spans="4:29" x14ac:dyDescent="0.35">
      <c r="D1531">
        <f t="shared" si="400"/>
        <v>1527</v>
      </c>
      <c r="E1531" s="101">
        <v>6</v>
      </c>
      <c r="F1531" s="4">
        <v>4</v>
      </c>
      <c r="G1531" s="4">
        <v>3</v>
      </c>
      <c r="H1531" s="4">
        <v>7</v>
      </c>
      <c r="I1531" s="4">
        <v>5</v>
      </c>
      <c r="J1531" s="4">
        <v>2</v>
      </c>
      <c r="K1531" s="102">
        <v>1</v>
      </c>
      <c r="M1531" s="101">
        <f t="shared" si="385"/>
        <v>45</v>
      </c>
      <c r="N1531" s="4">
        <f t="shared" si="386"/>
        <v>12</v>
      </c>
      <c r="O1531" s="4">
        <f t="shared" si="387"/>
        <v>23</v>
      </c>
      <c r="P1531" s="4">
        <f t="shared" si="388"/>
        <v>29</v>
      </c>
      <c r="Q1531" s="4">
        <f t="shared" si="389"/>
        <v>30</v>
      </c>
      <c r="R1531" s="4">
        <f t="shared" si="390"/>
        <v>56</v>
      </c>
      <c r="S1531" s="102">
        <f t="shared" si="391"/>
        <v>34</v>
      </c>
      <c r="U1531" s="101">
        <f t="shared" si="392"/>
        <v>71</v>
      </c>
      <c r="V1531" s="4">
        <f t="shared" si="393"/>
        <v>9</v>
      </c>
      <c r="W1531" s="4">
        <f t="shared" si="394"/>
        <v>39</v>
      </c>
      <c r="X1531" s="4">
        <f t="shared" si="395"/>
        <v>41</v>
      </c>
      <c r="Y1531" s="4">
        <f t="shared" si="396"/>
        <v>39</v>
      </c>
      <c r="Z1531" s="4">
        <f t="shared" si="397"/>
        <v>78</v>
      </c>
      <c r="AA1531" s="102">
        <f t="shared" si="398"/>
        <v>46</v>
      </c>
      <c r="AC1531" s="100">
        <f t="shared" si="399"/>
        <v>0.97529211313754438</v>
      </c>
    </row>
    <row r="1532" spans="4:29" x14ac:dyDescent="0.35">
      <c r="D1532">
        <f t="shared" si="400"/>
        <v>1528</v>
      </c>
      <c r="E1532" s="101">
        <v>6</v>
      </c>
      <c r="F1532" s="4">
        <v>5</v>
      </c>
      <c r="G1532" s="4">
        <v>7</v>
      </c>
      <c r="H1532" s="4">
        <v>7</v>
      </c>
      <c r="I1532" s="4">
        <v>3</v>
      </c>
      <c r="J1532" s="4">
        <v>4</v>
      </c>
      <c r="K1532" s="102">
        <v>7</v>
      </c>
      <c r="M1532" s="101">
        <f t="shared" si="385"/>
        <v>45</v>
      </c>
      <c r="N1532" s="4">
        <f t="shared" si="386"/>
        <v>30</v>
      </c>
      <c r="O1532" s="4">
        <f t="shared" si="387"/>
        <v>29</v>
      </c>
      <c r="P1532" s="4">
        <f t="shared" si="388"/>
        <v>29</v>
      </c>
      <c r="Q1532" s="4">
        <f t="shared" si="389"/>
        <v>23</v>
      </c>
      <c r="R1532" s="4">
        <f t="shared" si="390"/>
        <v>12</v>
      </c>
      <c r="S1532" s="102">
        <f t="shared" si="391"/>
        <v>29</v>
      </c>
      <c r="U1532" s="101">
        <f t="shared" si="392"/>
        <v>71</v>
      </c>
      <c r="V1532" s="4">
        <f t="shared" si="393"/>
        <v>39</v>
      </c>
      <c r="W1532" s="4">
        <f t="shared" si="394"/>
        <v>41</v>
      </c>
      <c r="X1532" s="4">
        <f t="shared" si="395"/>
        <v>41</v>
      </c>
      <c r="Y1532" s="4">
        <f t="shared" si="396"/>
        <v>39</v>
      </c>
      <c r="Z1532" s="4">
        <f t="shared" si="397"/>
        <v>9</v>
      </c>
      <c r="AA1532" s="102">
        <f t="shared" si="398"/>
        <v>41</v>
      </c>
      <c r="AC1532" s="100">
        <f t="shared" si="399"/>
        <v>0.97587946873048625</v>
      </c>
    </row>
    <row r="1533" spans="4:29" x14ac:dyDescent="0.35">
      <c r="D1533">
        <f t="shared" si="400"/>
        <v>1529</v>
      </c>
      <c r="E1533" s="101">
        <v>6</v>
      </c>
      <c r="F1533" s="4">
        <v>6</v>
      </c>
      <c r="G1533" s="4">
        <v>5</v>
      </c>
      <c r="H1533" s="4">
        <v>2</v>
      </c>
      <c r="I1533" s="4">
        <v>7</v>
      </c>
      <c r="J1533" s="4">
        <v>4</v>
      </c>
      <c r="K1533" s="102">
        <v>3</v>
      </c>
      <c r="M1533" s="101">
        <f t="shared" si="385"/>
        <v>45</v>
      </c>
      <c r="N1533" s="4">
        <f t="shared" si="386"/>
        <v>45</v>
      </c>
      <c r="O1533" s="4">
        <f t="shared" si="387"/>
        <v>30</v>
      </c>
      <c r="P1533" s="4">
        <f t="shared" si="388"/>
        <v>56</v>
      </c>
      <c r="Q1533" s="4">
        <f t="shared" si="389"/>
        <v>29</v>
      </c>
      <c r="R1533" s="4">
        <f t="shared" si="390"/>
        <v>12</v>
      </c>
      <c r="S1533" s="102">
        <f t="shared" si="391"/>
        <v>23</v>
      </c>
      <c r="U1533" s="101">
        <f t="shared" si="392"/>
        <v>71</v>
      </c>
      <c r="V1533" s="4">
        <f t="shared" si="393"/>
        <v>71</v>
      </c>
      <c r="W1533" s="4">
        <f t="shared" si="394"/>
        <v>39</v>
      </c>
      <c r="X1533" s="4">
        <f t="shared" si="395"/>
        <v>78</v>
      </c>
      <c r="Y1533" s="4">
        <f t="shared" si="396"/>
        <v>41</v>
      </c>
      <c r="Z1533" s="4">
        <f t="shared" si="397"/>
        <v>9</v>
      </c>
      <c r="AA1533" s="102">
        <f t="shared" si="398"/>
        <v>39</v>
      </c>
      <c r="AC1533" s="100">
        <f t="shared" si="399"/>
        <v>0.97649855123616347</v>
      </c>
    </row>
    <row r="1534" spans="4:29" x14ac:dyDescent="0.35">
      <c r="D1534">
        <f t="shared" si="400"/>
        <v>1530</v>
      </c>
      <c r="E1534" s="101">
        <v>5</v>
      </c>
      <c r="F1534" s="4">
        <v>7</v>
      </c>
      <c r="G1534" s="4">
        <v>5</v>
      </c>
      <c r="H1534" s="4">
        <v>1</v>
      </c>
      <c r="I1534" s="4">
        <v>7</v>
      </c>
      <c r="J1534" s="4">
        <v>7</v>
      </c>
      <c r="K1534" s="102">
        <v>2</v>
      </c>
      <c r="M1534" s="101">
        <f t="shared" si="385"/>
        <v>30</v>
      </c>
      <c r="N1534" s="4">
        <f t="shared" si="386"/>
        <v>29</v>
      </c>
      <c r="O1534" s="4">
        <f t="shared" si="387"/>
        <v>30</v>
      </c>
      <c r="P1534" s="4">
        <f t="shared" si="388"/>
        <v>34</v>
      </c>
      <c r="Q1534" s="4">
        <f t="shared" si="389"/>
        <v>29</v>
      </c>
      <c r="R1534" s="4">
        <f t="shared" si="390"/>
        <v>29</v>
      </c>
      <c r="S1534" s="102">
        <f t="shared" si="391"/>
        <v>56</v>
      </c>
      <c r="U1534" s="101">
        <f t="shared" si="392"/>
        <v>39</v>
      </c>
      <c r="V1534" s="4">
        <f t="shared" si="393"/>
        <v>41</v>
      </c>
      <c r="W1534" s="4">
        <f t="shared" si="394"/>
        <v>39</v>
      </c>
      <c r="X1534" s="4">
        <f t="shared" si="395"/>
        <v>46</v>
      </c>
      <c r="Y1534" s="4">
        <f t="shared" si="396"/>
        <v>41</v>
      </c>
      <c r="Z1534" s="4">
        <f t="shared" si="397"/>
        <v>41</v>
      </c>
      <c r="AA1534" s="102">
        <f t="shared" si="398"/>
        <v>78</v>
      </c>
      <c r="AC1534" s="100">
        <f t="shared" si="399"/>
        <v>0.99392672891643041</v>
      </c>
    </row>
    <row r="1535" spans="4:29" x14ac:dyDescent="0.35">
      <c r="D1535">
        <f t="shared" si="400"/>
        <v>1531</v>
      </c>
      <c r="E1535" s="101">
        <v>1</v>
      </c>
      <c r="F1535" s="4">
        <v>7</v>
      </c>
      <c r="G1535" s="4">
        <v>3</v>
      </c>
      <c r="H1535" s="4">
        <v>3</v>
      </c>
      <c r="I1535" s="4">
        <v>4</v>
      </c>
      <c r="J1535" s="4">
        <v>6</v>
      </c>
      <c r="K1535" s="102">
        <v>7</v>
      </c>
      <c r="M1535" s="101">
        <f t="shared" si="385"/>
        <v>34</v>
      </c>
      <c r="N1535" s="4">
        <f t="shared" si="386"/>
        <v>29</v>
      </c>
      <c r="O1535" s="4">
        <f t="shared" si="387"/>
        <v>23</v>
      </c>
      <c r="P1535" s="4">
        <f t="shared" si="388"/>
        <v>23</v>
      </c>
      <c r="Q1535" s="4">
        <f t="shared" si="389"/>
        <v>12</v>
      </c>
      <c r="R1535" s="4">
        <f t="shared" si="390"/>
        <v>45</v>
      </c>
      <c r="S1535" s="102">
        <f t="shared" si="391"/>
        <v>29</v>
      </c>
      <c r="U1535" s="101">
        <f t="shared" si="392"/>
        <v>46</v>
      </c>
      <c r="V1535" s="4">
        <f t="shared" si="393"/>
        <v>41</v>
      </c>
      <c r="W1535" s="4">
        <f t="shared" si="394"/>
        <v>39</v>
      </c>
      <c r="X1535" s="4">
        <f t="shared" si="395"/>
        <v>39</v>
      </c>
      <c r="Y1535" s="4">
        <f t="shared" si="396"/>
        <v>9</v>
      </c>
      <c r="Z1535" s="4">
        <f t="shared" si="397"/>
        <v>71</v>
      </c>
      <c r="AA1535" s="102">
        <f t="shared" si="398"/>
        <v>41</v>
      </c>
      <c r="AC1535" s="100">
        <f t="shared" si="399"/>
        <v>0.96317344934838256</v>
      </c>
    </row>
    <row r="1536" spans="4:29" x14ac:dyDescent="0.35">
      <c r="D1536">
        <f t="shared" si="400"/>
        <v>1532</v>
      </c>
      <c r="E1536" s="101">
        <v>1</v>
      </c>
      <c r="F1536" s="4">
        <v>7</v>
      </c>
      <c r="G1536" s="4">
        <v>1</v>
      </c>
      <c r="H1536" s="4">
        <v>7</v>
      </c>
      <c r="I1536" s="4">
        <v>4</v>
      </c>
      <c r="J1536" s="4">
        <v>1</v>
      </c>
      <c r="K1536" s="102">
        <v>4</v>
      </c>
      <c r="M1536" s="101">
        <f t="shared" si="385"/>
        <v>34</v>
      </c>
      <c r="N1536" s="4">
        <f t="shared" si="386"/>
        <v>29</v>
      </c>
      <c r="O1536" s="4">
        <f t="shared" si="387"/>
        <v>34</v>
      </c>
      <c r="P1536" s="4">
        <f t="shared" si="388"/>
        <v>29</v>
      </c>
      <c r="Q1536" s="4">
        <f t="shared" si="389"/>
        <v>12</v>
      </c>
      <c r="R1536" s="4">
        <f t="shared" si="390"/>
        <v>34</v>
      </c>
      <c r="S1536" s="102">
        <f t="shared" si="391"/>
        <v>12</v>
      </c>
      <c r="U1536" s="101">
        <f t="shared" si="392"/>
        <v>46</v>
      </c>
      <c r="V1536" s="4">
        <f t="shared" si="393"/>
        <v>41</v>
      </c>
      <c r="W1536" s="4">
        <f t="shared" si="394"/>
        <v>46</v>
      </c>
      <c r="X1536" s="4">
        <f t="shared" si="395"/>
        <v>41</v>
      </c>
      <c r="Y1536" s="4">
        <f t="shared" si="396"/>
        <v>9</v>
      </c>
      <c r="Z1536" s="4">
        <f t="shared" si="397"/>
        <v>46</v>
      </c>
      <c r="AA1536" s="102">
        <f t="shared" si="398"/>
        <v>9</v>
      </c>
      <c r="AC1536" s="100">
        <f t="shared" si="399"/>
        <v>0.99548608922702242</v>
      </c>
    </row>
    <row r="1537" spans="4:29" x14ac:dyDescent="0.35">
      <c r="D1537">
        <f t="shared" si="400"/>
        <v>1533</v>
      </c>
      <c r="E1537" s="101">
        <v>2</v>
      </c>
      <c r="F1537" s="4">
        <v>3</v>
      </c>
      <c r="G1537" s="4">
        <v>1</v>
      </c>
      <c r="H1537" s="4">
        <v>3</v>
      </c>
      <c r="I1537" s="4">
        <v>6</v>
      </c>
      <c r="J1537" s="4">
        <v>5</v>
      </c>
      <c r="K1537" s="102">
        <v>2</v>
      </c>
      <c r="M1537" s="101">
        <f t="shared" si="385"/>
        <v>56</v>
      </c>
      <c r="N1537" s="4">
        <f t="shared" si="386"/>
        <v>23</v>
      </c>
      <c r="O1537" s="4">
        <f t="shared" si="387"/>
        <v>34</v>
      </c>
      <c r="P1537" s="4">
        <f t="shared" si="388"/>
        <v>23</v>
      </c>
      <c r="Q1537" s="4">
        <f t="shared" si="389"/>
        <v>45</v>
      </c>
      <c r="R1537" s="4">
        <f t="shared" si="390"/>
        <v>30</v>
      </c>
      <c r="S1537" s="102">
        <f t="shared" si="391"/>
        <v>56</v>
      </c>
      <c r="U1537" s="101">
        <f t="shared" si="392"/>
        <v>78</v>
      </c>
      <c r="V1537" s="4">
        <f t="shared" si="393"/>
        <v>39</v>
      </c>
      <c r="W1537" s="4">
        <f t="shared" si="394"/>
        <v>46</v>
      </c>
      <c r="X1537" s="4">
        <f t="shared" si="395"/>
        <v>39</v>
      </c>
      <c r="Y1537" s="4">
        <f t="shared" si="396"/>
        <v>71</v>
      </c>
      <c r="Z1537" s="4">
        <f t="shared" si="397"/>
        <v>39</v>
      </c>
      <c r="AA1537" s="102">
        <f t="shared" si="398"/>
        <v>78</v>
      </c>
      <c r="AC1537" s="100">
        <f t="shared" si="399"/>
        <v>0.97273126225198769</v>
      </c>
    </row>
    <row r="1538" spans="4:29" x14ac:dyDescent="0.35">
      <c r="D1538">
        <f t="shared" si="400"/>
        <v>1534</v>
      </c>
      <c r="E1538" s="101">
        <v>1</v>
      </c>
      <c r="F1538" s="4">
        <v>2</v>
      </c>
      <c r="G1538" s="4">
        <v>4</v>
      </c>
      <c r="H1538" s="4">
        <v>1</v>
      </c>
      <c r="I1538" s="4">
        <v>2</v>
      </c>
      <c r="J1538" s="4">
        <v>4</v>
      </c>
      <c r="K1538" s="102">
        <v>3</v>
      </c>
      <c r="M1538" s="101">
        <f t="shared" si="385"/>
        <v>34</v>
      </c>
      <c r="N1538" s="4">
        <f t="shared" si="386"/>
        <v>56</v>
      </c>
      <c r="O1538" s="4">
        <f t="shared" si="387"/>
        <v>12</v>
      </c>
      <c r="P1538" s="4">
        <f t="shared" si="388"/>
        <v>34</v>
      </c>
      <c r="Q1538" s="4">
        <f t="shared" si="389"/>
        <v>56</v>
      </c>
      <c r="R1538" s="4">
        <f t="shared" si="390"/>
        <v>12</v>
      </c>
      <c r="S1538" s="102">
        <f t="shared" si="391"/>
        <v>23</v>
      </c>
      <c r="U1538" s="101">
        <f t="shared" si="392"/>
        <v>46</v>
      </c>
      <c r="V1538" s="4">
        <f t="shared" si="393"/>
        <v>78</v>
      </c>
      <c r="W1538" s="4">
        <f t="shared" si="394"/>
        <v>9</v>
      </c>
      <c r="X1538" s="4">
        <f t="shared" si="395"/>
        <v>46</v>
      </c>
      <c r="Y1538" s="4">
        <f t="shared" si="396"/>
        <v>78</v>
      </c>
      <c r="Z1538" s="4">
        <f t="shared" si="397"/>
        <v>9</v>
      </c>
      <c r="AA1538" s="102">
        <f t="shared" si="398"/>
        <v>39</v>
      </c>
      <c r="AC1538" s="100">
        <f t="shared" si="399"/>
        <v>0.98699598711008674</v>
      </c>
    </row>
    <row r="1539" spans="4:29" x14ac:dyDescent="0.35">
      <c r="D1539">
        <f t="shared" si="400"/>
        <v>1535</v>
      </c>
      <c r="E1539" s="101">
        <v>5</v>
      </c>
      <c r="F1539" s="4">
        <v>2</v>
      </c>
      <c r="G1539" s="4">
        <v>2</v>
      </c>
      <c r="H1539" s="4">
        <v>4</v>
      </c>
      <c r="I1539" s="4">
        <v>5</v>
      </c>
      <c r="J1539" s="4">
        <v>7</v>
      </c>
      <c r="K1539" s="102">
        <v>6</v>
      </c>
      <c r="M1539" s="101">
        <f t="shared" si="385"/>
        <v>30</v>
      </c>
      <c r="N1539" s="4">
        <f t="shared" si="386"/>
        <v>56</v>
      </c>
      <c r="O1539" s="4">
        <f t="shared" si="387"/>
        <v>56</v>
      </c>
      <c r="P1539" s="4">
        <f t="shared" si="388"/>
        <v>12</v>
      </c>
      <c r="Q1539" s="4">
        <f t="shared" si="389"/>
        <v>30</v>
      </c>
      <c r="R1539" s="4">
        <f t="shared" si="390"/>
        <v>29</v>
      </c>
      <c r="S1539" s="102">
        <f t="shared" si="391"/>
        <v>45</v>
      </c>
      <c r="U1539" s="101">
        <f t="shared" si="392"/>
        <v>39</v>
      </c>
      <c r="V1539" s="4">
        <f t="shared" si="393"/>
        <v>78</v>
      </c>
      <c r="W1539" s="4">
        <f t="shared" si="394"/>
        <v>78</v>
      </c>
      <c r="X1539" s="4">
        <f t="shared" si="395"/>
        <v>9</v>
      </c>
      <c r="Y1539" s="4">
        <f t="shared" si="396"/>
        <v>39</v>
      </c>
      <c r="Z1539" s="4">
        <f t="shared" si="397"/>
        <v>41</v>
      </c>
      <c r="AA1539" s="102">
        <f t="shared" si="398"/>
        <v>71</v>
      </c>
      <c r="AC1539" s="100">
        <f t="shared" si="399"/>
        <v>0.98904432499094996</v>
      </c>
    </row>
    <row r="1540" spans="4:29" x14ac:dyDescent="0.35">
      <c r="D1540">
        <f t="shared" si="400"/>
        <v>1536</v>
      </c>
      <c r="E1540" s="101">
        <v>5</v>
      </c>
      <c r="F1540" s="4">
        <v>7</v>
      </c>
      <c r="G1540" s="4">
        <v>7</v>
      </c>
      <c r="H1540" s="4">
        <v>5</v>
      </c>
      <c r="I1540" s="4">
        <v>1</v>
      </c>
      <c r="J1540" s="4">
        <v>6</v>
      </c>
      <c r="K1540" s="102">
        <v>6</v>
      </c>
      <c r="M1540" s="101">
        <f t="shared" si="385"/>
        <v>30</v>
      </c>
      <c r="N1540" s="4">
        <f t="shared" si="386"/>
        <v>29</v>
      </c>
      <c r="O1540" s="4">
        <f t="shared" si="387"/>
        <v>29</v>
      </c>
      <c r="P1540" s="4">
        <f t="shared" si="388"/>
        <v>30</v>
      </c>
      <c r="Q1540" s="4">
        <f t="shared" si="389"/>
        <v>34</v>
      </c>
      <c r="R1540" s="4">
        <f t="shared" si="390"/>
        <v>45</v>
      </c>
      <c r="S1540" s="102">
        <f t="shared" si="391"/>
        <v>45</v>
      </c>
      <c r="U1540" s="101">
        <f t="shared" si="392"/>
        <v>39</v>
      </c>
      <c r="V1540" s="4">
        <f t="shared" si="393"/>
        <v>41</v>
      </c>
      <c r="W1540" s="4">
        <f t="shared" si="394"/>
        <v>41</v>
      </c>
      <c r="X1540" s="4">
        <f t="shared" si="395"/>
        <v>39</v>
      </c>
      <c r="Y1540" s="4">
        <f t="shared" si="396"/>
        <v>46</v>
      </c>
      <c r="Z1540" s="4">
        <f t="shared" si="397"/>
        <v>71</v>
      </c>
      <c r="AA1540" s="102">
        <f t="shared" si="398"/>
        <v>71</v>
      </c>
      <c r="AC1540" s="100">
        <f t="shared" si="399"/>
        <v>0.99085354310228524</v>
      </c>
    </row>
    <row r="1541" spans="4:29" x14ac:dyDescent="0.35">
      <c r="D1541">
        <f t="shared" si="400"/>
        <v>1537</v>
      </c>
      <c r="E1541" s="101">
        <v>3</v>
      </c>
      <c r="F1541" s="4">
        <v>4</v>
      </c>
      <c r="G1541" s="4">
        <v>3</v>
      </c>
      <c r="H1541" s="4">
        <v>6</v>
      </c>
      <c r="I1541" s="4">
        <v>6</v>
      </c>
      <c r="J1541" s="4">
        <v>5</v>
      </c>
      <c r="K1541" s="102">
        <v>5</v>
      </c>
      <c r="M1541" s="101">
        <f t="shared" si="385"/>
        <v>23</v>
      </c>
      <c r="N1541" s="4">
        <f t="shared" si="386"/>
        <v>12</v>
      </c>
      <c r="O1541" s="4">
        <f t="shared" si="387"/>
        <v>23</v>
      </c>
      <c r="P1541" s="4">
        <f t="shared" si="388"/>
        <v>45</v>
      </c>
      <c r="Q1541" s="4">
        <f t="shared" si="389"/>
        <v>45</v>
      </c>
      <c r="R1541" s="4">
        <f t="shared" si="390"/>
        <v>30</v>
      </c>
      <c r="S1541" s="102">
        <f t="shared" si="391"/>
        <v>30</v>
      </c>
      <c r="U1541" s="101">
        <f t="shared" si="392"/>
        <v>39</v>
      </c>
      <c r="V1541" s="4">
        <f t="shared" si="393"/>
        <v>9</v>
      </c>
      <c r="W1541" s="4">
        <f t="shared" si="394"/>
        <v>39</v>
      </c>
      <c r="X1541" s="4">
        <f t="shared" si="395"/>
        <v>71</v>
      </c>
      <c r="Y1541" s="4">
        <f t="shared" si="396"/>
        <v>71</v>
      </c>
      <c r="Z1541" s="4">
        <f t="shared" si="397"/>
        <v>39</v>
      </c>
      <c r="AA1541" s="102">
        <f t="shared" si="398"/>
        <v>39</v>
      </c>
      <c r="AC1541" s="100">
        <f t="shared" si="399"/>
        <v>0.96946784883265769</v>
      </c>
    </row>
    <row r="1542" spans="4:29" x14ac:dyDescent="0.35">
      <c r="D1542">
        <f t="shared" si="400"/>
        <v>1538</v>
      </c>
      <c r="E1542" s="101">
        <v>3</v>
      </c>
      <c r="F1542" s="4">
        <v>4</v>
      </c>
      <c r="G1542" s="4">
        <v>4</v>
      </c>
      <c r="H1542" s="4">
        <v>2</v>
      </c>
      <c r="I1542" s="4">
        <v>2</v>
      </c>
      <c r="J1542" s="4">
        <v>3</v>
      </c>
      <c r="K1542" s="102">
        <v>4</v>
      </c>
      <c r="M1542" s="101">
        <f t="shared" ref="M1542:M1605" si="401">INDEX($A$5:$A$11,E1542)</f>
        <v>23</v>
      </c>
      <c r="N1542" s="4">
        <f t="shared" ref="N1542:N1605" si="402">INDEX($A$5:$A$11,F1542)</f>
        <v>12</v>
      </c>
      <c r="O1542" s="4">
        <f t="shared" ref="O1542:O1605" si="403">INDEX($A$5:$A$11,G1542)</f>
        <v>12</v>
      </c>
      <c r="P1542" s="4">
        <f t="shared" ref="P1542:P1605" si="404">INDEX($A$5:$A$11,H1542)</f>
        <v>56</v>
      </c>
      <c r="Q1542" s="4">
        <f t="shared" ref="Q1542:Q1605" si="405">INDEX($A$5:$A$11,I1542)</f>
        <v>56</v>
      </c>
      <c r="R1542" s="4">
        <f t="shared" ref="R1542:R1605" si="406">INDEX($A$5:$A$11,J1542)</f>
        <v>23</v>
      </c>
      <c r="S1542" s="102">
        <f t="shared" ref="S1542:S1605" si="407">INDEX($A$5:$A$11,K1542)</f>
        <v>12</v>
      </c>
      <c r="U1542" s="101">
        <f t="shared" ref="U1542:U1605" si="408">INDEX($B$5:$B$11,E1542)</f>
        <v>39</v>
      </c>
      <c r="V1542" s="4">
        <f t="shared" ref="V1542:V1605" si="409">INDEX($B$5:$B$11,F1542)</f>
        <v>9</v>
      </c>
      <c r="W1542" s="4">
        <f t="shared" ref="W1542:W1605" si="410">INDEX($B$5:$B$11,G1542)</f>
        <v>9</v>
      </c>
      <c r="X1542" s="4">
        <f t="shared" ref="X1542:X1605" si="411">INDEX($B$5:$B$11,H1542)</f>
        <v>78</v>
      </c>
      <c r="Y1542" s="4">
        <f t="shared" ref="Y1542:Y1605" si="412">INDEX($B$5:$B$11,I1542)</f>
        <v>78</v>
      </c>
      <c r="Z1542" s="4">
        <f t="shared" ref="Z1542:Z1605" si="413">INDEX($B$5:$B$11,J1542)</f>
        <v>39</v>
      </c>
      <c r="AA1542" s="102">
        <f t="shared" ref="AA1542:AA1605" si="414">INDEX($B$5:$B$11,K1542)</f>
        <v>9</v>
      </c>
      <c r="AC1542" s="100">
        <f t="shared" ref="AC1542:AC1605" si="415">CORREL(M1542:S1542,U1542:AA1542)</f>
        <v>0.9800351927322043</v>
      </c>
    </row>
    <row r="1543" spans="4:29" x14ac:dyDescent="0.35">
      <c r="D1543">
        <f t="shared" ref="D1543:D1606" si="416">D1542+1</f>
        <v>1539</v>
      </c>
      <c r="E1543" s="101">
        <v>2</v>
      </c>
      <c r="F1543" s="4">
        <v>5</v>
      </c>
      <c r="G1543" s="4">
        <v>3</v>
      </c>
      <c r="H1543" s="4">
        <v>5</v>
      </c>
      <c r="I1543" s="4">
        <v>1</v>
      </c>
      <c r="J1543" s="4">
        <v>3</v>
      </c>
      <c r="K1543" s="102">
        <v>7</v>
      </c>
      <c r="M1543" s="101">
        <f t="shared" si="401"/>
        <v>56</v>
      </c>
      <c r="N1543" s="4">
        <f t="shared" si="402"/>
        <v>30</v>
      </c>
      <c r="O1543" s="4">
        <f t="shared" si="403"/>
        <v>23</v>
      </c>
      <c r="P1543" s="4">
        <f t="shared" si="404"/>
        <v>30</v>
      </c>
      <c r="Q1543" s="4">
        <f t="shared" si="405"/>
        <v>34</v>
      </c>
      <c r="R1543" s="4">
        <f t="shared" si="406"/>
        <v>23</v>
      </c>
      <c r="S1543" s="102">
        <f t="shared" si="407"/>
        <v>29</v>
      </c>
      <c r="U1543" s="101">
        <f t="shared" si="408"/>
        <v>78</v>
      </c>
      <c r="V1543" s="4">
        <f t="shared" si="409"/>
        <v>39</v>
      </c>
      <c r="W1543" s="4">
        <f t="shared" si="410"/>
        <v>39</v>
      </c>
      <c r="X1543" s="4">
        <f t="shared" si="411"/>
        <v>39</v>
      </c>
      <c r="Y1543" s="4">
        <f t="shared" si="412"/>
        <v>46</v>
      </c>
      <c r="Z1543" s="4">
        <f t="shared" si="413"/>
        <v>39</v>
      </c>
      <c r="AA1543" s="102">
        <f t="shared" si="414"/>
        <v>41</v>
      </c>
      <c r="AC1543" s="100">
        <f t="shared" si="415"/>
        <v>0.96419756060786421</v>
      </c>
    </row>
    <row r="1544" spans="4:29" x14ac:dyDescent="0.35">
      <c r="D1544">
        <f t="shared" si="416"/>
        <v>1540</v>
      </c>
      <c r="E1544" s="101">
        <v>1</v>
      </c>
      <c r="F1544" s="4">
        <v>3</v>
      </c>
      <c r="G1544" s="4">
        <v>1</v>
      </c>
      <c r="H1544" s="4">
        <v>5</v>
      </c>
      <c r="I1544" s="4">
        <v>7</v>
      </c>
      <c r="J1544" s="4">
        <v>1</v>
      </c>
      <c r="K1544" s="102">
        <v>2</v>
      </c>
      <c r="M1544" s="101">
        <f t="shared" si="401"/>
        <v>34</v>
      </c>
      <c r="N1544" s="4">
        <f t="shared" si="402"/>
        <v>23</v>
      </c>
      <c r="O1544" s="4">
        <f t="shared" si="403"/>
        <v>34</v>
      </c>
      <c r="P1544" s="4">
        <f t="shared" si="404"/>
        <v>30</v>
      </c>
      <c r="Q1544" s="4">
        <f t="shared" si="405"/>
        <v>29</v>
      </c>
      <c r="R1544" s="4">
        <f t="shared" si="406"/>
        <v>34</v>
      </c>
      <c r="S1544" s="102">
        <f t="shared" si="407"/>
        <v>56</v>
      </c>
      <c r="U1544" s="101">
        <f t="shared" si="408"/>
        <v>46</v>
      </c>
      <c r="V1544" s="4">
        <f t="shared" si="409"/>
        <v>39</v>
      </c>
      <c r="W1544" s="4">
        <f t="shared" si="410"/>
        <v>46</v>
      </c>
      <c r="X1544" s="4">
        <f t="shared" si="411"/>
        <v>39</v>
      </c>
      <c r="Y1544" s="4">
        <f t="shared" si="412"/>
        <v>41</v>
      </c>
      <c r="Z1544" s="4">
        <f t="shared" si="413"/>
        <v>46</v>
      </c>
      <c r="AA1544" s="102">
        <f t="shared" si="414"/>
        <v>78</v>
      </c>
      <c r="AC1544" s="100">
        <f t="shared" si="415"/>
        <v>0.97530672614915614</v>
      </c>
    </row>
    <row r="1545" spans="4:29" x14ac:dyDescent="0.35">
      <c r="D1545">
        <f t="shared" si="416"/>
        <v>1541</v>
      </c>
      <c r="E1545" s="101">
        <v>2</v>
      </c>
      <c r="F1545" s="4">
        <v>2</v>
      </c>
      <c r="G1545" s="4">
        <v>5</v>
      </c>
      <c r="H1545" s="4">
        <v>2</v>
      </c>
      <c r="I1545" s="4">
        <v>3</v>
      </c>
      <c r="J1545" s="4">
        <v>2</v>
      </c>
      <c r="K1545" s="102">
        <v>5</v>
      </c>
      <c r="M1545" s="101">
        <f t="shared" si="401"/>
        <v>56</v>
      </c>
      <c r="N1545" s="4">
        <f t="shared" si="402"/>
        <v>56</v>
      </c>
      <c r="O1545" s="4">
        <f t="shared" si="403"/>
        <v>30</v>
      </c>
      <c r="P1545" s="4">
        <f t="shared" si="404"/>
        <v>56</v>
      </c>
      <c r="Q1545" s="4">
        <f t="shared" si="405"/>
        <v>23</v>
      </c>
      <c r="R1545" s="4">
        <f t="shared" si="406"/>
        <v>56</v>
      </c>
      <c r="S1545" s="102">
        <f t="shared" si="407"/>
        <v>30</v>
      </c>
      <c r="U1545" s="101">
        <f t="shared" si="408"/>
        <v>78</v>
      </c>
      <c r="V1545" s="4">
        <f t="shared" si="409"/>
        <v>78</v>
      </c>
      <c r="W1545" s="4">
        <f t="shared" si="410"/>
        <v>39</v>
      </c>
      <c r="X1545" s="4">
        <f t="shared" si="411"/>
        <v>78</v>
      </c>
      <c r="Y1545" s="4">
        <f t="shared" si="412"/>
        <v>39</v>
      </c>
      <c r="Z1545" s="4">
        <f t="shared" si="413"/>
        <v>78</v>
      </c>
      <c r="AA1545" s="102">
        <f t="shared" si="414"/>
        <v>39</v>
      </c>
      <c r="AC1545" s="100">
        <f t="shared" si="415"/>
        <v>0.98833868570908812</v>
      </c>
    </row>
    <row r="1546" spans="4:29" x14ac:dyDescent="0.35">
      <c r="D1546">
        <f t="shared" si="416"/>
        <v>1542</v>
      </c>
      <c r="E1546" s="101">
        <v>3</v>
      </c>
      <c r="F1546" s="4">
        <v>6</v>
      </c>
      <c r="G1546" s="4">
        <v>1</v>
      </c>
      <c r="H1546" s="4">
        <v>3</v>
      </c>
      <c r="I1546" s="4">
        <v>7</v>
      </c>
      <c r="J1546" s="4">
        <v>1</v>
      </c>
      <c r="K1546" s="102">
        <v>4</v>
      </c>
      <c r="M1546" s="101">
        <f t="shared" si="401"/>
        <v>23</v>
      </c>
      <c r="N1546" s="4">
        <f t="shared" si="402"/>
        <v>45</v>
      </c>
      <c r="O1546" s="4">
        <f t="shared" si="403"/>
        <v>34</v>
      </c>
      <c r="P1546" s="4">
        <f t="shared" si="404"/>
        <v>23</v>
      </c>
      <c r="Q1546" s="4">
        <f t="shared" si="405"/>
        <v>29</v>
      </c>
      <c r="R1546" s="4">
        <f t="shared" si="406"/>
        <v>34</v>
      </c>
      <c r="S1546" s="102">
        <f t="shared" si="407"/>
        <v>12</v>
      </c>
      <c r="U1546" s="101">
        <f t="shared" si="408"/>
        <v>39</v>
      </c>
      <c r="V1546" s="4">
        <f t="shared" si="409"/>
        <v>71</v>
      </c>
      <c r="W1546" s="4">
        <f t="shared" si="410"/>
        <v>46</v>
      </c>
      <c r="X1546" s="4">
        <f t="shared" si="411"/>
        <v>39</v>
      </c>
      <c r="Y1546" s="4">
        <f t="shared" si="412"/>
        <v>41</v>
      </c>
      <c r="Z1546" s="4">
        <f t="shared" si="413"/>
        <v>46</v>
      </c>
      <c r="AA1546" s="102">
        <f t="shared" si="414"/>
        <v>9</v>
      </c>
      <c r="AC1546" s="100">
        <f t="shared" si="415"/>
        <v>0.95793197502824601</v>
      </c>
    </row>
    <row r="1547" spans="4:29" x14ac:dyDescent="0.35">
      <c r="D1547">
        <f t="shared" si="416"/>
        <v>1543</v>
      </c>
      <c r="E1547" s="101">
        <v>6</v>
      </c>
      <c r="F1547" s="4">
        <v>4</v>
      </c>
      <c r="G1547" s="4">
        <v>3</v>
      </c>
      <c r="H1547" s="4">
        <v>3</v>
      </c>
      <c r="I1547" s="4">
        <v>7</v>
      </c>
      <c r="J1547" s="4">
        <v>7</v>
      </c>
      <c r="K1547" s="102">
        <v>2</v>
      </c>
      <c r="M1547" s="101">
        <f t="shared" si="401"/>
        <v>45</v>
      </c>
      <c r="N1547" s="4">
        <f t="shared" si="402"/>
        <v>12</v>
      </c>
      <c r="O1547" s="4">
        <f t="shared" si="403"/>
        <v>23</v>
      </c>
      <c r="P1547" s="4">
        <f t="shared" si="404"/>
        <v>23</v>
      </c>
      <c r="Q1547" s="4">
        <f t="shared" si="405"/>
        <v>29</v>
      </c>
      <c r="R1547" s="4">
        <f t="shared" si="406"/>
        <v>29</v>
      </c>
      <c r="S1547" s="102">
        <f t="shared" si="407"/>
        <v>56</v>
      </c>
      <c r="U1547" s="101">
        <f t="shared" si="408"/>
        <v>71</v>
      </c>
      <c r="V1547" s="4">
        <f t="shared" si="409"/>
        <v>9</v>
      </c>
      <c r="W1547" s="4">
        <f t="shared" si="410"/>
        <v>39</v>
      </c>
      <c r="X1547" s="4">
        <f t="shared" si="411"/>
        <v>39</v>
      </c>
      <c r="Y1547" s="4">
        <f t="shared" si="412"/>
        <v>41</v>
      </c>
      <c r="Z1547" s="4">
        <f t="shared" si="413"/>
        <v>41</v>
      </c>
      <c r="AA1547" s="102">
        <f t="shared" si="414"/>
        <v>78</v>
      </c>
      <c r="AC1547" s="100">
        <f t="shared" si="415"/>
        <v>0.97208485785602994</v>
      </c>
    </row>
    <row r="1548" spans="4:29" x14ac:dyDescent="0.35">
      <c r="D1548">
        <f t="shared" si="416"/>
        <v>1544</v>
      </c>
      <c r="E1548" s="101">
        <v>3</v>
      </c>
      <c r="F1548" s="4">
        <v>7</v>
      </c>
      <c r="G1548" s="4">
        <v>5</v>
      </c>
      <c r="H1548" s="4">
        <v>3</v>
      </c>
      <c r="I1548" s="4">
        <v>1</v>
      </c>
      <c r="J1548" s="4">
        <v>1</v>
      </c>
      <c r="K1548" s="102">
        <v>3</v>
      </c>
      <c r="M1548" s="101">
        <f t="shared" si="401"/>
        <v>23</v>
      </c>
      <c r="N1548" s="4">
        <f t="shared" si="402"/>
        <v>29</v>
      </c>
      <c r="O1548" s="4">
        <f t="shared" si="403"/>
        <v>30</v>
      </c>
      <c r="P1548" s="4">
        <f t="shared" si="404"/>
        <v>23</v>
      </c>
      <c r="Q1548" s="4">
        <f t="shared" si="405"/>
        <v>34</v>
      </c>
      <c r="R1548" s="4">
        <f t="shared" si="406"/>
        <v>34</v>
      </c>
      <c r="S1548" s="102">
        <f t="shared" si="407"/>
        <v>23</v>
      </c>
      <c r="U1548" s="101">
        <f t="shared" si="408"/>
        <v>39</v>
      </c>
      <c r="V1548" s="4">
        <f t="shared" si="409"/>
        <v>41</v>
      </c>
      <c r="W1548" s="4">
        <f t="shared" si="410"/>
        <v>39</v>
      </c>
      <c r="X1548" s="4">
        <f t="shared" si="411"/>
        <v>39</v>
      </c>
      <c r="Y1548" s="4">
        <f t="shared" si="412"/>
        <v>46</v>
      </c>
      <c r="Z1548" s="4">
        <f t="shared" si="413"/>
        <v>46</v>
      </c>
      <c r="AA1548" s="102">
        <f t="shared" si="414"/>
        <v>39</v>
      </c>
      <c r="AC1548" s="100">
        <f t="shared" si="415"/>
        <v>0.8623686067348848</v>
      </c>
    </row>
    <row r="1549" spans="4:29" x14ac:dyDescent="0.35">
      <c r="D1549">
        <f t="shared" si="416"/>
        <v>1545</v>
      </c>
      <c r="E1549" s="101">
        <v>1</v>
      </c>
      <c r="F1549" s="4">
        <v>2</v>
      </c>
      <c r="G1549" s="4">
        <v>5</v>
      </c>
      <c r="H1549" s="4">
        <v>7</v>
      </c>
      <c r="I1549" s="4">
        <v>3</v>
      </c>
      <c r="J1549" s="4">
        <v>7</v>
      </c>
      <c r="K1549" s="102">
        <v>5</v>
      </c>
      <c r="M1549" s="101">
        <f t="shared" si="401"/>
        <v>34</v>
      </c>
      <c r="N1549" s="4">
        <f t="shared" si="402"/>
        <v>56</v>
      </c>
      <c r="O1549" s="4">
        <f t="shared" si="403"/>
        <v>30</v>
      </c>
      <c r="P1549" s="4">
        <f t="shared" si="404"/>
        <v>29</v>
      </c>
      <c r="Q1549" s="4">
        <f t="shared" si="405"/>
        <v>23</v>
      </c>
      <c r="R1549" s="4">
        <f t="shared" si="406"/>
        <v>29</v>
      </c>
      <c r="S1549" s="102">
        <f t="shared" si="407"/>
        <v>30</v>
      </c>
      <c r="U1549" s="101">
        <f t="shared" si="408"/>
        <v>46</v>
      </c>
      <c r="V1549" s="4">
        <f t="shared" si="409"/>
        <v>78</v>
      </c>
      <c r="W1549" s="4">
        <f t="shared" si="410"/>
        <v>39</v>
      </c>
      <c r="X1549" s="4">
        <f t="shared" si="411"/>
        <v>41</v>
      </c>
      <c r="Y1549" s="4">
        <f t="shared" si="412"/>
        <v>39</v>
      </c>
      <c r="Z1549" s="4">
        <f t="shared" si="413"/>
        <v>41</v>
      </c>
      <c r="AA1549" s="102">
        <f t="shared" si="414"/>
        <v>39</v>
      </c>
      <c r="AC1549" s="100">
        <f t="shared" si="415"/>
        <v>0.97459927772956456</v>
      </c>
    </row>
    <row r="1550" spans="4:29" x14ac:dyDescent="0.35">
      <c r="D1550">
        <f t="shared" si="416"/>
        <v>1546</v>
      </c>
      <c r="E1550" s="101">
        <v>4</v>
      </c>
      <c r="F1550" s="4">
        <v>2</v>
      </c>
      <c r="G1550" s="4">
        <v>5</v>
      </c>
      <c r="H1550" s="4">
        <v>2</v>
      </c>
      <c r="I1550" s="4">
        <v>5</v>
      </c>
      <c r="J1550" s="4">
        <v>3</v>
      </c>
      <c r="K1550" s="102">
        <v>7</v>
      </c>
      <c r="M1550" s="101">
        <f t="shared" si="401"/>
        <v>12</v>
      </c>
      <c r="N1550" s="4">
        <f t="shared" si="402"/>
        <v>56</v>
      </c>
      <c r="O1550" s="4">
        <f t="shared" si="403"/>
        <v>30</v>
      </c>
      <c r="P1550" s="4">
        <f t="shared" si="404"/>
        <v>56</v>
      </c>
      <c r="Q1550" s="4">
        <f t="shared" si="405"/>
        <v>30</v>
      </c>
      <c r="R1550" s="4">
        <f t="shared" si="406"/>
        <v>23</v>
      </c>
      <c r="S1550" s="102">
        <f t="shared" si="407"/>
        <v>29</v>
      </c>
      <c r="U1550" s="101">
        <f t="shared" si="408"/>
        <v>9</v>
      </c>
      <c r="V1550" s="4">
        <f t="shared" si="409"/>
        <v>78</v>
      </c>
      <c r="W1550" s="4">
        <f t="shared" si="410"/>
        <v>39</v>
      </c>
      <c r="X1550" s="4">
        <f t="shared" si="411"/>
        <v>78</v>
      </c>
      <c r="Y1550" s="4">
        <f t="shared" si="412"/>
        <v>39</v>
      </c>
      <c r="Z1550" s="4">
        <f t="shared" si="413"/>
        <v>39</v>
      </c>
      <c r="AA1550" s="102">
        <f t="shared" si="414"/>
        <v>41</v>
      </c>
      <c r="AC1550" s="100">
        <f t="shared" si="415"/>
        <v>0.98431327180007899</v>
      </c>
    </row>
    <row r="1551" spans="4:29" x14ac:dyDescent="0.35">
      <c r="D1551">
        <f t="shared" si="416"/>
        <v>1547</v>
      </c>
      <c r="E1551" s="101">
        <v>4</v>
      </c>
      <c r="F1551" s="4">
        <v>6</v>
      </c>
      <c r="G1551" s="4">
        <v>1</v>
      </c>
      <c r="H1551" s="4">
        <v>7</v>
      </c>
      <c r="I1551" s="4">
        <v>5</v>
      </c>
      <c r="J1551" s="4">
        <v>5</v>
      </c>
      <c r="K1551" s="102">
        <v>2</v>
      </c>
      <c r="M1551" s="101">
        <f t="shared" si="401"/>
        <v>12</v>
      </c>
      <c r="N1551" s="4">
        <f t="shared" si="402"/>
        <v>45</v>
      </c>
      <c r="O1551" s="4">
        <f t="shared" si="403"/>
        <v>34</v>
      </c>
      <c r="P1551" s="4">
        <f t="shared" si="404"/>
        <v>29</v>
      </c>
      <c r="Q1551" s="4">
        <f t="shared" si="405"/>
        <v>30</v>
      </c>
      <c r="R1551" s="4">
        <f t="shared" si="406"/>
        <v>30</v>
      </c>
      <c r="S1551" s="102">
        <f t="shared" si="407"/>
        <v>56</v>
      </c>
      <c r="U1551" s="101">
        <f t="shared" si="408"/>
        <v>9</v>
      </c>
      <c r="V1551" s="4">
        <f t="shared" si="409"/>
        <v>71</v>
      </c>
      <c r="W1551" s="4">
        <f t="shared" si="410"/>
        <v>46</v>
      </c>
      <c r="X1551" s="4">
        <f t="shared" si="411"/>
        <v>41</v>
      </c>
      <c r="Y1551" s="4">
        <f t="shared" si="412"/>
        <v>39</v>
      </c>
      <c r="Z1551" s="4">
        <f t="shared" si="413"/>
        <v>39</v>
      </c>
      <c r="AA1551" s="102">
        <f t="shared" si="414"/>
        <v>78</v>
      </c>
      <c r="AC1551" s="100">
        <f t="shared" si="415"/>
        <v>0.9881609722049397</v>
      </c>
    </row>
    <row r="1552" spans="4:29" x14ac:dyDescent="0.35">
      <c r="D1552">
        <f t="shared" si="416"/>
        <v>1548</v>
      </c>
      <c r="E1552" s="101">
        <v>2</v>
      </c>
      <c r="F1552" s="4">
        <v>5</v>
      </c>
      <c r="G1552" s="4">
        <v>4</v>
      </c>
      <c r="H1552" s="4">
        <v>4</v>
      </c>
      <c r="I1552" s="4">
        <v>2</v>
      </c>
      <c r="J1552" s="4">
        <v>3</v>
      </c>
      <c r="K1552" s="102">
        <v>3</v>
      </c>
      <c r="M1552" s="101">
        <f t="shared" si="401"/>
        <v>56</v>
      </c>
      <c r="N1552" s="4">
        <f t="shared" si="402"/>
        <v>30</v>
      </c>
      <c r="O1552" s="4">
        <f t="shared" si="403"/>
        <v>12</v>
      </c>
      <c r="P1552" s="4">
        <f t="shared" si="404"/>
        <v>12</v>
      </c>
      <c r="Q1552" s="4">
        <f t="shared" si="405"/>
        <v>56</v>
      </c>
      <c r="R1552" s="4">
        <f t="shared" si="406"/>
        <v>23</v>
      </c>
      <c r="S1552" s="102">
        <f t="shared" si="407"/>
        <v>23</v>
      </c>
      <c r="U1552" s="101">
        <f t="shared" si="408"/>
        <v>78</v>
      </c>
      <c r="V1552" s="4">
        <f t="shared" si="409"/>
        <v>39</v>
      </c>
      <c r="W1552" s="4">
        <f t="shared" si="410"/>
        <v>9</v>
      </c>
      <c r="X1552" s="4">
        <f t="shared" si="411"/>
        <v>9</v>
      </c>
      <c r="Y1552" s="4">
        <f t="shared" si="412"/>
        <v>78</v>
      </c>
      <c r="Z1552" s="4">
        <f t="shared" si="413"/>
        <v>39</v>
      </c>
      <c r="AA1552" s="102">
        <f t="shared" si="414"/>
        <v>39</v>
      </c>
      <c r="AC1552" s="100">
        <f t="shared" si="415"/>
        <v>0.97834389754476148</v>
      </c>
    </row>
    <row r="1553" spans="4:29" x14ac:dyDescent="0.35">
      <c r="D1553">
        <f t="shared" si="416"/>
        <v>1549</v>
      </c>
      <c r="E1553" s="101">
        <v>2</v>
      </c>
      <c r="F1553" s="4">
        <v>7</v>
      </c>
      <c r="G1553" s="4">
        <v>4</v>
      </c>
      <c r="H1553" s="4">
        <v>5</v>
      </c>
      <c r="I1553" s="4">
        <v>3</v>
      </c>
      <c r="J1553" s="4">
        <v>1</v>
      </c>
      <c r="K1553" s="102">
        <v>6</v>
      </c>
      <c r="M1553" s="101">
        <f t="shared" si="401"/>
        <v>56</v>
      </c>
      <c r="N1553" s="4">
        <f t="shared" si="402"/>
        <v>29</v>
      </c>
      <c r="O1553" s="4">
        <f t="shared" si="403"/>
        <v>12</v>
      </c>
      <c r="P1553" s="4">
        <f t="shared" si="404"/>
        <v>30</v>
      </c>
      <c r="Q1553" s="4">
        <f t="shared" si="405"/>
        <v>23</v>
      </c>
      <c r="R1553" s="4">
        <f t="shared" si="406"/>
        <v>34</v>
      </c>
      <c r="S1553" s="102">
        <f t="shared" si="407"/>
        <v>45</v>
      </c>
      <c r="U1553" s="101">
        <f t="shared" si="408"/>
        <v>78</v>
      </c>
      <c r="V1553" s="4">
        <f t="shared" si="409"/>
        <v>41</v>
      </c>
      <c r="W1553" s="4">
        <f t="shared" si="410"/>
        <v>9</v>
      </c>
      <c r="X1553" s="4">
        <f t="shared" si="411"/>
        <v>39</v>
      </c>
      <c r="Y1553" s="4">
        <f t="shared" si="412"/>
        <v>39</v>
      </c>
      <c r="Z1553" s="4">
        <f t="shared" si="413"/>
        <v>46</v>
      </c>
      <c r="AA1553" s="102">
        <f t="shared" si="414"/>
        <v>71</v>
      </c>
      <c r="AC1553" s="100">
        <f t="shared" si="415"/>
        <v>0.97529211313754438</v>
      </c>
    </row>
    <row r="1554" spans="4:29" x14ac:dyDescent="0.35">
      <c r="D1554">
        <f t="shared" si="416"/>
        <v>1550</v>
      </c>
      <c r="E1554" s="101">
        <v>2</v>
      </c>
      <c r="F1554" s="4">
        <v>4</v>
      </c>
      <c r="G1554" s="4">
        <v>6</v>
      </c>
      <c r="H1554" s="4">
        <v>3</v>
      </c>
      <c r="I1554" s="4">
        <v>6</v>
      </c>
      <c r="J1554" s="4">
        <v>2</v>
      </c>
      <c r="K1554" s="102">
        <v>2</v>
      </c>
      <c r="M1554" s="101">
        <f t="shared" si="401"/>
        <v>56</v>
      </c>
      <c r="N1554" s="4">
        <f t="shared" si="402"/>
        <v>12</v>
      </c>
      <c r="O1554" s="4">
        <f t="shared" si="403"/>
        <v>45</v>
      </c>
      <c r="P1554" s="4">
        <f t="shared" si="404"/>
        <v>23</v>
      </c>
      <c r="Q1554" s="4">
        <f t="shared" si="405"/>
        <v>45</v>
      </c>
      <c r="R1554" s="4">
        <f t="shared" si="406"/>
        <v>56</v>
      </c>
      <c r="S1554" s="102">
        <f t="shared" si="407"/>
        <v>56</v>
      </c>
      <c r="U1554" s="101">
        <f t="shared" si="408"/>
        <v>78</v>
      </c>
      <c r="V1554" s="4">
        <f t="shared" si="409"/>
        <v>9</v>
      </c>
      <c r="W1554" s="4">
        <f t="shared" si="410"/>
        <v>71</v>
      </c>
      <c r="X1554" s="4">
        <f t="shared" si="411"/>
        <v>39</v>
      </c>
      <c r="Y1554" s="4">
        <f t="shared" si="412"/>
        <v>71</v>
      </c>
      <c r="Z1554" s="4">
        <f t="shared" si="413"/>
        <v>78</v>
      </c>
      <c r="AA1554" s="102">
        <f t="shared" si="414"/>
        <v>78</v>
      </c>
      <c r="AC1554" s="100">
        <f t="shared" si="415"/>
        <v>0.97642994639927294</v>
      </c>
    </row>
    <row r="1555" spans="4:29" x14ac:dyDescent="0.35">
      <c r="D1555">
        <f t="shared" si="416"/>
        <v>1551</v>
      </c>
      <c r="E1555" s="101">
        <v>6</v>
      </c>
      <c r="F1555" s="4">
        <v>5</v>
      </c>
      <c r="G1555" s="4">
        <v>6</v>
      </c>
      <c r="H1555" s="4">
        <v>2</v>
      </c>
      <c r="I1555" s="4">
        <v>5</v>
      </c>
      <c r="J1555" s="4">
        <v>3</v>
      </c>
      <c r="K1555" s="102">
        <v>1</v>
      </c>
      <c r="M1555" s="101">
        <f t="shared" si="401"/>
        <v>45</v>
      </c>
      <c r="N1555" s="4">
        <f t="shared" si="402"/>
        <v>30</v>
      </c>
      <c r="O1555" s="4">
        <f t="shared" si="403"/>
        <v>45</v>
      </c>
      <c r="P1555" s="4">
        <f t="shared" si="404"/>
        <v>56</v>
      </c>
      <c r="Q1555" s="4">
        <f t="shared" si="405"/>
        <v>30</v>
      </c>
      <c r="R1555" s="4">
        <f t="shared" si="406"/>
        <v>23</v>
      </c>
      <c r="S1555" s="102">
        <f t="shared" si="407"/>
        <v>34</v>
      </c>
      <c r="U1555" s="101">
        <f t="shared" si="408"/>
        <v>71</v>
      </c>
      <c r="V1555" s="4">
        <f t="shared" si="409"/>
        <v>39</v>
      </c>
      <c r="W1555" s="4">
        <f t="shared" si="410"/>
        <v>71</v>
      </c>
      <c r="X1555" s="4">
        <f t="shared" si="411"/>
        <v>78</v>
      </c>
      <c r="Y1555" s="4">
        <f t="shared" si="412"/>
        <v>39</v>
      </c>
      <c r="Z1555" s="4">
        <f t="shared" si="413"/>
        <v>39</v>
      </c>
      <c r="AA1555" s="102">
        <f t="shared" si="414"/>
        <v>46</v>
      </c>
      <c r="AC1555" s="100">
        <f t="shared" si="415"/>
        <v>0.95712210024035227</v>
      </c>
    </row>
    <row r="1556" spans="4:29" x14ac:dyDescent="0.35">
      <c r="D1556">
        <f t="shared" si="416"/>
        <v>1552</v>
      </c>
      <c r="E1556" s="101">
        <v>7</v>
      </c>
      <c r="F1556" s="4">
        <v>2</v>
      </c>
      <c r="G1556" s="4">
        <v>7</v>
      </c>
      <c r="H1556" s="4">
        <v>6</v>
      </c>
      <c r="I1556" s="4">
        <v>5</v>
      </c>
      <c r="J1556" s="4">
        <v>7</v>
      </c>
      <c r="K1556" s="102">
        <v>2</v>
      </c>
      <c r="M1556" s="101">
        <f t="shared" si="401"/>
        <v>29</v>
      </c>
      <c r="N1556" s="4">
        <f t="shared" si="402"/>
        <v>56</v>
      </c>
      <c r="O1556" s="4">
        <f t="shared" si="403"/>
        <v>29</v>
      </c>
      <c r="P1556" s="4">
        <f t="shared" si="404"/>
        <v>45</v>
      </c>
      <c r="Q1556" s="4">
        <f t="shared" si="405"/>
        <v>30</v>
      </c>
      <c r="R1556" s="4">
        <f t="shared" si="406"/>
        <v>29</v>
      </c>
      <c r="S1556" s="102">
        <f t="shared" si="407"/>
        <v>56</v>
      </c>
      <c r="U1556" s="101">
        <f t="shared" si="408"/>
        <v>41</v>
      </c>
      <c r="V1556" s="4">
        <f t="shared" si="409"/>
        <v>78</v>
      </c>
      <c r="W1556" s="4">
        <f t="shared" si="410"/>
        <v>41</v>
      </c>
      <c r="X1556" s="4">
        <f t="shared" si="411"/>
        <v>71</v>
      </c>
      <c r="Y1556" s="4">
        <f t="shared" si="412"/>
        <v>39</v>
      </c>
      <c r="Z1556" s="4">
        <f t="shared" si="413"/>
        <v>41</v>
      </c>
      <c r="AA1556" s="102">
        <f t="shared" si="414"/>
        <v>78</v>
      </c>
      <c r="AC1556" s="100">
        <f t="shared" si="415"/>
        <v>0.98427661072083206</v>
      </c>
    </row>
    <row r="1557" spans="4:29" x14ac:dyDescent="0.35">
      <c r="D1557">
        <f t="shared" si="416"/>
        <v>1553</v>
      </c>
      <c r="E1557" s="101">
        <v>3</v>
      </c>
      <c r="F1557" s="4">
        <v>3</v>
      </c>
      <c r="G1557" s="4">
        <v>4</v>
      </c>
      <c r="H1557" s="4">
        <v>7</v>
      </c>
      <c r="I1557" s="4">
        <v>5</v>
      </c>
      <c r="J1557" s="4">
        <v>6</v>
      </c>
      <c r="K1557" s="102">
        <v>4</v>
      </c>
      <c r="M1557" s="101">
        <f t="shared" si="401"/>
        <v>23</v>
      </c>
      <c r="N1557" s="4">
        <f t="shared" si="402"/>
        <v>23</v>
      </c>
      <c r="O1557" s="4">
        <f t="shared" si="403"/>
        <v>12</v>
      </c>
      <c r="P1557" s="4">
        <f t="shared" si="404"/>
        <v>29</v>
      </c>
      <c r="Q1557" s="4">
        <f t="shared" si="405"/>
        <v>30</v>
      </c>
      <c r="R1557" s="4">
        <f t="shared" si="406"/>
        <v>45</v>
      </c>
      <c r="S1557" s="102">
        <f t="shared" si="407"/>
        <v>12</v>
      </c>
      <c r="U1557" s="101">
        <f t="shared" si="408"/>
        <v>39</v>
      </c>
      <c r="V1557" s="4">
        <f t="shared" si="409"/>
        <v>39</v>
      </c>
      <c r="W1557" s="4">
        <f t="shared" si="410"/>
        <v>9</v>
      </c>
      <c r="X1557" s="4">
        <f t="shared" si="411"/>
        <v>41</v>
      </c>
      <c r="Y1557" s="4">
        <f t="shared" si="412"/>
        <v>39</v>
      </c>
      <c r="Z1557" s="4">
        <f t="shared" si="413"/>
        <v>71</v>
      </c>
      <c r="AA1557" s="102">
        <f t="shared" si="414"/>
        <v>9</v>
      </c>
      <c r="AC1557" s="100">
        <f t="shared" si="415"/>
        <v>0.97152559925885829</v>
      </c>
    </row>
    <row r="1558" spans="4:29" x14ac:dyDescent="0.35">
      <c r="D1558">
        <f t="shared" si="416"/>
        <v>1554</v>
      </c>
      <c r="E1558" s="101">
        <v>2</v>
      </c>
      <c r="F1558" s="4">
        <v>1</v>
      </c>
      <c r="G1558" s="4">
        <v>4</v>
      </c>
      <c r="H1558" s="4">
        <v>1</v>
      </c>
      <c r="I1558" s="4">
        <v>5</v>
      </c>
      <c r="J1558" s="4">
        <v>7</v>
      </c>
      <c r="K1558" s="102">
        <v>1</v>
      </c>
      <c r="M1558" s="101">
        <f t="shared" si="401"/>
        <v>56</v>
      </c>
      <c r="N1558" s="4">
        <f t="shared" si="402"/>
        <v>34</v>
      </c>
      <c r="O1558" s="4">
        <f t="shared" si="403"/>
        <v>12</v>
      </c>
      <c r="P1558" s="4">
        <f t="shared" si="404"/>
        <v>34</v>
      </c>
      <c r="Q1558" s="4">
        <f t="shared" si="405"/>
        <v>30</v>
      </c>
      <c r="R1558" s="4">
        <f t="shared" si="406"/>
        <v>29</v>
      </c>
      <c r="S1558" s="102">
        <f t="shared" si="407"/>
        <v>34</v>
      </c>
      <c r="U1558" s="101">
        <f t="shared" si="408"/>
        <v>78</v>
      </c>
      <c r="V1558" s="4">
        <f t="shared" si="409"/>
        <v>46</v>
      </c>
      <c r="W1558" s="4">
        <f t="shared" si="410"/>
        <v>9</v>
      </c>
      <c r="X1558" s="4">
        <f t="shared" si="411"/>
        <v>46</v>
      </c>
      <c r="Y1558" s="4">
        <f t="shared" si="412"/>
        <v>39</v>
      </c>
      <c r="Z1558" s="4">
        <f t="shared" si="413"/>
        <v>41</v>
      </c>
      <c r="AA1558" s="102">
        <f t="shared" si="414"/>
        <v>46</v>
      </c>
      <c r="AC1558" s="100">
        <f t="shared" si="415"/>
        <v>0.99593442377678176</v>
      </c>
    </row>
    <row r="1559" spans="4:29" x14ac:dyDescent="0.35">
      <c r="D1559">
        <f t="shared" si="416"/>
        <v>1555</v>
      </c>
      <c r="E1559" s="101">
        <v>3</v>
      </c>
      <c r="F1559" s="4">
        <v>3</v>
      </c>
      <c r="G1559" s="4">
        <v>2</v>
      </c>
      <c r="H1559" s="4">
        <v>7</v>
      </c>
      <c r="I1559" s="4">
        <v>2</v>
      </c>
      <c r="J1559" s="4">
        <v>5</v>
      </c>
      <c r="K1559" s="102">
        <v>3</v>
      </c>
      <c r="M1559" s="101">
        <f t="shared" si="401"/>
        <v>23</v>
      </c>
      <c r="N1559" s="4">
        <f t="shared" si="402"/>
        <v>23</v>
      </c>
      <c r="O1559" s="4">
        <f t="shared" si="403"/>
        <v>56</v>
      </c>
      <c r="P1559" s="4">
        <f t="shared" si="404"/>
        <v>29</v>
      </c>
      <c r="Q1559" s="4">
        <f t="shared" si="405"/>
        <v>56</v>
      </c>
      <c r="R1559" s="4">
        <f t="shared" si="406"/>
        <v>30</v>
      </c>
      <c r="S1559" s="102">
        <f t="shared" si="407"/>
        <v>23</v>
      </c>
      <c r="U1559" s="101">
        <f t="shared" si="408"/>
        <v>39</v>
      </c>
      <c r="V1559" s="4">
        <f t="shared" si="409"/>
        <v>39</v>
      </c>
      <c r="W1559" s="4">
        <f t="shared" si="410"/>
        <v>78</v>
      </c>
      <c r="X1559" s="4">
        <f t="shared" si="411"/>
        <v>41</v>
      </c>
      <c r="Y1559" s="4">
        <f t="shared" si="412"/>
        <v>78</v>
      </c>
      <c r="Z1559" s="4">
        <f t="shared" si="413"/>
        <v>39</v>
      </c>
      <c r="AA1559" s="102">
        <f t="shared" si="414"/>
        <v>39</v>
      </c>
      <c r="AC1559" s="100">
        <f t="shared" si="415"/>
        <v>0.98439609912897463</v>
      </c>
    </row>
    <row r="1560" spans="4:29" x14ac:dyDescent="0.35">
      <c r="D1560">
        <f t="shared" si="416"/>
        <v>1556</v>
      </c>
      <c r="E1560" s="101">
        <v>1</v>
      </c>
      <c r="F1560" s="4">
        <v>3</v>
      </c>
      <c r="G1560" s="4">
        <v>4</v>
      </c>
      <c r="H1560" s="4">
        <v>5</v>
      </c>
      <c r="I1560" s="4">
        <v>4</v>
      </c>
      <c r="J1560" s="4">
        <v>6</v>
      </c>
      <c r="K1560" s="102">
        <v>1</v>
      </c>
      <c r="M1560" s="101">
        <f t="shared" si="401"/>
        <v>34</v>
      </c>
      <c r="N1560" s="4">
        <f t="shared" si="402"/>
        <v>23</v>
      </c>
      <c r="O1560" s="4">
        <f t="shared" si="403"/>
        <v>12</v>
      </c>
      <c r="P1560" s="4">
        <f t="shared" si="404"/>
        <v>30</v>
      </c>
      <c r="Q1560" s="4">
        <f t="shared" si="405"/>
        <v>12</v>
      </c>
      <c r="R1560" s="4">
        <f t="shared" si="406"/>
        <v>45</v>
      </c>
      <c r="S1560" s="102">
        <f t="shared" si="407"/>
        <v>34</v>
      </c>
      <c r="U1560" s="101">
        <f t="shared" si="408"/>
        <v>46</v>
      </c>
      <c r="V1560" s="4">
        <f t="shared" si="409"/>
        <v>39</v>
      </c>
      <c r="W1560" s="4">
        <f t="shared" si="410"/>
        <v>9</v>
      </c>
      <c r="X1560" s="4">
        <f t="shared" si="411"/>
        <v>39</v>
      </c>
      <c r="Y1560" s="4">
        <f t="shared" si="412"/>
        <v>9</v>
      </c>
      <c r="Z1560" s="4">
        <f t="shared" si="413"/>
        <v>71</v>
      </c>
      <c r="AA1560" s="102">
        <f t="shared" si="414"/>
        <v>46</v>
      </c>
      <c r="AC1560" s="100">
        <f t="shared" si="415"/>
        <v>0.97823976808718816</v>
      </c>
    </row>
    <row r="1561" spans="4:29" x14ac:dyDescent="0.35">
      <c r="D1561">
        <f t="shared" si="416"/>
        <v>1557</v>
      </c>
      <c r="E1561" s="101">
        <v>7</v>
      </c>
      <c r="F1561" s="4">
        <v>2</v>
      </c>
      <c r="G1561" s="4">
        <v>3</v>
      </c>
      <c r="H1561" s="4">
        <v>1</v>
      </c>
      <c r="I1561" s="4">
        <v>7</v>
      </c>
      <c r="J1561" s="4">
        <v>2</v>
      </c>
      <c r="K1561" s="102">
        <v>2</v>
      </c>
      <c r="M1561" s="101">
        <f t="shared" si="401"/>
        <v>29</v>
      </c>
      <c r="N1561" s="4">
        <f t="shared" si="402"/>
        <v>56</v>
      </c>
      <c r="O1561" s="4">
        <f t="shared" si="403"/>
        <v>23</v>
      </c>
      <c r="P1561" s="4">
        <f t="shared" si="404"/>
        <v>34</v>
      </c>
      <c r="Q1561" s="4">
        <f t="shared" si="405"/>
        <v>29</v>
      </c>
      <c r="R1561" s="4">
        <f t="shared" si="406"/>
        <v>56</v>
      </c>
      <c r="S1561" s="102">
        <f t="shared" si="407"/>
        <v>56</v>
      </c>
      <c r="U1561" s="101">
        <f t="shared" si="408"/>
        <v>41</v>
      </c>
      <c r="V1561" s="4">
        <f t="shared" si="409"/>
        <v>78</v>
      </c>
      <c r="W1561" s="4">
        <f t="shared" si="410"/>
        <v>39</v>
      </c>
      <c r="X1561" s="4">
        <f t="shared" si="411"/>
        <v>46</v>
      </c>
      <c r="Y1561" s="4">
        <f t="shared" si="412"/>
        <v>41</v>
      </c>
      <c r="Z1561" s="4">
        <f t="shared" si="413"/>
        <v>78</v>
      </c>
      <c r="AA1561" s="102">
        <f t="shared" si="414"/>
        <v>78</v>
      </c>
      <c r="AC1561" s="100">
        <f t="shared" si="415"/>
        <v>0.99286113959940614</v>
      </c>
    </row>
    <row r="1562" spans="4:29" x14ac:dyDescent="0.35">
      <c r="D1562">
        <f t="shared" si="416"/>
        <v>1558</v>
      </c>
      <c r="E1562" s="101">
        <v>6</v>
      </c>
      <c r="F1562" s="4">
        <v>5</v>
      </c>
      <c r="G1562" s="4">
        <v>4</v>
      </c>
      <c r="H1562" s="4">
        <v>6</v>
      </c>
      <c r="I1562" s="4">
        <v>4</v>
      </c>
      <c r="J1562" s="4">
        <v>5</v>
      </c>
      <c r="K1562" s="102">
        <v>1</v>
      </c>
      <c r="M1562" s="101">
        <f t="shared" si="401"/>
        <v>45</v>
      </c>
      <c r="N1562" s="4">
        <f t="shared" si="402"/>
        <v>30</v>
      </c>
      <c r="O1562" s="4">
        <f t="shared" si="403"/>
        <v>12</v>
      </c>
      <c r="P1562" s="4">
        <f t="shared" si="404"/>
        <v>45</v>
      </c>
      <c r="Q1562" s="4">
        <f t="shared" si="405"/>
        <v>12</v>
      </c>
      <c r="R1562" s="4">
        <f t="shared" si="406"/>
        <v>30</v>
      </c>
      <c r="S1562" s="102">
        <f t="shared" si="407"/>
        <v>34</v>
      </c>
      <c r="U1562" s="101">
        <f t="shared" si="408"/>
        <v>71</v>
      </c>
      <c r="V1562" s="4">
        <f t="shared" si="409"/>
        <v>39</v>
      </c>
      <c r="W1562" s="4">
        <f t="shared" si="410"/>
        <v>9</v>
      </c>
      <c r="X1562" s="4">
        <f t="shared" si="411"/>
        <v>71</v>
      </c>
      <c r="Y1562" s="4">
        <f t="shared" si="412"/>
        <v>9</v>
      </c>
      <c r="Z1562" s="4">
        <f t="shared" si="413"/>
        <v>39</v>
      </c>
      <c r="AA1562" s="102">
        <f t="shared" si="414"/>
        <v>46</v>
      </c>
      <c r="AC1562" s="100">
        <f t="shared" si="415"/>
        <v>0.99650389992140509</v>
      </c>
    </row>
    <row r="1563" spans="4:29" x14ac:dyDescent="0.35">
      <c r="D1563">
        <f t="shared" si="416"/>
        <v>1559</v>
      </c>
      <c r="E1563" s="101">
        <v>2</v>
      </c>
      <c r="F1563" s="4">
        <v>1</v>
      </c>
      <c r="G1563" s="4">
        <v>7</v>
      </c>
      <c r="H1563" s="4">
        <v>7</v>
      </c>
      <c r="I1563" s="4">
        <v>4</v>
      </c>
      <c r="J1563" s="4">
        <v>3</v>
      </c>
      <c r="K1563" s="102">
        <v>2</v>
      </c>
      <c r="M1563" s="101">
        <f t="shared" si="401"/>
        <v>56</v>
      </c>
      <c r="N1563" s="4">
        <f t="shared" si="402"/>
        <v>34</v>
      </c>
      <c r="O1563" s="4">
        <f t="shared" si="403"/>
        <v>29</v>
      </c>
      <c r="P1563" s="4">
        <f t="shared" si="404"/>
        <v>29</v>
      </c>
      <c r="Q1563" s="4">
        <f t="shared" si="405"/>
        <v>12</v>
      </c>
      <c r="R1563" s="4">
        <f t="shared" si="406"/>
        <v>23</v>
      </c>
      <c r="S1563" s="102">
        <f t="shared" si="407"/>
        <v>56</v>
      </c>
      <c r="U1563" s="101">
        <f t="shared" si="408"/>
        <v>78</v>
      </c>
      <c r="V1563" s="4">
        <f t="shared" si="409"/>
        <v>46</v>
      </c>
      <c r="W1563" s="4">
        <f t="shared" si="410"/>
        <v>41</v>
      </c>
      <c r="X1563" s="4">
        <f t="shared" si="411"/>
        <v>41</v>
      </c>
      <c r="Y1563" s="4">
        <f t="shared" si="412"/>
        <v>9</v>
      </c>
      <c r="Z1563" s="4">
        <f t="shared" si="413"/>
        <v>39</v>
      </c>
      <c r="AA1563" s="102">
        <f t="shared" si="414"/>
        <v>78</v>
      </c>
      <c r="AC1563" s="100">
        <f t="shared" si="415"/>
        <v>0.98477794947726305</v>
      </c>
    </row>
    <row r="1564" spans="4:29" x14ac:dyDescent="0.35">
      <c r="D1564">
        <f t="shared" si="416"/>
        <v>1560</v>
      </c>
      <c r="E1564" s="101">
        <v>4</v>
      </c>
      <c r="F1564" s="4">
        <v>6</v>
      </c>
      <c r="G1564" s="4">
        <v>1</v>
      </c>
      <c r="H1564" s="4">
        <v>1</v>
      </c>
      <c r="I1564" s="4">
        <v>1</v>
      </c>
      <c r="J1564" s="4">
        <v>1</v>
      </c>
      <c r="K1564" s="102">
        <v>4</v>
      </c>
      <c r="M1564" s="101">
        <f t="shared" si="401"/>
        <v>12</v>
      </c>
      <c r="N1564" s="4">
        <f t="shared" si="402"/>
        <v>45</v>
      </c>
      <c r="O1564" s="4">
        <f t="shared" si="403"/>
        <v>34</v>
      </c>
      <c r="P1564" s="4">
        <f t="shared" si="404"/>
        <v>34</v>
      </c>
      <c r="Q1564" s="4">
        <f t="shared" si="405"/>
        <v>34</v>
      </c>
      <c r="R1564" s="4">
        <f t="shared" si="406"/>
        <v>34</v>
      </c>
      <c r="S1564" s="102">
        <f t="shared" si="407"/>
        <v>12</v>
      </c>
      <c r="U1564" s="101">
        <f t="shared" si="408"/>
        <v>9</v>
      </c>
      <c r="V1564" s="4">
        <f t="shared" si="409"/>
        <v>71</v>
      </c>
      <c r="W1564" s="4">
        <f t="shared" si="410"/>
        <v>46</v>
      </c>
      <c r="X1564" s="4">
        <f t="shared" si="411"/>
        <v>46</v>
      </c>
      <c r="Y1564" s="4">
        <f t="shared" si="412"/>
        <v>46</v>
      </c>
      <c r="Z1564" s="4">
        <f t="shared" si="413"/>
        <v>46</v>
      </c>
      <c r="AA1564" s="102">
        <f t="shared" si="414"/>
        <v>9</v>
      </c>
      <c r="AC1564" s="100">
        <f t="shared" si="415"/>
        <v>0.99584616803253645</v>
      </c>
    </row>
    <row r="1565" spans="4:29" x14ac:dyDescent="0.35">
      <c r="D1565">
        <f t="shared" si="416"/>
        <v>1561</v>
      </c>
      <c r="E1565" s="101">
        <v>2</v>
      </c>
      <c r="F1565" s="4">
        <v>3</v>
      </c>
      <c r="G1565" s="4">
        <v>6</v>
      </c>
      <c r="H1565" s="4">
        <v>2</v>
      </c>
      <c r="I1565" s="4">
        <v>5</v>
      </c>
      <c r="J1565" s="4">
        <v>6</v>
      </c>
      <c r="K1565" s="102">
        <v>7</v>
      </c>
      <c r="M1565" s="101">
        <f t="shared" si="401"/>
        <v>56</v>
      </c>
      <c r="N1565" s="4">
        <f t="shared" si="402"/>
        <v>23</v>
      </c>
      <c r="O1565" s="4">
        <f t="shared" si="403"/>
        <v>45</v>
      </c>
      <c r="P1565" s="4">
        <f t="shared" si="404"/>
        <v>56</v>
      </c>
      <c r="Q1565" s="4">
        <f t="shared" si="405"/>
        <v>30</v>
      </c>
      <c r="R1565" s="4">
        <f t="shared" si="406"/>
        <v>45</v>
      </c>
      <c r="S1565" s="102">
        <f t="shared" si="407"/>
        <v>29</v>
      </c>
      <c r="U1565" s="101">
        <f t="shared" si="408"/>
        <v>78</v>
      </c>
      <c r="V1565" s="4">
        <f t="shared" si="409"/>
        <v>39</v>
      </c>
      <c r="W1565" s="4">
        <f t="shared" si="410"/>
        <v>71</v>
      </c>
      <c r="X1565" s="4">
        <f t="shared" si="411"/>
        <v>78</v>
      </c>
      <c r="Y1565" s="4">
        <f t="shared" si="412"/>
        <v>39</v>
      </c>
      <c r="Z1565" s="4">
        <f t="shared" si="413"/>
        <v>71</v>
      </c>
      <c r="AA1565" s="102">
        <f t="shared" si="414"/>
        <v>41</v>
      </c>
      <c r="AC1565" s="100">
        <f t="shared" si="415"/>
        <v>0.96929933737538509</v>
      </c>
    </row>
    <row r="1566" spans="4:29" x14ac:dyDescent="0.35">
      <c r="D1566">
        <f t="shared" si="416"/>
        <v>1562</v>
      </c>
      <c r="E1566" s="101">
        <v>1</v>
      </c>
      <c r="F1566" s="4">
        <v>3</v>
      </c>
      <c r="G1566" s="4">
        <v>4</v>
      </c>
      <c r="H1566" s="4">
        <v>5</v>
      </c>
      <c r="I1566" s="4">
        <v>1</v>
      </c>
      <c r="J1566" s="4">
        <v>7</v>
      </c>
      <c r="K1566" s="102">
        <v>2</v>
      </c>
      <c r="M1566" s="101">
        <f t="shared" si="401"/>
        <v>34</v>
      </c>
      <c r="N1566" s="4">
        <f t="shared" si="402"/>
        <v>23</v>
      </c>
      <c r="O1566" s="4">
        <f t="shared" si="403"/>
        <v>12</v>
      </c>
      <c r="P1566" s="4">
        <f t="shared" si="404"/>
        <v>30</v>
      </c>
      <c r="Q1566" s="4">
        <f t="shared" si="405"/>
        <v>34</v>
      </c>
      <c r="R1566" s="4">
        <f t="shared" si="406"/>
        <v>29</v>
      </c>
      <c r="S1566" s="102">
        <f t="shared" si="407"/>
        <v>56</v>
      </c>
      <c r="U1566" s="101">
        <f t="shared" si="408"/>
        <v>46</v>
      </c>
      <c r="V1566" s="4">
        <f t="shared" si="409"/>
        <v>39</v>
      </c>
      <c r="W1566" s="4">
        <f t="shared" si="410"/>
        <v>9</v>
      </c>
      <c r="X1566" s="4">
        <f t="shared" si="411"/>
        <v>39</v>
      </c>
      <c r="Y1566" s="4">
        <f t="shared" si="412"/>
        <v>46</v>
      </c>
      <c r="Z1566" s="4">
        <f t="shared" si="413"/>
        <v>41</v>
      </c>
      <c r="AA1566" s="102">
        <f t="shared" si="414"/>
        <v>78</v>
      </c>
      <c r="AC1566" s="100">
        <f t="shared" si="415"/>
        <v>0.97744931327594864</v>
      </c>
    </row>
    <row r="1567" spans="4:29" x14ac:dyDescent="0.35">
      <c r="D1567">
        <f t="shared" si="416"/>
        <v>1563</v>
      </c>
      <c r="E1567" s="101">
        <v>2</v>
      </c>
      <c r="F1567" s="4">
        <v>1</v>
      </c>
      <c r="G1567" s="4">
        <v>5</v>
      </c>
      <c r="H1567" s="4">
        <v>3</v>
      </c>
      <c r="I1567" s="4">
        <v>6</v>
      </c>
      <c r="J1567" s="4">
        <v>4</v>
      </c>
      <c r="K1567" s="102">
        <v>5</v>
      </c>
      <c r="M1567" s="101">
        <f t="shared" si="401"/>
        <v>56</v>
      </c>
      <c r="N1567" s="4">
        <f t="shared" si="402"/>
        <v>34</v>
      </c>
      <c r="O1567" s="4">
        <f t="shared" si="403"/>
        <v>30</v>
      </c>
      <c r="P1567" s="4">
        <f t="shared" si="404"/>
        <v>23</v>
      </c>
      <c r="Q1567" s="4">
        <f t="shared" si="405"/>
        <v>45</v>
      </c>
      <c r="R1567" s="4">
        <f t="shared" si="406"/>
        <v>12</v>
      </c>
      <c r="S1567" s="102">
        <f t="shared" si="407"/>
        <v>30</v>
      </c>
      <c r="U1567" s="101">
        <f t="shared" si="408"/>
        <v>78</v>
      </c>
      <c r="V1567" s="4">
        <f t="shared" si="409"/>
        <v>46</v>
      </c>
      <c r="W1567" s="4">
        <f t="shared" si="410"/>
        <v>39</v>
      </c>
      <c r="X1567" s="4">
        <f t="shared" si="411"/>
        <v>39</v>
      </c>
      <c r="Y1567" s="4">
        <f t="shared" si="412"/>
        <v>71</v>
      </c>
      <c r="Z1567" s="4">
        <f t="shared" si="413"/>
        <v>9</v>
      </c>
      <c r="AA1567" s="102">
        <f t="shared" si="414"/>
        <v>39</v>
      </c>
      <c r="AC1567" s="100">
        <f t="shared" si="415"/>
        <v>0.97446236210462167</v>
      </c>
    </row>
    <row r="1568" spans="4:29" x14ac:dyDescent="0.35">
      <c r="D1568">
        <f t="shared" si="416"/>
        <v>1564</v>
      </c>
      <c r="E1568" s="101">
        <v>5</v>
      </c>
      <c r="F1568" s="4">
        <v>1</v>
      </c>
      <c r="G1568" s="4">
        <v>4</v>
      </c>
      <c r="H1568" s="4">
        <v>1</v>
      </c>
      <c r="I1568" s="4">
        <v>6</v>
      </c>
      <c r="J1568" s="4">
        <v>3</v>
      </c>
      <c r="K1568" s="102">
        <v>6</v>
      </c>
      <c r="M1568" s="101">
        <f t="shared" si="401"/>
        <v>30</v>
      </c>
      <c r="N1568" s="4">
        <f t="shared" si="402"/>
        <v>34</v>
      </c>
      <c r="O1568" s="4">
        <f t="shared" si="403"/>
        <v>12</v>
      </c>
      <c r="P1568" s="4">
        <f t="shared" si="404"/>
        <v>34</v>
      </c>
      <c r="Q1568" s="4">
        <f t="shared" si="405"/>
        <v>45</v>
      </c>
      <c r="R1568" s="4">
        <f t="shared" si="406"/>
        <v>23</v>
      </c>
      <c r="S1568" s="102">
        <f t="shared" si="407"/>
        <v>45</v>
      </c>
      <c r="U1568" s="101">
        <f t="shared" si="408"/>
        <v>39</v>
      </c>
      <c r="V1568" s="4">
        <f t="shared" si="409"/>
        <v>46</v>
      </c>
      <c r="W1568" s="4">
        <f t="shared" si="410"/>
        <v>9</v>
      </c>
      <c r="X1568" s="4">
        <f t="shared" si="411"/>
        <v>46</v>
      </c>
      <c r="Y1568" s="4">
        <f t="shared" si="412"/>
        <v>71</v>
      </c>
      <c r="Z1568" s="4">
        <f t="shared" si="413"/>
        <v>39</v>
      </c>
      <c r="AA1568" s="102">
        <f t="shared" si="414"/>
        <v>71</v>
      </c>
      <c r="AC1568" s="100">
        <f t="shared" si="415"/>
        <v>0.97631787239453793</v>
      </c>
    </row>
    <row r="1569" spans="4:29" x14ac:dyDescent="0.35">
      <c r="D1569">
        <f t="shared" si="416"/>
        <v>1565</v>
      </c>
      <c r="E1569" s="101">
        <v>3</v>
      </c>
      <c r="F1569" s="4">
        <v>5</v>
      </c>
      <c r="G1569" s="4">
        <v>1</v>
      </c>
      <c r="H1569" s="4">
        <v>2</v>
      </c>
      <c r="I1569" s="4">
        <v>5</v>
      </c>
      <c r="J1569" s="4">
        <v>1</v>
      </c>
      <c r="K1569" s="102">
        <v>4</v>
      </c>
      <c r="M1569" s="101">
        <f t="shared" si="401"/>
        <v>23</v>
      </c>
      <c r="N1569" s="4">
        <f t="shared" si="402"/>
        <v>30</v>
      </c>
      <c r="O1569" s="4">
        <f t="shared" si="403"/>
        <v>34</v>
      </c>
      <c r="P1569" s="4">
        <f t="shared" si="404"/>
        <v>56</v>
      </c>
      <c r="Q1569" s="4">
        <f t="shared" si="405"/>
        <v>30</v>
      </c>
      <c r="R1569" s="4">
        <f t="shared" si="406"/>
        <v>34</v>
      </c>
      <c r="S1569" s="102">
        <f t="shared" si="407"/>
        <v>12</v>
      </c>
      <c r="U1569" s="101">
        <f t="shared" si="408"/>
        <v>39</v>
      </c>
      <c r="V1569" s="4">
        <f t="shared" si="409"/>
        <v>39</v>
      </c>
      <c r="W1569" s="4">
        <f t="shared" si="410"/>
        <v>46</v>
      </c>
      <c r="X1569" s="4">
        <f t="shared" si="411"/>
        <v>78</v>
      </c>
      <c r="Y1569" s="4">
        <f t="shared" si="412"/>
        <v>39</v>
      </c>
      <c r="Z1569" s="4">
        <f t="shared" si="413"/>
        <v>46</v>
      </c>
      <c r="AA1569" s="102">
        <f t="shared" si="414"/>
        <v>9</v>
      </c>
      <c r="AC1569" s="100">
        <f t="shared" si="415"/>
        <v>0.97768546135792933</v>
      </c>
    </row>
    <row r="1570" spans="4:29" x14ac:dyDescent="0.35">
      <c r="D1570">
        <f t="shared" si="416"/>
        <v>1566</v>
      </c>
      <c r="E1570" s="101">
        <v>5</v>
      </c>
      <c r="F1570" s="4">
        <v>3</v>
      </c>
      <c r="G1570" s="4">
        <v>2</v>
      </c>
      <c r="H1570" s="4">
        <v>6</v>
      </c>
      <c r="I1570" s="4">
        <v>6</v>
      </c>
      <c r="J1570" s="4">
        <v>3</v>
      </c>
      <c r="K1570" s="102">
        <v>5</v>
      </c>
      <c r="M1570" s="101">
        <f t="shared" si="401"/>
        <v>30</v>
      </c>
      <c r="N1570" s="4">
        <f t="shared" si="402"/>
        <v>23</v>
      </c>
      <c r="O1570" s="4">
        <f t="shared" si="403"/>
        <v>56</v>
      </c>
      <c r="P1570" s="4">
        <f t="shared" si="404"/>
        <v>45</v>
      </c>
      <c r="Q1570" s="4">
        <f t="shared" si="405"/>
        <v>45</v>
      </c>
      <c r="R1570" s="4">
        <f t="shared" si="406"/>
        <v>23</v>
      </c>
      <c r="S1570" s="102">
        <f t="shared" si="407"/>
        <v>30</v>
      </c>
      <c r="U1570" s="101">
        <f t="shared" si="408"/>
        <v>39</v>
      </c>
      <c r="V1570" s="4">
        <f t="shared" si="409"/>
        <v>39</v>
      </c>
      <c r="W1570" s="4">
        <f t="shared" si="410"/>
        <v>78</v>
      </c>
      <c r="X1570" s="4">
        <f t="shared" si="411"/>
        <v>71</v>
      </c>
      <c r="Y1570" s="4">
        <f t="shared" si="412"/>
        <v>71</v>
      </c>
      <c r="Z1570" s="4">
        <f t="shared" si="413"/>
        <v>39</v>
      </c>
      <c r="AA1570" s="102">
        <f t="shared" si="414"/>
        <v>39</v>
      </c>
      <c r="AC1570" s="100">
        <f t="shared" si="415"/>
        <v>0.95981328501158547</v>
      </c>
    </row>
    <row r="1571" spans="4:29" x14ac:dyDescent="0.35">
      <c r="D1571">
        <f t="shared" si="416"/>
        <v>1567</v>
      </c>
      <c r="E1571" s="101">
        <v>6</v>
      </c>
      <c r="F1571" s="4">
        <v>1</v>
      </c>
      <c r="G1571" s="4">
        <v>6</v>
      </c>
      <c r="H1571" s="4">
        <v>4</v>
      </c>
      <c r="I1571" s="4">
        <v>6</v>
      </c>
      <c r="J1571" s="4">
        <v>2</v>
      </c>
      <c r="K1571" s="102">
        <v>3</v>
      </c>
      <c r="M1571" s="101">
        <f t="shared" si="401"/>
        <v>45</v>
      </c>
      <c r="N1571" s="4">
        <f t="shared" si="402"/>
        <v>34</v>
      </c>
      <c r="O1571" s="4">
        <f t="shared" si="403"/>
        <v>45</v>
      </c>
      <c r="P1571" s="4">
        <f t="shared" si="404"/>
        <v>12</v>
      </c>
      <c r="Q1571" s="4">
        <f t="shared" si="405"/>
        <v>45</v>
      </c>
      <c r="R1571" s="4">
        <f t="shared" si="406"/>
        <v>56</v>
      </c>
      <c r="S1571" s="102">
        <f t="shared" si="407"/>
        <v>23</v>
      </c>
      <c r="U1571" s="101">
        <f t="shared" si="408"/>
        <v>71</v>
      </c>
      <c r="V1571" s="4">
        <f t="shared" si="409"/>
        <v>46</v>
      </c>
      <c r="W1571" s="4">
        <f t="shared" si="410"/>
        <v>71</v>
      </c>
      <c r="X1571" s="4">
        <f t="shared" si="411"/>
        <v>9</v>
      </c>
      <c r="Y1571" s="4">
        <f t="shared" si="412"/>
        <v>71</v>
      </c>
      <c r="Z1571" s="4">
        <f t="shared" si="413"/>
        <v>78</v>
      </c>
      <c r="AA1571" s="102">
        <f t="shared" si="414"/>
        <v>39</v>
      </c>
      <c r="AC1571" s="100">
        <f t="shared" si="415"/>
        <v>0.97575270091008892</v>
      </c>
    </row>
    <row r="1572" spans="4:29" x14ac:dyDescent="0.35">
      <c r="D1572">
        <f t="shared" si="416"/>
        <v>1568</v>
      </c>
      <c r="E1572" s="101">
        <v>7</v>
      </c>
      <c r="F1572" s="4">
        <v>7</v>
      </c>
      <c r="G1572" s="4">
        <v>3</v>
      </c>
      <c r="H1572" s="4">
        <v>3</v>
      </c>
      <c r="I1572" s="4">
        <v>6</v>
      </c>
      <c r="J1572" s="4">
        <v>4</v>
      </c>
      <c r="K1572" s="102">
        <v>6</v>
      </c>
      <c r="M1572" s="101">
        <f t="shared" si="401"/>
        <v>29</v>
      </c>
      <c r="N1572" s="4">
        <f t="shared" si="402"/>
        <v>29</v>
      </c>
      <c r="O1572" s="4">
        <f t="shared" si="403"/>
        <v>23</v>
      </c>
      <c r="P1572" s="4">
        <f t="shared" si="404"/>
        <v>23</v>
      </c>
      <c r="Q1572" s="4">
        <f t="shared" si="405"/>
        <v>45</v>
      </c>
      <c r="R1572" s="4">
        <f t="shared" si="406"/>
        <v>12</v>
      </c>
      <c r="S1572" s="102">
        <f t="shared" si="407"/>
        <v>45</v>
      </c>
      <c r="U1572" s="101">
        <f t="shared" si="408"/>
        <v>41</v>
      </c>
      <c r="V1572" s="4">
        <f t="shared" si="409"/>
        <v>41</v>
      </c>
      <c r="W1572" s="4">
        <f t="shared" si="410"/>
        <v>39</v>
      </c>
      <c r="X1572" s="4">
        <f t="shared" si="411"/>
        <v>39</v>
      </c>
      <c r="Y1572" s="4">
        <f t="shared" si="412"/>
        <v>71</v>
      </c>
      <c r="Z1572" s="4">
        <f t="shared" si="413"/>
        <v>9</v>
      </c>
      <c r="AA1572" s="102">
        <f t="shared" si="414"/>
        <v>71</v>
      </c>
      <c r="AC1572" s="100">
        <f t="shared" si="415"/>
        <v>0.98030034475699768</v>
      </c>
    </row>
    <row r="1573" spans="4:29" x14ac:dyDescent="0.35">
      <c r="D1573">
        <f t="shared" si="416"/>
        <v>1569</v>
      </c>
      <c r="E1573" s="101">
        <v>7</v>
      </c>
      <c r="F1573" s="4">
        <v>4</v>
      </c>
      <c r="G1573" s="4">
        <v>1</v>
      </c>
      <c r="H1573" s="4">
        <v>4</v>
      </c>
      <c r="I1573" s="4">
        <v>2</v>
      </c>
      <c r="J1573" s="4">
        <v>4</v>
      </c>
      <c r="K1573" s="102">
        <v>5</v>
      </c>
      <c r="M1573" s="101">
        <f t="shared" si="401"/>
        <v>29</v>
      </c>
      <c r="N1573" s="4">
        <f t="shared" si="402"/>
        <v>12</v>
      </c>
      <c r="O1573" s="4">
        <f t="shared" si="403"/>
        <v>34</v>
      </c>
      <c r="P1573" s="4">
        <f t="shared" si="404"/>
        <v>12</v>
      </c>
      <c r="Q1573" s="4">
        <f t="shared" si="405"/>
        <v>56</v>
      </c>
      <c r="R1573" s="4">
        <f t="shared" si="406"/>
        <v>12</v>
      </c>
      <c r="S1573" s="102">
        <f t="shared" si="407"/>
        <v>30</v>
      </c>
      <c r="U1573" s="101">
        <f t="shared" si="408"/>
        <v>41</v>
      </c>
      <c r="V1573" s="4">
        <f t="shared" si="409"/>
        <v>9</v>
      </c>
      <c r="W1573" s="4">
        <f t="shared" si="410"/>
        <v>46</v>
      </c>
      <c r="X1573" s="4">
        <f t="shared" si="411"/>
        <v>9</v>
      </c>
      <c r="Y1573" s="4">
        <f t="shared" si="412"/>
        <v>78</v>
      </c>
      <c r="Z1573" s="4">
        <f t="shared" si="413"/>
        <v>9</v>
      </c>
      <c r="AA1573" s="102">
        <f t="shared" si="414"/>
        <v>39</v>
      </c>
      <c r="AC1573" s="100">
        <f t="shared" si="415"/>
        <v>0.99704314549410178</v>
      </c>
    </row>
    <row r="1574" spans="4:29" x14ac:dyDescent="0.35">
      <c r="D1574">
        <f t="shared" si="416"/>
        <v>1570</v>
      </c>
      <c r="E1574" s="101">
        <v>6</v>
      </c>
      <c r="F1574" s="4">
        <v>4</v>
      </c>
      <c r="G1574" s="4">
        <v>1</v>
      </c>
      <c r="H1574" s="4">
        <v>3</v>
      </c>
      <c r="I1574" s="4">
        <v>5</v>
      </c>
      <c r="J1574" s="4">
        <v>6</v>
      </c>
      <c r="K1574" s="102">
        <v>2</v>
      </c>
      <c r="M1574" s="101">
        <f t="shared" si="401"/>
        <v>45</v>
      </c>
      <c r="N1574" s="4">
        <f t="shared" si="402"/>
        <v>12</v>
      </c>
      <c r="O1574" s="4">
        <f t="shared" si="403"/>
        <v>34</v>
      </c>
      <c r="P1574" s="4">
        <f t="shared" si="404"/>
        <v>23</v>
      </c>
      <c r="Q1574" s="4">
        <f t="shared" si="405"/>
        <v>30</v>
      </c>
      <c r="R1574" s="4">
        <f t="shared" si="406"/>
        <v>45</v>
      </c>
      <c r="S1574" s="102">
        <f t="shared" si="407"/>
        <v>56</v>
      </c>
      <c r="U1574" s="101">
        <f t="shared" si="408"/>
        <v>71</v>
      </c>
      <c r="V1574" s="4">
        <f t="shared" si="409"/>
        <v>9</v>
      </c>
      <c r="W1574" s="4">
        <f t="shared" si="410"/>
        <v>46</v>
      </c>
      <c r="X1574" s="4">
        <f t="shared" si="411"/>
        <v>39</v>
      </c>
      <c r="Y1574" s="4">
        <f t="shared" si="412"/>
        <v>39</v>
      </c>
      <c r="Z1574" s="4">
        <f t="shared" si="413"/>
        <v>71</v>
      </c>
      <c r="AA1574" s="102">
        <f t="shared" si="414"/>
        <v>78</v>
      </c>
      <c r="AC1574" s="100">
        <f t="shared" si="415"/>
        <v>0.97474696498290037</v>
      </c>
    </row>
    <row r="1575" spans="4:29" x14ac:dyDescent="0.35">
      <c r="D1575">
        <f t="shared" si="416"/>
        <v>1571</v>
      </c>
      <c r="E1575" s="101">
        <v>3</v>
      </c>
      <c r="F1575" s="4">
        <v>5</v>
      </c>
      <c r="G1575" s="4">
        <v>7</v>
      </c>
      <c r="H1575" s="4">
        <v>3</v>
      </c>
      <c r="I1575" s="4">
        <v>3</v>
      </c>
      <c r="J1575" s="4">
        <v>3</v>
      </c>
      <c r="K1575" s="102">
        <v>1</v>
      </c>
      <c r="M1575" s="101">
        <f t="shared" si="401"/>
        <v>23</v>
      </c>
      <c r="N1575" s="4">
        <f t="shared" si="402"/>
        <v>30</v>
      </c>
      <c r="O1575" s="4">
        <f t="shared" si="403"/>
        <v>29</v>
      </c>
      <c r="P1575" s="4">
        <f t="shared" si="404"/>
        <v>23</v>
      </c>
      <c r="Q1575" s="4">
        <f t="shared" si="405"/>
        <v>23</v>
      </c>
      <c r="R1575" s="4">
        <f t="shared" si="406"/>
        <v>23</v>
      </c>
      <c r="S1575" s="102">
        <f t="shared" si="407"/>
        <v>34</v>
      </c>
      <c r="U1575" s="101">
        <f t="shared" si="408"/>
        <v>39</v>
      </c>
      <c r="V1575" s="4">
        <f t="shared" si="409"/>
        <v>39</v>
      </c>
      <c r="W1575" s="4">
        <f t="shared" si="410"/>
        <v>41</v>
      </c>
      <c r="X1575" s="4">
        <f t="shared" si="411"/>
        <v>39</v>
      </c>
      <c r="Y1575" s="4">
        <f t="shared" si="412"/>
        <v>39</v>
      </c>
      <c r="Z1575" s="4">
        <f t="shared" si="413"/>
        <v>39</v>
      </c>
      <c r="AA1575" s="102">
        <f t="shared" si="414"/>
        <v>46</v>
      </c>
      <c r="AC1575" s="100">
        <f t="shared" si="415"/>
        <v>0.81215040322270737</v>
      </c>
    </row>
    <row r="1576" spans="4:29" x14ac:dyDescent="0.35">
      <c r="D1576">
        <f t="shared" si="416"/>
        <v>1572</v>
      </c>
      <c r="E1576" s="101">
        <v>5</v>
      </c>
      <c r="F1576" s="4">
        <v>7</v>
      </c>
      <c r="G1576" s="4">
        <v>2</v>
      </c>
      <c r="H1576" s="4">
        <v>6</v>
      </c>
      <c r="I1576" s="4">
        <v>7</v>
      </c>
      <c r="J1576" s="4">
        <v>2</v>
      </c>
      <c r="K1576" s="102">
        <v>6</v>
      </c>
      <c r="M1576" s="101">
        <f t="shared" si="401"/>
        <v>30</v>
      </c>
      <c r="N1576" s="4">
        <f t="shared" si="402"/>
        <v>29</v>
      </c>
      <c r="O1576" s="4">
        <f t="shared" si="403"/>
        <v>56</v>
      </c>
      <c r="P1576" s="4">
        <f t="shared" si="404"/>
        <v>45</v>
      </c>
      <c r="Q1576" s="4">
        <f t="shared" si="405"/>
        <v>29</v>
      </c>
      <c r="R1576" s="4">
        <f t="shared" si="406"/>
        <v>56</v>
      </c>
      <c r="S1576" s="102">
        <f t="shared" si="407"/>
        <v>45</v>
      </c>
      <c r="U1576" s="101">
        <f t="shared" si="408"/>
        <v>39</v>
      </c>
      <c r="V1576" s="4">
        <f t="shared" si="409"/>
        <v>41</v>
      </c>
      <c r="W1576" s="4">
        <f t="shared" si="410"/>
        <v>78</v>
      </c>
      <c r="X1576" s="4">
        <f t="shared" si="411"/>
        <v>71</v>
      </c>
      <c r="Y1576" s="4">
        <f t="shared" si="412"/>
        <v>41</v>
      </c>
      <c r="Z1576" s="4">
        <f t="shared" si="413"/>
        <v>78</v>
      </c>
      <c r="AA1576" s="102">
        <f t="shared" si="414"/>
        <v>71</v>
      </c>
      <c r="AC1576" s="100">
        <f t="shared" si="415"/>
        <v>0.97333563699818682</v>
      </c>
    </row>
    <row r="1577" spans="4:29" x14ac:dyDescent="0.35">
      <c r="D1577">
        <f t="shared" si="416"/>
        <v>1573</v>
      </c>
      <c r="E1577" s="101">
        <v>3</v>
      </c>
      <c r="F1577" s="4">
        <v>6</v>
      </c>
      <c r="G1577" s="4">
        <v>4</v>
      </c>
      <c r="H1577" s="4">
        <v>1</v>
      </c>
      <c r="I1577" s="4">
        <v>7</v>
      </c>
      <c r="J1577" s="4">
        <v>1</v>
      </c>
      <c r="K1577" s="102">
        <v>5</v>
      </c>
      <c r="M1577" s="101">
        <f t="shared" si="401"/>
        <v>23</v>
      </c>
      <c r="N1577" s="4">
        <f t="shared" si="402"/>
        <v>45</v>
      </c>
      <c r="O1577" s="4">
        <f t="shared" si="403"/>
        <v>12</v>
      </c>
      <c r="P1577" s="4">
        <f t="shared" si="404"/>
        <v>34</v>
      </c>
      <c r="Q1577" s="4">
        <f t="shared" si="405"/>
        <v>29</v>
      </c>
      <c r="R1577" s="4">
        <f t="shared" si="406"/>
        <v>34</v>
      </c>
      <c r="S1577" s="102">
        <f t="shared" si="407"/>
        <v>30</v>
      </c>
      <c r="U1577" s="101">
        <f t="shared" si="408"/>
        <v>39</v>
      </c>
      <c r="V1577" s="4">
        <f t="shared" si="409"/>
        <v>71</v>
      </c>
      <c r="W1577" s="4">
        <f t="shared" si="410"/>
        <v>9</v>
      </c>
      <c r="X1577" s="4">
        <f t="shared" si="411"/>
        <v>46</v>
      </c>
      <c r="Y1577" s="4">
        <f t="shared" si="412"/>
        <v>41</v>
      </c>
      <c r="Z1577" s="4">
        <f t="shared" si="413"/>
        <v>46</v>
      </c>
      <c r="AA1577" s="102">
        <f t="shared" si="414"/>
        <v>39</v>
      </c>
      <c r="AC1577" s="100">
        <f t="shared" si="415"/>
        <v>0.96881205442947571</v>
      </c>
    </row>
    <row r="1578" spans="4:29" x14ac:dyDescent="0.35">
      <c r="D1578">
        <f t="shared" si="416"/>
        <v>1574</v>
      </c>
      <c r="E1578" s="101">
        <v>5</v>
      </c>
      <c r="F1578" s="4">
        <v>1</v>
      </c>
      <c r="G1578" s="4">
        <v>7</v>
      </c>
      <c r="H1578" s="4">
        <v>2</v>
      </c>
      <c r="I1578" s="4">
        <v>4</v>
      </c>
      <c r="J1578" s="4">
        <v>4</v>
      </c>
      <c r="K1578" s="102">
        <v>2</v>
      </c>
      <c r="M1578" s="101">
        <f t="shared" si="401"/>
        <v>30</v>
      </c>
      <c r="N1578" s="4">
        <f t="shared" si="402"/>
        <v>34</v>
      </c>
      <c r="O1578" s="4">
        <f t="shared" si="403"/>
        <v>29</v>
      </c>
      <c r="P1578" s="4">
        <f t="shared" si="404"/>
        <v>56</v>
      </c>
      <c r="Q1578" s="4">
        <f t="shared" si="405"/>
        <v>12</v>
      </c>
      <c r="R1578" s="4">
        <f t="shared" si="406"/>
        <v>12</v>
      </c>
      <c r="S1578" s="102">
        <f t="shared" si="407"/>
        <v>56</v>
      </c>
      <c r="U1578" s="101">
        <f t="shared" si="408"/>
        <v>39</v>
      </c>
      <c r="V1578" s="4">
        <f t="shared" si="409"/>
        <v>46</v>
      </c>
      <c r="W1578" s="4">
        <f t="shared" si="410"/>
        <v>41</v>
      </c>
      <c r="X1578" s="4">
        <f t="shared" si="411"/>
        <v>78</v>
      </c>
      <c r="Y1578" s="4">
        <f t="shared" si="412"/>
        <v>9</v>
      </c>
      <c r="Z1578" s="4">
        <f t="shared" si="413"/>
        <v>9</v>
      </c>
      <c r="AA1578" s="102">
        <f t="shared" si="414"/>
        <v>78</v>
      </c>
      <c r="AC1578" s="100">
        <f t="shared" si="415"/>
        <v>0.99744176146644015</v>
      </c>
    </row>
    <row r="1579" spans="4:29" x14ac:dyDescent="0.35">
      <c r="D1579">
        <f t="shared" si="416"/>
        <v>1575</v>
      </c>
      <c r="E1579" s="101">
        <v>7</v>
      </c>
      <c r="F1579" s="4">
        <v>6</v>
      </c>
      <c r="G1579" s="4">
        <v>3</v>
      </c>
      <c r="H1579" s="4">
        <v>6</v>
      </c>
      <c r="I1579" s="4">
        <v>7</v>
      </c>
      <c r="J1579" s="4">
        <v>6</v>
      </c>
      <c r="K1579" s="102">
        <v>5</v>
      </c>
      <c r="M1579" s="101">
        <f t="shared" si="401"/>
        <v>29</v>
      </c>
      <c r="N1579" s="4">
        <f t="shared" si="402"/>
        <v>45</v>
      </c>
      <c r="O1579" s="4">
        <f t="shared" si="403"/>
        <v>23</v>
      </c>
      <c r="P1579" s="4">
        <f t="shared" si="404"/>
        <v>45</v>
      </c>
      <c r="Q1579" s="4">
        <f t="shared" si="405"/>
        <v>29</v>
      </c>
      <c r="R1579" s="4">
        <f t="shared" si="406"/>
        <v>45</v>
      </c>
      <c r="S1579" s="102">
        <f t="shared" si="407"/>
        <v>30</v>
      </c>
      <c r="U1579" s="101">
        <f t="shared" si="408"/>
        <v>41</v>
      </c>
      <c r="V1579" s="4">
        <f t="shared" si="409"/>
        <v>71</v>
      </c>
      <c r="W1579" s="4">
        <f t="shared" si="410"/>
        <v>39</v>
      </c>
      <c r="X1579" s="4">
        <f t="shared" si="411"/>
        <v>71</v>
      </c>
      <c r="Y1579" s="4">
        <f t="shared" si="412"/>
        <v>41</v>
      </c>
      <c r="Z1579" s="4">
        <f t="shared" si="413"/>
        <v>71</v>
      </c>
      <c r="AA1579" s="102">
        <f t="shared" si="414"/>
        <v>39</v>
      </c>
      <c r="AC1579" s="100">
        <f t="shared" si="415"/>
        <v>0.97527061002256987</v>
      </c>
    </row>
    <row r="1580" spans="4:29" x14ac:dyDescent="0.35">
      <c r="D1580">
        <f t="shared" si="416"/>
        <v>1576</v>
      </c>
      <c r="E1580" s="101">
        <v>6</v>
      </c>
      <c r="F1580" s="4">
        <v>4</v>
      </c>
      <c r="G1580" s="4">
        <v>2</v>
      </c>
      <c r="H1580" s="4">
        <v>1</v>
      </c>
      <c r="I1580" s="4">
        <v>1</v>
      </c>
      <c r="J1580" s="4">
        <v>7</v>
      </c>
      <c r="K1580" s="102">
        <v>4</v>
      </c>
      <c r="M1580" s="101">
        <f t="shared" si="401"/>
        <v>45</v>
      </c>
      <c r="N1580" s="4">
        <f t="shared" si="402"/>
        <v>12</v>
      </c>
      <c r="O1580" s="4">
        <f t="shared" si="403"/>
        <v>56</v>
      </c>
      <c r="P1580" s="4">
        <f t="shared" si="404"/>
        <v>34</v>
      </c>
      <c r="Q1580" s="4">
        <f t="shared" si="405"/>
        <v>34</v>
      </c>
      <c r="R1580" s="4">
        <f t="shared" si="406"/>
        <v>29</v>
      </c>
      <c r="S1580" s="102">
        <f t="shared" si="407"/>
        <v>12</v>
      </c>
      <c r="U1580" s="101">
        <f t="shared" si="408"/>
        <v>71</v>
      </c>
      <c r="V1580" s="4">
        <f t="shared" si="409"/>
        <v>9</v>
      </c>
      <c r="W1580" s="4">
        <f t="shared" si="410"/>
        <v>78</v>
      </c>
      <c r="X1580" s="4">
        <f t="shared" si="411"/>
        <v>46</v>
      </c>
      <c r="Y1580" s="4">
        <f t="shared" si="412"/>
        <v>46</v>
      </c>
      <c r="Z1580" s="4">
        <f t="shared" si="413"/>
        <v>41</v>
      </c>
      <c r="AA1580" s="102">
        <f t="shared" si="414"/>
        <v>9</v>
      </c>
      <c r="AC1580" s="100">
        <f t="shared" si="415"/>
        <v>0.99142381099854537</v>
      </c>
    </row>
    <row r="1581" spans="4:29" x14ac:dyDescent="0.35">
      <c r="D1581">
        <f t="shared" si="416"/>
        <v>1577</v>
      </c>
      <c r="E1581" s="101">
        <v>2</v>
      </c>
      <c r="F1581" s="4">
        <v>5</v>
      </c>
      <c r="G1581" s="4">
        <v>5</v>
      </c>
      <c r="H1581" s="4">
        <v>2</v>
      </c>
      <c r="I1581" s="4">
        <v>3</v>
      </c>
      <c r="J1581" s="4">
        <v>3</v>
      </c>
      <c r="K1581" s="102">
        <v>5</v>
      </c>
      <c r="M1581" s="101">
        <f t="shared" si="401"/>
        <v>56</v>
      </c>
      <c r="N1581" s="4">
        <f t="shared" si="402"/>
        <v>30</v>
      </c>
      <c r="O1581" s="4">
        <f t="shared" si="403"/>
        <v>30</v>
      </c>
      <c r="P1581" s="4">
        <f t="shared" si="404"/>
        <v>56</v>
      </c>
      <c r="Q1581" s="4">
        <f t="shared" si="405"/>
        <v>23</v>
      </c>
      <c r="R1581" s="4">
        <f t="shared" si="406"/>
        <v>23</v>
      </c>
      <c r="S1581" s="102">
        <f t="shared" si="407"/>
        <v>30</v>
      </c>
      <c r="U1581" s="101">
        <f t="shared" si="408"/>
        <v>78</v>
      </c>
      <c r="V1581" s="4">
        <f t="shared" si="409"/>
        <v>39</v>
      </c>
      <c r="W1581" s="4">
        <f t="shared" si="410"/>
        <v>39</v>
      </c>
      <c r="X1581" s="4">
        <f t="shared" si="411"/>
        <v>78</v>
      </c>
      <c r="Y1581" s="4">
        <f t="shared" si="412"/>
        <v>39</v>
      </c>
      <c r="Z1581" s="4">
        <f t="shared" si="413"/>
        <v>39</v>
      </c>
      <c r="AA1581" s="102">
        <f t="shared" si="414"/>
        <v>39</v>
      </c>
      <c r="AC1581" s="100">
        <f t="shared" si="415"/>
        <v>0.97607492566400511</v>
      </c>
    </row>
    <row r="1582" spans="4:29" x14ac:dyDescent="0.35">
      <c r="D1582">
        <f t="shared" si="416"/>
        <v>1578</v>
      </c>
      <c r="E1582" s="101">
        <v>7</v>
      </c>
      <c r="F1582" s="4">
        <v>2</v>
      </c>
      <c r="G1582" s="4">
        <v>2</v>
      </c>
      <c r="H1582" s="4">
        <v>7</v>
      </c>
      <c r="I1582" s="4">
        <v>1</v>
      </c>
      <c r="J1582" s="4">
        <v>2</v>
      </c>
      <c r="K1582" s="102">
        <v>7</v>
      </c>
      <c r="M1582" s="101">
        <f t="shared" si="401"/>
        <v>29</v>
      </c>
      <c r="N1582" s="4">
        <f t="shared" si="402"/>
        <v>56</v>
      </c>
      <c r="O1582" s="4">
        <f t="shared" si="403"/>
        <v>56</v>
      </c>
      <c r="P1582" s="4">
        <f t="shared" si="404"/>
        <v>29</v>
      </c>
      <c r="Q1582" s="4">
        <f t="shared" si="405"/>
        <v>34</v>
      </c>
      <c r="R1582" s="4">
        <f t="shared" si="406"/>
        <v>56</v>
      </c>
      <c r="S1582" s="102">
        <f t="shared" si="407"/>
        <v>29</v>
      </c>
      <c r="U1582" s="101">
        <f t="shared" si="408"/>
        <v>41</v>
      </c>
      <c r="V1582" s="4">
        <f t="shared" si="409"/>
        <v>78</v>
      </c>
      <c r="W1582" s="4">
        <f t="shared" si="410"/>
        <v>78</v>
      </c>
      <c r="X1582" s="4">
        <f t="shared" si="411"/>
        <v>41</v>
      </c>
      <c r="Y1582" s="4">
        <f t="shared" si="412"/>
        <v>46</v>
      </c>
      <c r="Z1582" s="4">
        <f t="shared" si="413"/>
        <v>78</v>
      </c>
      <c r="AA1582" s="102">
        <f t="shared" si="414"/>
        <v>41</v>
      </c>
      <c r="AC1582" s="100">
        <f t="shared" si="415"/>
        <v>0.99937033144040033</v>
      </c>
    </row>
    <row r="1583" spans="4:29" x14ac:dyDescent="0.35">
      <c r="D1583">
        <f t="shared" si="416"/>
        <v>1579</v>
      </c>
      <c r="E1583" s="101">
        <v>1</v>
      </c>
      <c r="F1583" s="4">
        <v>2</v>
      </c>
      <c r="G1583" s="4">
        <v>3</v>
      </c>
      <c r="H1583" s="4">
        <v>3</v>
      </c>
      <c r="I1583" s="4">
        <v>4</v>
      </c>
      <c r="J1583" s="4">
        <v>7</v>
      </c>
      <c r="K1583" s="102">
        <v>5</v>
      </c>
      <c r="M1583" s="101">
        <f t="shared" si="401"/>
        <v>34</v>
      </c>
      <c r="N1583" s="4">
        <f t="shared" si="402"/>
        <v>56</v>
      </c>
      <c r="O1583" s="4">
        <f t="shared" si="403"/>
        <v>23</v>
      </c>
      <c r="P1583" s="4">
        <f t="shared" si="404"/>
        <v>23</v>
      </c>
      <c r="Q1583" s="4">
        <f t="shared" si="405"/>
        <v>12</v>
      </c>
      <c r="R1583" s="4">
        <f t="shared" si="406"/>
        <v>29</v>
      </c>
      <c r="S1583" s="102">
        <f t="shared" si="407"/>
        <v>30</v>
      </c>
      <c r="U1583" s="101">
        <f t="shared" si="408"/>
        <v>46</v>
      </c>
      <c r="V1583" s="4">
        <f t="shared" si="409"/>
        <v>78</v>
      </c>
      <c r="W1583" s="4">
        <f t="shared" si="410"/>
        <v>39</v>
      </c>
      <c r="X1583" s="4">
        <f t="shared" si="411"/>
        <v>39</v>
      </c>
      <c r="Y1583" s="4">
        <f t="shared" si="412"/>
        <v>9</v>
      </c>
      <c r="Z1583" s="4">
        <f t="shared" si="413"/>
        <v>41</v>
      </c>
      <c r="AA1583" s="102">
        <f t="shared" si="414"/>
        <v>39</v>
      </c>
      <c r="AC1583" s="100">
        <f t="shared" si="415"/>
        <v>0.96557646180086354</v>
      </c>
    </row>
    <row r="1584" spans="4:29" x14ac:dyDescent="0.35">
      <c r="D1584">
        <f t="shared" si="416"/>
        <v>1580</v>
      </c>
      <c r="E1584" s="101">
        <v>1</v>
      </c>
      <c r="F1584" s="4">
        <v>5</v>
      </c>
      <c r="G1584" s="4">
        <v>4</v>
      </c>
      <c r="H1584" s="4">
        <v>7</v>
      </c>
      <c r="I1584" s="4">
        <v>4</v>
      </c>
      <c r="J1584" s="4">
        <v>7</v>
      </c>
      <c r="K1584" s="102">
        <v>7</v>
      </c>
      <c r="M1584" s="101">
        <f t="shared" si="401"/>
        <v>34</v>
      </c>
      <c r="N1584" s="4">
        <f t="shared" si="402"/>
        <v>30</v>
      </c>
      <c r="O1584" s="4">
        <f t="shared" si="403"/>
        <v>12</v>
      </c>
      <c r="P1584" s="4">
        <f t="shared" si="404"/>
        <v>29</v>
      </c>
      <c r="Q1584" s="4">
        <f t="shared" si="405"/>
        <v>12</v>
      </c>
      <c r="R1584" s="4">
        <f t="shared" si="406"/>
        <v>29</v>
      </c>
      <c r="S1584" s="102">
        <f t="shared" si="407"/>
        <v>29</v>
      </c>
      <c r="U1584" s="101">
        <f t="shared" si="408"/>
        <v>46</v>
      </c>
      <c r="V1584" s="4">
        <f t="shared" si="409"/>
        <v>39</v>
      </c>
      <c r="W1584" s="4">
        <f t="shared" si="410"/>
        <v>9</v>
      </c>
      <c r="X1584" s="4">
        <f t="shared" si="411"/>
        <v>41</v>
      </c>
      <c r="Y1584" s="4">
        <f t="shared" si="412"/>
        <v>9</v>
      </c>
      <c r="Z1584" s="4">
        <f t="shared" si="413"/>
        <v>41</v>
      </c>
      <c r="AA1584" s="102">
        <f t="shared" si="414"/>
        <v>41</v>
      </c>
      <c r="AC1584" s="100">
        <f t="shared" si="415"/>
        <v>0.99428772429134471</v>
      </c>
    </row>
    <row r="1585" spans="4:29" x14ac:dyDescent="0.35">
      <c r="D1585">
        <f t="shared" si="416"/>
        <v>1581</v>
      </c>
      <c r="E1585" s="101">
        <v>2</v>
      </c>
      <c r="F1585" s="4">
        <v>2</v>
      </c>
      <c r="G1585" s="4">
        <v>4</v>
      </c>
      <c r="H1585" s="4">
        <v>1</v>
      </c>
      <c r="I1585" s="4">
        <v>1</v>
      </c>
      <c r="J1585" s="4">
        <v>2</v>
      </c>
      <c r="K1585" s="102">
        <v>5</v>
      </c>
      <c r="M1585" s="101">
        <f t="shared" si="401"/>
        <v>56</v>
      </c>
      <c r="N1585" s="4">
        <f t="shared" si="402"/>
        <v>56</v>
      </c>
      <c r="O1585" s="4">
        <f t="shared" si="403"/>
        <v>12</v>
      </c>
      <c r="P1585" s="4">
        <f t="shared" si="404"/>
        <v>34</v>
      </c>
      <c r="Q1585" s="4">
        <f t="shared" si="405"/>
        <v>34</v>
      </c>
      <c r="R1585" s="4">
        <f t="shared" si="406"/>
        <v>56</v>
      </c>
      <c r="S1585" s="102">
        <f t="shared" si="407"/>
        <v>30</v>
      </c>
      <c r="U1585" s="101">
        <f t="shared" si="408"/>
        <v>78</v>
      </c>
      <c r="V1585" s="4">
        <f t="shared" si="409"/>
        <v>78</v>
      </c>
      <c r="W1585" s="4">
        <f t="shared" si="410"/>
        <v>9</v>
      </c>
      <c r="X1585" s="4">
        <f t="shared" si="411"/>
        <v>46</v>
      </c>
      <c r="Y1585" s="4">
        <f t="shared" si="412"/>
        <v>46</v>
      </c>
      <c r="Z1585" s="4">
        <f t="shared" si="413"/>
        <v>78</v>
      </c>
      <c r="AA1585" s="102">
        <f t="shared" si="414"/>
        <v>39</v>
      </c>
      <c r="AC1585" s="100">
        <f t="shared" si="415"/>
        <v>0.9990402852394622</v>
      </c>
    </row>
    <row r="1586" spans="4:29" x14ac:dyDescent="0.35">
      <c r="D1586">
        <f t="shared" si="416"/>
        <v>1582</v>
      </c>
      <c r="E1586" s="101">
        <v>1</v>
      </c>
      <c r="F1586" s="4">
        <v>7</v>
      </c>
      <c r="G1586" s="4">
        <v>4</v>
      </c>
      <c r="H1586" s="4">
        <v>1</v>
      </c>
      <c r="I1586" s="4">
        <v>4</v>
      </c>
      <c r="J1586" s="4">
        <v>4</v>
      </c>
      <c r="K1586" s="102">
        <v>1</v>
      </c>
      <c r="M1586" s="101">
        <f t="shared" si="401"/>
        <v>34</v>
      </c>
      <c r="N1586" s="4">
        <f t="shared" si="402"/>
        <v>29</v>
      </c>
      <c r="O1586" s="4">
        <f t="shared" si="403"/>
        <v>12</v>
      </c>
      <c r="P1586" s="4">
        <f t="shared" si="404"/>
        <v>34</v>
      </c>
      <c r="Q1586" s="4">
        <f t="shared" si="405"/>
        <v>12</v>
      </c>
      <c r="R1586" s="4">
        <f t="shared" si="406"/>
        <v>12</v>
      </c>
      <c r="S1586" s="102">
        <f t="shared" si="407"/>
        <v>34</v>
      </c>
      <c r="U1586" s="101">
        <f t="shared" si="408"/>
        <v>46</v>
      </c>
      <c r="V1586" s="4">
        <f t="shared" si="409"/>
        <v>41</v>
      </c>
      <c r="W1586" s="4">
        <f t="shared" si="410"/>
        <v>9</v>
      </c>
      <c r="X1586" s="4">
        <f t="shared" si="411"/>
        <v>46</v>
      </c>
      <c r="Y1586" s="4">
        <f t="shared" si="412"/>
        <v>9</v>
      </c>
      <c r="Z1586" s="4">
        <f t="shared" si="413"/>
        <v>9</v>
      </c>
      <c r="AA1586" s="102">
        <f t="shared" si="414"/>
        <v>46</v>
      </c>
      <c r="AC1586" s="100">
        <f t="shared" si="415"/>
        <v>0.99783550178226887</v>
      </c>
    </row>
    <row r="1587" spans="4:29" x14ac:dyDescent="0.35">
      <c r="D1587">
        <f t="shared" si="416"/>
        <v>1583</v>
      </c>
      <c r="E1587" s="101">
        <v>4</v>
      </c>
      <c r="F1587" s="4">
        <v>5</v>
      </c>
      <c r="G1587" s="4">
        <v>2</v>
      </c>
      <c r="H1587" s="4">
        <v>5</v>
      </c>
      <c r="I1587" s="4">
        <v>1</v>
      </c>
      <c r="J1587" s="4">
        <v>5</v>
      </c>
      <c r="K1587" s="102">
        <v>7</v>
      </c>
      <c r="M1587" s="101">
        <f t="shared" si="401"/>
        <v>12</v>
      </c>
      <c r="N1587" s="4">
        <f t="shared" si="402"/>
        <v>30</v>
      </c>
      <c r="O1587" s="4">
        <f t="shared" si="403"/>
        <v>56</v>
      </c>
      <c r="P1587" s="4">
        <f t="shared" si="404"/>
        <v>30</v>
      </c>
      <c r="Q1587" s="4">
        <f t="shared" si="405"/>
        <v>34</v>
      </c>
      <c r="R1587" s="4">
        <f t="shared" si="406"/>
        <v>30</v>
      </c>
      <c r="S1587" s="102">
        <f t="shared" si="407"/>
        <v>29</v>
      </c>
      <c r="U1587" s="101">
        <f t="shared" si="408"/>
        <v>9</v>
      </c>
      <c r="V1587" s="4">
        <f t="shared" si="409"/>
        <v>39</v>
      </c>
      <c r="W1587" s="4">
        <f t="shared" si="410"/>
        <v>78</v>
      </c>
      <c r="X1587" s="4">
        <f t="shared" si="411"/>
        <v>39</v>
      </c>
      <c r="Y1587" s="4">
        <f t="shared" si="412"/>
        <v>46</v>
      </c>
      <c r="Z1587" s="4">
        <f t="shared" si="413"/>
        <v>39</v>
      </c>
      <c r="AA1587" s="102">
        <f t="shared" si="414"/>
        <v>41</v>
      </c>
      <c r="AC1587" s="100">
        <f t="shared" si="415"/>
        <v>0.99603596994128318</v>
      </c>
    </row>
    <row r="1588" spans="4:29" x14ac:dyDescent="0.35">
      <c r="D1588">
        <f t="shared" si="416"/>
        <v>1584</v>
      </c>
      <c r="E1588" s="101">
        <v>3</v>
      </c>
      <c r="F1588" s="4">
        <v>2</v>
      </c>
      <c r="G1588" s="4">
        <v>3</v>
      </c>
      <c r="H1588" s="4">
        <v>2</v>
      </c>
      <c r="I1588" s="4">
        <v>4</v>
      </c>
      <c r="J1588" s="4">
        <v>5</v>
      </c>
      <c r="K1588" s="102">
        <v>6</v>
      </c>
      <c r="M1588" s="101">
        <f t="shared" si="401"/>
        <v>23</v>
      </c>
      <c r="N1588" s="4">
        <f t="shared" si="402"/>
        <v>56</v>
      </c>
      <c r="O1588" s="4">
        <f t="shared" si="403"/>
        <v>23</v>
      </c>
      <c r="P1588" s="4">
        <f t="shared" si="404"/>
        <v>56</v>
      </c>
      <c r="Q1588" s="4">
        <f t="shared" si="405"/>
        <v>12</v>
      </c>
      <c r="R1588" s="4">
        <f t="shared" si="406"/>
        <v>30</v>
      </c>
      <c r="S1588" s="102">
        <f t="shared" si="407"/>
        <v>45</v>
      </c>
      <c r="U1588" s="101">
        <f t="shared" si="408"/>
        <v>39</v>
      </c>
      <c r="V1588" s="4">
        <f t="shared" si="409"/>
        <v>78</v>
      </c>
      <c r="W1588" s="4">
        <f t="shared" si="410"/>
        <v>39</v>
      </c>
      <c r="X1588" s="4">
        <f t="shared" si="411"/>
        <v>78</v>
      </c>
      <c r="Y1588" s="4">
        <f t="shared" si="412"/>
        <v>9</v>
      </c>
      <c r="Z1588" s="4">
        <f t="shared" si="413"/>
        <v>39</v>
      </c>
      <c r="AA1588" s="102">
        <f t="shared" si="414"/>
        <v>71</v>
      </c>
      <c r="AC1588" s="100">
        <f t="shared" si="415"/>
        <v>0.9740610050852706</v>
      </c>
    </row>
    <row r="1589" spans="4:29" x14ac:dyDescent="0.35">
      <c r="D1589">
        <f t="shared" si="416"/>
        <v>1585</v>
      </c>
      <c r="E1589" s="101">
        <v>1</v>
      </c>
      <c r="F1589" s="4">
        <v>5</v>
      </c>
      <c r="G1589" s="4">
        <v>2</v>
      </c>
      <c r="H1589" s="4">
        <v>1</v>
      </c>
      <c r="I1589" s="4">
        <v>4</v>
      </c>
      <c r="J1589" s="4">
        <v>5</v>
      </c>
      <c r="K1589" s="102">
        <v>4</v>
      </c>
      <c r="M1589" s="101">
        <f t="shared" si="401"/>
        <v>34</v>
      </c>
      <c r="N1589" s="4">
        <f t="shared" si="402"/>
        <v>30</v>
      </c>
      <c r="O1589" s="4">
        <f t="shared" si="403"/>
        <v>56</v>
      </c>
      <c r="P1589" s="4">
        <f t="shared" si="404"/>
        <v>34</v>
      </c>
      <c r="Q1589" s="4">
        <f t="shared" si="405"/>
        <v>12</v>
      </c>
      <c r="R1589" s="4">
        <f t="shared" si="406"/>
        <v>30</v>
      </c>
      <c r="S1589" s="102">
        <f t="shared" si="407"/>
        <v>12</v>
      </c>
      <c r="U1589" s="101">
        <f t="shared" si="408"/>
        <v>46</v>
      </c>
      <c r="V1589" s="4">
        <f t="shared" si="409"/>
        <v>39</v>
      </c>
      <c r="W1589" s="4">
        <f t="shared" si="410"/>
        <v>78</v>
      </c>
      <c r="X1589" s="4">
        <f t="shared" si="411"/>
        <v>46</v>
      </c>
      <c r="Y1589" s="4">
        <f t="shared" si="412"/>
        <v>9</v>
      </c>
      <c r="Z1589" s="4">
        <f t="shared" si="413"/>
        <v>39</v>
      </c>
      <c r="AA1589" s="102">
        <f t="shared" si="414"/>
        <v>9</v>
      </c>
      <c r="AC1589" s="100">
        <f t="shared" si="415"/>
        <v>0.99882970056700537</v>
      </c>
    </row>
    <row r="1590" spans="4:29" x14ac:dyDescent="0.35">
      <c r="D1590">
        <f t="shared" si="416"/>
        <v>1586</v>
      </c>
      <c r="E1590" s="101">
        <v>2</v>
      </c>
      <c r="F1590" s="4">
        <v>1</v>
      </c>
      <c r="G1590" s="4">
        <v>7</v>
      </c>
      <c r="H1590" s="4">
        <v>1</v>
      </c>
      <c r="I1590" s="4">
        <v>4</v>
      </c>
      <c r="J1590" s="4">
        <v>2</v>
      </c>
      <c r="K1590" s="102">
        <v>5</v>
      </c>
      <c r="M1590" s="101">
        <f t="shared" si="401"/>
        <v>56</v>
      </c>
      <c r="N1590" s="4">
        <f t="shared" si="402"/>
        <v>34</v>
      </c>
      <c r="O1590" s="4">
        <f t="shared" si="403"/>
        <v>29</v>
      </c>
      <c r="P1590" s="4">
        <f t="shared" si="404"/>
        <v>34</v>
      </c>
      <c r="Q1590" s="4">
        <f t="shared" si="405"/>
        <v>12</v>
      </c>
      <c r="R1590" s="4">
        <f t="shared" si="406"/>
        <v>56</v>
      </c>
      <c r="S1590" s="102">
        <f t="shared" si="407"/>
        <v>30</v>
      </c>
      <c r="U1590" s="101">
        <f t="shared" si="408"/>
        <v>78</v>
      </c>
      <c r="V1590" s="4">
        <f t="shared" si="409"/>
        <v>46</v>
      </c>
      <c r="W1590" s="4">
        <f t="shared" si="410"/>
        <v>41</v>
      </c>
      <c r="X1590" s="4">
        <f t="shared" si="411"/>
        <v>46</v>
      </c>
      <c r="Y1590" s="4">
        <f t="shared" si="412"/>
        <v>9</v>
      </c>
      <c r="Z1590" s="4">
        <f t="shared" si="413"/>
        <v>78</v>
      </c>
      <c r="AA1590" s="102">
        <f t="shared" si="414"/>
        <v>39</v>
      </c>
      <c r="AC1590" s="100">
        <f t="shared" si="415"/>
        <v>0.99695278345642169</v>
      </c>
    </row>
    <row r="1591" spans="4:29" x14ac:dyDescent="0.35">
      <c r="D1591">
        <f t="shared" si="416"/>
        <v>1587</v>
      </c>
      <c r="E1591" s="101">
        <v>4</v>
      </c>
      <c r="F1591" s="4">
        <v>7</v>
      </c>
      <c r="G1591" s="4">
        <v>5</v>
      </c>
      <c r="H1591" s="4">
        <v>6</v>
      </c>
      <c r="I1591" s="4">
        <v>1</v>
      </c>
      <c r="J1591" s="4">
        <v>4</v>
      </c>
      <c r="K1591" s="102">
        <v>4</v>
      </c>
      <c r="M1591" s="101">
        <f t="shared" si="401"/>
        <v>12</v>
      </c>
      <c r="N1591" s="4">
        <f t="shared" si="402"/>
        <v>29</v>
      </c>
      <c r="O1591" s="4">
        <f t="shared" si="403"/>
        <v>30</v>
      </c>
      <c r="P1591" s="4">
        <f t="shared" si="404"/>
        <v>45</v>
      </c>
      <c r="Q1591" s="4">
        <f t="shared" si="405"/>
        <v>34</v>
      </c>
      <c r="R1591" s="4">
        <f t="shared" si="406"/>
        <v>12</v>
      </c>
      <c r="S1591" s="102">
        <f t="shared" si="407"/>
        <v>12</v>
      </c>
      <c r="U1591" s="101">
        <f t="shared" si="408"/>
        <v>9</v>
      </c>
      <c r="V1591" s="4">
        <f t="shared" si="409"/>
        <v>41</v>
      </c>
      <c r="W1591" s="4">
        <f t="shared" si="410"/>
        <v>39</v>
      </c>
      <c r="X1591" s="4">
        <f t="shared" si="411"/>
        <v>71</v>
      </c>
      <c r="Y1591" s="4">
        <f t="shared" si="412"/>
        <v>46</v>
      </c>
      <c r="Z1591" s="4">
        <f t="shared" si="413"/>
        <v>9</v>
      </c>
      <c r="AA1591" s="102">
        <f t="shared" si="414"/>
        <v>9</v>
      </c>
      <c r="AC1591" s="100">
        <f t="shared" si="415"/>
        <v>0.99699252603067701</v>
      </c>
    </row>
    <row r="1592" spans="4:29" x14ac:dyDescent="0.35">
      <c r="D1592">
        <f t="shared" si="416"/>
        <v>1588</v>
      </c>
      <c r="E1592" s="101">
        <v>6</v>
      </c>
      <c r="F1592" s="4">
        <v>6</v>
      </c>
      <c r="G1592" s="4">
        <v>5</v>
      </c>
      <c r="H1592" s="4">
        <v>5</v>
      </c>
      <c r="I1592" s="4">
        <v>1</v>
      </c>
      <c r="J1592" s="4">
        <v>7</v>
      </c>
      <c r="K1592" s="102">
        <v>2</v>
      </c>
      <c r="M1592" s="101">
        <f t="shared" si="401"/>
        <v>45</v>
      </c>
      <c r="N1592" s="4">
        <f t="shared" si="402"/>
        <v>45</v>
      </c>
      <c r="O1592" s="4">
        <f t="shared" si="403"/>
        <v>30</v>
      </c>
      <c r="P1592" s="4">
        <f t="shared" si="404"/>
        <v>30</v>
      </c>
      <c r="Q1592" s="4">
        <f t="shared" si="405"/>
        <v>34</v>
      </c>
      <c r="R1592" s="4">
        <f t="shared" si="406"/>
        <v>29</v>
      </c>
      <c r="S1592" s="102">
        <f t="shared" si="407"/>
        <v>56</v>
      </c>
      <c r="U1592" s="101">
        <f t="shared" si="408"/>
        <v>71</v>
      </c>
      <c r="V1592" s="4">
        <f t="shared" si="409"/>
        <v>71</v>
      </c>
      <c r="W1592" s="4">
        <f t="shared" si="410"/>
        <v>39</v>
      </c>
      <c r="X1592" s="4">
        <f t="shared" si="411"/>
        <v>39</v>
      </c>
      <c r="Y1592" s="4">
        <f t="shared" si="412"/>
        <v>46</v>
      </c>
      <c r="Z1592" s="4">
        <f t="shared" si="413"/>
        <v>41</v>
      </c>
      <c r="AA1592" s="102">
        <f t="shared" si="414"/>
        <v>78</v>
      </c>
      <c r="AC1592" s="100">
        <f t="shared" si="415"/>
        <v>0.971444907435421</v>
      </c>
    </row>
    <row r="1593" spans="4:29" x14ac:dyDescent="0.35">
      <c r="D1593">
        <f t="shared" si="416"/>
        <v>1589</v>
      </c>
      <c r="E1593" s="101">
        <v>5</v>
      </c>
      <c r="F1593" s="4">
        <v>3</v>
      </c>
      <c r="G1593" s="4">
        <v>6</v>
      </c>
      <c r="H1593" s="4">
        <v>6</v>
      </c>
      <c r="I1593" s="4">
        <v>3</v>
      </c>
      <c r="J1593" s="4">
        <v>2</v>
      </c>
      <c r="K1593" s="102">
        <v>7</v>
      </c>
      <c r="M1593" s="101">
        <f t="shared" si="401"/>
        <v>30</v>
      </c>
      <c r="N1593" s="4">
        <f t="shared" si="402"/>
        <v>23</v>
      </c>
      <c r="O1593" s="4">
        <f t="shared" si="403"/>
        <v>45</v>
      </c>
      <c r="P1593" s="4">
        <f t="shared" si="404"/>
        <v>45</v>
      </c>
      <c r="Q1593" s="4">
        <f t="shared" si="405"/>
        <v>23</v>
      </c>
      <c r="R1593" s="4">
        <f t="shared" si="406"/>
        <v>56</v>
      </c>
      <c r="S1593" s="102">
        <f t="shared" si="407"/>
        <v>29</v>
      </c>
      <c r="U1593" s="101">
        <f t="shared" si="408"/>
        <v>39</v>
      </c>
      <c r="V1593" s="4">
        <f t="shared" si="409"/>
        <v>39</v>
      </c>
      <c r="W1593" s="4">
        <f t="shared" si="410"/>
        <v>71</v>
      </c>
      <c r="X1593" s="4">
        <f t="shared" si="411"/>
        <v>71</v>
      </c>
      <c r="Y1593" s="4">
        <f t="shared" si="412"/>
        <v>39</v>
      </c>
      <c r="Z1593" s="4">
        <f t="shared" si="413"/>
        <v>78</v>
      </c>
      <c r="AA1593" s="102">
        <f t="shared" si="414"/>
        <v>41</v>
      </c>
      <c r="AC1593" s="100">
        <f t="shared" si="415"/>
        <v>0.9673763955471949</v>
      </c>
    </row>
    <row r="1594" spans="4:29" x14ac:dyDescent="0.35">
      <c r="D1594">
        <f t="shared" si="416"/>
        <v>1590</v>
      </c>
      <c r="E1594" s="101">
        <v>3</v>
      </c>
      <c r="F1594" s="4">
        <v>7</v>
      </c>
      <c r="G1594" s="4">
        <v>7</v>
      </c>
      <c r="H1594" s="4">
        <v>1</v>
      </c>
      <c r="I1594" s="4">
        <v>4</v>
      </c>
      <c r="J1594" s="4">
        <v>3</v>
      </c>
      <c r="K1594" s="102">
        <v>7</v>
      </c>
      <c r="M1594" s="101">
        <f t="shared" si="401"/>
        <v>23</v>
      </c>
      <c r="N1594" s="4">
        <f t="shared" si="402"/>
        <v>29</v>
      </c>
      <c r="O1594" s="4">
        <f t="shared" si="403"/>
        <v>29</v>
      </c>
      <c r="P1594" s="4">
        <f t="shared" si="404"/>
        <v>34</v>
      </c>
      <c r="Q1594" s="4">
        <f t="shared" si="405"/>
        <v>12</v>
      </c>
      <c r="R1594" s="4">
        <f t="shared" si="406"/>
        <v>23</v>
      </c>
      <c r="S1594" s="102">
        <f t="shared" si="407"/>
        <v>29</v>
      </c>
      <c r="U1594" s="101">
        <f t="shared" si="408"/>
        <v>39</v>
      </c>
      <c r="V1594" s="4">
        <f t="shared" si="409"/>
        <v>41</v>
      </c>
      <c r="W1594" s="4">
        <f t="shared" si="410"/>
        <v>41</v>
      </c>
      <c r="X1594" s="4">
        <f t="shared" si="411"/>
        <v>46</v>
      </c>
      <c r="Y1594" s="4">
        <f t="shared" si="412"/>
        <v>9</v>
      </c>
      <c r="Z1594" s="4">
        <f t="shared" si="413"/>
        <v>39</v>
      </c>
      <c r="AA1594" s="102">
        <f t="shared" si="414"/>
        <v>41</v>
      </c>
      <c r="AC1594" s="100">
        <f t="shared" si="415"/>
        <v>0.92090539514110792</v>
      </c>
    </row>
    <row r="1595" spans="4:29" x14ac:dyDescent="0.35">
      <c r="D1595">
        <f t="shared" si="416"/>
        <v>1591</v>
      </c>
      <c r="E1595" s="101">
        <v>4</v>
      </c>
      <c r="F1595" s="4">
        <v>4</v>
      </c>
      <c r="G1595" s="4">
        <v>2</v>
      </c>
      <c r="H1595" s="4">
        <v>5</v>
      </c>
      <c r="I1595" s="4">
        <v>2</v>
      </c>
      <c r="J1595" s="4">
        <v>4</v>
      </c>
      <c r="K1595" s="102">
        <v>7</v>
      </c>
      <c r="M1595" s="101">
        <f t="shared" si="401"/>
        <v>12</v>
      </c>
      <c r="N1595" s="4">
        <f t="shared" si="402"/>
        <v>12</v>
      </c>
      <c r="O1595" s="4">
        <f t="shared" si="403"/>
        <v>56</v>
      </c>
      <c r="P1595" s="4">
        <f t="shared" si="404"/>
        <v>30</v>
      </c>
      <c r="Q1595" s="4">
        <f t="shared" si="405"/>
        <v>56</v>
      </c>
      <c r="R1595" s="4">
        <f t="shared" si="406"/>
        <v>12</v>
      </c>
      <c r="S1595" s="102">
        <f t="shared" si="407"/>
        <v>29</v>
      </c>
      <c r="U1595" s="101">
        <f t="shared" si="408"/>
        <v>9</v>
      </c>
      <c r="V1595" s="4">
        <f t="shared" si="409"/>
        <v>9</v>
      </c>
      <c r="W1595" s="4">
        <f t="shared" si="410"/>
        <v>78</v>
      </c>
      <c r="X1595" s="4">
        <f t="shared" si="411"/>
        <v>39</v>
      </c>
      <c r="Y1595" s="4">
        <f t="shared" si="412"/>
        <v>78</v>
      </c>
      <c r="Z1595" s="4">
        <f t="shared" si="413"/>
        <v>9</v>
      </c>
      <c r="AA1595" s="102">
        <f t="shared" si="414"/>
        <v>41</v>
      </c>
      <c r="AC1595" s="100">
        <f t="shared" si="415"/>
        <v>0.99786603158483611</v>
      </c>
    </row>
    <row r="1596" spans="4:29" x14ac:dyDescent="0.35">
      <c r="D1596">
        <f t="shared" si="416"/>
        <v>1592</v>
      </c>
      <c r="E1596" s="101">
        <v>3</v>
      </c>
      <c r="F1596" s="4">
        <v>1</v>
      </c>
      <c r="G1596" s="4">
        <v>6</v>
      </c>
      <c r="H1596" s="4">
        <v>3</v>
      </c>
      <c r="I1596" s="4">
        <v>1</v>
      </c>
      <c r="J1596" s="4">
        <v>4</v>
      </c>
      <c r="K1596" s="102">
        <v>6</v>
      </c>
      <c r="M1596" s="101">
        <f t="shared" si="401"/>
        <v>23</v>
      </c>
      <c r="N1596" s="4">
        <f t="shared" si="402"/>
        <v>34</v>
      </c>
      <c r="O1596" s="4">
        <f t="shared" si="403"/>
        <v>45</v>
      </c>
      <c r="P1596" s="4">
        <f t="shared" si="404"/>
        <v>23</v>
      </c>
      <c r="Q1596" s="4">
        <f t="shared" si="405"/>
        <v>34</v>
      </c>
      <c r="R1596" s="4">
        <f t="shared" si="406"/>
        <v>12</v>
      </c>
      <c r="S1596" s="102">
        <f t="shared" si="407"/>
        <v>45</v>
      </c>
      <c r="U1596" s="101">
        <f t="shared" si="408"/>
        <v>39</v>
      </c>
      <c r="V1596" s="4">
        <f t="shared" si="409"/>
        <v>46</v>
      </c>
      <c r="W1596" s="4">
        <f t="shared" si="410"/>
        <v>71</v>
      </c>
      <c r="X1596" s="4">
        <f t="shared" si="411"/>
        <v>39</v>
      </c>
      <c r="Y1596" s="4">
        <f t="shared" si="412"/>
        <v>46</v>
      </c>
      <c r="Z1596" s="4">
        <f t="shared" si="413"/>
        <v>9</v>
      </c>
      <c r="AA1596" s="102">
        <f t="shared" si="414"/>
        <v>71</v>
      </c>
      <c r="AC1596" s="100">
        <f t="shared" si="415"/>
        <v>0.96937751196550548</v>
      </c>
    </row>
    <row r="1597" spans="4:29" x14ac:dyDescent="0.35">
      <c r="D1597">
        <f t="shared" si="416"/>
        <v>1593</v>
      </c>
      <c r="E1597" s="101">
        <v>1</v>
      </c>
      <c r="F1597" s="4">
        <v>1</v>
      </c>
      <c r="G1597" s="4">
        <v>1</v>
      </c>
      <c r="H1597" s="4">
        <v>6</v>
      </c>
      <c r="I1597" s="4">
        <v>1</v>
      </c>
      <c r="J1597" s="4">
        <v>1</v>
      </c>
      <c r="K1597" s="102">
        <v>2</v>
      </c>
      <c r="M1597" s="101">
        <f t="shared" si="401"/>
        <v>34</v>
      </c>
      <c r="N1597" s="4">
        <f t="shared" si="402"/>
        <v>34</v>
      </c>
      <c r="O1597" s="4">
        <f t="shared" si="403"/>
        <v>34</v>
      </c>
      <c r="P1597" s="4">
        <f t="shared" si="404"/>
        <v>45</v>
      </c>
      <c r="Q1597" s="4">
        <f t="shared" si="405"/>
        <v>34</v>
      </c>
      <c r="R1597" s="4">
        <f t="shared" si="406"/>
        <v>34</v>
      </c>
      <c r="S1597" s="102">
        <f t="shared" si="407"/>
        <v>56</v>
      </c>
      <c r="U1597" s="101">
        <f t="shared" si="408"/>
        <v>46</v>
      </c>
      <c r="V1597" s="4">
        <f t="shared" si="409"/>
        <v>46</v>
      </c>
      <c r="W1597" s="4">
        <f t="shared" si="410"/>
        <v>46</v>
      </c>
      <c r="X1597" s="4">
        <f t="shared" si="411"/>
        <v>71</v>
      </c>
      <c r="Y1597" s="4">
        <f t="shared" si="412"/>
        <v>46</v>
      </c>
      <c r="Z1597" s="4">
        <f t="shared" si="413"/>
        <v>46</v>
      </c>
      <c r="AA1597" s="102">
        <f t="shared" si="414"/>
        <v>78</v>
      </c>
      <c r="AC1597" s="100">
        <f t="shared" si="415"/>
        <v>0.97335159596940823</v>
      </c>
    </row>
    <row r="1598" spans="4:29" x14ac:dyDescent="0.35">
      <c r="D1598">
        <f t="shared" si="416"/>
        <v>1594</v>
      </c>
      <c r="E1598" s="101">
        <v>1</v>
      </c>
      <c r="F1598" s="4">
        <v>6</v>
      </c>
      <c r="G1598" s="4">
        <v>1</v>
      </c>
      <c r="H1598" s="4">
        <v>3</v>
      </c>
      <c r="I1598" s="4">
        <v>4</v>
      </c>
      <c r="J1598" s="4">
        <v>2</v>
      </c>
      <c r="K1598" s="102">
        <v>1</v>
      </c>
      <c r="M1598" s="101">
        <f t="shared" si="401"/>
        <v>34</v>
      </c>
      <c r="N1598" s="4">
        <f t="shared" si="402"/>
        <v>45</v>
      </c>
      <c r="O1598" s="4">
        <f t="shared" si="403"/>
        <v>34</v>
      </c>
      <c r="P1598" s="4">
        <f t="shared" si="404"/>
        <v>23</v>
      </c>
      <c r="Q1598" s="4">
        <f t="shared" si="405"/>
        <v>12</v>
      </c>
      <c r="R1598" s="4">
        <f t="shared" si="406"/>
        <v>56</v>
      </c>
      <c r="S1598" s="102">
        <f t="shared" si="407"/>
        <v>34</v>
      </c>
      <c r="U1598" s="101">
        <f t="shared" si="408"/>
        <v>46</v>
      </c>
      <c r="V1598" s="4">
        <f t="shared" si="409"/>
        <v>71</v>
      </c>
      <c r="W1598" s="4">
        <f t="shared" si="410"/>
        <v>46</v>
      </c>
      <c r="X1598" s="4">
        <f t="shared" si="411"/>
        <v>39</v>
      </c>
      <c r="Y1598" s="4">
        <f t="shared" si="412"/>
        <v>9</v>
      </c>
      <c r="Z1598" s="4">
        <f t="shared" si="413"/>
        <v>78</v>
      </c>
      <c r="AA1598" s="102">
        <f t="shared" si="414"/>
        <v>46</v>
      </c>
      <c r="AC1598" s="100">
        <f t="shared" si="415"/>
        <v>0.97455900704675791</v>
      </c>
    </row>
    <row r="1599" spans="4:29" x14ac:dyDescent="0.35">
      <c r="D1599">
        <f t="shared" si="416"/>
        <v>1595</v>
      </c>
      <c r="E1599" s="101">
        <v>4</v>
      </c>
      <c r="F1599" s="4">
        <v>3</v>
      </c>
      <c r="G1599" s="4">
        <v>6</v>
      </c>
      <c r="H1599" s="4">
        <v>5</v>
      </c>
      <c r="I1599" s="4">
        <v>1</v>
      </c>
      <c r="J1599" s="4">
        <v>1</v>
      </c>
      <c r="K1599" s="102">
        <v>1</v>
      </c>
      <c r="M1599" s="101">
        <f t="shared" si="401"/>
        <v>12</v>
      </c>
      <c r="N1599" s="4">
        <f t="shared" si="402"/>
        <v>23</v>
      </c>
      <c r="O1599" s="4">
        <f t="shared" si="403"/>
        <v>45</v>
      </c>
      <c r="P1599" s="4">
        <f t="shared" si="404"/>
        <v>30</v>
      </c>
      <c r="Q1599" s="4">
        <f t="shared" si="405"/>
        <v>34</v>
      </c>
      <c r="R1599" s="4">
        <f t="shared" si="406"/>
        <v>34</v>
      </c>
      <c r="S1599" s="102">
        <f t="shared" si="407"/>
        <v>34</v>
      </c>
      <c r="U1599" s="101">
        <f t="shared" si="408"/>
        <v>9</v>
      </c>
      <c r="V1599" s="4">
        <f t="shared" si="409"/>
        <v>39</v>
      </c>
      <c r="W1599" s="4">
        <f t="shared" si="410"/>
        <v>71</v>
      </c>
      <c r="X1599" s="4">
        <f t="shared" si="411"/>
        <v>39</v>
      </c>
      <c r="Y1599" s="4">
        <f t="shared" si="412"/>
        <v>46</v>
      </c>
      <c r="Z1599" s="4">
        <f t="shared" si="413"/>
        <v>46</v>
      </c>
      <c r="AA1599" s="102">
        <f t="shared" si="414"/>
        <v>46</v>
      </c>
      <c r="AC1599" s="100">
        <f t="shared" si="415"/>
        <v>0.96701692736810829</v>
      </c>
    </row>
    <row r="1600" spans="4:29" x14ac:dyDescent="0.35">
      <c r="D1600">
        <f t="shared" si="416"/>
        <v>1596</v>
      </c>
      <c r="E1600" s="101">
        <v>7</v>
      </c>
      <c r="F1600" s="4">
        <v>7</v>
      </c>
      <c r="G1600" s="4">
        <v>5</v>
      </c>
      <c r="H1600" s="4">
        <v>7</v>
      </c>
      <c r="I1600" s="4">
        <v>6</v>
      </c>
      <c r="J1600" s="4">
        <v>7</v>
      </c>
      <c r="K1600" s="102">
        <v>5</v>
      </c>
      <c r="M1600" s="101">
        <f t="shared" si="401"/>
        <v>29</v>
      </c>
      <c r="N1600" s="4">
        <f t="shared" si="402"/>
        <v>29</v>
      </c>
      <c r="O1600" s="4">
        <f t="shared" si="403"/>
        <v>30</v>
      </c>
      <c r="P1600" s="4">
        <f t="shared" si="404"/>
        <v>29</v>
      </c>
      <c r="Q1600" s="4">
        <f t="shared" si="405"/>
        <v>45</v>
      </c>
      <c r="R1600" s="4">
        <f t="shared" si="406"/>
        <v>29</v>
      </c>
      <c r="S1600" s="102">
        <f t="shared" si="407"/>
        <v>30</v>
      </c>
      <c r="U1600" s="101">
        <f t="shared" si="408"/>
        <v>41</v>
      </c>
      <c r="V1600" s="4">
        <f t="shared" si="409"/>
        <v>41</v>
      </c>
      <c r="W1600" s="4">
        <f t="shared" si="410"/>
        <v>39</v>
      </c>
      <c r="X1600" s="4">
        <f t="shared" si="411"/>
        <v>41</v>
      </c>
      <c r="Y1600" s="4">
        <f t="shared" si="412"/>
        <v>71</v>
      </c>
      <c r="Z1600" s="4">
        <f t="shared" si="413"/>
        <v>41</v>
      </c>
      <c r="AA1600" s="102">
        <f t="shared" si="414"/>
        <v>39</v>
      </c>
      <c r="AC1600" s="100">
        <f t="shared" si="415"/>
        <v>0.98713089360724371</v>
      </c>
    </row>
    <row r="1601" spans="4:29" x14ac:dyDescent="0.35">
      <c r="D1601">
        <f t="shared" si="416"/>
        <v>1597</v>
      </c>
      <c r="E1601" s="101">
        <v>4</v>
      </c>
      <c r="F1601" s="4">
        <v>6</v>
      </c>
      <c r="G1601" s="4">
        <v>5</v>
      </c>
      <c r="H1601" s="4">
        <v>1</v>
      </c>
      <c r="I1601" s="4">
        <v>1</v>
      </c>
      <c r="J1601" s="4">
        <v>6</v>
      </c>
      <c r="K1601" s="102">
        <v>2</v>
      </c>
      <c r="M1601" s="101">
        <f t="shared" si="401"/>
        <v>12</v>
      </c>
      <c r="N1601" s="4">
        <f t="shared" si="402"/>
        <v>45</v>
      </c>
      <c r="O1601" s="4">
        <f t="shared" si="403"/>
        <v>30</v>
      </c>
      <c r="P1601" s="4">
        <f t="shared" si="404"/>
        <v>34</v>
      </c>
      <c r="Q1601" s="4">
        <f t="shared" si="405"/>
        <v>34</v>
      </c>
      <c r="R1601" s="4">
        <f t="shared" si="406"/>
        <v>45</v>
      </c>
      <c r="S1601" s="102">
        <f t="shared" si="407"/>
        <v>56</v>
      </c>
      <c r="U1601" s="101">
        <f t="shared" si="408"/>
        <v>9</v>
      </c>
      <c r="V1601" s="4">
        <f t="shared" si="409"/>
        <v>71</v>
      </c>
      <c r="W1601" s="4">
        <f t="shared" si="410"/>
        <v>39</v>
      </c>
      <c r="X1601" s="4">
        <f t="shared" si="411"/>
        <v>46</v>
      </c>
      <c r="Y1601" s="4">
        <f t="shared" si="412"/>
        <v>46</v>
      </c>
      <c r="Z1601" s="4">
        <f t="shared" si="413"/>
        <v>71</v>
      </c>
      <c r="AA1601" s="102">
        <f t="shared" si="414"/>
        <v>78</v>
      </c>
      <c r="AC1601" s="100">
        <f t="shared" si="415"/>
        <v>0.98542430833609518</v>
      </c>
    </row>
    <row r="1602" spans="4:29" x14ac:dyDescent="0.35">
      <c r="D1602">
        <f t="shared" si="416"/>
        <v>1598</v>
      </c>
      <c r="E1602" s="101">
        <v>2</v>
      </c>
      <c r="F1602" s="4">
        <v>1</v>
      </c>
      <c r="G1602" s="4">
        <v>3</v>
      </c>
      <c r="H1602" s="4">
        <v>5</v>
      </c>
      <c r="I1602" s="4">
        <v>5</v>
      </c>
      <c r="J1602" s="4">
        <v>7</v>
      </c>
      <c r="K1602" s="102">
        <v>7</v>
      </c>
      <c r="M1602" s="101">
        <f t="shared" si="401"/>
        <v>56</v>
      </c>
      <c r="N1602" s="4">
        <f t="shared" si="402"/>
        <v>34</v>
      </c>
      <c r="O1602" s="4">
        <f t="shared" si="403"/>
        <v>23</v>
      </c>
      <c r="P1602" s="4">
        <f t="shared" si="404"/>
        <v>30</v>
      </c>
      <c r="Q1602" s="4">
        <f t="shared" si="405"/>
        <v>30</v>
      </c>
      <c r="R1602" s="4">
        <f t="shared" si="406"/>
        <v>29</v>
      </c>
      <c r="S1602" s="102">
        <f t="shared" si="407"/>
        <v>29</v>
      </c>
      <c r="U1602" s="101">
        <f t="shared" si="408"/>
        <v>78</v>
      </c>
      <c r="V1602" s="4">
        <f t="shared" si="409"/>
        <v>46</v>
      </c>
      <c r="W1602" s="4">
        <f t="shared" si="410"/>
        <v>39</v>
      </c>
      <c r="X1602" s="4">
        <f t="shared" si="411"/>
        <v>39</v>
      </c>
      <c r="Y1602" s="4">
        <f t="shared" si="412"/>
        <v>39</v>
      </c>
      <c r="Z1602" s="4">
        <f t="shared" si="413"/>
        <v>41</v>
      </c>
      <c r="AA1602" s="102">
        <f t="shared" si="414"/>
        <v>41</v>
      </c>
      <c r="AC1602" s="100">
        <f t="shared" si="415"/>
        <v>0.97459927772956456</v>
      </c>
    </row>
    <row r="1603" spans="4:29" x14ac:dyDescent="0.35">
      <c r="D1603">
        <f t="shared" si="416"/>
        <v>1599</v>
      </c>
      <c r="E1603" s="101">
        <v>6</v>
      </c>
      <c r="F1603" s="4">
        <v>2</v>
      </c>
      <c r="G1603" s="4">
        <v>5</v>
      </c>
      <c r="H1603" s="4">
        <v>2</v>
      </c>
      <c r="I1603" s="4">
        <v>3</v>
      </c>
      <c r="J1603" s="4">
        <v>1</v>
      </c>
      <c r="K1603" s="102">
        <v>3</v>
      </c>
      <c r="M1603" s="101">
        <f t="shared" si="401"/>
        <v>45</v>
      </c>
      <c r="N1603" s="4">
        <f t="shared" si="402"/>
        <v>56</v>
      </c>
      <c r="O1603" s="4">
        <f t="shared" si="403"/>
        <v>30</v>
      </c>
      <c r="P1603" s="4">
        <f t="shared" si="404"/>
        <v>56</v>
      </c>
      <c r="Q1603" s="4">
        <f t="shared" si="405"/>
        <v>23</v>
      </c>
      <c r="R1603" s="4">
        <f t="shared" si="406"/>
        <v>34</v>
      </c>
      <c r="S1603" s="102">
        <f t="shared" si="407"/>
        <v>23</v>
      </c>
      <c r="U1603" s="101">
        <f t="shared" si="408"/>
        <v>71</v>
      </c>
      <c r="V1603" s="4">
        <f t="shared" si="409"/>
        <v>78</v>
      </c>
      <c r="W1603" s="4">
        <f t="shared" si="410"/>
        <v>39</v>
      </c>
      <c r="X1603" s="4">
        <f t="shared" si="411"/>
        <v>78</v>
      </c>
      <c r="Y1603" s="4">
        <f t="shared" si="412"/>
        <v>39</v>
      </c>
      <c r="Z1603" s="4">
        <f t="shared" si="413"/>
        <v>46</v>
      </c>
      <c r="AA1603" s="102">
        <f t="shared" si="414"/>
        <v>39</v>
      </c>
      <c r="AC1603" s="100">
        <f t="shared" si="415"/>
        <v>0.97273126225198758</v>
      </c>
    </row>
    <row r="1604" spans="4:29" x14ac:dyDescent="0.35">
      <c r="D1604">
        <f t="shared" si="416"/>
        <v>1600</v>
      </c>
      <c r="E1604" s="101">
        <v>5</v>
      </c>
      <c r="F1604" s="4">
        <v>6</v>
      </c>
      <c r="G1604" s="4">
        <v>3</v>
      </c>
      <c r="H1604" s="4">
        <v>7</v>
      </c>
      <c r="I1604" s="4">
        <v>3</v>
      </c>
      <c r="J1604" s="4">
        <v>7</v>
      </c>
      <c r="K1604" s="102">
        <v>5</v>
      </c>
      <c r="M1604" s="101">
        <f t="shared" si="401"/>
        <v>30</v>
      </c>
      <c r="N1604" s="4">
        <f t="shared" si="402"/>
        <v>45</v>
      </c>
      <c r="O1604" s="4">
        <f t="shared" si="403"/>
        <v>23</v>
      </c>
      <c r="P1604" s="4">
        <f t="shared" si="404"/>
        <v>29</v>
      </c>
      <c r="Q1604" s="4">
        <f t="shared" si="405"/>
        <v>23</v>
      </c>
      <c r="R1604" s="4">
        <f t="shared" si="406"/>
        <v>29</v>
      </c>
      <c r="S1604" s="102">
        <f t="shared" si="407"/>
        <v>30</v>
      </c>
      <c r="U1604" s="101">
        <f t="shared" si="408"/>
        <v>39</v>
      </c>
      <c r="V1604" s="4">
        <f t="shared" si="409"/>
        <v>71</v>
      </c>
      <c r="W1604" s="4">
        <f t="shared" si="410"/>
        <v>39</v>
      </c>
      <c r="X1604" s="4">
        <f t="shared" si="411"/>
        <v>41</v>
      </c>
      <c r="Y1604" s="4">
        <f t="shared" si="412"/>
        <v>39</v>
      </c>
      <c r="Z1604" s="4">
        <f t="shared" si="413"/>
        <v>41</v>
      </c>
      <c r="AA1604" s="102">
        <f t="shared" si="414"/>
        <v>39</v>
      </c>
      <c r="AC1604" s="100">
        <f t="shared" si="415"/>
        <v>0.91732399796940423</v>
      </c>
    </row>
    <row r="1605" spans="4:29" x14ac:dyDescent="0.35">
      <c r="D1605">
        <f t="shared" si="416"/>
        <v>1601</v>
      </c>
      <c r="E1605" s="101">
        <v>6</v>
      </c>
      <c r="F1605" s="4">
        <v>3</v>
      </c>
      <c r="G1605" s="4">
        <v>3</v>
      </c>
      <c r="H1605" s="4">
        <v>6</v>
      </c>
      <c r="I1605" s="4">
        <v>2</v>
      </c>
      <c r="J1605" s="4">
        <v>4</v>
      </c>
      <c r="K1605" s="102">
        <v>7</v>
      </c>
      <c r="M1605" s="101">
        <f t="shared" si="401"/>
        <v>45</v>
      </c>
      <c r="N1605" s="4">
        <f t="shared" si="402"/>
        <v>23</v>
      </c>
      <c r="O1605" s="4">
        <f t="shared" si="403"/>
        <v>23</v>
      </c>
      <c r="P1605" s="4">
        <f t="shared" si="404"/>
        <v>45</v>
      </c>
      <c r="Q1605" s="4">
        <f t="shared" si="405"/>
        <v>56</v>
      </c>
      <c r="R1605" s="4">
        <f t="shared" si="406"/>
        <v>12</v>
      </c>
      <c r="S1605" s="102">
        <f t="shared" si="407"/>
        <v>29</v>
      </c>
      <c r="U1605" s="101">
        <f t="shared" si="408"/>
        <v>71</v>
      </c>
      <c r="V1605" s="4">
        <f t="shared" si="409"/>
        <v>39</v>
      </c>
      <c r="W1605" s="4">
        <f t="shared" si="410"/>
        <v>39</v>
      </c>
      <c r="X1605" s="4">
        <f t="shared" si="411"/>
        <v>71</v>
      </c>
      <c r="Y1605" s="4">
        <f t="shared" si="412"/>
        <v>78</v>
      </c>
      <c r="Z1605" s="4">
        <f t="shared" si="413"/>
        <v>9</v>
      </c>
      <c r="AA1605" s="102">
        <f t="shared" si="414"/>
        <v>41</v>
      </c>
      <c r="AC1605" s="100">
        <f t="shared" si="415"/>
        <v>0.97434777213046175</v>
      </c>
    </row>
    <row r="1606" spans="4:29" x14ac:dyDescent="0.35">
      <c r="D1606">
        <f t="shared" si="416"/>
        <v>1602</v>
      </c>
      <c r="E1606" s="101">
        <v>3</v>
      </c>
      <c r="F1606" s="4">
        <v>7</v>
      </c>
      <c r="G1606" s="4">
        <v>4</v>
      </c>
      <c r="H1606" s="4">
        <v>7</v>
      </c>
      <c r="I1606" s="4">
        <v>5</v>
      </c>
      <c r="J1606" s="4">
        <v>6</v>
      </c>
      <c r="K1606" s="102">
        <v>6</v>
      </c>
      <c r="M1606" s="101">
        <f t="shared" ref="M1606:M1669" si="417">INDEX($A$5:$A$11,E1606)</f>
        <v>23</v>
      </c>
      <c r="N1606" s="4">
        <f t="shared" ref="N1606:N1669" si="418">INDEX($A$5:$A$11,F1606)</f>
        <v>29</v>
      </c>
      <c r="O1606" s="4">
        <f t="shared" ref="O1606:O1669" si="419">INDEX($A$5:$A$11,G1606)</f>
        <v>12</v>
      </c>
      <c r="P1606" s="4">
        <f t="shared" ref="P1606:P1669" si="420">INDEX($A$5:$A$11,H1606)</f>
        <v>29</v>
      </c>
      <c r="Q1606" s="4">
        <f t="shared" ref="Q1606:Q1669" si="421">INDEX($A$5:$A$11,I1606)</f>
        <v>30</v>
      </c>
      <c r="R1606" s="4">
        <f t="shared" ref="R1606:R1669" si="422">INDEX($A$5:$A$11,J1606)</f>
        <v>45</v>
      </c>
      <c r="S1606" s="102">
        <f t="shared" ref="S1606:S1669" si="423">INDEX($A$5:$A$11,K1606)</f>
        <v>45</v>
      </c>
      <c r="U1606" s="101">
        <f t="shared" ref="U1606:U1669" si="424">INDEX($B$5:$B$11,E1606)</f>
        <v>39</v>
      </c>
      <c r="V1606" s="4">
        <f t="shared" ref="V1606:V1669" si="425">INDEX($B$5:$B$11,F1606)</f>
        <v>41</v>
      </c>
      <c r="W1606" s="4">
        <f t="shared" ref="W1606:W1669" si="426">INDEX($B$5:$B$11,G1606)</f>
        <v>9</v>
      </c>
      <c r="X1606" s="4">
        <f t="shared" ref="X1606:X1669" si="427">INDEX($B$5:$B$11,H1606)</f>
        <v>41</v>
      </c>
      <c r="Y1606" s="4">
        <f t="shared" ref="Y1606:Y1669" si="428">INDEX($B$5:$B$11,I1606)</f>
        <v>39</v>
      </c>
      <c r="Z1606" s="4">
        <f t="shared" ref="Z1606:Z1669" si="429">INDEX($B$5:$B$11,J1606)</f>
        <v>71</v>
      </c>
      <c r="AA1606" s="102">
        <f t="shared" ref="AA1606:AA1669" si="430">INDEX($B$5:$B$11,K1606)</f>
        <v>71</v>
      </c>
      <c r="AC1606" s="100">
        <f t="shared" ref="AC1606:AC1669" si="431">CORREL(M1606:S1606,U1606:AA1606)</f>
        <v>0.9832088581879187</v>
      </c>
    </row>
    <row r="1607" spans="4:29" x14ac:dyDescent="0.35">
      <c r="D1607">
        <f t="shared" ref="D1607:D1670" si="432">D1606+1</f>
        <v>1603</v>
      </c>
      <c r="E1607" s="101">
        <v>1</v>
      </c>
      <c r="F1607" s="4">
        <v>7</v>
      </c>
      <c r="G1607" s="4">
        <v>1</v>
      </c>
      <c r="H1607" s="4">
        <v>4</v>
      </c>
      <c r="I1607" s="4">
        <v>6</v>
      </c>
      <c r="J1607" s="4">
        <v>4</v>
      </c>
      <c r="K1607" s="102">
        <v>1</v>
      </c>
      <c r="M1607" s="101">
        <f t="shared" si="417"/>
        <v>34</v>
      </c>
      <c r="N1607" s="4">
        <f t="shared" si="418"/>
        <v>29</v>
      </c>
      <c r="O1607" s="4">
        <f t="shared" si="419"/>
        <v>34</v>
      </c>
      <c r="P1607" s="4">
        <f t="shared" si="420"/>
        <v>12</v>
      </c>
      <c r="Q1607" s="4">
        <f t="shared" si="421"/>
        <v>45</v>
      </c>
      <c r="R1607" s="4">
        <f t="shared" si="422"/>
        <v>12</v>
      </c>
      <c r="S1607" s="102">
        <f t="shared" si="423"/>
        <v>34</v>
      </c>
      <c r="U1607" s="101">
        <f t="shared" si="424"/>
        <v>46</v>
      </c>
      <c r="V1607" s="4">
        <f t="shared" si="425"/>
        <v>41</v>
      </c>
      <c r="W1607" s="4">
        <f t="shared" si="426"/>
        <v>46</v>
      </c>
      <c r="X1607" s="4">
        <f t="shared" si="427"/>
        <v>9</v>
      </c>
      <c r="Y1607" s="4">
        <f t="shared" si="428"/>
        <v>71</v>
      </c>
      <c r="Z1607" s="4">
        <f t="shared" si="429"/>
        <v>9</v>
      </c>
      <c r="AA1607" s="102">
        <f t="shared" si="430"/>
        <v>46</v>
      </c>
      <c r="AC1607" s="100">
        <f t="shared" si="431"/>
        <v>0.99545716394784112</v>
      </c>
    </row>
    <row r="1608" spans="4:29" x14ac:dyDescent="0.35">
      <c r="D1608">
        <f t="shared" si="432"/>
        <v>1604</v>
      </c>
      <c r="E1608" s="101">
        <v>6</v>
      </c>
      <c r="F1608" s="4">
        <v>2</v>
      </c>
      <c r="G1608" s="4">
        <v>7</v>
      </c>
      <c r="H1608" s="4">
        <v>7</v>
      </c>
      <c r="I1608" s="4">
        <v>3</v>
      </c>
      <c r="J1608" s="4">
        <v>4</v>
      </c>
      <c r="K1608" s="102">
        <v>4</v>
      </c>
      <c r="M1608" s="101">
        <f t="shared" si="417"/>
        <v>45</v>
      </c>
      <c r="N1608" s="4">
        <f t="shared" si="418"/>
        <v>56</v>
      </c>
      <c r="O1608" s="4">
        <f t="shared" si="419"/>
        <v>29</v>
      </c>
      <c r="P1608" s="4">
        <f t="shared" si="420"/>
        <v>29</v>
      </c>
      <c r="Q1608" s="4">
        <f t="shared" si="421"/>
        <v>23</v>
      </c>
      <c r="R1608" s="4">
        <f t="shared" si="422"/>
        <v>12</v>
      </c>
      <c r="S1608" s="102">
        <f t="shared" si="423"/>
        <v>12</v>
      </c>
      <c r="U1608" s="101">
        <f t="shared" si="424"/>
        <v>71</v>
      </c>
      <c r="V1608" s="4">
        <f t="shared" si="425"/>
        <v>78</v>
      </c>
      <c r="W1608" s="4">
        <f t="shared" si="426"/>
        <v>41</v>
      </c>
      <c r="X1608" s="4">
        <f t="shared" si="427"/>
        <v>41</v>
      </c>
      <c r="Y1608" s="4">
        <f t="shared" si="428"/>
        <v>39</v>
      </c>
      <c r="Z1608" s="4">
        <f t="shared" si="429"/>
        <v>9</v>
      </c>
      <c r="AA1608" s="102">
        <f t="shared" si="430"/>
        <v>9</v>
      </c>
      <c r="AC1608" s="100">
        <f t="shared" si="431"/>
        <v>0.98139683518169407</v>
      </c>
    </row>
    <row r="1609" spans="4:29" x14ac:dyDescent="0.35">
      <c r="D1609">
        <f t="shared" si="432"/>
        <v>1605</v>
      </c>
      <c r="E1609" s="101">
        <v>6</v>
      </c>
      <c r="F1609" s="4">
        <v>7</v>
      </c>
      <c r="G1609" s="4">
        <v>7</v>
      </c>
      <c r="H1609" s="4">
        <v>7</v>
      </c>
      <c r="I1609" s="4">
        <v>1</v>
      </c>
      <c r="J1609" s="4">
        <v>2</v>
      </c>
      <c r="K1609" s="102">
        <v>5</v>
      </c>
      <c r="M1609" s="101">
        <f t="shared" si="417"/>
        <v>45</v>
      </c>
      <c r="N1609" s="4">
        <f t="shared" si="418"/>
        <v>29</v>
      </c>
      <c r="O1609" s="4">
        <f t="shared" si="419"/>
        <v>29</v>
      </c>
      <c r="P1609" s="4">
        <f t="shared" si="420"/>
        <v>29</v>
      </c>
      <c r="Q1609" s="4">
        <f t="shared" si="421"/>
        <v>34</v>
      </c>
      <c r="R1609" s="4">
        <f t="shared" si="422"/>
        <v>56</v>
      </c>
      <c r="S1609" s="102">
        <f t="shared" si="423"/>
        <v>30</v>
      </c>
      <c r="U1609" s="101">
        <f t="shared" si="424"/>
        <v>71</v>
      </c>
      <c r="V1609" s="4">
        <f t="shared" si="425"/>
        <v>41</v>
      </c>
      <c r="W1609" s="4">
        <f t="shared" si="426"/>
        <v>41</v>
      </c>
      <c r="X1609" s="4">
        <f t="shared" si="427"/>
        <v>41</v>
      </c>
      <c r="Y1609" s="4">
        <f t="shared" si="428"/>
        <v>46</v>
      </c>
      <c r="Z1609" s="4">
        <f t="shared" si="429"/>
        <v>78</v>
      </c>
      <c r="AA1609" s="102">
        <f t="shared" si="430"/>
        <v>39</v>
      </c>
      <c r="AC1609" s="100">
        <f t="shared" si="431"/>
        <v>0.97949876731326824</v>
      </c>
    </row>
    <row r="1610" spans="4:29" x14ac:dyDescent="0.35">
      <c r="D1610">
        <f t="shared" si="432"/>
        <v>1606</v>
      </c>
      <c r="E1610" s="101">
        <v>6</v>
      </c>
      <c r="F1610" s="4">
        <v>1</v>
      </c>
      <c r="G1610" s="4">
        <v>3</v>
      </c>
      <c r="H1610" s="4">
        <v>1</v>
      </c>
      <c r="I1610" s="4">
        <v>1</v>
      </c>
      <c r="J1610" s="4">
        <v>5</v>
      </c>
      <c r="K1610" s="102">
        <v>4</v>
      </c>
      <c r="M1610" s="101">
        <f t="shared" si="417"/>
        <v>45</v>
      </c>
      <c r="N1610" s="4">
        <f t="shared" si="418"/>
        <v>34</v>
      </c>
      <c r="O1610" s="4">
        <f t="shared" si="419"/>
        <v>23</v>
      </c>
      <c r="P1610" s="4">
        <f t="shared" si="420"/>
        <v>34</v>
      </c>
      <c r="Q1610" s="4">
        <f t="shared" si="421"/>
        <v>34</v>
      </c>
      <c r="R1610" s="4">
        <f t="shared" si="422"/>
        <v>30</v>
      </c>
      <c r="S1610" s="102">
        <f t="shared" si="423"/>
        <v>12</v>
      </c>
      <c r="U1610" s="101">
        <f t="shared" si="424"/>
        <v>71</v>
      </c>
      <c r="V1610" s="4">
        <f t="shared" si="425"/>
        <v>46</v>
      </c>
      <c r="W1610" s="4">
        <f t="shared" si="426"/>
        <v>39</v>
      </c>
      <c r="X1610" s="4">
        <f t="shared" si="427"/>
        <v>46</v>
      </c>
      <c r="Y1610" s="4">
        <f t="shared" si="428"/>
        <v>46</v>
      </c>
      <c r="Z1610" s="4">
        <f t="shared" si="429"/>
        <v>39</v>
      </c>
      <c r="AA1610" s="102">
        <f t="shared" si="430"/>
        <v>9</v>
      </c>
      <c r="AC1610" s="100">
        <f t="shared" si="431"/>
        <v>0.96701692736810851</v>
      </c>
    </row>
    <row r="1611" spans="4:29" x14ac:dyDescent="0.35">
      <c r="D1611">
        <f t="shared" si="432"/>
        <v>1607</v>
      </c>
      <c r="E1611" s="101">
        <v>3</v>
      </c>
      <c r="F1611" s="4">
        <v>7</v>
      </c>
      <c r="G1611" s="4">
        <v>2</v>
      </c>
      <c r="H1611" s="4">
        <v>5</v>
      </c>
      <c r="I1611" s="4">
        <v>3</v>
      </c>
      <c r="J1611" s="4">
        <v>7</v>
      </c>
      <c r="K1611" s="102">
        <v>2</v>
      </c>
      <c r="M1611" s="101">
        <f t="shared" si="417"/>
        <v>23</v>
      </c>
      <c r="N1611" s="4">
        <f t="shared" si="418"/>
        <v>29</v>
      </c>
      <c r="O1611" s="4">
        <f t="shared" si="419"/>
        <v>56</v>
      </c>
      <c r="P1611" s="4">
        <f t="shared" si="420"/>
        <v>30</v>
      </c>
      <c r="Q1611" s="4">
        <f t="shared" si="421"/>
        <v>23</v>
      </c>
      <c r="R1611" s="4">
        <f t="shared" si="422"/>
        <v>29</v>
      </c>
      <c r="S1611" s="102">
        <f t="shared" si="423"/>
        <v>56</v>
      </c>
      <c r="U1611" s="101">
        <f t="shared" si="424"/>
        <v>39</v>
      </c>
      <c r="V1611" s="4">
        <f t="shared" si="425"/>
        <v>41</v>
      </c>
      <c r="W1611" s="4">
        <f t="shared" si="426"/>
        <v>78</v>
      </c>
      <c r="X1611" s="4">
        <f t="shared" si="427"/>
        <v>39</v>
      </c>
      <c r="Y1611" s="4">
        <f t="shared" si="428"/>
        <v>39</v>
      </c>
      <c r="Z1611" s="4">
        <f t="shared" si="429"/>
        <v>41</v>
      </c>
      <c r="AA1611" s="102">
        <f t="shared" si="430"/>
        <v>78</v>
      </c>
      <c r="AC1611" s="100">
        <f t="shared" si="431"/>
        <v>0.98483250396154964</v>
      </c>
    </row>
    <row r="1612" spans="4:29" x14ac:dyDescent="0.35">
      <c r="D1612">
        <f t="shared" si="432"/>
        <v>1608</v>
      </c>
      <c r="E1612" s="101">
        <v>3</v>
      </c>
      <c r="F1612" s="4">
        <v>7</v>
      </c>
      <c r="G1612" s="4">
        <v>7</v>
      </c>
      <c r="H1612" s="4">
        <v>6</v>
      </c>
      <c r="I1612" s="4">
        <v>6</v>
      </c>
      <c r="J1612" s="4">
        <v>4</v>
      </c>
      <c r="K1612" s="102">
        <v>2</v>
      </c>
      <c r="M1612" s="101">
        <f t="shared" si="417"/>
        <v>23</v>
      </c>
      <c r="N1612" s="4">
        <f t="shared" si="418"/>
        <v>29</v>
      </c>
      <c r="O1612" s="4">
        <f t="shared" si="419"/>
        <v>29</v>
      </c>
      <c r="P1612" s="4">
        <f t="shared" si="420"/>
        <v>45</v>
      </c>
      <c r="Q1612" s="4">
        <f t="shared" si="421"/>
        <v>45</v>
      </c>
      <c r="R1612" s="4">
        <f t="shared" si="422"/>
        <v>12</v>
      </c>
      <c r="S1612" s="102">
        <f t="shared" si="423"/>
        <v>56</v>
      </c>
      <c r="U1612" s="101">
        <f t="shared" si="424"/>
        <v>39</v>
      </c>
      <c r="V1612" s="4">
        <f t="shared" si="425"/>
        <v>41</v>
      </c>
      <c r="W1612" s="4">
        <f t="shared" si="426"/>
        <v>41</v>
      </c>
      <c r="X1612" s="4">
        <f t="shared" si="427"/>
        <v>71</v>
      </c>
      <c r="Y1612" s="4">
        <f t="shared" si="428"/>
        <v>71</v>
      </c>
      <c r="Z1612" s="4">
        <f t="shared" si="429"/>
        <v>9</v>
      </c>
      <c r="AA1612" s="102">
        <f t="shared" si="430"/>
        <v>78</v>
      </c>
      <c r="AC1612" s="100">
        <f t="shared" si="431"/>
        <v>0.97862135760878088</v>
      </c>
    </row>
    <row r="1613" spans="4:29" x14ac:dyDescent="0.35">
      <c r="D1613">
        <f t="shared" si="432"/>
        <v>1609</v>
      </c>
      <c r="E1613" s="101">
        <v>2</v>
      </c>
      <c r="F1613" s="4">
        <v>6</v>
      </c>
      <c r="G1613" s="4">
        <v>7</v>
      </c>
      <c r="H1613" s="4">
        <v>2</v>
      </c>
      <c r="I1613" s="4">
        <v>4</v>
      </c>
      <c r="J1613" s="4">
        <v>4</v>
      </c>
      <c r="K1613" s="102">
        <v>1</v>
      </c>
      <c r="M1613" s="101">
        <f t="shared" si="417"/>
        <v>56</v>
      </c>
      <c r="N1613" s="4">
        <f t="shared" si="418"/>
        <v>45</v>
      </c>
      <c r="O1613" s="4">
        <f t="shared" si="419"/>
        <v>29</v>
      </c>
      <c r="P1613" s="4">
        <f t="shared" si="420"/>
        <v>56</v>
      </c>
      <c r="Q1613" s="4">
        <f t="shared" si="421"/>
        <v>12</v>
      </c>
      <c r="R1613" s="4">
        <f t="shared" si="422"/>
        <v>12</v>
      </c>
      <c r="S1613" s="102">
        <f t="shared" si="423"/>
        <v>34</v>
      </c>
      <c r="U1613" s="101">
        <f t="shared" si="424"/>
        <v>78</v>
      </c>
      <c r="V1613" s="4">
        <f t="shared" si="425"/>
        <v>71</v>
      </c>
      <c r="W1613" s="4">
        <f t="shared" si="426"/>
        <v>41</v>
      </c>
      <c r="X1613" s="4">
        <f t="shared" si="427"/>
        <v>78</v>
      </c>
      <c r="Y1613" s="4">
        <f t="shared" si="428"/>
        <v>9</v>
      </c>
      <c r="Z1613" s="4">
        <f t="shared" si="429"/>
        <v>9</v>
      </c>
      <c r="AA1613" s="102">
        <f t="shared" si="430"/>
        <v>46</v>
      </c>
      <c r="AC1613" s="100">
        <f t="shared" si="431"/>
        <v>0.99160136402321364</v>
      </c>
    </row>
    <row r="1614" spans="4:29" x14ac:dyDescent="0.35">
      <c r="D1614">
        <f t="shared" si="432"/>
        <v>1610</v>
      </c>
      <c r="E1614" s="101">
        <v>7</v>
      </c>
      <c r="F1614" s="4">
        <v>7</v>
      </c>
      <c r="G1614" s="4">
        <v>1</v>
      </c>
      <c r="H1614" s="4">
        <v>6</v>
      </c>
      <c r="I1614" s="4">
        <v>1</v>
      </c>
      <c r="J1614" s="4">
        <v>4</v>
      </c>
      <c r="K1614" s="102">
        <v>4</v>
      </c>
      <c r="M1614" s="101">
        <f t="shared" si="417"/>
        <v>29</v>
      </c>
      <c r="N1614" s="4">
        <f t="shared" si="418"/>
        <v>29</v>
      </c>
      <c r="O1614" s="4">
        <f t="shared" si="419"/>
        <v>34</v>
      </c>
      <c r="P1614" s="4">
        <f t="shared" si="420"/>
        <v>45</v>
      </c>
      <c r="Q1614" s="4">
        <f t="shared" si="421"/>
        <v>34</v>
      </c>
      <c r="R1614" s="4">
        <f t="shared" si="422"/>
        <v>12</v>
      </c>
      <c r="S1614" s="102">
        <f t="shared" si="423"/>
        <v>12</v>
      </c>
      <c r="U1614" s="101">
        <f t="shared" si="424"/>
        <v>41</v>
      </c>
      <c r="V1614" s="4">
        <f t="shared" si="425"/>
        <v>41</v>
      </c>
      <c r="W1614" s="4">
        <f t="shared" si="426"/>
        <v>46</v>
      </c>
      <c r="X1614" s="4">
        <f t="shared" si="427"/>
        <v>71</v>
      </c>
      <c r="Y1614" s="4">
        <f t="shared" si="428"/>
        <v>46</v>
      </c>
      <c r="Z1614" s="4">
        <f t="shared" si="429"/>
        <v>9</v>
      </c>
      <c r="AA1614" s="102">
        <f t="shared" si="430"/>
        <v>9</v>
      </c>
      <c r="AC1614" s="100">
        <f t="shared" si="431"/>
        <v>0.99589172460060738</v>
      </c>
    </row>
    <row r="1615" spans="4:29" x14ac:dyDescent="0.35">
      <c r="D1615">
        <f t="shared" si="432"/>
        <v>1611</v>
      </c>
      <c r="E1615" s="101">
        <v>2</v>
      </c>
      <c r="F1615" s="4">
        <v>4</v>
      </c>
      <c r="G1615" s="4">
        <v>3</v>
      </c>
      <c r="H1615" s="4">
        <v>5</v>
      </c>
      <c r="I1615" s="4">
        <v>7</v>
      </c>
      <c r="J1615" s="4">
        <v>3</v>
      </c>
      <c r="K1615" s="102">
        <v>6</v>
      </c>
      <c r="M1615" s="101">
        <f t="shared" si="417"/>
        <v>56</v>
      </c>
      <c r="N1615" s="4">
        <f t="shared" si="418"/>
        <v>12</v>
      </c>
      <c r="O1615" s="4">
        <f t="shared" si="419"/>
        <v>23</v>
      </c>
      <c r="P1615" s="4">
        <f t="shared" si="420"/>
        <v>30</v>
      </c>
      <c r="Q1615" s="4">
        <f t="shared" si="421"/>
        <v>29</v>
      </c>
      <c r="R1615" s="4">
        <f t="shared" si="422"/>
        <v>23</v>
      </c>
      <c r="S1615" s="102">
        <f t="shared" si="423"/>
        <v>45</v>
      </c>
      <c r="U1615" s="101">
        <f t="shared" si="424"/>
        <v>78</v>
      </c>
      <c r="V1615" s="4">
        <f t="shared" si="425"/>
        <v>9</v>
      </c>
      <c r="W1615" s="4">
        <f t="shared" si="426"/>
        <v>39</v>
      </c>
      <c r="X1615" s="4">
        <f t="shared" si="427"/>
        <v>39</v>
      </c>
      <c r="Y1615" s="4">
        <f t="shared" si="428"/>
        <v>41</v>
      </c>
      <c r="Z1615" s="4">
        <f t="shared" si="429"/>
        <v>39</v>
      </c>
      <c r="AA1615" s="102">
        <f t="shared" si="430"/>
        <v>71</v>
      </c>
      <c r="AC1615" s="100">
        <f t="shared" si="431"/>
        <v>0.96896293074172468</v>
      </c>
    </row>
    <row r="1616" spans="4:29" x14ac:dyDescent="0.35">
      <c r="D1616">
        <f t="shared" si="432"/>
        <v>1612</v>
      </c>
      <c r="E1616" s="101">
        <v>1</v>
      </c>
      <c r="F1616" s="4">
        <v>4</v>
      </c>
      <c r="G1616" s="4">
        <v>5</v>
      </c>
      <c r="H1616" s="4">
        <v>2</v>
      </c>
      <c r="I1616" s="4">
        <v>1</v>
      </c>
      <c r="J1616" s="4">
        <v>7</v>
      </c>
      <c r="K1616" s="102">
        <v>2</v>
      </c>
      <c r="M1616" s="101">
        <f t="shared" si="417"/>
        <v>34</v>
      </c>
      <c r="N1616" s="4">
        <f t="shared" si="418"/>
        <v>12</v>
      </c>
      <c r="O1616" s="4">
        <f t="shared" si="419"/>
        <v>30</v>
      </c>
      <c r="P1616" s="4">
        <f t="shared" si="420"/>
        <v>56</v>
      </c>
      <c r="Q1616" s="4">
        <f t="shared" si="421"/>
        <v>34</v>
      </c>
      <c r="R1616" s="4">
        <f t="shared" si="422"/>
        <v>29</v>
      </c>
      <c r="S1616" s="102">
        <f t="shared" si="423"/>
        <v>56</v>
      </c>
      <c r="U1616" s="101">
        <f t="shared" si="424"/>
        <v>46</v>
      </c>
      <c r="V1616" s="4">
        <f t="shared" si="425"/>
        <v>9</v>
      </c>
      <c r="W1616" s="4">
        <f t="shared" si="426"/>
        <v>39</v>
      </c>
      <c r="X1616" s="4">
        <f t="shared" si="427"/>
        <v>78</v>
      </c>
      <c r="Y1616" s="4">
        <f t="shared" si="428"/>
        <v>46</v>
      </c>
      <c r="Z1616" s="4">
        <f t="shared" si="429"/>
        <v>41</v>
      </c>
      <c r="AA1616" s="102">
        <f t="shared" si="430"/>
        <v>78</v>
      </c>
      <c r="AC1616" s="100">
        <f t="shared" si="431"/>
        <v>0.99695278345642124</v>
      </c>
    </row>
    <row r="1617" spans="4:29" x14ac:dyDescent="0.35">
      <c r="D1617">
        <f t="shared" si="432"/>
        <v>1613</v>
      </c>
      <c r="E1617" s="101">
        <v>1</v>
      </c>
      <c r="F1617" s="4">
        <v>2</v>
      </c>
      <c r="G1617" s="4">
        <v>3</v>
      </c>
      <c r="H1617" s="4">
        <v>4</v>
      </c>
      <c r="I1617" s="4">
        <v>6</v>
      </c>
      <c r="J1617" s="4">
        <v>6</v>
      </c>
      <c r="K1617" s="102">
        <v>5</v>
      </c>
      <c r="M1617" s="101">
        <f t="shared" si="417"/>
        <v>34</v>
      </c>
      <c r="N1617" s="4">
        <f t="shared" si="418"/>
        <v>56</v>
      </c>
      <c r="O1617" s="4">
        <f t="shared" si="419"/>
        <v>23</v>
      </c>
      <c r="P1617" s="4">
        <f t="shared" si="420"/>
        <v>12</v>
      </c>
      <c r="Q1617" s="4">
        <f t="shared" si="421"/>
        <v>45</v>
      </c>
      <c r="R1617" s="4">
        <f t="shared" si="422"/>
        <v>45</v>
      </c>
      <c r="S1617" s="102">
        <f t="shared" si="423"/>
        <v>30</v>
      </c>
      <c r="U1617" s="101">
        <f t="shared" si="424"/>
        <v>46</v>
      </c>
      <c r="V1617" s="4">
        <f t="shared" si="425"/>
        <v>78</v>
      </c>
      <c r="W1617" s="4">
        <f t="shared" si="426"/>
        <v>39</v>
      </c>
      <c r="X1617" s="4">
        <f t="shared" si="427"/>
        <v>9</v>
      </c>
      <c r="Y1617" s="4">
        <f t="shared" si="428"/>
        <v>71</v>
      </c>
      <c r="Z1617" s="4">
        <f t="shared" si="429"/>
        <v>71</v>
      </c>
      <c r="AA1617" s="102">
        <f t="shared" si="430"/>
        <v>39</v>
      </c>
      <c r="AC1617" s="100">
        <f t="shared" si="431"/>
        <v>0.97474696498290059</v>
      </c>
    </row>
    <row r="1618" spans="4:29" x14ac:dyDescent="0.35">
      <c r="D1618">
        <f t="shared" si="432"/>
        <v>1614</v>
      </c>
      <c r="E1618" s="101">
        <v>5</v>
      </c>
      <c r="F1618" s="4">
        <v>4</v>
      </c>
      <c r="G1618" s="4">
        <v>5</v>
      </c>
      <c r="H1618" s="4">
        <v>6</v>
      </c>
      <c r="I1618" s="4">
        <v>2</v>
      </c>
      <c r="J1618" s="4">
        <v>2</v>
      </c>
      <c r="K1618" s="102">
        <v>1</v>
      </c>
      <c r="M1618" s="101">
        <f t="shared" si="417"/>
        <v>30</v>
      </c>
      <c r="N1618" s="4">
        <f t="shared" si="418"/>
        <v>12</v>
      </c>
      <c r="O1618" s="4">
        <f t="shared" si="419"/>
        <v>30</v>
      </c>
      <c r="P1618" s="4">
        <f t="shared" si="420"/>
        <v>45</v>
      </c>
      <c r="Q1618" s="4">
        <f t="shared" si="421"/>
        <v>56</v>
      </c>
      <c r="R1618" s="4">
        <f t="shared" si="422"/>
        <v>56</v>
      </c>
      <c r="S1618" s="102">
        <f t="shared" si="423"/>
        <v>34</v>
      </c>
      <c r="U1618" s="101">
        <f t="shared" si="424"/>
        <v>39</v>
      </c>
      <c r="V1618" s="4">
        <f t="shared" si="425"/>
        <v>9</v>
      </c>
      <c r="W1618" s="4">
        <f t="shared" si="426"/>
        <v>39</v>
      </c>
      <c r="X1618" s="4">
        <f t="shared" si="427"/>
        <v>71</v>
      </c>
      <c r="Y1618" s="4">
        <f t="shared" si="428"/>
        <v>78</v>
      </c>
      <c r="Z1618" s="4">
        <f t="shared" si="429"/>
        <v>78</v>
      </c>
      <c r="AA1618" s="102">
        <f t="shared" si="430"/>
        <v>46</v>
      </c>
      <c r="AC1618" s="100">
        <f t="shared" si="431"/>
        <v>0.98996059273785875</v>
      </c>
    </row>
    <row r="1619" spans="4:29" x14ac:dyDescent="0.35">
      <c r="D1619">
        <f t="shared" si="432"/>
        <v>1615</v>
      </c>
      <c r="E1619" s="101">
        <v>4</v>
      </c>
      <c r="F1619" s="4">
        <v>3</v>
      </c>
      <c r="G1619" s="4">
        <v>6</v>
      </c>
      <c r="H1619" s="4">
        <v>3</v>
      </c>
      <c r="I1619" s="4">
        <v>5</v>
      </c>
      <c r="J1619" s="4">
        <v>6</v>
      </c>
      <c r="K1619" s="102">
        <v>4</v>
      </c>
      <c r="M1619" s="101">
        <f t="shared" si="417"/>
        <v>12</v>
      </c>
      <c r="N1619" s="4">
        <f t="shared" si="418"/>
        <v>23</v>
      </c>
      <c r="O1619" s="4">
        <f t="shared" si="419"/>
        <v>45</v>
      </c>
      <c r="P1619" s="4">
        <f t="shared" si="420"/>
        <v>23</v>
      </c>
      <c r="Q1619" s="4">
        <f t="shared" si="421"/>
        <v>30</v>
      </c>
      <c r="R1619" s="4">
        <f t="shared" si="422"/>
        <v>45</v>
      </c>
      <c r="S1619" s="102">
        <f t="shared" si="423"/>
        <v>12</v>
      </c>
      <c r="U1619" s="101">
        <f t="shared" si="424"/>
        <v>9</v>
      </c>
      <c r="V1619" s="4">
        <f t="shared" si="425"/>
        <v>39</v>
      </c>
      <c r="W1619" s="4">
        <f t="shared" si="426"/>
        <v>71</v>
      </c>
      <c r="X1619" s="4">
        <f t="shared" si="427"/>
        <v>39</v>
      </c>
      <c r="Y1619" s="4">
        <f t="shared" si="428"/>
        <v>39</v>
      </c>
      <c r="Z1619" s="4">
        <f t="shared" si="429"/>
        <v>71</v>
      </c>
      <c r="AA1619" s="102">
        <f t="shared" si="430"/>
        <v>9</v>
      </c>
      <c r="AC1619" s="100">
        <f t="shared" si="431"/>
        <v>0.98024191087925427</v>
      </c>
    </row>
    <row r="1620" spans="4:29" x14ac:dyDescent="0.35">
      <c r="D1620">
        <f t="shared" si="432"/>
        <v>1616</v>
      </c>
      <c r="E1620" s="101">
        <v>2</v>
      </c>
      <c r="F1620" s="4">
        <v>3</v>
      </c>
      <c r="G1620" s="4">
        <v>1</v>
      </c>
      <c r="H1620" s="4">
        <v>2</v>
      </c>
      <c r="I1620" s="4">
        <v>2</v>
      </c>
      <c r="J1620" s="4">
        <v>4</v>
      </c>
      <c r="K1620" s="102">
        <v>6</v>
      </c>
      <c r="M1620" s="101">
        <f t="shared" si="417"/>
        <v>56</v>
      </c>
      <c r="N1620" s="4">
        <f t="shared" si="418"/>
        <v>23</v>
      </c>
      <c r="O1620" s="4">
        <f t="shared" si="419"/>
        <v>34</v>
      </c>
      <c r="P1620" s="4">
        <f t="shared" si="420"/>
        <v>56</v>
      </c>
      <c r="Q1620" s="4">
        <f t="shared" si="421"/>
        <v>56</v>
      </c>
      <c r="R1620" s="4">
        <f t="shared" si="422"/>
        <v>12</v>
      </c>
      <c r="S1620" s="102">
        <f t="shared" si="423"/>
        <v>45</v>
      </c>
      <c r="U1620" s="101">
        <f t="shared" si="424"/>
        <v>78</v>
      </c>
      <c r="V1620" s="4">
        <f t="shared" si="425"/>
        <v>39</v>
      </c>
      <c r="W1620" s="4">
        <f t="shared" si="426"/>
        <v>46</v>
      </c>
      <c r="X1620" s="4">
        <f t="shared" si="427"/>
        <v>78</v>
      </c>
      <c r="Y1620" s="4">
        <f t="shared" si="428"/>
        <v>78</v>
      </c>
      <c r="Z1620" s="4">
        <f t="shared" si="429"/>
        <v>9</v>
      </c>
      <c r="AA1620" s="102">
        <f t="shared" si="430"/>
        <v>71</v>
      </c>
      <c r="AC1620" s="100">
        <f t="shared" si="431"/>
        <v>0.98078584346972397</v>
      </c>
    </row>
    <row r="1621" spans="4:29" x14ac:dyDescent="0.35">
      <c r="D1621">
        <f t="shared" si="432"/>
        <v>1617</v>
      </c>
      <c r="E1621" s="101">
        <v>5</v>
      </c>
      <c r="F1621" s="4">
        <v>1</v>
      </c>
      <c r="G1621" s="4">
        <v>6</v>
      </c>
      <c r="H1621" s="4">
        <v>7</v>
      </c>
      <c r="I1621" s="4">
        <v>5</v>
      </c>
      <c r="J1621" s="4">
        <v>1</v>
      </c>
      <c r="K1621" s="102">
        <v>4</v>
      </c>
      <c r="M1621" s="101">
        <f t="shared" si="417"/>
        <v>30</v>
      </c>
      <c r="N1621" s="4">
        <f t="shared" si="418"/>
        <v>34</v>
      </c>
      <c r="O1621" s="4">
        <f t="shared" si="419"/>
        <v>45</v>
      </c>
      <c r="P1621" s="4">
        <f t="shared" si="420"/>
        <v>29</v>
      </c>
      <c r="Q1621" s="4">
        <f t="shared" si="421"/>
        <v>30</v>
      </c>
      <c r="R1621" s="4">
        <f t="shared" si="422"/>
        <v>34</v>
      </c>
      <c r="S1621" s="102">
        <f t="shared" si="423"/>
        <v>12</v>
      </c>
      <c r="U1621" s="101">
        <f t="shared" si="424"/>
        <v>39</v>
      </c>
      <c r="V1621" s="4">
        <f t="shared" si="425"/>
        <v>46</v>
      </c>
      <c r="W1621" s="4">
        <f t="shared" si="426"/>
        <v>71</v>
      </c>
      <c r="X1621" s="4">
        <f t="shared" si="427"/>
        <v>41</v>
      </c>
      <c r="Y1621" s="4">
        <f t="shared" si="428"/>
        <v>39</v>
      </c>
      <c r="Z1621" s="4">
        <f t="shared" si="429"/>
        <v>46</v>
      </c>
      <c r="AA1621" s="102">
        <f t="shared" si="430"/>
        <v>9</v>
      </c>
      <c r="AC1621" s="100">
        <f t="shared" si="431"/>
        <v>0.99292565496971386</v>
      </c>
    </row>
    <row r="1622" spans="4:29" x14ac:dyDescent="0.35">
      <c r="D1622">
        <f t="shared" si="432"/>
        <v>1618</v>
      </c>
      <c r="E1622" s="101">
        <v>3</v>
      </c>
      <c r="F1622" s="4">
        <v>1</v>
      </c>
      <c r="G1622" s="4">
        <v>2</v>
      </c>
      <c r="H1622" s="4">
        <v>6</v>
      </c>
      <c r="I1622" s="4">
        <v>2</v>
      </c>
      <c r="J1622" s="4">
        <v>6</v>
      </c>
      <c r="K1622" s="102">
        <v>6</v>
      </c>
      <c r="M1622" s="101">
        <f t="shared" si="417"/>
        <v>23</v>
      </c>
      <c r="N1622" s="4">
        <f t="shared" si="418"/>
        <v>34</v>
      </c>
      <c r="O1622" s="4">
        <f t="shared" si="419"/>
        <v>56</v>
      </c>
      <c r="P1622" s="4">
        <f t="shared" si="420"/>
        <v>45</v>
      </c>
      <c r="Q1622" s="4">
        <f t="shared" si="421"/>
        <v>56</v>
      </c>
      <c r="R1622" s="4">
        <f t="shared" si="422"/>
        <v>45</v>
      </c>
      <c r="S1622" s="102">
        <f t="shared" si="423"/>
        <v>45</v>
      </c>
      <c r="U1622" s="101">
        <f t="shared" si="424"/>
        <v>39</v>
      </c>
      <c r="V1622" s="4">
        <f t="shared" si="425"/>
        <v>46</v>
      </c>
      <c r="W1622" s="4">
        <f t="shared" si="426"/>
        <v>78</v>
      </c>
      <c r="X1622" s="4">
        <f t="shared" si="427"/>
        <v>71</v>
      </c>
      <c r="Y1622" s="4">
        <f t="shared" si="428"/>
        <v>78</v>
      </c>
      <c r="Z1622" s="4">
        <f t="shared" si="429"/>
        <v>71</v>
      </c>
      <c r="AA1622" s="102">
        <f t="shared" si="430"/>
        <v>71</v>
      </c>
      <c r="AC1622" s="100">
        <f t="shared" si="431"/>
        <v>0.96052881629673981</v>
      </c>
    </row>
    <row r="1623" spans="4:29" x14ac:dyDescent="0.35">
      <c r="D1623">
        <f t="shared" si="432"/>
        <v>1619</v>
      </c>
      <c r="E1623" s="101">
        <v>1</v>
      </c>
      <c r="F1623" s="4">
        <v>1</v>
      </c>
      <c r="G1623" s="4">
        <v>1</v>
      </c>
      <c r="H1623" s="4">
        <v>3</v>
      </c>
      <c r="I1623" s="4">
        <v>5</v>
      </c>
      <c r="J1623" s="4">
        <v>7</v>
      </c>
      <c r="K1623" s="102">
        <v>2</v>
      </c>
      <c r="M1623" s="101">
        <f t="shared" si="417"/>
        <v>34</v>
      </c>
      <c r="N1623" s="4">
        <f t="shared" si="418"/>
        <v>34</v>
      </c>
      <c r="O1623" s="4">
        <f t="shared" si="419"/>
        <v>34</v>
      </c>
      <c r="P1623" s="4">
        <f t="shared" si="420"/>
        <v>23</v>
      </c>
      <c r="Q1623" s="4">
        <f t="shared" si="421"/>
        <v>30</v>
      </c>
      <c r="R1623" s="4">
        <f t="shared" si="422"/>
        <v>29</v>
      </c>
      <c r="S1623" s="102">
        <f t="shared" si="423"/>
        <v>56</v>
      </c>
      <c r="U1623" s="101">
        <f t="shared" si="424"/>
        <v>46</v>
      </c>
      <c r="V1623" s="4">
        <f t="shared" si="425"/>
        <v>46</v>
      </c>
      <c r="W1623" s="4">
        <f t="shared" si="426"/>
        <v>46</v>
      </c>
      <c r="X1623" s="4">
        <f t="shared" si="427"/>
        <v>39</v>
      </c>
      <c r="Y1623" s="4">
        <f t="shared" si="428"/>
        <v>39</v>
      </c>
      <c r="Z1623" s="4">
        <f t="shared" si="429"/>
        <v>41</v>
      </c>
      <c r="AA1623" s="102">
        <f t="shared" si="430"/>
        <v>78</v>
      </c>
      <c r="AC1623" s="100">
        <f t="shared" si="431"/>
        <v>0.97530672614915626</v>
      </c>
    </row>
    <row r="1624" spans="4:29" x14ac:dyDescent="0.35">
      <c r="D1624">
        <f t="shared" si="432"/>
        <v>1620</v>
      </c>
      <c r="E1624" s="101">
        <v>3</v>
      </c>
      <c r="F1624" s="4">
        <v>3</v>
      </c>
      <c r="G1624" s="4">
        <v>4</v>
      </c>
      <c r="H1624" s="4">
        <v>4</v>
      </c>
      <c r="I1624" s="4">
        <v>6</v>
      </c>
      <c r="J1624" s="4">
        <v>1</v>
      </c>
      <c r="K1624" s="102">
        <v>3</v>
      </c>
      <c r="M1624" s="101">
        <f t="shared" si="417"/>
        <v>23</v>
      </c>
      <c r="N1624" s="4">
        <f t="shared" si="418"/>
        <v>23</v>
      </c>
      <c r="O1624" s="4">
        <f t="shared" si="419"/>
        <v>12</v>
      </c>
      <c r="P1624" s="4">
        <f t="shared" si="420"/>
        <v>12</v>
      </c>
      <c r="Q1624" s="4">
        <f t="shared" si="421"/>
        <v>45</v>
      </c>
      <c r="R1624" s="4">
        <f t="shared" si="422"/>
        <v>34</v>
      </c>
      <c r="S1624" s="102">
        <f t="shared" si="423"/>
        <v>23</v>
      </c>
      <c r="U1624" s="101">
        <f t="shared" si="424"/>
        <v>39</v>
      </c>
      <c r="V1624" s="4">
        <f t="shared" si="425"/>
        <v>39</v>
      </c>
      <c r="W1624" s="4">
        <f t="shared" si="426"/>
        <v>9</v>
      </c>
      <c r="X1624" s="4">
        <f t="shared" si="427"/>
        <v>9</v>
      </c>
      <c r="Y1624" s="4">
        <f t="shared" si="428"/>
        <v>71</v>
      </c>
      <c r="Z1624" s="4">
        <f t="shared" si="429"/>
        <v>46</v>
      </c>
      <c r="AA1624" s="102">
        <f t="shared" si="430"/>
        <v>39</v>
      </c>
      <c r="AC1624" s="100">
        <f t="shared" si="431"/>
        <v>0.9653394168883499</v>
      </c>
    </row>
    <row r="1625" spans="4:29" x14ac:dyDescent="0.35">
      <c r="D1625">
        <f t="shared" si="432"/>
        <v>1621</v>
      </c>
      <c r="E1625" s="101">
        <v>4</v>
      </c>
      <c r="F1625" s="4">
        <v>6</v>
      </c>
      <c r="G1625" s="4">
        <v>2</v>
      </c>
      <c r="H1625" s="4">
        <v>2</v>
      </c>
      <c r="I1625" s="4">
        <v>7</v>
      </c>
      <c r="J1625" s="4">
        <v>5</v>
      </c>
      <c r="K1625" s="102">
        <v>6</v>
      </c>
      <c r="M1625" s="101">
        <f t="shared" si="417"/>
        <v>12</v>
      </c>
      <c r="N1625" s="4">
        <f t="shared" si="418"/>
        <v>45</v>
      </c>
      <c r="O1625" s="4">
        <f t="shared" si="419"/>
        <v>56</v>
      </c>
      <c r="P1625" s="4">
        <f t="shared" si="420"/>
        <v>56</v>
      </c>
      <c r="Q1625" s="4">
        <f t="shared" si="421"/>
        <v>29</v>
      </c>
      <c r="R1625" s="4">
        <f t="shared" si="422"/>
        <v>30</v>
      </c>
      <c r="S1625" s="102">
        <f t="shared" si="423"/>
        <v>45</v>
      </c>
      <c r="U1625" s="101">
        <f t="shared" si="424"/>
        <v>9</v>
      </c>
      <c r="V1625" s="4">
        <f t="shared" si="425"/>
        <v>71</v>
      </c>
      <c r="W1625" s="4">
        <f t="shared" si="426"/>
        <v>78</v>
      </c>
      <c r="X1625" s="4">
        <f t="shared" si="427"/>
        <v>78</v>
      </c>
      <c r="Y1625" s="4">
        <f t="shared" si="428"/>
        <v>41</v>
      </c>
      <c r="Z1625" s="4">
        <f t="shared" si="429"/>
        <v>39</v>
      </c>
      <c r="AA1625" s="102">
        <f t="shared" si="430"/>
        <v>71</v>
      </c>
      <c r="AC1625" s="100">
        <f t="shared" si="431"/>
        <v>0.98403932609762601</v>
      </c>
    </row>
    <row r="1626" spans="4:29" x14ac:dyDescent="0.35">
      <c r="D1626">
        <f t="shared" si="432"/>
        <v>1622</v>
      </c>
      <c r="E1626" s="101">
        <v>2</v>
      </c>
      <c r="F1626" s="4">
        <v>2</v>
      </c>
      <c r="G1626" s="4">
        <v>1</v>
      </c>
      <c r="H1626" s="4">
        <v>1</v>
      </c>
      <c r="I1626" s="4">
        <v>6</v>
      </c>
      <c r="J1626" s="4">
        <v>3</v>
      </c>
      <c r="K1626" s="102">
        <v>4</v>
      </c>
      <c r="M1626" s="101">
        <f t="shared" si="417"/>
        <v>56</v>
      </c>
      <c r="N1626" s="4">
        <f t="shared" si="418"/>
        <v>56</v>
      </c>
      <c r="O1626" s="4">
        <f t="shared" si="419"/>
        <v>34</v>
      </c>
      <c r="P1626" s="4">
        <f t="shared" si="420"/>
        <v>34</v>
      </c>
      <c r="Q1626" s="4">
        <f t="shared" si="421"/>
        <v>45</v>
      </c>
      <c r="R1626" s="4">
        <f t="shared" si="422"/>
        <v>23</v>
      </c>
      <c r="S1626" s="102">
        <f t="shared" si="423"/>
        <v>12</v>
      </c>
      <c r="U1626" s="101">
        <f t="shared" si="424"/>
        <v>78</v>
      </c>
      <c r="V1626" s="4">
        <f t="shared" si="425"/>
        <v>78</v>
      </c>
      <c r="W1626" s="4">
        <f t="shared" si="426"/>
        <v>46</v>
      </c>
      <c r="X1626" s="4">
        <f t="shared" si="427"/>
        <v>46</v>
      </c>
      <c r="Y1626" s="4">
        <f t="shared" si="428"/>
        <v>71</v>
      </c>
      <c r="Z1626" s="4">
        <f t="shared" si="429"/>
        <v>39</v>
      </c>
      <c r="AA1626" s="102">
        <f t="shared" si="430"/>
        <v>9</v>
      </c>
      <c r="AC1626" s="100">
        <f t="shared" si="431"/>
        <v>0.97874210568969822</v>
      </c>
    </row>
    <row r="1627" spans="4:29" x14ac:dyDescent="0.35">
      <c r="D1627">
        <f t="shared" si="432"/>
        <v>1623</v>
      </c>
      <c r="E1627" s="101">
        <v>4</v>
      </c>
      <c r="F1627" s="4">
        <v>6</v>
      </c>
      <c r="G1627" s="4">
        <v>2</v>
      </c>
      <c r="H1627" s="4">
        <v>2</v>
      </c>
      <c r="I1627" s="4">
        <v>2</v>
      </c>
      <c r="J1627" s="4">
        <v>7</v>
      </c>
      <c r="K1627" s="102">
        <v>6</v>
      </c>
      <c r="M1627" s="101">
        <f t="shared" si="417"/>
        <v>12</v>
      </c>
      <c r="N1627" s="4">
        <f t="shared" si="418"/>
        <v>45</v>
      </c>
      <c r="O1627" s="4">
        <f t="shared" si="419"/>
        <v>56</v>
      </c>
      <c r="P1627" s="4">
        <f t="shared" si="420"/>
        <v>56</v>
      </c>
      <c r="Q1627" s="4">
        <f t="shared" si="421"/>
        <v>56</v>
      </c>
      <c r="R1627" s="4">
        <f t="shared" si="422"/>
        <v>29</v>
      </c>
      <c r="S1627" s="102">
        <f t="shared" si="423"/>
        <v>45</v>
      </c>
      <c r="U1627" s="101">
        <f t="shared" si="424"/>
        <v>9</v>
      </c>
      <c r="V1627" s="4">
        <f t="shared" si="425"/>
        <v>71</v>
      </c>
      <c r="W1627" s="4">
        <f t="shared" si="426"/>
        <v>78</v>
      </c>
      <c r="X1627" s="4">
        <f t="shared" si="427"/>
        <v>78</v>
      </c>
      <c r="Y1627" s="4">
        <f t="shared" si="428"/>
        <v>78</v>
      </c>
      <c r="Z1627" s="4">
        <f t="shared" si="429"/>
        <v>41</v>
      </c>
      <c r="AA1627" s="102">
        <f t="shared" si="430"/>
        <v>71</v>
      </c>
      <c r="AC1627" s="100">
        <f t="shared" si="431"/>
        <v>0.98272719530606767</v>
      </c>
    </row>
    <row r="1628" spans="4:29" x14ac:dyDescent="0.35">
      <c r="D1628">
        <f t="shared" si="432"/>
        <v>1624</v>
      </c>
      <c r="E1628" s="101">
        <v>3</v>
      </c>
      <c r="F1628" s="4">
        <v>5</v>
      </c>
      <c r="G1628" s="4">
        <v>3</v>
      </c>
      <c r="H1628" s="4">
        <v>7</v>
      </c>
      <c r="I1628" s="4">
        <v>3</v>
      </c>
      <c r="J1628" s="4">
        <v>2</v>
      </c>
      <c r="K1628" s="102">
        <v>1</v>
      </c>
      <c r="M1628" s="101">
        <f t="shared" si="417"/>
        <v>23</v>
      </c>
      <c r="N1628" s="4">
        <f t="shared" si="418"/>
        <v>30</v>
      </c>
      <c r="O1628" s="4">
        <f t="shared" si="419"/>
        <v>23</v>
      </c>
      <c r="P1628" s="4">
        <f t="shared" si="420"/>
        <v>29</v>
      </c>
      <c r="Q1628" s="4">
        <f t="shared" si="421"/>
        <v>23</v>
      </c>
      <c r="R1628" s="4">
        <f t="shared" si="422"/>
        <v>56</v>
      </c>
      <c r="S1628" s="102">
        <f t="shared" si="423"/>
        <v>34</v>
      </c>
      <c r="U1628" s="101">
        <f t="shared" si="424"/>
        <v>39</v>
      </c>
      <c r="V1628" s="4">
        <f t="shared" si="425"/>
        <v>39</v>
      </c>
      <c r="W1628" s="4">
        <f t="shared" si="426"/>
        <v>39</v>
      </c>
      <c r="X1628" s="4">
        <f t="shared" si="427"/>
        <v>41</v>
      </c>
      <c r="Y1628" s="4">
        <f t="shared" si="428"/>
        <v>39</v>
      </c>
      <c r="Z1628" s="4">
        <f t="shared" si="429"/>
        <v>78</v>
      </c>
      <c r="AA1628" s="102">
        <f t="shared" si="430"/>
        <v>46</v>
      </c>
      <c r="AC1628" s="100">
        <f t="shared" si="431"/>
        <v>0.96867095100954803</v>
      </c>
    </row>
    <row r="1629" spans="4:29" x14ac:dyDescent="0.35">
      <c r="D1629">
        <f t="shared" si="432"/>
        <v>1625</v>
      </c>
      <c r="E1629" s="101">
        <v>5</v>
      </c>
      <c r="F1629" s="4">
        <v>4</v>
      </c>
      <c r="G1629" s="4">
        <v>1</v>
      </c>
      <c r="H1629" s="4">
        <v>2</v>
      </c>
      <c r="I1629" s="4">
        <v>2</v>
      </c>
      <c r="J1629" s="4">
        <v>1</v>
      </c>
      <c r="K1629" s="102">
        <v>3</v>
      </c>
      <c r="M1629" s="101">
        <f t="shared" si="417"/>
        <v>30</v>
      </c>
      <c r="N1629" s="4">
        <f t="shared" si="418"/>
        <v>12</v>
      </c>
      <c r="O1629" s="4">
        <f t="shared" si="419"/>
        <v>34</v>
      </c>
      <c r="P1629" s="4">
        <f t="shared" si="420"/>
        <v>56</v>
      </c>
      <c r="Q1629" s="4">
        <f t="shared" si="421"/>
        <v>56</v>
      </c>
      <c r="R1629" s="4">
        <f t="shared" si="422"/>
        <v>34</v>
      </c>
      <c r="S1629" s="102">
        <f t="shared" si="423"/>
        <v>23</v>
      </c>
      <c r="U1629" s="101">
        <f t="shared" si="424"/>
        <v>39</v>
      </c>
      <c r="V1629" s="4">
        <f t="shared" si="425"/>
        <v>9</v>
      </c>
      <c r="W1629" s="4">
        <f t="shared" si="426"/>
        <v>46</v>
      </c>
      <c r="X1629" s="4">
        <f t="shared" si="427"/>
        <v>78</v>
      </c>
      <c r="Y1629" s="4">
        <f t="shared" si="428"/>
        <v>78</v>
      </c>
      <c r="Z1629" s="4">
        <f t="shared" si="429"/>
        <v>46</v>
      </c>
      <c r="AA1629" s="102">
        <f t="shared" si="430"/>
        <v>39</v>
      </c>
      <c r="AC1629" s="100">
        <f t="shared" si="431"/>
        <v>0.98467764161726312</v>
      </c>
    </row>
    <row r="1630" spans="4:29" x14ac:dyDescent="0.35">
      <c r="D1630">
        <f t="shared" si="432"/>
        <v>1626</v>
      </c>
      <c r="E1630" s="101">
        <v>6</v>
      </c>
      <c r="F1630" s="4">
        <v>7</v>
      </c>
      <c r="G1630" s="4">
        <v>7</v>
      </c>
      <c r="H1630" s="4">
        <v>5</v>
      </c>
      <c r="I1630" s="4">
        <v>5</v>
      </c>
      <c r="J1630" s="4">
        <v>6</v>
      </c>
      <c r="K1630" s="102">
        <v>5</v>
      </c>
      <c r="M1630" s="101">
        <f t="shared" si="417"/>
        <v>45</v>
      </c>
      <c r="N1630" s="4">
        <f t="shared" si="418"/>
        <v>29</v>
      </c>
      <c r="O1630" s="4">
        <f t="shared" si="419"/>
        <v>29</v>
      </c>
      <c r="P1630" s="4">
        <f t="shared" si="420"/>
        <v>30</v>
      </c>
      <c r="Q1630" s="4">
        <f t="shared" si="421"/>
        <v>30</v>
      </c>
      <c r="R1630" s="4">
        <f t="shared" si="422"/>
        <v>45</v>
      </c>
      <c r="S1630" s="102">
        <f t="shared" si="423"/>
        <v>30</v>
      </c>
      <c r="U1630" s="101">
        <f t="shared" si="424"/>
        <v>71</v>
      </c>
      <c r="V1630" s="4">
        <f t="shared" si="425"/>
        <v>41</v>
      </c>
      <c r="W1630" s="4">
        <f t="shared" si="426"/>
        <v>41</v>
      </c>
      <c r="X1630" s="4">
        <f t="shared" si="427"/>
        <v>39</v>
      </c>
      <c r="Y1630" s="4">
        <f t="shared" si="428"/>
        <v>39</v>
      </c>
      <c r="Z1630" s="4">
        <f t="shared" si="429"/>
        <v>71</v>
      </c>
      <c r="AA1630" s="102">
        <f t="shared" si="430"/>
        <v>39</v>
      </c>
      <c r="AC1630" s="100">
        <f t="shared" si="431"/>
        <v>0.99303107184021255</v>
      </c>
    </row>
    <row r="1631" spans="4:29" x14ac:dyDescent="0.35">
      <c r="D1631">
        <f t="shared" si="432"/>
        <v>1627</v>
      </c>
      <c r="E1631" s="101">
        <v>3</v>
      </c>
      <c r="F1631" s="4">
        <v>4</v>
      </c>
      <c r="G1631" s="4">
        <v>4</v>
      </c>
      <c r="H1631" s="4">
        <v>6</v>
      </c>
      <c r="I1631" s="4">
        <v>3</v>
      </c>
      <c r="J1631" s="4">
        <v>2</v>
      </c>
      <c r="K1631" s="102">
        <v>2</v>
      </c>
      <c r="M1631" s="101">
        <f t="shared" si="417"/>
        <v>23</v>
      </c>
      <c r="N1631" s="4">
        <f t="shared" si="418"/>
        <v>12</v>
      </c>
      <c r="O1631" s="4">
        <f t="shared" si="419"/>
        <v>12</v>
      </c>
      <c r="P1631" s="4">
        <f t="shared" si="420"/>
        <v>45</v>
      </c>
      <c r="Q1631" s="4">
        <f t="shared" si="421"/>
        <v>23</v>
      </c>
      <c r="R1631" s="4">
        <f t="shared" si="422"/>
        <v>56</v>
      </c>
      <c r="S1631" s="102">
        <f t="shared" si="423"/>
        <v>56</v>
      </c>
      <c r="U1631" s="101">
        <f t="shared" si="424"/>
        <v>39</v>
      </c>
      <c r="V1631" s="4">
        <f t="shared" si="425"/>
        <v>9</v>
      </c>
      <c r="W1631" s="4">
        <f t="shared" si="426"/>
        <v>9</v>
      </c>
      <c r="X1631" s="4">
        <f t="shared" si="427"/>
        <v>71</v>
      </c>
      <c r="Y1631" s="4">
        <f t="shared" si="428"/>
        <v>39</v>
      </c>
      <c r="Z1631" s="4">
        <f t="shared" si="429"/>
        <v>78</v>
      </c>
      <c r="AA1631" s="102">
        <f t="shared" si="430"/>
        <v>78</v>
      </c>
      <c r="AC1631" s="100">
        <f t="shared" si="431"/>
        <v>0.97777463625386063</v>
      </c>
    </row>
    <row r="1632" spans="4:29" x14ac:dyDescent="0.35">
      <c r="D1632">
        <f t="shared" si="432"/>
        <v>1628</v>
      </c>
      <c r="E1632" s="101">
        <v>4</v>
      </c>
      <c r="F1632" s="4">
        <v>4</v>
      </c>
      <c r="G1632" s="4">
        <v>7</v>
      </c>
      <c r="H1632" s="4">
        <v>2</v>
      </c>
      <c r="I1632" s="4">
        <v>4</v>
      </c>
      <c r="J1632" s="4">
        <v>7</v>
      </c>
      <c r="K1632" s="102">
        <v>7</v>
      </c>
      <c r="M1632" s="101">
        <f t="shared" si="417"/>
        <v>12</v>
      </c>
      <c r="N1632" s="4">
        <f t="shared" si="418"/>
        <v>12</v>
      </c>
      <c r="O1632" s="4">
        <f t="shared" si="419"/>
        <v>29</v>
      </c>
      <c r="P1632" s="4">
        <f t="shared" si="420"/>
        <v>56</v>
      </c>
      <c r="Q1632" s="4">
        <f t="shared" si="421"/>
        <v>12</v>
      </c>
      <c r="R1632" s="4">
        <f t="shared" si="422"/>
        <v>29</v>
      </c>
      <c r="S1632" s="102">
        <f t="shared" si="423"/>
        <v>29</v>
      </c>
      <c r="U1632" s="101">
        <f t="shared" si="424"/>
        <v>9</v>
      </c>
      <c r="V1632" s="4">
        <f t="shared" si="425"/>
        <v>9</v>
      </c>
      <c r="W1632" s="4">
        <f t="shared" si="426"/>
        <v>41</v>
      </c>
      <c r="X1632" s="4">
        <f t="shared" si="427"/>
        <v>78</v>
      </c>
      <c r="Y1632" s="4">
        <f t="shared" si="428"/>
        <v>9</v>
      </c>
      <c r="Z1632" s="4">
        <f t="shared" si="429"/>
        <v>41</v>
      </c>
      <c r="AA1632" s="102">
        <f t="shared" si="430"/>
        <v>41</v>
      </c>
      <c r="AC1632" s="100">
        <f t="shared" si="431"/>
        <v>0.99403517060410085</v>
      </c>
    </row>
    <row r="1633" spans="4:29" x14ac:dyDescent="0.35">
      <c r="D1633">
        <f t="shared" si="432"/>
        <v>1629</v>
      </c>
      <c r="E1633" s="101">
        <v>7</v>
      </c>
      <c r="F1633" s="4">
        <v>3</v>
      </c>
      <c r="G1633" s="4">
        <v>4</v>
      </c>
      <c r="H1633" s="4">
        <v>3</v>
      </c>
      <c r="I1633" s="4">
        <v>2</v>
      </c>
      <c r="J1633" s="4">
        <v>4</v>
      </c>
      <c r="K1633" s="102">
        <v>4</v>
      </c>
      <c r="M1633" s="101">
        <f t="shared" si="417"/>
        <v>29</v>
      </c>
      <c r="N1633" s="4">
        <f t="shared" si="418"/>
        <v>23</v>
      </c>
      <c r="O1633" s="4">
        <f t="shared" si="419"/>
        <v>12</v>
      </c>
      <c r="P1633" s="4">
        <f t="shared" si="420"/>
        <v>23</v>
      </c>
      <c r="Q1633" s="4">
        <f t="shared" si="421"/>
        <v>56</v>
      </c>
      <c r="R1633" s="4">
        <f t="shared" si="422"/>
        <v>12</v>
      </c>
      <c r="S1633" s="102">
        <f t="shared" si="423"/>
        <v>12</v>
      </c>
      <c r="U1633" s="101">
        <f t="shared" si="424"/>
        <v>41</v>
      </c>
      <c r="V1633" s="4">
        <f t="shared" si="425"/>
        <v>39</v>
      </c>
      <c r="W1633" s="4">
        <f t="shared" si="426"/>
        <v>9</v>
      </c>
      <c r="X1633" s="4">
        <f t="shared" si="427"/>
        <v>39</v>
      </c>
      <c r="Y1633" s="4">
        <f t="shared" si="428"/>
        <v>78</v>
      </c>
      <c r="Z1633" s="4">
        <f t="shared" si="429"/>
        <v>9</v>
      </c>
      <c r="AA1633" s="102">
        <f t="shared" si="430"/>
        <v>9</v>
      </c>
      <c r="AC1633" s="100">
        <f t="shared" si="431"/>
        <v>0.97154931799555144</v>
      </c>
    </row>
    <row r="1634" spans="4:29" x14ac:dyDescent="0.35">
      <c r="D1634">
        <f t="shared" si="432"/>
        <v>1630</v>
      </c>
      <c r="E1634" s="101">
        <v>2</v>
      </c>
      <c r="F1634" s="4">
        <v>2</v>
      </c>
      <c r="G1634" s="4">
        <v>4</v>
      </c>
      <c r="H1634" s="4">
        <v>4</v>
      </c>
      <c r="I1634" s="4">
        <v>7</v>
      </c>
      <c r="J1634" s="4">
        <v>4</v>
      </c>
      <c r="K1634" s="102">
        <v>7</v>
      </c>
      <c r="M1634" s="101">
        <f t="shared" si="417"/>
        <v>56</v>
      </c>
      <c r="N1634" s="4">
        <f t="shared" si="418"/>
        <v>56</v>
      </c>
      <c r="O1634" s="4">
        <f t="shared" si="419"/>
        <v>12</v>
      </c>
      <c r="P1634" s="4">
        <f t="shared" si="420"/>
        <v>12</v>
      </c>
      <c r="Q1634" s="4">
        <f t="shared" si="421"/>
        <v>29</v>
      </c>
      <c r="R1634" s="4">
        <f t="shared" si="422"/>
        <v>12</v>
      </c>
      <c r="S1634" s="102">
        <f t="shared" si="423"/>
        <v>29</v>
      </c>
      <c r="U1634" s="101">
        <f t="shared" si="424"/>
        <v>78</v>
      </c>
      <c r="V1634" s="4">
        <f t="shared" si="425"/>
        <v>78</v>
      </c>
      <c r="W1634" s="4">
        <f t="shared" si="426"/>
        <v>9</v>
      </c>
      <c r="X1634" s="4">
        <f t="shared" si="427"/>
        <v>9</v>
      </c>
      <c r="Y1634" s="4">
        <f t="shared" si="428"/>
        <v>41</v>
      </c>
      <c r="Z1634" s="4">
        <f t="shared" si="429"/>
        <v>9</v>
      </c>
      <c r="AA1634" s="102">
        <f t="shared" si="430"/>
        <v>41</v>
      </c>
      <c r="AC1634" s="100">
        <f t="shared" si="431"/>
        <v>0.99644530743745852</v>
      </c>
    </row>
    <row r="1635" spans="4:29" x14ac:dyDescent="0.35">
      <c r="D1635">
        <f t="shared" si="432"/>
        <v>1631</v>
      </c>
      <c r="E1635" s="101">
        <v>3</v>
      </c>
      <c r="F1635" s="4">
        <v>6</v>
      </c>
      <c r="G1635" s="4">
        <v>3</v>
      </c>
      <c r="H1635" s="4">
        <v>4</v>
      </c>
      <c r="I1635" s="4">
        <v>3</v>
      </c>
      <c r="J1635" s="4">
        <v>6</v>
      </c>
      <c r="K1635" s="102">
        <v>5</v>
      </c>
      <c r="M1635" s="101">
        <f t="shared" si="417"/>
        <v>23</v>
      </c>
      <c r="N1635" s="4">
        <f t="shared" si="418"/>
        <v>45</v>
      </c>
      <c r="O1635" s="4">
        <f t="shared" si="419"/>
        <v>23</v>
      </c>
      <c r="P1635" s="4">
        <f t="shared" si="420"/>
        <v>12</v>
      </c>
      <c r="Q1635" s="4">
        <f t="shared" si="421"/>
        <v>23</v>
      </c>
      <c r="R1635" s="4">
        <f t="shared" si="422"/>
        <v>45</v>
      </c>
      <c r="S1635" s="102">
        <f t="shared" si="423"/>
        <v>30</v>
      </c>
      <c r="U1635" s="101">
        <f t="shared" si="424"/>
        <v>39</v>
      </c>
      <c r="V1635" s="4">
        <f t="shared" si="425"/>
        <v>71</v>
      </c>
      <c r="W1635" s="4">
        <f t="shared" si="426"/>
        <v>39</v>
      </c>
      <c r="X1635" s="4">
        <f t="shared" si="427"/>
        <v>9</v>
      </c>
      <c r="Y1635" s="4">
        <f t="shared" si="428"/>
        <v>39</v>
      </c>
      <c r="Z1635" s="4">
        <f t="shared" si="429"/>
        <v>71</v>
      </c>
      <c r="AA1635" s="102">
        <f t="shared" si="430"/>
        <v>39</v>
      </c>
      <c r="AC1635" s="100">
        <f t="shared" si="431"/>
        <v>0.97036957187427619</v>
      </c>
    </row>
    <row r="1636" spans="4:29" x14ac:dyDescent="0.35">
      <c r="D1636">
        <f t="shared" si="432"/>
        <v>1632</v>
      </c>
      <c r="E1636" s="101">
        <v>3</v>
      </c>
      <c r="F1636" s="4">
        <v>2</v>
      </c>
      <c r="G1636" s="4">
        <v>4</v>
      </c>
      <c r="H1636" s="4">
        <v>2</v>
      </c>
      <c r="I1636" s="4">
        <v>4</v>
      </c>
      <c r="J1636" s="4">
        <v>4</v>
      </c>
      <c r="K1636" s="102">
        <v>6</v>
      </c>
      <c r="M1636" s="101">
        <f t="shared" si="417"/>
        <v>23</v>
      </c>
      <c r="N1636" s="4">
        <f t="shared" si="418"/>
        <v>56</v>
      </c>
      <c r="O1636" s="4">
        <f t="shared" si="419"/>
        <v>12</v>
      </c>
      <c r="P1636" s="4">
        <f t="shared" si="420"/>
        <v>56</v>
      </c>
      <c r="Q1636" s="4">
        <f t="shared" si="421"/>
        <v>12</v>
      </c>
      <c r="R1636" s="4">
        <f t="shared" si="422"/>
        <v>12</v>
      </c>
      <c r="S1636" s="102">
        <f t="shared" si="423"/>
        <v>45</v>
      </c>
      <c r="U1636" s="101">
        <f t="shared" si="424"/>
        <v>39</v>
      </c>
      <c r="V1636" s="4">
        <f t="shared" si="425"/>
        <v>78</v>
      </c>
      <c r="W1636" s="4">
        <f t="shared" si="426"/>
        <v>9</v>
      </c>
      <c r="X1636" s="4">
        <f t="shared" si="427"/>
        <v>78</v>
      </c>
      <c r="Y1636" s="4">
        <f t="shared" si="428"/>
        <v>9</v>
      </c>
      <c r="Z1636" s="4">
        <f t="shared" si="429"/>
        <v>9</v>
      </c>
      <c r="AA1636" s="102">
        <f t="shared" si="430"/>
        <v>71</v>
      </c>
      <c r="AC1636" s="100">
        <f t="shared" si="431"/>
        <v>0.98564113015847421</v>
      </c>
    </row>
    <row r="1637" spans="4:29" x14ac:dyDescent="0.35">
      <c r="D1637">
        <f t="shared" si="432"/>
        <v>1633</v>
      </c>
      <c r="E1637" s="101">
        <v>2</v>
      </c>
      <c r="F1637" s="4">
        <v>2</v>
      </c>
      <c r="G1637" s="4">
        <v>1</v>
      </c>
      <c r="H1637" s="4">
        <v>3</v>
      </c>
      <c r="I1637" s="4">
        <v>1</v>
      </c>
      <c r="J1637" s="4">
        <v>7</v>
      </c>
      <c r="K1637" s="102">
        <v>1</v>
      </c>
      <c r="M1637" s="101">
        <f t="shared" si="417"/>
        <v>56</v>
      </c>
      <c r="N1637" s="4">
        <f t="shared" si="418"/>
        <v>56</v>
      </c>
      <c r="O1637" s="4">
        <f t="shared" si="419"/>
        <v>34</v>
      </c>
      <c r="P1637" s="4">
        <f t="shared" si="420"/>
        <v>23</v>
      </c>
      <c r="Q1637" s="4">
        <f t="shared" si="421"/>
        <v>34</v>
      </c>
      <c r="R1637" s="4">
        <f t="shared" si="422"/>
        <v>29</v>
      </c>
      <c r="S1637" s="102">
        <f t="shared" si="423"/>
        <v>34</v>
      </c>
      <c r="U1637" s="101">
        <f t="shared" si="424"/>
        <v>78</v>
      </c>
      <c r="V1637" s="4">
        <f t="shared" si="425"/>
        <v>78</v>
      </c>
      <c r="W1637" s="4">
        <f t="shared" si="426"/>
        <v>46</v>
      </c>
      <c r="X1637" s="4">
        <f t="shared" si="427"/>
        <v>39</v>
      </c>
      <c r="Y1637" s="4">
        <f t="shared" si="428"/>
        <v>46</v>
      </c>
      <c r="Z1637" s="4">
        <f t="shared" si="429"/>
        <v>41</v>
      </c>
      <c r="AA1637" s="102">
        <f t="shared" si="430"/>
        <v>46</v>
      </c>
      <c r="AC1637" s="100">
        <f t="shared" si="431"/>
        <v>0.98727469232454856</v>
      </c>
    </row>
    <row r="1638" spans="4:29" x14ac:dyDescent="0.35">
      <c r="D1638">
        <f t="shared" si="432"/>
        <v>1634</v>
      </c>
      <c r="E1638" s="101">
        <v>3</v>
      </c>
      <c r="F1638" s="4">
        <v>4</v>
      </c>
      <c r="G1638" s="4">
        <v>5</v>
      </c>
      <c r="H1638" s="4">
        <v>6</v>
      </c>
      <c r="I1638" s="4">
        <v>7</v>
      </c>
      <c r="J1638" s="4">
        <v>1</v>
      </c>
      <c r="K1638" s="102">
        <v>1</v>
      </c>
      <c r="M1638" s="101">
        <f t="shared" si="417"/>
        <v>23</v>
      </c>
      <c r="N1638" s="4">
        <f t="shared" si="418"/>
        <v>12</v>
      </c>
      <c r="O1638" s="4">
        <f t="shared" si="419"/>
        <v>30</v>
      </c>
      <c r="P1638" s="4">
        <f t="shared" si="420"/>
        <v>45</v>
      </c>
      <c r="Q1638" s="4">
        <f t="shared" si="421"/>
        <v>29</v>
      </c>
      <c r="R1638" s="4">
        <f t="shared" si="422"/>
        <v>34</v>
      </c>
      <c r="S1638" s="102">
        <f t="shared" si="423"/>
        <v>34</v>
      </c>
      <c r="U1638" s="101">
        <f t="shared" si="424"/>
        <v>39</v>
      </c>
      <c r="V1638" s="4">
        <f t="shared" si="425"/>
        <v>9</v>
      </c>
      <c r="W1638" s="4">
        <f t="shared" si="426"/>
        <v>39</v>
      </c>
      <c r="X1638" s="4">
        <f t="shared" si="427"/>
        <v>71</v>
      </c>
      <c r="Y1638" s="4">
        <f t="shared" si="428"/>
        <v>41</v>
      </c>
      <c r="Z1638" s="4">
        <f t="shared" si="429"/>
        <v>46</v>
      </c>
      <c r="AA1638" s="102">
        <f t="shared" si="430"/>
        <v>46</v>
      </c>
      <c r="AC1638" s="100">
        <f t="shared" si="431"/>
        <v>0.9688120544294756</v>
      </c>
    </row>
    <row r="1639" spans="4:29" x14ac:dyDescent="0.35">
      <c r="D1639">
        <f t="shared" si="432"/>
        <v>1635</v>
      </c>
      <c r="E1639" s="101">
        <v>5</v>
      </c>
      <c r="F1639" s="4">
        <v>6</v>
      </c>
      <c r="G1639" s="4">
        <v>5</v>
      </c>
      <c r="H1639" s="4">
        <v>5</v>
      </c>
      <c r="I1639" s="4">
        <v>3</v>
      </c>
      <c r="J1639" s="4">
        <v>3</v>
      </c>
      <c r="K1639" s="102">
        <v>4</v>
      </c>
      <c r="M1639" s="101">
        <f t="shared" si="417"/>
        <v>30</v>
      </c>
      <c r="N1639" s="4">
        <f t="shared" si="418"/>
        <v>45</v>
      </c>
      <c r="O1639" s="4">
        <f t="shared" si="419"/>
        <v>30</v>
      </c>
      <c r="P1639" s="4">
        <f t="shared" si="420"/>
        <v>30</v>
      </c>
      <c r="Q1639" s="4">
        <f t="shared" si="421"/>
        <v>23</v>
      </c>
      <c r="R1639" s="4">
        <f t="shared" si="422"/>
        <v>23</v>
      </c>
      <c r="S1639" s="102">
        <f t="shared" si="423"/>
        <v>12</v>
      </c>
      <c r="U1639" s="101">
        <f t="shared" si="424"/>
        <v>39</v>
      </c>
      <c r="V1639" s="4">
        <f t="shared" si="425"/>
        <v>71</v>
      </c>
      <c r="W1639" s="4">
        <f t="shared" si="426"/>
        <v>39</v>
      </c>
      <c r="X1639" s="4">
        <f t="shared" si="427"/>
        <v>39</v>
      </c>
      <c r="Y1639" s="4">
        <f t="shared" si="428"/>
        <v>39</v>
      </c>
      <c r="Z1639" s="4">
        <f t="shared" si="429"/>
        <v>39</v>
      </c>
      <c r="AA1639" s="102">
        <f t="shared" si="430"/>
        <v>9</v>
      </c>
      <c r="AC1639" s="100">
        <f t="shared" si="431"/>
        <v>0.9494921806848271</v>
      </c>
    </row>
    <row r="1640" spans="4:29" x14ac:dyDescent="0.35">
      <c r="D1640">
        <f t="shared" si="432"/>
        <v>1636</v>
      </c>
      <c r="E1640" s="101">
        <v>3</v>
      </c>
      <c r="F1640" s="4">
        <v>5</v>
      </c>
      <c r="G1640" s="4">
        <v>2</v>
      </c>
      <c r="H1640" s="4">
        <v>7</v>
      </c>
      <c r="I1640" s="4">
        <v>7</v>
      </c>
      <c r="J1640" s="4">
        <v>5</v>
      </c>
      <c r="K1640" s="102">
        <v>7</v>
      </c>
      <c r="M1640" s="101">
        <f t="shared" si="417"/>
        <v>23</v>
      </c>
      <c r="N1640" s="4">
        <f t="shared" si="418"/>
        <v>30</v>
      </c>
      <c r="O1640" s="4">
        <f t="shared" si="419"/>
        <v>56</v>
      </c>
      <c r="P1640" s="4">
        <f t="shared" si="420"/>
        <v>29</v>
      </c>
      <c r="Q1640" s="4">
        <f t="shared" si="421"/>
        <v>29</v>
      </c>
      <c r="R1640" s="4">
        <f t="shared" si="422"/>
        <v>30</v>
      </c>
      <c r="S1640" s="102">
        <f t="shared" si="423"/>
        <v>29</v>
      </c>
      <c r="U1640" s="101">
        <f t="shared" si="424"/>
        <v>39</v>
      </c>
      <c r="V1640" s="4">
        <f t="shared" si="425"/>
        <v>39</v>
      </c>
      <c r="W1640" s="4">
        <f t="shared" si="426"/>
        <v>78</v>
      </c>
      <c r="X1640" s="4">
        <f t="shared" si="427"/>
        <v>41</v>
      </c>
      <c r="Y1640" s="4">
        <f t="shared" si="428"/>
        <v>41</v>
      </c>
      <c r="Z1640" s="4">
        <f t="shared" si="429"/>
        <v>39</v>
      </c>
      <c r="AA1640" s="102">
        <f t="shared" si="430"/>
        <v>41</v>
      </c>
      <c r="AC1640" s="100">
        <f t="shared" si="431"/>
        <v>0.97607492566400478</v>
      </c>
    </row>
    <row r="1641" spans="4:29" x14ac:dyDescent="0.35">
      <c r="D1641">
        <f t="shared" si="432"/>
        <v>1637</v>
      </c>
      <c r="E1641" s="101">
        <v>5</v>
      </c>
      <c r="F1641" s="4">
        <v>6</v>
      </c>
      <c r="G1641" s="4">
        <v>4</v>
      </c>
      <c r="H1641" s="4">
        <v>1</v>
      </c>
      <c r="I1641" s="4">
        <v>7</v>
      </c>
      <c r="J1641" s="4">
        <v>5</v>
      </c>
      <c r="K1641" s="102">
        <v>1</v>
      </c>
      <c r="M1641" s="101">
        <f t="shared" si="417"/>
        <v>30</v>
      </c>
      <c r="N1641" s="4">
        <f t="shared" si="418"/>
        <v>45</v>
      </c>
      <c r="O1641" s="4">
        <f t="shared" si="419"/>
        <v>12</v>
      </c>
      <c r="P1641" s="4">
        <f t="shared" si="420"/>
        <v>34</v>
      </c>
      <c r="Q1641" s="4">
        <f t="shared" si="421"/>
        <v>29</v>
      </c>
      <c r="R1641" s="4">
        <f t="shared" si="422"/>
        <v>30</v>
      </c>
      <c r="S1641" s="102">
        <f t="shared" si="423"/>
        <v>34</v>
      </c>
      <c r="U1641" s="101">
        <f t="shared" si="424"/>
        <v>39</v>
      </c>
      <c r="V1641" s="4">
        <f t="shared" si="425"/>
        <v>71</v>
      </c>
      <c r="W1641" s="4">
        <f t="shared" si="426"/>
        <v>9</v>
      </c>
      <c r="X1641" s="4">
        <f t="shared" si="427"/>
        <v>46</v>
      </c>
      <c r="Y1641" s="4">
        <f t="shared" si="428"/>
        <v>41</v>
      </c>
      <c r="Z1641" s="4">
        <f t="shared" si="429"/>
        <v>39</v>
      </c>
      <c r="AA1641" s="102">
        <f t="shared" si="430"/>
        <v>46</v>
      </c>
      <c r="AC1641" s="100">
        <f t="shared" si="431"/>
        <v>0.99292565496971386</v>
      </c>
    </row>
    <row r="1642" spans="4:29" x14ac:dyDescent="0.35">
      <c r="D1642">
        <f t="shared" si="432"/>
        <v>1638</v>
      </c>
      <c r="E1642" s="101">
        <v>6</v>
      </c>
      <c r="F1642" s="4">
        <v>4</v>
      </c>
      <c r="G1642" s="4">
        <v>7</v>
      </c>
      <c r="H1642" s="4">
        <v>5</v>
      </c>
      <c r="I1642" s="4">
        <v>3</v>
      </c>
      <c r="J1642" s="4">
        <v>7</v>
      </c>
      <c r="K1642" s="102">
        <v>4</v>
      </c>
      <c r="M1642" s="101">
        <f t="shared" si="417"/>
        <v>45</v>
      </c>
      <c r="N1642" s="4">
        <f t="shared" si="418"/>
        <v>12</v>
      </c>
      <c r="O1642" s="4">
        <f t="shared" si="419"/>
        <v>29</v>
      </c>
      <c r="P1642" s="4">
        <f t="shared" si="420"/>
        <v>30</v>
      </c>
      <c r="Q1642" s="4">
        <f t="shared" si="421"/>
        <v>23</v>
      </c>
      <c r="R1642" s="4">
        <f t="shared" si="422"/>
        <v>29</v>
      </c>
      <c r="S1642" s="102">
        <f t="shared" si="423"/>
        <v>12</v>
      </c>
      <c r="U1642" s="101">
        <f t="shared" si="424"/>
        <v>71</v>
      </c>
      <c r="V1642" s="4">
        <f t="shared" si="425"/>
        <v>9</v>
      </c>
      <c r="W1642" s="4">
        <f t="shared" si="426"/>
        <v>41</v>
      </c>
      <c r="X1642" s="4">
        <f t="shared" si="427"/>
        <v>39</v>
      </c>
      <c r="Y1642" s="4">
        <f t="shared" si="428"/>
        <v>39</v>
      </c>
      <c r="Z1642" s="4">
        <f t="shared" si="429"/>
        <v>41</v>
      </c>
      <c r="AA1642" s="102">
        <f t="shared" si="430"/>
        <v>9</v>
      </c>
      <c r="AC1642" s="100">
        <f t="shared" si="431"/>
        <v>0.98257098000103771</v>
      </c>
    </row>
    <row r="1643" spans="4:29" x14ac:dyDescent="0.35">
      <c r="D1643">
        <f t="shared" si="432"/>
        <v>1639</v>
      </c>
      <c r="E1643" s="101">
        <v>6</v>
      </c>
      <c r="F1643" s="4">
        <v>2</v>
      </c>
      <c r="G1643" s="4">
        <v>1</v>
      </c>
      <c r="H1643" s="4">
        <v>5</v>
      </c>
      <c r="I1643" s="4">
        <v>6</v>
      </c>
      <c r="J1643" s="4">
        <v>1</v>
      </c>
      <c r="K1643" s="102">
        <v>3</v>
      </c>
      <c r="M1643" s="101">
        <f t="shared" si="417"/>
        <v>45</v>
      </c>
      <c r="N1643" s="4">
        <f t="shared" si="418"/>
        <v>56</v>
      </c>
      <c r="O1643" s="4">
        <f t="shared" si="419"/>
        <v>34</v>
      </c>
      <c r="P1643" s="4">
        <f t="shared" si="420"/>
        <v>30</v>
      </c>
      <c r="Q1643" s="4">
        <f t="shared" si="421"/>
        <v>45</v>
      </c>
      <c r="R1643" s="4">
        <f t="shared" si="422"/>
        <v>34</v>
      </c>
      <c r="S1643" s="102">
        <f t="shared" si="423"/>
        <v>23</v>
      </c>
      <c r="U1643" s="101">
        <f t="shared" si="424"/>
        <v>71</v>
      </c>
      <c r="V1643" s="4">
        <f t="shared" si="425"/>
        <v>78</v>
      </c>
      <c r="W1643" s="4">
        <f t="shared" si="426"/>
        <v>46</v>
      </c>
      <c r="X1643" s="4">
        <f t="shared" si="427"/>
        <v>39</v>
      </c>
      <c r="Y1643" s="4">
        <f t="shared" si="428"/>
        <v>71</v>
      </c>
      <c r="Z1643" s="4">
        <f t="shared" si="429"/>
        <v>46</v>
      </c>
      <c r="AA1643" s="102">
        <f t="shared" si="430"/>
        <v>39</v>
      </c>
      <c r="AC1643" s="100">
        <f t="shared" si="431"/>
        <v>0.95542996956180382</v>
      </c>
    </row>
    <row r="1644" spans="4:29" x14ac:dyDescent="0.35">
      <c r="D1644">
        <f t="shared" si="432"/>
        <v>1640</v>
      </c>
      <c r="E1644" s="101">
        <v>2</v>
      </c>
      <c r="F1644" s="4">
        <v>1</v>
      </c>
      <c r="G1644" s="4">
        <v>6</v>
      </c>
      <c r="H1644" s="4">
        <v>6</v>
      </c>
      <c r="I1644" s="4">
        <v>7</v>
      </c>
      <c r="J1644" s="4">
        <v>2</v>
      </c>
      <c r="K1644" s="102">
        <v>3</v>
      </c>
      <c r="M1644" s="101">
        <f t="shared" si="417"/>
        <v>56</v>
      </c>
      <c r="N1644" s="4">
        <f t="shared" si="418"/>
        <v>34</v>
      </c>
      <c r="O1644" s="4">
        <f t="shared" si="419"/>
        <v>45</v>
      </c>
      <c r="P1644" s="4">
        <f t="shared" si="420"/>
        <v>45</v>
      </c>
      <c r="Q1644" s="4">
        <f t="shared" si="421"/>
        <v>29</v>
      </c>
      <c r="R1644" s="4">
        <f t="shared" si="422"/>
        <v>56</v>
      </c>
      <c r="S1644" s="102">
        <f t="shared" si="423"/>
        <v>23</v>
      </c>
      <c r="U1644" s="101">
        <f t="shared" si="424"/>
        <v>78</v>
      </c>
      <c r="V1644" s="4">
        <f t="shared" si="425"/>
        <v>46</v>
      </c>
      <c r="W1644" s="4">
        <f t="shared" si="426"/>
        <v>71</v>
      </c>
      <c r="X1644" s="4">
        <f t="shared" si="427"/>
        <v>71</v>
      </c>
      <c r="Y1644" s="4">
        <f t="shared" si="428"/>
        <v>41</v>
      </c>
      <c r="Z1644" s="4">
        <f t="shared" si="429"/>
        <v>78</v>
      </c>
      <c r="AA1644" s="102">
        <f t="shared" si="430"/>
        <v>39</v>
      </c>
      <c r="AC1644" s="100">
        <f t="shared" si="431"/>
        <v>0.97012620735289556</v>
      </c>
    </row>
    <row r="1645" spans="4:29" x14ac:dyDescent="0.35">
      <c r="D1645">
        <f t="shared" si="432"/>
        <v>1641</v>
      </c>
      <c r="E1645" s="101">
        <v>3</v>
      </c>
      <c r="F1645" s="4">
        <v>2</v>
      </c>
      <c r="G1645" s="4">
        <v>6</v>
      </c>
      <c r="H1645" s="4">
        <v>4</v>
      </c>
      <c r="I1645" s="4">
        <v>5</v>
      </c>
      <c r="J1645" s="4">
        <v>2</v>
      </c>
      <c r="K1645" s="102">
        <v>2</v>
      </c>
      <c r="M1645" s="101">
        <f t="shared" si="417"/>
        <v>23</v>
      </c>
      <c r="N1645" s="4">
        <f t="shared" si="418"/>
        <v>56</v>
      </c>
      <c r="O1645" s="4">
        <f t="shared" si="419"/>
        <v>45</v>
      </c>
      <c r="P1645" s="4">
        <f t="shared" si="420"/>
        <v>12</v>
      </c>
      <c r="Q1645" s="4">
        <f t="shared" si="421"/>
        <v>30</v>
      </c>
      <c r="R1645" s="4">
        <f t="shared" si="422"/>
        <v>56</v>
      </c>
      <c r="S1645" s="102">
        <f t="shared" si="423"/>
        <v>56</v>
      </c>
      <c r="U1645" s="101">
        <f t="shared" si="424"/>
        <v>39</v>
      </c>
      <c r="V1645" s="4">
        <f t="shared" si="425"/>
        <v>78</v>
      </c>
      <c r="W1645" s="4">
        <f t="shared" si="426"/>
        <v>71</v>
      </c>
      <c r="X1645" s="4">
        <f t="shared" si="427"/>
        <v>9</v>
      </c>
      <c r="Y1645" s="4">
        <f t="shared" si="428"/>
        <v>39</v>
      </c>
      <c r="Z1645" s="4">
        <f t="shared" si="429"/>
        <v>78</v>
      </c>
      <c r="AA1645" s="102">
        <f t="shared" si="430"/>
        <v>78</v>
      </c>
      <c r="AC1645" s="100">
        <f t="shared" si="431"/>
        <v>0.98108104375855121</v>
      </c>
    </row>
    <row r="1646" spans="4:29" x14ac:dyDescent="0.35">
      <c r="D1646">
        <f t="shared" si="432"/>
        <v>1642</v>
      </c>
      <c r="E1646" s="101">
        <v>3</v>
      </c>
      <c r="F1646" s="4">
        <v>4</v>
      </c>
      <c r="G1646" s="4">
        <v>5</v>
      </c>
      <c r="H1646" s="4">
        <v>6</v>
      </c>
      <c r="I1646" s="4">
        <v>6</v>
      </c>
      <c r="J1646" s="4">
        <v>3</v>
      </c>
      <c r="K1646" s="102">
        <v>5</v>
      </c>
      <c r="M1646" s="101">
        <f t="shared" si="417"/>
        <v>23</v>
      </c>
      <c r="N1646" s="4">
        <f t="shared" si="418"/>
        <v>12</v>
      </c>
      <c r="O1646" s="4">
        <f t="shared" si="419"/>
        <v>30</v>
      </c>
      <c r="P1646" s="4">
        <f t="shared" si="420"/>
        <v>45</v>
      </c>
      <c r="Q1646" s="4">
        <f t="shared" si="421"/>
        <v>45</v>
      </c>
      <c r="R1646" s="4">
        <f t="shared" si="422"/>
        <v>23</v>
      </c>
      <c r="S1646" s="102">
        <f t="shared" si="423"/>
        <v>30</v>
      </c>
      <c r="U1646" s="101">
        <f t="shared" si="424"/>
        <v>39</v>
      </c>
      <c r="V1646" s="4">
        <f t="shared" si="425"/>
        <v>9</v>
      </c>
      <c r="W1646" s="4">
        <f t="shared" si="426"/>
        <v>39</v>
      </c>
      <c r="X1646" s="4">
        <f t="shared" si="427"/>
        <v>71</v>
      </c>
      <c r="Y1646" s="4">
        <f t="shared" si="428"/>
        <v>71</v>
      </c>
      <c r="Z1646" s="4">
        <f t="shared" si="429"/>
        <v>39</v>
      </c>
      <c r="AA1646" s="102">
        <f t="shared" si="430"/>
        <v>39</v>
      </c>
      <c r="AC1646" s="100">
        <f t="shared" si="431"/>
        <v>0.96946784883265769</v>
      </c>
    </row>
    <row r="1647" spans="4:29" x14ac:dyDescent="0.35">
      <c r="D1647">
        <f t="shared" si="432"/>
        <v>1643</v>
      </c>
      <c r="E1647" s="101">
        <v>5</v>
      </c>
      <c r="F1647" s="4">
        <v>3</v>
      </c>
      <c r="G1647" s="4">
        <v>7</v>
      </c>
      <c r="H1647" s="4">
        <v>7</v>
      </c>
      <c r="I1647" s="4">
        <v>5</v>
      </c>
      <c r="J1647" s="4">
        <v>1</v>
      </c>
      <c r="K1647" s="102">
        <v>3</v>
      </c>
      <c r="M1647" s="101">
        <f t="shared" si="417"/>
        <v>30</v>
      </c>
      <c r="N1647" s="4">
        <f t="shared" si="418"/>
        <v>23</v>
      </c>
      <c r="O1647" s="4">
        <f t="shared" si="419"/>
        <v>29</v>
      </c>
      <c r="P1647" s="4">
        <f t="shared" si="420"/>
        <v>29</v>
      </c>
      <c r="Q1647" s="4">
        <f t="shared" si="421"/>
        <v>30</v>
      </c>
      <c r="R1647" s="4">
        <f t="shared" si="422"/>
        <v>34</v>
      </c>
      <c r="S1647" s="102">
        <f t="shared" si="423"/>
        <v>23</v>
      </c>
      <c r="U1647" s="101">
        <f t="shared" si="424"/>
        <v>39</v>
      </c>
      <c r="V1647" s="4">
        <f t="shared" si="425"/>
        <v>39</v>
      </c>
      <c r="W1647" s="4">
        <f t="shared" si="426"/>
        <v>41</v>
      </c>
      <c r="X1647" s="4">
        <f t="shared" si="427"/>
        <v>41</v>
      </c>
      <c r="Y1647" s="4">
        <f t="shared" si="428"/>
        <v>39</v>
      </c>
      <c r="Z1647" s="4">
        <f t="shared" si="429"/>
        <v>46</v>
      </c>
      <c r="AA1647" s="102">
        <f t="shared" si="430"/>
        <v>39</v>
      </c>
      <c r="AC1647" s="100">
        <f t="shared" si="431"/>
        <v>0.6961624999514765</v>
      </c>
    </row>
    <row r="1648" spans="4:29" x14ac:dyDescent="0.35">
      <c r="D1648">
        <f t="shared" si="432"/>
        <v>1644</v>
      </c>
      <c r="E1648" s="101">
        <v>1</v>
      </c>
      <c r="F1648" s="4">
        <v>2</v>
      </c>
      <c r="G1648" s="4">
        <v>5</v>
      </c>
      <c r="H1648" s="4">
        <v>4</v>
      </c>
      <c r="I1648" s="4">
        <v>1</v>
      </c>
      <c r="J1648" s="4">
        <v>7</v>
      </c>
      <c r="K1648" s="102">
        <v>2</v>
      </c>
      <c r="M1648" s="101">
        <f t="shared" si="417"/>
        <v>34</v>
      </c>
      <c r="N1648" s="4">
        <f t="shared" si="418"/>
        <v>56</v>
      </c>
      <c r="O1648" s="4">
        <f t="shared" si="419"/>
        <v>30</v>
      </c>
      <c r="P1648" s="4">
        <f t="shared" si="420"/>
        <v>12</v>
      </c>
      <c r="Q1648" s="4">
        <f t="shared" si="421"/>
        <v>34</v>
      </c>
      <c r="R1648" s="4">
        <f t="shared" si="422"/>
        <v>29</v>
      </c>
      <c r="S1648" s="102">
        <f t="shared" si="423"/>
        <v>56</v>
      </c>
      <c r="U1648" s="101">
        <f t="shared" si="424"/>
        <v>46</v>
      </c>
      <c r="V1648" s="4">
        <f t="shared" si="425"/>
        <v>78</v>
      </c>
      <c r="W1648" s="4">
        <f t="shared" si="426"/>
        <v>39</v>
      </c>
      <c r="X1648" s="4">
        <f t="shared" si="427"/>
        <v>9</v>
      </c>
      <c r="Y1648" s="4">
        <f t="shared" si="428"/>
        <v>46</v>
      </c>
      <c r="Z1648" s="4">
        <f t="shared" si="429"/>
        <v>41</v>
      </c>
      <c r="AA1648" s="102">
        <f t="shared" si="430"/>
        <v>78</v>
      </c>
      <c r="AC1648" s="100">
        <f t="shared" si="431"/>
        <v>0.99695278345642124</v>
      </c>
    </row>
    <row r="1649" spans="4:29" x14ac:dyDescent="0.35">
      <c r="D1649">
        <f t="shared" si="432"/>
        <v>1645</v>
      </c>
      <c r="E1649" s="101">
        <v>7</v>
      </c>
      <c r="F1649" s="4">
        <v>4</v>
      </c>
      <c r="G1649" s="4">
        <v>5</v>
      </c>
      <c r="H1649" s="4">
        <v>7</v>
      </c>
      <c r="I1649" s="4">
        <v>3</v>
      </c>
      <c r="J1649" s="4">
        <v>6</v>
      </c>
      <c r="K1649" s="102">
        <v>1</v>
      </c>
      <c r="M1649" s="101">
        <f t="shared" si="417"/>
        <v>29</v>
      </c>
      <c r="N1649" s="4">
        <f t="shared" si="418"/>
        <v>12</v>
      </c>
      <c r="O1649" s="4">
        <f t="shared" si="419"/>
        <v>30</v>
      </c>
      <c r="P1649" s="4">
        <f t="shared" si="420"/>
        <v>29</v>
      </c>
      <c r="Q1649" s="4">
        <f t="shared" si="421"/>
        <v>23</v>
      </c>
      <c r="R1649" s="4">
        <f t="shared" si="422"/>
        <v>45</v>
      </c>
      <c r="S1649" s="102">
        <f t="shared" si="423"/>
        <v>34</v>
      </c>
      <c r="U1649" s="101">
        <f t="shared" si="424"/>
        <v>41</v>
      </c>
      <c r="V1649" s="4">
        <f t="shared" si="425"/>
        <v>9</v>
      </c>
      <c r="W1649" s="4">
        <f t="shared" si="426"/>
        <v>39</v>
      </c>
      <c r="X1649" s="4">
        <f t="shared" si="427"/>
        <v>41</v>
      </c>
      <c r="Y1649" s="4">
        <f t="shared" si="428"/>
        <v>39</v>
      </c>
      <c r="Z1649" s="4">
        <f t="shared" si="429"/>
        <v>71</v>
      </c>
      <c r="AA1649" s="102">
        <f t="shared" si="430"/>
        <v>46</v>
      </c>
      <c r="AC1649" s="100">
        <f t="shared" si="431"/>
        <v>0.97166056163722359</v>
      </c>
    </row>
    <row r="1650" spans="4:29" x14ac:dyDescent="0.35">
      <c r="D1650">
        <f t="shared" si="432"/>
        <v>1646</v>
      </c>
      <c r="E1650" s="101">
        <v>2</v>
      </c>
      <c r="F1650" s="4">
        <v>4</v>
      </c>
      <c r="G1650" s="4">
        <v>2</v>
      </c>
      <c r="H1650" s="4">
        <v>2</v>
      </c>
      <c r="I1650" s="4">
        <v>5</v>
      </c>
      <c r="J1650" s="4">
        <v>5</v>
      </c>
      <c r="K1650" s="102">
        <v>5</v>
      </c>
      <c r="M1650" s="101">
        <f t="shared" si="417"/>
        <v>56</v>
      </c>
      <c r="N1650" s="4">
        <f t="shared" si="418"/>
        <v>12</v>
      </c>
      <c r="O1650" s="4">
        <f t="shared" si="419"/>
        <v>56</v>
      </c>
      <c r="P1650" s="4">
        <f t="shared" si="420"/>
        <v>56</v>
      </c>
      <c r="Q1650" s="4">
        <f t="shared" si="421"/>
        <v>30</v>
      </c>
      <c r="R1650" s="4">
        <f t="shared" si="422"/>
        <v>30</v>
      </c>
      <c r="S1650" s="102">
        <f t="shared" si="423"/>
        <v>30</v>
      </c>
      <c r="U1650" s="101">
        <f t="shared" si="424"/>
        <v>78</v>
      </c>
      <c r="V1650" s="4">
        <f t="shared" si="425"/>
        <v>9</v>
      </c>
      <c r="W1650" s="4">
        <f t="shared" si="426"/>
        <v>78</v>
      </c>
      <c r="X1650" s="4">
        <f t="shared" si="427"/>
        <v>78</v>
      </c>
      <c r="Y1650" s="4">
        <f t="shared" si="428"/>
        <v>39</v>
      </c>
      <c r="Z1650" s="4">
        <f t="shared" si="429"/>
        <v>39</v>
      </c>
      <c r="AA1650" s="102">
        <f t="shared" si="430"/>
        <v>39</v>
      </c>
      <c r="AC1650" s="100">
        <f t="shared" si="431"/>
        <v>0.9995141668527423</v>
      </c>
    </row>
    <row r="1651" spans="4:29" x14ac:dyDescent="0.35">
      <c r="D1651">
        <f t="shared" si="432"/>
        <v>1647</v>
      </c>
      <c r="E1651" s="101">
        <v>4</v>
      </c>
      <c r="F1651" s="4">
        <v>2</v>
      </c>
      <c r="G1651" s="4">
        <v>5</v>
      </c>
      <c r="H1651" s="4">
        <v>4</v>
      </c>
      <c r="I1651" s="4">
        <v>3</v>
      </c>
      <c r="J1651" s="4">
        <v>2</v>
      </c>
      <c r="K1651" s="102">
        <v>6</v>
      </c>
      <c r="M1651" s="101">
        <f t="shared" si="417"/>
        <v>12</v>
      </c>
      <c r="N1651" s="4">
        <f t="shared" si="418"/>
        <v>56</v>
      </c>
      <c r="O1651" s="4">
        <f t="shared" si="419"/>
        <v>30</v>
      </c>
      <c r="P1651" s="4">
        <f t="shared" si="420"/>
        <v>12</v>
      </c>
      <c r="Q1651" s="4">
        <f t="shared" si="421"/>
        <v>23</v>
      </c>
      <c r="R1651" s="4">
        <f t="shared" si="422"/>
        <v>56</v>
      </c>
      <c r="S1651" s="102">
        <f t="shared" si="423"/>
        <v>45</v>
      </c>
      <c r="U1651" s="101">
        <f t="shared" si="424"/>
        <v>9</v>
      </c>
      <c r="V1651" s="4">
        <f t="shared" si="425"/>
        <v>78</v>
      </c>
      <c r="W1651" s="4">
        <f t="shared" si="426"/>
        <v>39</v>
      </c>
      <c r="X1651" s="4">
        <f t="shared" si="427"/>
        <v>9</v>
      </c>
      <c r="Y1651" s="4">
        <f t="shared" si="428"/>
        <v>39</v>
      </c>
      <c r="Z1651" s="4">
        <f t="shared" si="429"/>
        <v>78</v>
      </c>
      <c r="AA1651" s="102">
        <f t="shared" si="430"/>
        <v>71</v>
      </c>
      <c r="AC1651" s="100">
        <f t="shared" si="431"/>
        <v>0.98325866061399225</v>
      </c>
    </row>
    <row r="1652" spans="4:29" x14ac:dyDescent="0.35">
      <c r="D1652">
        <f t="shared" si="432"/>
        <v>1648</v>
      </c>
      <c r="E1652" s="101">
        <v>2</v>
      </c>
      <c r="F1652" s="4">
        <v>1</v>
      </c>
      <c r="G1652" s="4">
        <v>5</v>
      </c>
      <c r="H1652" s="4">
        <v>2</v>
      </c>
      <c r="I1652" s="4">
        <v>3</v>
      </c>
      <c r="J1652" s="4">
        <v>4</v>
      </c>
      <c r="K1652" s="102">
        <v>7</v>
      </c>
      <c r="M1652" s="101">
        <f t="shared" si="417"/>
        <v>56</v>
      </c>
      <c r="N1652" s="4">
        <f t="shared" si="418"/>
        <v>34</v>
      </c>
      <c r="O1652" s="4">
        <f t="shared" si="419"/>
        <v>30</v>
      </c>
      <c r="P1652" s="4">
        <f t="shared" si="420"/>
        <v>56</v>
      </c>
      <c r="Q1652" s="4">
        <f t="shared" si="421"/>
        <v>23</v>
      </c>
      <c r="R1652" s="4">
        <f t="shared" si="422"/>
        <v>12</v>
      </c>
      <c r="S1652" s="102">
        <f t="shared" si="423"/>
        <v>29</v>
      </c>
      <c r="U1652" s="101">
        <f t="shared" si="424"/>
        <v>78</v>
      </c>
      <c r="V1652" s="4">
        <f t="shared" si="425"/>
        <v>46</v>
      </c>
      <c r="W1652" s="4">
        <f t="shared" si="426"/>
        <v>39</v>
      </c>
      <c r="X1652" s="4">
        <f t="shared" si="427"/>
        <v>78</v>
      </c>
      <c r="Y1652" s="4">
        <f t="shared" si="428"/>
        <v>39</v>
      </c>
      <c r="Z1652" s="4">
        <f t="shared" si="429"/>
        <v>9</v>
      </c>
      <c r="AA1652" s="102">
        <f t="shared" si="430"/>
        <v>41</v>
      </c>
      <c r="AC1652" s="100">
        <f t="shared" si="431"/>
        <v>0.98446461864207158</v>
      </c>
    </row>
    <row r="1653" spans="4:29" x14ac:dyDescent="0.35">
      <c r="D1653">
        <f t="shared" si="432"/>
        <v>1649</v>
      </c>
      <c r="E1653" s="101">
        <v>4</v>
      </c>
      <c r="F1653" s="4">
        <v>2</v>
      </c>
      <c r="G1653" s="4">
        <v>7</v>
      </c>
      <c r="H1653" s="4">
        <v>4</v>
      </c>
      <c r="I1653" s="4">
        <v>2</v>
      </c>
      <c r="J1653" s="4">
        <v>5</v>
      </c>
      <c r="K1653" s="102">
        <v>4</v>
      </c>
      <c r="M1653" s="101">
        <f t="shared" si="417"/>
        <v>12</v>
      </c>
      <c r="N1653" s="4">
        <f t="shared" si="418"/>
        <v>56</v>
      </c>
      <c r="O1653" s="4">
        <f t="shared" si="419"/>
        <v>29</v>
      </c>
      <c r="P1653" s="4">
        <f t="shared" si="420"/>
        <v>12</v>
      </c>
      <c r="Q1653" s="4">
        <f t="shared" si="421"/>
        <v>56</v>
      </c>
      <c r="R1653" s="4">
        <f t="shared" si="422"/>
        <v>30</v>
      </c>
      <c r="S1653" s="102">
        <f t="shared" si="423"/>
        <v>12</v>
      </c>
      <c r="U1653" s="101">
        <f t="shared" si="424"/>
        <v>9</v>
      </c>
      <c r="V1653" s="4">
        <f t="shared" si="425"/>
        <v>78</v>
      </c>
      <c r="W1653" s="4">
        <f t="shared" si="426"/>
        <v>41</v>
      </c>
      <c r="X1653" s="4">
        <f t="shared" si="427"/>
        <v>9</v>
      </c>
      <c r="Y1653" s="4">
        <f t="shared" si="428"/>
        <v>78</v>
      </c>
      <c r="Z1653" s="4">
        <f t="shared" si="429"/>
        <v>39</v>
      </c>
      <c r="AA1653" s="102">
        <f t="shared" si="430"/>
        <v>9</v>
      </c>
      <c r="AC1653" s="100">
        <f t="shared" si="431"/>
        <v>0.99786603158483611</v>
      </c>
    </row>
    <row r="1654" spans="4:29" x14ac:dyDescent="0.35">
      <c r="D1654">
        <f t="shared" si="432"/>
        <v>1650</v>
      </c>
      <c r="E1654" s="101">
        <v>3</v>
      </c>
      <c r="F1654" s="4">
        <v>1</v>
      </c>
      <c r="G1654" s="4">
        <v>3</v>
      </c>
      <c r="H1654" s="4">
        <v>6</v>
      </c>
      <c r="I1654" s="4">
        <v>4</v>
      </c>
      <c r="J1654" s="4">
        <v>6</v>
      </c>
      <c r="K1654" s="102">
        <v>6</v>
      </c>
      <c r="M1654" s="101">
        <f t="shared" si="417"/>
        <v>23</v>
      </c>
      <c r="N1654" s="4">
        <f t="shared" si="418"/>
        <v>34</v>
      </c>
      <c r="O1654" s="4">
        <f t="shared" si="419"/>
        <v>23</v>
      </c>
      <c r="P1654" s="4">
        <f t="shared" si="420"/>
        <v>45</v>
      </c>
      <c r="Q1654" s="4">
        <f t="shared" si="421"/>
        <v>12</v>
      </c>
      <c r="R1654" s="4">
        <f t="shared" si="422"/>
        <v>45</v>
      </c>
      <c r="S1654" s="102">
        <f t="shared" si="423"/>
        <v>45</v>
      </c>
      <c r="U1654" s="101">
        <f t="shared" si="424"/>
        <v>39</v>
      </c>
      <c r="V1654" s="4">
        <f t="shared" si="425"/>
        <v>46</v>
      </c>
      <c r="W1654" s="4">
        <f t="shared" si="426"/>
        <v>39</v>
      </c>
      <c r="X1654" s="4">
        <f t="shared" si="427"/>
        <v>71</v>
      </c>
      <c r="Y1654" s="4">
        <f t="shared" si="428"/>
        <v>9</v>
      </c>
      <c r="Z1654" s="4">
        <f t="shared" si="429"/>
        <v>71</v>
      </c>
      <c r="AA1654" s="102">
        <f t="shared" si="430"/>
        <v>71</v>
      </c>
      <c r="AC1654" s="100">
        <f t="shared" si="431"/>
        <v>0.97947034755230244</v>
      </c>
    </row>
    <row r="1655" spans="4:29" x14ac:dyDescent="0.35">
      <c r="D1655">
        <f t="shared" si="432"/>
        <v>1651</v>
      </c>
      <c r="E1655" s="101">
        <v>6</v>
      </c>
      <c r="F1655" s="4">
        <v>6</v>
      </c>
      <c r="G1655" s="4">
        <v>7</v>
      </c>
      <c r="H1655" s="4">
        <v>5</v>
      </c>
      <c r="I1655" s="4">
        <v>1</v>
      </c>
      <c r="J1655" s="4">
        <v>6</v>
      </c>
      <c r="K1655" s="102">
        <v>5</v>
      </c>
      <c r="M1655" s="101">
        <f t="shared" si="417"/>
        <v>45</v>
      </c>
      <c r="N1655" s="4">
        <f t="shared" si="418"/>
        <v>45</v>
      </c>
      <c r="O1655" s="4">
        <f t="shared" si="419"/>
        <v>29</v>
      </c>
      <c r="P1655" s="4">
        <f t="shared" si="420"/>
        <v>30</v>
      </c>
      <c r="Q1655" s="4">
        <f t="shared" si="421"/>
        <v>34</v>
      </c>
      <c r="R1655" s="4">
        <f t="shared" si="422"/>
        <v>45</v>
      </c>
      <c r="S1655" s="102">
        <f t="shared" si="423"/>
        <v>30</v>
      </c>
      <c r="U1655" s="101">
        <f t="shared" si="424"/>
        <v>71</v>
      </c>
      <c r="V1655" s="4">
        <f t="shared" si="425"/>
        <v>71</v>
      </c>
      <c r="W1655" s="4">
        <f t="shared" si="426"/>
        <v>41</v>
      </c>
      <c r="X1655" s="4">
        <f t="shared" si="427"/>
        <v>39</v>
      </c>
      <c r="Y1655" s="4">
        <f t="shared" si="428"/>
        <v>46</v>
      </c>
      <c r="Z1655" s="4">
        <f t="shared" si="429"/>
        <v>71</v>
      </c>
      <c r="AA1655" s="102">
        <f t="shared" si="430"/>
        <v>39</v>
      </c>
      <c r="AC1655" s="100">
        <f t="shared" si="431"/>
        <v>0.99472982612106986</v>
      </c>
    </row>
    <row r="1656" spans="4:29" x14ac:dyDescent="0.35">
      <c r="D1656">
        <f t="shared" si="432"/>
        <v>1652</v>
      </c>
      <c r="E1656" s="101">
        <v>6</v>
      </c>
      <c r="F1656" s="4">
        <v>3</v>
      </c>
      <c r="G1656" s="4">
        <v>5</v>
      </c>
      <c r="H1656" s="4">
        <v>7</v>
      </c>
      <c r="I1656" s="4">
        <v>7</v>
      </c>
      <c r="J1656" s="4">
        <v>1</v>
      </c>
      <c r="K1656" s="102">
        <v>1</v>
      </c>
      <c r="M1656" s="101">
        <f t="shared" si="417"/>
        <v>45</v>
      </c>
      <c r="N1656" s="4">
        <f t="shared" si="418"/>
        <v>23</v>
      </c>
      <c r="O1656" s="4">
        <f t="shared" si="419"/>
        <v>30</v>
      </c>
      <c r="P1656" s="4">
        <f t="shared" si="420"/>
        <v>29</v>
      </c>
      <c r="Q1656" s="4">
        <f t="shared" si="421"/>
        <v>29</v>
      </c>
      <c r="R1656" s="4">
        <f t="shared" si="422"/>
        <v>34</v>
      </c>
      <c r="S1656" s="102">
        <f t="shared" si="423"/>
        <v>34</v>
      </c>
      <c r="U1656" s="101">
        <f t="shared" si="424"/>
        <v>71</v>
      </c>
      <c r="V1656" s="4">
        <f t="shared" si="425"/>
        <v>39</v>
      </c>
      <c r="W1656" s="4">
        <f t="shared" si="426"/>
        <v>39</v>
      </c>
      <c r="X1656" s="4">
        <f t="shared" si="427"/>
        <v>41</v>
      </c>
      <c r="Y1656" s="4">
        <f t="shared" si="428"/>
        <v>41</v>
      </c>
      <c r="Z1656" s="4">
        <f t="shared" si="429"/>
        <v>46</v>
      </c>
      <c r="AA1656" s="102">
        <f t="shared" si="430"/>
        <v>46</v>
      </c>
      <c r="AC1656" s="100">
        <f t="shared" si="431"/>
        <v>0.92865653364747147</v>
      </c>
    </row>
    <row r="1657" spans="4:29" x14ac:dyDescent="0.35">
      <c r="D1657">
        <f t="shared" si="432"/>
        <v>1653</v>
      </c>
      <c r="E1657" s="101">
        <v>2</v>
      </c>
      <c r="F1657" s="4">
        <v>6</v>
      </c>
      <c r="G1657" s="4">
        <v>1</v>
      </c>
      <c r="H1657" s="4">
        <v>7</v>
      </c>
      <c r="I1657" s="4">
        <v>7</v>
      </c>
      <c r="J1657" s="4">
        <v>6</v>
      </c>
      <c r="K1657" s="102">
        <v>1</v>
      </c>
      <c r="M1657" s="101">
        <f t="shared" si="417"/>
        <v>56</v>
      </c>
      <c r="N1657" s="4">
        <f t="shared" si="418"/>
        <v>45</v>
      </c>
      <c r="O1657" s="4">
        <f t="shared" si="419"/>
        <v>34</v>
      </c>
      <c r="P1657" s="4">
        <f t="shared" si="420"/>
        <v>29</v>
      </c>
      <c r="Q1657" s="4">
        <f t="shared" si="421"/>
        <v>29</v>
      </c>
      <c r="R1657" s="4">
        <f t="shared" si="422"/>
        <v>45</v>
      </c>
      <c r="S1657" s="102">
        <f t="shared" si="423"/>
        <v>34</v>
      </c>
      <c r="U1657" s="101">
        <f t="shared" si="424"/>
        <v>78</v>
      </c>
      <c r="V1657" s="4">
        <f t="shared" si="425"/>
        <v>71</v>
      </c>
      <c r="W1657" s="4">
        <f t="shared" si="426"/>
        <v>46</v>
      </c>
      <c r="X1657" s="4">
        <f t="shared" si="427"/>
        <v>41</v>
      </c>
      <c r="Y1657" s="4">
        <f t="shared" si="428"/>
        <v>41</v>
      </c>
      <c r="Z1657" s="4">
        <f t="shared" si="429"/>
        <v>71</v>
      </c>
      <c r="AA1657" s="102">
        <f t="shared" si="430"/>
        <v>46</v>
      </c>
      <c r="AC1657" s="100">
        <f t="shared" si="431"/>
        <v>0.97030742710989248</v>
      </c>
    </row>
    <row r="1658" spans="4:29" x14ac:dyDescent="0.35">
      <c r="D1658">
        <f t="shared" si="432"/>
        <v>1654</v>
      </c>
      <c r="E1658" s="101">
        <v>7</v>
      </c>
      <c r="F1658" s="4">
        <v>7</v>
      </c>
      <c r="G1658" s="4">
        <v>6</v>
      </c>
      <c r="H1658" s="4">
        <v>4</v>
      </c>
      <c r="I1658" s="4">
        <v>1</v>
      </c>
      <c r="J1658" s="4">
        <v>4</v>
      </c>
      <c r="K1658" s="102">
        <v>7</v>
      </c>
      <c r="M1658" s="101">
        <f t="shared" si="417"/>
        <v>29</v>
      </c>
      <c r="N1658" s="4">
        <f t="shared" si="418"/>
        <v>29</v>
      </c>
      <c r="O1658" s="4">
        <f t="shared" si="419"/>
        <v>45</v>
      </c>
      <c r="P1658" s="4">
        <f t="shared" si="420"/>
        <v>12</v>
      </c>
      <c r="Q1658" s="4">
        <f t="shared" si="421"/>
        <v>34</v>
      </c>
      <c r="R1658" s="4">
        <f t="shared" si="422"/>
        <v>12</v>
      </c>
      <c r="S1658" s="102">
        <f t="shared" si="423"/>
        <v>29</v>
      </c>
      <c r="U1658" s="101">
        <f t="shared" si="424"/>
        <v>41</v>
      </c>
      <c r="V1658" s="4">
        <f t="shared" si="425"/>
        <v>41</v>
      </c>
      <c r="W1658" s="4">
        <f t="shared" si="426"/>
        <v>71</v>
      </c>
      <c r="X1658" s="4">
        <f t="shared" si="427"/>
        <v>9</v>
      </c>
      <c r="Y1658" s="4">
        <f t="shared" si="428"/>
        <v>46</v>
      </c>
      <c r="Z1658" s="4">
        <f t="shared" si="429"/>
        <v>9</v>
      </c>
      <c r="AA1658" s="102">
        <f t="shared" si="430"/>
        <v>41</v>
      </c>
      <c r="AC1658" s="100">
        <f t="shared" si="431"/>
        <v>0.9973161116857403</v>
      </c>
    </row>
    <row r="1659" spans="4:29" x14ac:dyDescent="0.35">
      <c r="D1659">
        <f t="shared" si="432"/>
        <v>1655</v>
      </c>
      <c r="E1659" s="101">
        <v>3</v>
      </c>
      <c r="F1659" s="4">
        <v>6</v>
      </c>
      <c r="G1659" s="4">
        <v>2</v>
      </c>
      <c r="H1659" s="4">
        <v>1</v>
      </c>
      <c r="I1659" s="4">
        <v>6</v>
      </c>
      <c r="J1659" s="4">
        <v>2</v>
      </c>
      <c r="K1659" s="102">
        <v>6</v>
      </c>
      <c r="M1659" s="101">
        <f t="shared" si="417"/>
        <v>23</v>
      </c>
      <c r="N1659" s="4">
        <f t="shared" si="418"/>
        <v>45</v>
      </c>
      <c r="O1659" s="4">
        <f t="shared" si="419"/>
        <v>56</v>
      </c>
      <c r="P1659" s="4">
        <f t="shared" si="420"/>
        <v>34</v>
      </c>
      <c r="Q1659" s="4">
        <f t="shared" si="421"/>
        <v>45</v>
      </c>
      <c r="R1659" s="4">
        <f t="shared" si="422"/>
        <v>56</v>
      </c>
      <c r="S1659" s="102">
        <f t="shared" si="423"/>
        <v>45</v>
      </c>
      <c r="U1659" s="101">
        <f t="shared" si="424"/>
        <v>39</v>
      </c>
      <c r="V1659" s="4">
        <f t="shared" si="425"/>
        <v>71</v>
      </c>
      <c r="W1659" s="4">
        <f t="shared" si="426"/>
        <v>78</v>
      </c>
      <c r="X1659" s="4">
        <f t="shared" si="427"/>
        <v>46</v>
      </c>
      <c r="Y1659" s="4">
        <f t="shared" si="428"/>
        <v>71</v>
      </c>
      <c r="Z1659" s="4">
        <f t="shared" si="429"/>
        <v>78</v>
      </c>
      <c r="AA1659" s="102">
        <f t="shared" si="430"/>
        <v>71</v>
      </c>
      <c r="AC1659" s="100">
        <f t="shared" si="431"/>
        <v>0.96052881629673981</v>
      </c>
    </row>
    <row r="1660" spans="4:29" x14ac:dyDescent="0.35">
      <c r="D1660">
        <f t="shared" si="432"/>
        <v>1656</v>
      </c>
      <c r="E1660" s="101">
        <v>6</v>
      </c>
      <c r="F1660" s="4">
        <v>7</v>
      </c>
      <c r="G1660" s="4">
        <v>6</v>
      </c>
      <c r="H1660" s="4">
        <v>1</v>
      </c>
      <c r="I1660" s="4">
        <v>6</v>
      </c>
      <c r="J1660" s="4">
        <v>5</v>
      </c>
      <c r="K1660" s="102">
        <v>1</v>
      </c>
      <c r="M1660" s="101">
        <f t="shared" si="417"/>
        <v>45</v>
      </c>
      <c r="N1660" s="4">
        <f t="shared" si="418"/>
        <v>29</v>
      </c>
      <c r="O1660" s="4">
        <f t="shared" si="419"/>
        <v>45</v>
      </c>
      <c r="P1660" s="4">
        <f t="shared" si="420"/>
        <v>34</v>
      </c>
      <c r="Q1660" s="4">
        <f t="shared" si="421"/>
        <v>45</v>
      </c>
      <c r="R1660" s="4">
        <f t="shared" si="422"/>
        <v>30</v>
      </c>
      <c r="S1660" s="102">
        <f t="shared" si="423"/>
        <v>34</v>
      </c>
      <c r="U1660" s="101">
        <f t="shared" si="424"/>
        <v>71</v>
      </c>
      <c r="V1660" s="4">
        <f t="shared" si="425"/>
        <v>41</v>
      </c>
      <c r="W1660" s="4">
        <f t="shared" si="426"/>
        <v>71</v>
      </c>
      <c r="X1660" s="4">
        <f t="shared" si="427"/>
        <v>46</v>
      </c>
      <c r="Y1660" s="4">
        <f t="shared" si="428"/>
        <v>71</v>
      </c>
      <c r="Z1660" s="4">
        <f t="shared" si="429"/>
        <v>39</v>
      </c>
      <c r="AA1660" s="102">
        <f t="shared" si="430"/>
        <v>46</v>
      </c>
      <c r="AC1660" s="100">
        <f t="shared" si="431"/>
        <v>0.99281606240564879</v>
      </c>
    </row>
    <row r="1661" spans="4:29" x14ac:dyDescent="0.35">
      <c r="D1661">
        <f t="shared" si="432"/>
        <v>1657</v>
      </c>
      <c r="E1661" s="101">
        <v>5</v>
      </c>
      <c r="F1661" s="4">
        <v>5</v>
      </c>
      <c r="G1661" s="4">
        <v>3</v>
      </c>
      <c r="H1661" s="4">
        <v>1</v>
      </c>
      <c r="I1661" s="4">
        <v>5</v>
      </c>
      <c r="J1661" s="4">
        <v>4</v>
      </c>
      <c r="K1661" s="102">
        <v>6</v>
      </c>
      <c r="M1661" s="101">
        <f t="shared" si="417"/>
        <v>30</v>
      </c>
      <c r="N1661" s="4">
        <f t="shared" si="418"/>
        <v>30</v>
      </c>
      <c r="O1661" s="4">
        <f t="shared" si="419"/>
        <v>23</v>
      </c>
      <c r="P1661" s="4">
        <f t="shared" si="420"/>
        <v>34</v>
      </c>
      <c r="Q1661" s="4">
        <f t="shared" si="421"/>
        <v>30</v>
      </c>
      <c r="R1661" s="4">
        <f t="shared" si="422"/>
        <v>12</v>
      </c>
      <c r="S1661" s="102">
        <f t="shared" si="423"/>
        <v>45</v>
      </c>
      <c r="U1661" s="101">
        <f t="shared" si="424"/>
        <v>39</v>
      </c>
      <c r="V1661" s="4">
        <f t="shared" si="425"/>
        <v>39</v>
      </c>
      <c r="W1661" s="4">
        <f t="shared" si="426"/>
        <v>39</v>
      </c>
      <c r="X1661" s="4">
        <f t="shared" si="427"/>
        <v>46</v>
      </c>
      <c r="Y1661" s="4">
        <f t="shared" si="428"/>
        <v>39</v>
      </c>
      <c r="Z1661" s="4">
        <f t="shared" si="429"/>
        <v>9</v>
      </c>
      <c r="AA1661" s="102">
        <f t="shared" si="430"/>
        <v>71</v>
      </c>
      <c r="AC1661" s="100">
        <f t="shared" si="431"/>
        <v>0.96605632234138816</v>
      </c>
    </row>
    <row r="1662" spans="4:29" x14ac:dyDescent="0.35">
      <c r="D1662">
        <f t="shared" si="432"/>
        <v>1658</v>
      </c>
      <c r="E1662" s="101">
        <v>2</v>
      </c>
      <c r="F1662" s="4">
        <v>1</v>
      </c>
      <c r="G1662" s="4">
        <v>6</v>
      </c>
      <c r="H1662" s="4">
        <v>4</v>
      </c>
      <c r="I1662" s="4">
        <v>2</v>
      </c>
      <c r="J1662" s="4">
        <v>5</v>
      </c>
      <c r="K1662" s="102">
        <v>3</v>
      </c>
      <c r="M1662" s="101">
        <f t="shared" si="417"/>
        <v>56</v>
      </c>
      <c r="N1662" s="4">
        <f t="shared" si="418"/>
        <v>34</v>
      </c>
      <c r="O1662" s="4">
        <f t="shared" si="419"/>
        <v>45</v>
      </c>
      <c r="P1662" s="4">
        <f t="shared" si="420"/>
        <v>12</v>
      </c>
      <c r="Q1662" s="4">
        <f t="shared" si="421"/>
        <v>56</v>
      </c>
      <c r="R1662" s="4">
        <f t="shared" si="422"/>
        <v>30</v>
      </c>
      <c r="S1662" s="102">
        <f t="shared" si="423"/>
        <v>23</v>
      </c>
      <c r="U1662" s="101">
        <f t="shared" si="424"/>
        <v>78</v>
      </c>
      <c r="V1662" s="4">
        <f t="shared" si="425"/>
        <v>46</v>
      </c>
      <c r="W1662" s="4">
        <f t="shared" si="426"/>
        <v>71</v>
      </c>
      <c r="X1662" s="4">
        <f t="shared" si="427"/>
        <v>9</v>
      </c>
      <c r="Y1662" s="4">
        <f t="shared" si="428"/>
        <v>78</v>
      </c>
      <c r="Z1662" s="4">
        <f t="shared" si="429"/>
        <v>39</v>
      </c>
      <c r="AA1662" s="102">
        <f t="shared" si="430"/>
        <v>39</v>
      </c>
      <c r="AC1662" s="100">
        <f t="shared" si="431"/>
        <v>0.97891074760359642</v>
      </c>
    </row>
    <row r="1663" spans="4:29" x14ac:dyDescent="0.35">
      <c r="D1663">
        <f t="shared" si="432"/>
        <v>1659</v>
      </c>
      <c r="E1663" s="101">
        <v>1</v>
      </c>
      <c r="F1663" s="4">
        <v>6</v>
      </c>
      <c r="G1663" s="4">
        <v>7</v>
      </c>
      <c r="H1663" s="4">
        <v>7</v>
      </c>
      <c r="I1663" s="4">
        <v>4</v>
      </c>
      <c r="J1663" s="4">
        <v>7</v>
      </c>
      <c r="K1663" s="102">
        <v>5</v>
      </c>
      <c r="M1663" s="101">
        <f t="shared" si="417"/>
        <v>34</v>
      </c>
      <c r="N1663" s="4">
        <f t="shared" si="418"/>
        <v>45</v>
      </c>
      <c r="O1663" s="4">
        <f t="shared" si="419"/>
        <v>29</v>
      </c>
      <c r="P1663" s="4">
        <f t="shared" si="420"/>
        <v>29</v>
      </c>
      <c r="Q1663" s="4">
        <f t="shared" si="421"/>
        <v>12</v>
      </c>
      <c r="R1663" s="4">
        <f t="shared" si="422"/>
        <v>29</v>
      </c>
      <c r="S1663" s="102">
        <f t="shared" si="423"/>
        <v>30</v>
      </c>
      <c r="U1663" s="101">
        <f t="shared" si="424"/>
        <v>46</v>
      </c>
      <c r="V1663" s="4">
        <f t="shared" si="425"/>
        <v>71</v>
      </c>
      <c r="W1663" s="4">
        <f t="shared" si="426"/>
        <v>41</v>
      </c>
      <c r="X1663" s="4">
        <f t="shared" si="427"/>
        <v>41</v>
      </c>
      <c r="Y1663" s="4">
        <f t="shared" si="428"/>
        <v>9</v>
      </c>
      <c r="Z1663" s="4">
        <f t="shared" si="429"/>
        <v>41</v>
      </c>
      <c r="AA1663" s="102">
        <f t="shared" si="430"/>
        <v>39</v>
      </c>
      <c r="AC1663" s="100">
        <f t="shared" si="431"/>
        <v>0.99393837458475109</v>
      </c>
    </row>
    <row r="1664" spans="4:29" x14ac:dyDescent="0.35">
      <c r="D1664">
        <f t="shared" si="432"/>
        <v>1660</v>
      </c>
      <c r="E1664" s="101">
        <v>3</v>
      </c>
      <c r="F1664" s="4">
        <v>6</v>
      </c>
      <c r="G1664" s="4">
        <v>7</v>
      </c>
      <c r="H1664" s="4">
        <v>7</v>
      </c>
      <c r="I1664" s="4">
        <v>2</v>
      </c>
      <c r="J1664" s="4">
        <v>5</v>
      </c>
      <c r="K1664" s="102">
        <v>1</v>
      </c>
      <c r="M1664" s="101">
        <f t="shared" si="417"/>
        <v>23</v>
      </c>
      <c r="N1664" s="4">
        <f t="shared" si="418"/>
        <v>45</v>
      </c>
      <c r="O1664" s="4">
        <f t="shared" si="419"/>
        <v>29</v>
      </c>
      <c r="P1664" s="4">
        <f t="shared" si="420"/>
        <v>29</v>
      </c>
      <c r="Q1664" s="4">
        <f t="shared" si="421"/>
        <v>56</v>
      </c>
      <c r="R1664" s="4">
        <f t="shared" si="422"/>
        <v>30</v>
      </c>
      <c r="S1664" s="102">
        <f t="shared" si="423"/>
        <v>34</v>
      </c>
      <c r="U1664" s="101">
        <f t="shared" si="424"/>
        <v>39</v>
      </c>
      <c r="V1664" s="4">
        <f t="shared" si="425"/>
        <v>71</v>
      </c>
      <c r="W1664" s="4">
        <f t="shared" si="426"/>
        <v>41</v>
      </c>
      <c r="X1664" s="4">
        <f t="shared" si="427"/>
        <v>41</v>
      </c>
      <c r="Y1664" s="4">
        <f t="shared" si="428"/>
        <v>78</v>
      </c>
      <c r="Z1664" s="4">
        <f t="shared" si="429"/>
        <v>39</v>
      </c>
      <c r="AA1664" s="102">
        <f t="shared" si="430"/>
        <v>46</v>
      </c>
      <c r="AC1664" s="100">
        <f t="shared" si="431"/>
        <v>0.96710026273565708</v>
      </c>
    </row>
    <row r="1665" spans="4:29" x14ac:dyDescent="0.35">
      <c r="D1665">
        <f t="shared" si="432"/>
        <v>1661</v>
      </c>
      <c r="E1665" s="101">
        <v>3</v>
      </c>
      <c r="F1665" s="4">
        <v>6</v>
      </c>
      <c r="G1665" s="4">
        <v>5</v>
      </c>
      <c r="H1665" s="4">
        <v>1</v>
      </c>
      <c r="I1665" s="4">
        <v>6</v>
      </c>
      <c r="J1665" s="4">
        <v>5</v>
      </c>
      <c r="K1665" s="102">
        <v>5</v>
      </c>
      <c r="M1665" s="101">
        <f t="shared" si="417"/>
        <v>23</v>
      </c>
      <c r="N1665" s="4">
        <f t="shared" si="418"/>
        <v>45</v>
      </c>
      <c r="O1665" s="4">
        <f t="shared" si="419"/>
        <v>30</v>
      </c>
      <c r="P1665" s="4">
        <f t="shared" si="420"/>
        <v>34</v>
      </c>
      <c r="Q1665" s="4">
        <f t="shared" si="421"/>
        <v>45</v>
      </c>
      <c r="R1665" s="4">
        <f t="shared" si="422"/>
        <v>30</v>
      </c>
      <c r="S1665" s="102">
        <f t="shared" si="423"/>
        <v>30</v>
      </c>
      <c r="U1665" s="101">
        <f t="shared" si="424"/>
        <v>39</v>
      </c>
      <c r="V1665" s="4">
        <f t="shared" si="425"/>
        <v>71</v>
      </c>
      <c r="W1665" s="4">
        <f t="shared" si="426"/>
        <v>39</v>
      </c>
      <c r="X1665" s="4">
        <f t="shared" si="427"/>
        <v>46</v>
      </c>
      <c r="Y1665" s="4">
        <f t="shared" si="428"/>
        <v>71</v>
      </c>
      <c r="Z1665" s="4">
        <f t="shared" si="429"/>
        <v>39</v>
      </c>
      <c r="AA1665" s="102">
        <f t="shared" si="430"/>
        <v>39</v>
      </c>
      <c r="AC1665" s="100">
        <f t="shared" si="431"/>
        <v>0.94950058121073755</v>
      </c>
    </row>
    <row r="1666" spans="4:29" x14ac:dyDescent="0.35">
      <c r="D1666">
        <f t="shared" si="432"/>
        <v>1662</v>
      </c>
      <c r="E1666" s="101">
        <v>3</v>
      </c>
      <c r="F1666" s="4">
        <v>4</v>
      </c>
      <c r="G1666" s="4">
        <v>3</v>
      </c>
      <c r="H1666" s="4">
        <v>5</v>
      </c>
      <c r="I1666" s="4">
        <v>2</v>
      </c>
      <c r="J1666" s="4">
        <v>5</v>
      </c>
      <c r="K1666" s="102">
        <v>7</v>
      </c>
      <c r="M1666" s="101">
        <f t="shared" si="417"/>
        <v>23</v>
      </c>
      <c r="N1666" s="4">
        <f t="shared" si="418"/>
        <v>12</v>
      </c>
      <c r="O1666" s="4">
        <f t="shared" si="419"/>
        <v>23</v>
      </c>
      <c r="P1666" s="4">
        <f t="shared" si="420"/>
        <v>30</v>
      </c>
      <c r="Q1666" s="4">
        <f t="shared" si="421"/>
        <v>56</v>
      </c>
      <c r="R1666" s="4">
        <f t="shared" si="422"/>
        <v>30</v>
      </c>
      <c r="S1666" s="102">
        <f t="shared" si="423"/>
        <v>29</v>
      </c>
      <c r="U1666" s="101">
        <f t="shared" si="424"/>
        <v>39</v>
      </c>
      <c r="V1666" s="4">
        <f t="shared" si="425"/>
        <v>9</v>
      </c>
      <c r="W1666" s="4">
        <f t="shared" si="426"/>
        <v>39</v>
      </c>
      <c r="X1666" s="4">
        <f t="shared" si="427"/>
        <v>39</v>
      </c>
      <c r="Y1666" s="4">
        <f t="shared" si="428"/>
        <v>78</v>
      </c>
      <c r="Z1666" s="4">
        <f t="shared" si="429"/>
        <v>39</v>
      </c>
      <c r="AA1666" s="102">
        <f t="shared" si="430"/>
        <v>41</v>
      </c>
      <c r="AC1666" s="100">
        <f t="shared" si="431"/>
        <v>0.96392930572635716</v>
      </c>
    </row>
    <row r="1667" spans="4:29" x14ac:dyDescent="0.35">
      <c r="D1667">
        <f t="shared" si="432"/>
        <v>1663</v>
      </c>
      <c r="E1667" s="101">
        <v>1</v>
      </c>
      <c r="F1667" s="4">
        <v>7</v>
      </c>
      <c r="G1667" s="4">
        <v>3</v>
      </c>
      <c r="H1667" s="4">
        <v>2</v>
      </c>
      <c r="I1667" s="4">
        <v>3</v>
      </c>
      <c r="J1667" s="4">
        <v>6</v>
      </c>
      <c r="K1667" s="102">
        <v>3</v>
      </c>
      <c r="M1667" s="101">
        <f t="shared" si="417"/>
        <v>34</v>
      </c>
      <c r="N1667" s="4">
        <f t="shared" si="418"/>
        <v>29</v>
      </c>
      <c r="O1667" s="4">
        <f t="shared" si="419"/>
        <v>23</v>
      </c>
      <c r="P1667" s="4">
        <f t="shared" si="420"/>
        <v>56</v>
      </c>
      <c r="Q1667" s="4">
        <f t="shared" si="421"/>
        <v>23</v>
      </c>
      <c r="R1667" s="4">
        <f t="shared" si="422"/>
        <v>45</v>
      </c>
      <c r="S1667" s="102">
        <f t="shared" si="423"/>
        <v>23</v>
      </c>
      <c r="U1667" s="101">
        <f t="shared" si="424"/>
        <v>46</v>
      </c>
      <c r="V1667" s="4">
        <f t="shared" si="425"/>
        <v>41</v>
      </c>
      <c r="W1667" s="4">
        <f t="shared" si="426"/>
        <v>39</v>
      </c>
      <c r="X1667" s="4">
        <f t="shared" si="427"/>
        <v>78</v>
      </c>
      <c r="Y1667" s="4">
        <f t="shared" si="428"/>
        <v>39</v>
      </c>
      <c r="Z1667" s="4">
        <f t="shared" si="429"/>
        <v>71</v>
      </c>
      <c r="AA1667" s="102">
        <f t="shared" si="430"/>
        <v>39</v>
      </c>
      <c r="AC1667" s="100">
        <f t="shared" si="431"/>
        <v>0.97399832533095632</v>
      </c>
    </row>
    <row r="1668" spans="4:29" x14ac:dyDescent="0.35">
      <c r="D1668">
        <f t="shared" si="432"/>
        <v>1664</v>
      </c>
      <c r="E1668" s="101">
        <v>4</v>
      </c>
      <c r="F1668" s="4">
        <v>6</v>
      </c>
      <c r="G1668" s="4">
        <v>7</v>
      </c>
      <c r="H1668" s="4">
        <v>7</v>
      </c>
      <c r="I1668" s="4">
        <v>6</v>
      </c>
      <c r="J1668" s="4">
        <v>2</v>
      </c>
      <c r="K1668" s="102">
        <v>7</v>
      </c>
      <c r="M1668" s="101">
        <f t="shared" si="417"/>
        <v>12</v>
      </c>
      <c r="N1668" s="4">
        <f t="shared" si="418"/>
        <v>45</v>
      </c>
      <c r="O1668" s="4">
        <f t="shared" si="419"/>
        <v>29</v>
      </c>
      <c r="P1668" s="4">
        <f t="shared" si="420"/>
        <v>29</v>
      </c>
      <c r="Q1668" s="4">
        <f t="shared" si="421"/>
        <v>45</v>
      </c>
      <c r="R1668" s="4">
        <f t="shared" si="422"/>
        <v>56</v>
      </c>
      <c r="S1668" s="102">
        <f t="shared" si="423"/>
        <v>29</v>
      </c>
      <c r="U1668" s="101">
        <f t="shared" si="424"/>
        <v>9</v>
      </c>
      <c r="V1668" s="4">
        <f t="shared" si="425"/>
        <v>71</v>
      </c>
      <c r="W1668" s="4">
        <f t="shared" si="426"/>
        <v>41</v>
      </c>
      <c r="X1668" s="4">
        <f t="shared" si="427"/>
        <v>41</v>
      </c>
      <c r="Y1668" s="4">
        <f t="shared" si="428"/>
        <v>71</v>
      </c>
      <c r="Z1668" s="4">
        <f t="shared" si="429"/>
        <v>78</v>
      </c>
      <c r="AA1668" s="102">
        <f t="shared" si="430"/>
        <v>41</v>
      </c>
      <c r="AC1668" s="100">
        <f t="shared" si="431"/>
        <v>0.98655525088635332</v>
      </c>
    </row>
    <row r="1669" spans="4:29" x14ac:dyDescent="0.35">
      <c r="D1669">
        <f t="shared" si="432"/>
        <v>1665</v>
      </c>
      <c r="E1669" s="101">
        <v>6</v>
      </c>
      <c r="F1669" s="4">
        <v>6</v>
      </c>
      <c r="G1669" s="4">
        <v>5</v>
      </c>
      <c r="H1669" s="4">
        <v>5</v>
      </c>
      <c r="I1669" s="4">
        <v>5</v>
      </c>
      <c r="J1669" s="4">
        <v>6</v>
      </c>
      <c r="K1669" s="102">
        <v>1</v>
      </c>
      <c r="M1669" s="101">
        <f t="shared" si="417"/>
        <v>45</v>
      </c>
      <c r="N1669" s="4">
        <f t="shared" si="418"/>
        <v>45</v>
      </c>
      <c r="O1669" s="4">
        <f t="shared" si="419"/>
        <v>30</v>
      </c>
      <c r="P1669" s="4">
        <f t="shared" si="420"/>
        <v>30</v>
      </c>
      <c r="Q1669" s="4">
        <f t="shared" si="421"/>
        <v>30</v>
      </c>
      <c r="R1669" s="4">
        <f t="shared" si="422"/>
        <v>45</v>
      </c>
      <c r="S1669" s="102">
        <f t="shared" si="423"/>
        <v>34</v>
      </c>
      <c r="U1669" s="101">
        <f t="shared" si="424"/>
        <v>71</v>
      </c>
      <c r="V1669" s="4">
        <f t="shared" si="425"/>
        <v>71</v>
      </c>
      <c r="W1669" s="4">
        <f t="shared" si="426"/>
        <v>39</v>
      </c>
      <c r="X1669" s="4">
        <f t="shared" si="427"/>
        <v>39</v>
      </c>
      <c r="Y1669" s="4">
        <f t="shared" si="428"/>
        <v>39</v>
      </c>
      <c r="Z1669" s="4">
        <f t="shared" si="429"/>
        <v>71</v>
      </c>
      <c r="AA1669" s="102">
        <f t="shared" si="430"/>
        <v>46</v>
      </c>
      <c r="AC1669" s="100">
        <f t="shared" si="431"/>
        <v>0.99939111938024827</v>
      </c>
    </row>
    <row r="1670" spans="4:29" x14ac:dyDescent="0.35">
      <c r="D1670">
        <f t="shared" si="432"/>
        <v>1666</v>
      </c>
      <c r="E1670" s="101">
        <v>1</v>
      </c>
      <c r="F1670" s="4">
        <v>1</v>
      </c>
      <c r="G1670" s="4">
        <v>2</v>
      </c>
      <c r="H1670" s="4">
        <v>6</v>
      </c>
      <c r="I1670" s="4">
        <v>5</v>
      </c>
      <c r="J1670" s="4">
        <v>3</v>
      </c>
      <c r="K1670" s="102">
        <v>6</v>
      </c>
      <c r="M1670" s="101">
        <f t="shared" ref="M1670:M1733" si="433">INDEX($A$5:$A$11,E1670)</f>
        <v>34</v>
      </c>
      <c r="N1670" s="4">
        <f t="shared" ref="N1670:N1733" si="434">INDEX($A$5:$A$11,F1670)</f>
        <v>34</v>
      </c>
      <c r="O1670" s="4">
        <f t="shared" ref="O1670:O1733" si="435">INDEX($A$5:$A$11,G1670)</f>
        <v>56</v>
      </c>
      <c r="P1670" s="4">
        <f t="shared" ref="P1670:P1733" si="436">INDEX($A$5:$A$11,H1670)</f>
        <v>45</v>
      </c>
      <c r="Q1670" s="4">
        <f t="shared" ref="Q1670:Q1733" si="437">INDEX($A$5:$A$11,I1670)</f>
        <v>30</v>
      </c>
      <c r="R1670" s="4">
        <f t="shared" ref="R1670:R1733" si="438">INDEX($A$5:$A$11,J1670)</f>
        <v>23</v>
      </c>
      <c r="S1670" s="102">
        <f t="shared" ref="S1670:S1733" si="439">INDEX($A$5:$A$11,K1670)</f>
        <v>45</v>
      </c>
      <c r="U1670" s="101">
        <f t="shared" ref="U1670:U1733" si="440">INDEX($B$5:$B$11,E1670)</f>
        <v>46</v>
      </c>
      <c r="V1670" s="4">
        <f t="shared" ref="V1670:V1733" si="441">INDEX($B$5:$B$11,F1670)</f>
        <v>46</v>
      </c>
      <c r="W1670" s="4">
        <f t="shared" ref="W1670:W1733" si="442">INDEX($B$5:$B$11,G1670)</f>
        <v>78</v>
      </c>
      <c r="X1670" s="4">
        <f t="shared" ref="X1670:X1733" si="443">INDEX($B$5:$B$11,H1670)</f>
        <v>71</v>
      </c>
      <c r="Y1670" s="4">
        <f t="shared" ref="Y1670:Y1733" si="444">INDEX($B$5:$B$11,I1670)</f>
        <v>39</v>
      </c>
      <c r="Z1670" s="4">
        <f t="shared" ref="Z1670:Z1733" si="445">INDEX($B$5:$B$11,J1670)</f>
        <v>39</v>
      </c>
      <c r="AA1670" s="102">
        <f t="shared" ref="AA1670:AA1733" si="446">INDEX($B$5:$B$11,K1670)</f>
        <v>71</v>
      </c>
      <c r="AC1670" s="100">
        <f t="shared" ref="AC1670:AC1733" si="447">CORREL(M1670:S1670,U1670:AA1670)</f>
        <v>0.95542996956180393</v>
      </c>
    </row>
    <row r="1671" spans="4:29" x14ac:dyDescent="0.35">
      <c r="D1671">
        <f t="shared" ref="D1671:D1734" si="448">D1670+1</f>
        <v>1667</v>
      </c>
      <c r="E1671" s="101">
        <v>4</v>
      </c>
      <c r="F1671" s="4">
        <v>7</v>
      </c>
      <c r="G1671" s="4">
        <v>2</v>
      </c>
      <c r="H1671" s="4">
        <v>6</v>
      </c>
      <c r="I1671" s="4">
        <v>6</v>
      </c>
      <c r="J1671" s="4">
        <v>3</v>
      </c>
      <c r="K1671" s="102">
        <v>2</v>
      </c>
      <c r="M1671" s="101">
        <f t="shared" si="433"/>
        <v>12</v>
      </c>
      <c r="N1671" s="4">
        <f t="shared" si="434"/>
        <v>29</v>
      </c>
      <c r="O1671" s="4">
        <f t="shared" si="435"/>
        <v>56</v>
      </c>
      <c r="P1671" s="4">
        <f t="shared" si="436"/>
        <v>45</v>
      </c>
      <c r="Q1671" s="4">
        <f t="shared" si="437"/>
        <v>45</v>
      </c>
      <c r="R1671" s="4">
        <f t="shared" si="438"/>
        <v>23</v>
      </c>
      <c r="S1671" s="102">
        <f t="shared" si="439"/>
        <v>56</v>
      </c>
      <c r="U1671" s="101">
        <f t="shared" si="440"/>
        <v>9</v>
      </c>
      <c r="V1671" s="4">
        <f t="shared" si="441"/>
        <v>41</v>
      </c>
      <c r="W1671" s="4">
        <f t="shared" si="442"/>
        <v>78</v>
      </c>
      <c r="X1671" s="4">
        <f t="shared" si="443"/>
        <v>71</v>
      </c>
      <c r="Y1671" s="4">
        <f t="shared" si="444"/>
        <v>71</v>
      </c>
      <c r="Z1671" s="4">
        <f t="shared" si="445"/>
        <v>39</v>
      </c>
      <c r="AA1671" s="102">
        <f t="shared" si="446"/>
        <v>78</v>
      </c>
      <c r="AC1671" s="100">
        <f t="shared" si="447"/>
        <v>0.97761635748703524</v>
      </c>
    </row>
    <row r="1672" spans="4:29" x14ac:dyDescent="0.35">
      <c r="D1672">
        <f t="shared" si="448"/>
        <v>1668</v>
      </c>
      <c r="E1672" s="101">
        <v>1</v>
      </c>
      <c r="F1672" s="4">
        <v>5</v>
      </c>
      <c r="G1672" s="4">
        <v>6</v>
      </c>
      <c r="H1672" s="4">
        <v>3</v>
      </c>
      <c r="I1672" s="4">
        <v>7</v>
      </c>
      <c r="J1672" s="4">
        <v>3</v>
      </c>
      <c r="K1672" s="102">
        <v>5</v>
      </c>
      <c r="M1672" s="101">
        <f t="shared" si="433"/>
        <v>34</v>
      </c>
      <c r="N1672" s="4">
        <f t="shared" si="434"/>
        <v>30</v>
      </c>
      <c r="O1672" s="4">
        <f t="shared" si="435"/>
        <v>45</v>
      </c>
      <c r="P1672" s="4">
        <f t="shared" si="436"/>
        <v>23</v>
      </c>
      <c r="Q1672" s="4">
        <f t="shared" si="437"/>
        <v>29</v>
      </c>
      <c r="R1672" s="4">
        <f t="shared" si="438"/>
        <v>23</v>
      </c>
      <c r="S1672" s="102">
        <f t="shared" si="439"/>
        <v>30</v>
      </c>
      <c r="U1672" s="101">
        <f t="shared" si="440"/>
        <v>46</v>
      </c>
      <c r="V1672" s="4">
        <f t="shared" si="441"/>
        <v>39</v>
      </c>
      <c r="W1672" s="4">
        <f t="shared" si="442"/>
        <v>71</v>
      </c>
      <c r="X1672" s="4">
        <f t="shared" si="443"/>
        <v>39</v>
      </c>
      <c r="Y1672" s="4">
        <f t="shared" si="444"/>
        <v>41</v>
      </c>
      <c r="Z1672" s="4">
        <f t="shared" si="445"/>
        <v>39</v>
      </c>
      <c r="AA1672" s="102">
        <f t="shared" si="446"/>
        <v>39</v>
      </c>
      <c r="AC1672" s="100">
        <f t="shared" si="447"/>
        <v>0.90773948205119259</v>
      </c>
    </row>
    <row r="1673" spans="4:29" x14ac:dyDescent="0.35">
      <c r="D1673">
        <f t="shared" si="448"/>
        <v>1669</v>
      </c>
      <c r="E1673" s="101">
        <v>3</v>
      </c>
      <c r="F1673" s="4">
        <v>1</v>
      </c>
      <c r="G1673" s="4">
        <v>5</v>
      </c>
      <c r="H1673" s="4">
        <v>3</v>
      </c>
      <c r="I1673" s="4">
        <v>7</v>
      </c>
      <c r="J1673" s="4">
        <v>2</v>
      </c>
      <c r="K1673" s="102">
        <v>7</v>
      </c>
      <c r="M1673" s="101">
        <f t="shared" si="433"/>
        <v>23</v>
      </c>
      <c r="N1673" s="4">
        <f t="shared" si="434"/>
        <v>34</v>
      </c>
      <c r="O1673" s="4">
        <f t="shared" si="435"/>
        <v>30</v>
      </c>
      <c r="P1673" s="4">
        <f t="shared" si="436"/>
        <v>23</v>
      </c>
      <c r="Q1673" s="4">
        <f t="shared" si="437"/>
        <v>29</v>
      </c>
      <c r="R1673" s="4">
        <f t="shared" si="438"/>
        <v>56</v>
      </c>
      <c r="S1673" s="102">
        <f t="shared" si="439"/>
        <v>29</v>
      </c>
      <c r="U1673" s="101">
        <f t="shared" si="440"/>
        <v>39</v>
      </c>
      <c r="V1673" s="4">
        <f t="shared" si="441"/>
        <v>46</v>
      </c>
      <c r="W1673" s="4">
        <f t="shared" si="442"/>
        <v>39</v>
      </c>
      <c r="X1673" s="4">
        <f t="shared" si="443"/>
        <v>39</v>
      </c>
      <c r="Y1673" s="4">
        <f t="shared" si="444"/>
        <v>41</v>
      </c>
      <c r="Z1673" s="4">
        <f t="shared" si="445"/>
        <v>78</v>
      </c>
      <c r="AA1673" s="102">
        <f t="shared" si="446"/>
        <v>41</v>
      </c>
      <c r="AC1673" s="100">
        <f t="shared" si="447"/>
        <v>0.97123368133922672</v>
      </c>
    </row>
    <row r="1674" spans="4:29" x14ac:dyDescent="0.35">
      <c r="D1674">
        <f t="shared" si="448"/>
        <v>1670</v>
      </c>
      <c r="E1674" s="101">
        <v>1</v>
      </c>
      <c r="F1674" s="4">
        <v>2</v>
      </c>
      <c r="G1674" s="4">
        <v>2</v>
      </c>
      <c r="H1674" s="4">
        <v>1</v>
      </c>
      <c r="I1674" s="4">
        <v>3</v>
      </c>
      <c r="J1674" s="4">
        <v>7</v>
      </c>
      <c r="K1674" s="102">
        <v>6</v>
      </c>
      <c r="M1674" s="101">
        <f t="shared" si="433"/>
        <v>34</v>
      </c>
      <c r="N1674" s="4">
        <f t="shared" si="434"/>
        <v>56</v>
      </c>
      <c r="O1674" s="4">
        <f t="shared" si="435"/>
        <v>56</v>
      </c>
      <c r="P1674" s="4">
        <f t="shared" si="436"/>
        <v>34</v>
      </c>
      <c r="Q1674" s="4">
        <f t="shared" si="437"/>
        <v>23</v>
      </c>
      <c r="R1674" s="4">
        <f t="shared" si="438"/>
        <v>29</v>
      </c>
      <c r="S1674" s="102">
        <f t="shared" si="439"/>
        <v>45</v>
      </c>
      <c r="U1674" s="101">
        <f t="shared" si="440"/>
        <v>46</v>
      </c>
      <c r="V1674" s="4">
        <f t="shared" si="441"/>
        <v>78</v>
      </c>
      <c r="W1674" s="4">
        <f t="shared" si="442"/>
        <v>78</v>
      </c>
      <c r="X1674" s="4">
        <f t="shared" si="443"/>
        <v>46</v>
      </c>
      <c r="Y1674" s="4">
        <f t="shared" si="444"/>
        <v>39</v>
      </c>
      <c r="Z1674" s="4">
        <f t="shared" si="445"/>
        <v>41</v>
      </c>
      <c r="AA1674" s="102">
        <f t="shared" si="446"/>
        <v>71</v>
      </c>
      <c r="AC1674" s="100">
        <f t="shared" si="447"/>
        <v>0.97514669610915083</v>
      </c>
    </row>
    <row r="1675" spans="4:29" x14ac:dyDescent="0.35">
      <c r="D1675">
        <f t="shared" si="448"/>
        <v>1671</v>
      </c>
      <c r="E1675" s="101">
        <v>6</v>
      </c>
      <c r="F1675" s="4">
        <v>7</v>
      </c>
      <c r="G1675" s="4">
        <v>4</v>
      </c>
      <c r="H1675" s="4">
        <v>5</v>
      </c>
      <c r="I1675" s="4">
        <v>3</v>
      </c>
      <c r="J1675" s="4">
        <v>5</v>
      </c>
      <c r="K1675" s="102">
        <v>6</v>
      </c>
      <c r="M1675" s="101">
        <f t="shared" si="433"/>
        <v>45</v>
      </c>
      <c r="N1675" s="4">
        <f t="shared" si="434"/>
        <v>29</v>
      </c>
      <c r="O1675" s="4">
        <f t="shared" si="435"/>
        <v>12</v>
      </c>
      <c r="P1675" s="4">
        <f t="shared" si="436"/>
        <v>30</v>
      </c>
      <c r="Q1675" s="4">
        <f t="shared" si="437"/>
        <v>23</v>
      </c>
      <c r="R1675" s="4">
        <f t="shared" si="438"/>
        <v>30</v>
      </c>
      <c r="S1675" s="102">
        <f t="shared" si="439"/>
        <v>45</v>
      </c>
      <c r="U1675" s="101">
        <f t="shared" si="440"/>
        <v>71</v>
      </c>
      <c r="V1675" s="4">
        <f t="shared" si="441"/>
        <v>41</v>
      </c>
      <c r="W1675" s="4">
        <f t="shared" si="442"/>
        <v>9</v>
      </c>
      <c r="X1675" s="4">
        <f t="shared" si="443"/>
        <v>39</v>
      </c>
      <c r="Y1675" s="4">
        <f t="shared" si="444"/>
        <v>39</v>
      </c>
      <c r="Z1675" s="4">
        <f t="shared" si="445"/>
        <v>39</v>
      </c>
      <c r="AA1675" s="102">
        <f t="shared" si="446"/>
        <v>71</v>
      </c>
      <c r="AC1675" s="100">
        <f t="shared" si="447"/>
        <v>0.97983445402296931</v>
      </c>
    </row>
    <row r="1676" spans="4:29" x14ac:dyDescent="0.35">
      <c r="D1676">
        <f t="shared" si="448"/>
        <v>1672</v>
      </c>
      <c r="E1676" s="101">
        <v>6</v>
      </c>
      <c r="F1676" s="4">
        <v>1</v>
      </c>
      <c r="G1676" s="4">
        <v>3</v>
      </c>
      <c r="H1676" s="4">
        <v>4</v>
      </c>
      <c r="I1676" s="4">
        <v>7</v>
      </c>
      <c r="J1676" s="4">
        <v>7</v>
      </c>
      <c r="K1676" s="102">
        <v>1</v>
      </c>
      <c r="M1676" s="101">
        <f t="shared" si="433"/>
        <v>45</v>
      </c>
      <c r="N1676" s="4">
        <f t="shared" si="434"/>
        <v>34</v>
      </c>
      <c r="O1676" s="4">
        <f t="shared" si="435"/>
        <v>23</v>
      </c>
      <c r="P1676" s="4">
        <f t="shared" si="436"/>
        <v>12</v>
      </c>
      <c r="Q1676" s="4">
        <f t="shared" si="437"/>
        <v>29</v>
      </c>
      <c r="R1676" s="4">
        <f t="shared" si="438"/>
        <v>29</v>
      </c>
      <c r="S1676" s="102">
        <f t="shared" si="439"/>
        <v>34</v>
      </c>
      <c r="U1676" s="101">
        <f t="shared" si="440"/>
        <v>71</v>
      </c>
      <c r="V1676" s="4">
        <f t="shared" si="441"/>
        <v>46</v>
      </c>
      <c r="W1676" s="4">
        <f t="shared" si="442"/>
        <v>39</v>
      </c>
      <c r="X1676" s="4">
        <f t="shared" si="443"/>
        <v>9</v>
      </c>
      <c r="Y1676" s="4">
        <f t="shared" si="444"/>
        <v>41</v>
      </c>
      <c r="Z1676" s="4">
        <f t="shared" si="445"/>
        <v>41</v>
      </c>
      <c r="AA1676" s="102">
        <f t="shared" si="446"/>
        <v>46</v>
      </c>
      <c r="AC1676" s="100">
        <f t="shared" si="447"/>
        <v>0.9720322902193681</v>
      </c>
    </row>
    <row r="1677" spans="4:29" x14ac:dyDescent="0.35">
      <c r="D1677">
        <f t="shared" si="448"/>
        <v>1673</v>
      </c>
      <c r="E1677" s="101">
        <v>7</v>
      </c>
      <c r="F1677" s="4">
        <v>2</v>
      </c>
      <c r="G1677" s="4">
        <v>3</v>
      </c>
      <c r="H1677" s="4">
        <v>5</v>
      </c>
      <c r="I1677" s="4">
        <v>2</v>
      </c>
      <c r="J1677" s="4">
        <v>2</v>
      </c>
      <c r="K1677" s="102">
        <v>2</v>
      </c>
      <c r="M1677" s="101">
        <f t="shared" si="433"/>
        <v>29</v>
      </c>
      <c r="N1677" s="4">
        <f t="shared" si="434"/>
        <v>56</v>
      </c>
      <c r="O1677" s="4">
        <f t="shared" si="435"/>
        <v>23</v>
      </c>
      <c r="P1677" s="4">
        <f t="shared" si="436"/>
        <v>30</v>
      </c>
      <c r="Q1677" s="4">
        <f t="shared" si="437"/>
        <v>56</v>
      </c>
      <c r="R1677" s="4">
        <f t="shared" si="438"/>
        <v>56</v>
      </c>
      <c r="S1677" s="102">
        <f t="shared" si="439"/>
        <v>56</v>
      </c>
      <c r="U1677" s="101">
        <f t="shared" si="440"/>
        <v>41</v>
      </c>
      <c r="V1677" s="4">
        <f t="shared" si="441"/>
        <v>78</v>
      </c>
      <c r="W1677" s="4">
        <f t="shared" si="442"/>
        <v>39</v>
      </c>
      <c r="X1677" s="4">
        <f t="shared" si="443"/>
        <v>39</v>
      </c>
      <c r="Y1677" s="4">
        <f t="shared" si="444"/>
        <v>78</v>
      </c>
      <c r="Z1677" s="4">
        <f t="shared" si="445"/>
        <v>78</v>
      </c>
      <c r="AA1677" s="102">
        <f t="shared" si="446"/>
        <v>78</v>
      </c>
      <c r="AC1677" s="100">
        <f t="shared" si="447"/>
        <v>0.99120549667838909</v>
      </c>
    </row>
    <row r="1678" spans="4:29" x14ac:dyDescent="0.35">
      <c r="D1678">
        <f t="shared" si="448"/>
        <v>1674</v>
      </c>
      <c r="E1678" s="101">
        <v>1</v>
      </c>
      <c r="F1678" s="4">
        <v>7</v>
      </c>
      <c r="G1678" s="4">
        <v>1</v>
      </c>
      <c r="H1678" s="4">
        <v>3</v>
      </c>
      <c r="I1678" s="4">
        <v>6</v>
      </c>
      <c r="J1678" s="4">
        <v>5</v>
      </c>
      <c r="K1678" s="102">
        <v>2</v>
      </c>
      <c r="M1678" s="101">
        <f t="shared" si="433"/>
        <v>34</v>
      </c>
      <c r="N1678" s="4">
        <f t="shared" si="434"/>
        <v>29</v>
      </c>
      <c r="O1678" s="4">
        <f t="shared" si="435"/>
        <v>34</v>
      </c>
      <c r="P1678" s="4">
        <f t="shared" si="436"/>
        <v>23</v>
      </c>
      <c r="Q1678" s="4">
        <f t="shared" si="437"/>
        <v>45</v>
      </c>
      <c r="R1678" s="4">
        <f t="shared" si="438"/>
        <v>30</v>
      </c>
      <c r="S1678" s="102">
        <f t="shared" si="439"/>
        <v>56</v>
      </c>
      <c r="U1678" s="101">
        <f t="shared" si="440"/>
        <v>46</v>
      </c>
      <c r="V1678" s="4">
        <f t="shared" si="441"/>
        <v>41</v>
      </c>
      <c r="W1678" s="4">
        <f t="shared" si="442"/>
        <v>46</v>
      </c>
      <c r="X1678" s="4">
        <f t="shared" si="443"/>
        <v>39</v>
      </c>
      <c r="Y1678" s="4">
        <f t="shared" si="444"/>
        <v>71</v>
      </c>
      <c r="Z1678" s="4">
        <f t="shared" si="445"/>
        <v>39</v>
      </c>
      <c r="AA1678" s="102">
        <f t="shared" si="446"/>
        <v>78</v>
      </c>
      <c r="AC1678" s="100">
        <f t="shared" si="447"/>
        <v>0.96287014255618342</v>
      </c>
    </row>
    <row r="1679" spans="4:29" x14ac:dyDescent="0.35">
      <c r="D1679">
        <f t="shared" si="448"/>
        <v>1675</v>
      </c>
      <c r="E1679" s="101">
        <v>5</v>
      </c>
      <c r="F1679" s="4">
        <v>5</v>
      </c>
      <c r="G1679" s="4">
        <v>1</v>
      </c>
      <c r="H1679" s="4">
        <v>5</v>
      </c>
      <c r="I1679" s="4">
        <v>4</v>
      </c>
      <c r="J1679" s="4">
        <v>2</v>
      </c>
      <c r="K1679" s="102">
        <v>4</v>
      </c>
      <c r="M1679" s="101">
        <f t="shared" si="433"/>
        <v>30</v>
      </c>
      <c r="N1679" s="4">
        <f t="shared" si="434"/>
        <v>30</v>
      </c>
      <c r="O1679" s="4">
        <f t="shared" si="435"/>
        <v>34</v>
      </c>
      <c r="P1679" s="4">
        <f t="shared" si="436"/>
        <v>30</v>
      </c>
      <c r="Q1679" s="4">
        <f t="shared" si="437"/>
        <v>12</v>
      </c>
      <c r="R1679" s="4">
        <f t="shared" si="438"/>
        <v>56</v>
      </c>
      <c r="S1679" s="102">
        <f t="shared" si="439"/>
        <v>12</v>
      </c>
      <c r="U1679" s="101">
        <f t="shared" si="440"/>
        <v>39</v>
      </c>
      <c r="V1679" s="4">
        <f t="shared" si="441"/>
        <v>39</v>
      </c>
      <c r="W1679" s="4">
        <f t="shared" si="442"/>
        <v>46</v>
      </c>
      <c r="X1679" s="4">
        <f t="shared" si="443"/>
        <v>39</v>
      </c>
      <c r="Y1679" s="4">
        <f t="shared" si="444"/>
        <v>9</v>
      </c>
      <c r="Z1679" s="4">
        <f t="shared" si="445"/>
        <v>78</v>
      </c>
      <c r="AA1679" s="102">
        <f t="shared" si="446"/>
        <v>9</v>
      </c>
      <c r="AC1679" s="100">
        <f t="shared" si="447"/>
        <v>0.99899160266075215</v>
      </c>
    </row>
    <row r="1680" spans="4:29" x14ac:dyDescent="0.35">
      <c r="D1680">
        <f t="shared" si="448"/>
        <v>1676</v>
      </c>
      <c r="E1680" s="101">
        <v>6</v>
      </c>
      <c r="F1680" s="4">
        <v>5</v>
      </c>
      <c r="G1680" s="4">
        <v>1</v>
      </c>
      <c r="H1680" s="4">
        <v>6</v>
      </c>
      <c r="I1680" s="4">
        <v>1</v>
      </c>
      <c r="J1680" s="4">
        <v>5</v>
      </c>
      <c r="K1680" s="102">
        <v>3</v>
      </c>
      <c r="M1680" s="101">
        <f t="shared" si="433"/>
        <v>45</v>
      </c>
      <c r="N1680" s="4">
        <f t="shared" si="434"/>
        <v>30</v>
      </c>
      <c r="O1680" s="4">
        <f t="shared" si="435"/>
        <v>34</v>
      </c>
      <c r="P1680" s="4">
        <f t="shared" si="436"/>
        <v>45</v>
      </c>
      <c r="Q1680" s="4">
        <f t="shared" si="437"/>
        <v>34</v>
      </c>
      <c r="R1680" s="4">
        <f t="shared" si="438"/>
        <v>30</v>
      </c>
      <c r="S1680" s="102">
        <f t="shared" si="439"/>
        <v>23</v>
      </c>
      <c r="U1680" s="101">
        <f t="shared" si="440"/>
        <v>71</v>
      </c>
      <c r="V1680" s="4">
        <f t="shared" si="441"/>
        <v>39</v>
      </c>
      <c r="W1680" s="4">
        <f t="shared" si="442"/>
        <v>46</v>
      </c>
      <c r="X1680" s="4">
        <f t="shared" si="443"/>
        <v>71</v>
      </c>
      <c r="Y1680" s="4">
        <f t="shared" si="444"/>
        <v>46</v>
      </c>
      <c r="Z1680" s="4">
        <f t="shared" si="445"/>
        <v>39</v>
      </c>
      <c r="AA1680" s="102">
        <f t="shared" si="446"/>
        <v>39</v>
      </c>
      <c r="AC1680" s="100">
        <f t="shared" si="447"/>
        <v>0.94576514258736122</v>
      </c>
    </row>
    <row r="1681" spans="4:29" x14ac:dyDescent="0.35">
      <c r="D1681">
        <f t="shared" si="448"/>
        <v>1677</v>
      </c>
      <c r="E1681" s="101">
        <v>6</v>
      </c>
      <c r="F1681" s="4">
        <v>7</v>
      </c>
      <c r="G1681" s="4">
        <v>5</v>
      </c>
      <c r="H1681" s="4">
        <v>7</v>
      </c>
      <c r="I1681" s="4">
        <v>4</v>
      </c>
      <c r="J1681" s="4">
        <v>3</v>
      </c>
      <c r="K1681" s="102">
        <v>5</v>
      </c>
      <c r="M1681" s="101">
        <f t="shared" si="433"/>
        <v>45</v>
      </c>
      <c r="N1681" s="4">
        <f t="shared" si="434"/>
        <v>29</v>
      </c>
      <c r="O1681" s="4">
        <f t="shared" si="435"/>
        <v>30</v>
      </c>
      <c r="P1681" s="4">
        <f t="shared" si="436"/>
        <v>29</v>
      </c>
      <c r="Q1681" s="4">
        <f t="shared" si="437"/>
        <v>12</v>
      </c>
      <c r="R1681" s="4">
        <f t="shared" si="438"/>
        <v>23</v>
      </c>
      <c r="S1681" s="102">
        <f t="shared" si="439"/>
        <v>30</v>
      </c>
      <c r="U1681" s="101">
        <f t="shared" si="440"/>
        <v>71</v>
      </c>
      <c r="V1681" s="4">
        <f t="shared" si="441"/>
        <v>41</v>
      </c>
      <c r="W1681" s="4">
        <f t="shared" si="442"/>
        <v>39</v>
      </c>
      <c r="X1681" s="4">
        <f t="shared" si="443"/>
        <v>41</v>
      </c>
      <c r="Y1681" s="4">
        <f t="shared" si="444"/>
        <v>9</v>
      </c>
      <c r="Z1681" s="4">
        <f t="shared" si="445"/>
        <v>39</v>
      </c>
      <c r="AA1681" s="102">
        <f t="shared" si="446"/>
        <v>39</v>
      </c>
      <c r="AC1681" s="100">
        <f t="shared" si="447"/>
        <v>0.97127804478825353</v>
      </c>
    </row>
    <row r="1682" spans="4:29" x14ac:dyDescent="0.35">
      <c r="D1682">
        <f t="shared" si="448"/>
        <v>1678</v>
      </c>
      <c r="E1682" s="101">
        <v>1</v>
      </c>
      <c r="F1682" s="4">
        <v>5</v>
      </c>
      <c r="G1682" s="4">
        <v>1</v>
      </c>
      <c r="H1682" s="4">
        <v>1</v>
      </c>
      <c r="I1682" s="4">
        <v>6</v>
      </c>
      <c r="J1682" s="4">
        <v>7</v>
      </c>
      <c r="K1682" s="102">
        <v>4</v>
      </c>
      <c r="M1682" s="101">
        <f t="shared" si="433"/>
        <v>34</v>
      </c>
      <c r="N1682" s="4">
        <f t="shared" si="434"/>
        <v>30</v>
      </c>
      <c r="O1682" s="4">
        <f t="shared" si="435"/>
        <v>34</v>
      </c>
      <c r="P1682" s="4">
        <f t="shared" si="436"/>
        <v>34</v>
      </c>
      <c r="Q1682" s="4">
        <f t="shared" si="437"/>
        <v>45</v>
      </c>
      <c r="R1682" s="4">
        <f t="shared" si="438"/>
        <v>29</v>
      </c>
      <c r="S1682" s="102">
        <f t="shared" si="439"/>
        <v>12</v>
      </c>
      <c r="U1682" s="101">
        <f t="shared" si="440"/>
        <v>46</v>
      </c>
      <c r="V1682" s="4">
        <f t="shared" si="441"/>
        <v>39</v>
      </c>
      <c r="W1682" s="4">
        <f t="shared" si="442"/>
        <v>46</v>
      </c>
      <c r="X1682" s="4">
        <f t="shared" si="443"/>
        <v>46</v>
      </c>
      <c r="Y1682" s="4">
        <f t="shared" si="444"/>
        <v>71</v>
      </c>
      <c r="Z1682" s="4">
        <f t="shared" si="445"/>
        <v>41</v>
      </c>
      <c r="AA1682" s="102">
        <f t="shared" si="446"/>
        <v>9</v>
      </c>
      <c r="AC1682" s="100">
        <f t="shared" si="447"/>
        <v>0.99268119966678825</v>
      </c>
    </row>
    <row r="1683" spans="4:29" x14ac:dyDescent="0.35">
      <c r="D1683">
        <f t="shared" si="448"/>
        <v>1679</v>
      </c>
      <c r="E1683" s="101">
        <v>5</v>
      </c>
      <c r="F1683" s="4">
        <v>4</v>
      </c>
      <c r="G1683" s="4">
        <v>6</v>
      </c>
      <c r="H1683" s="4">
        <v>1</v>
      </c>
      <c r="I1683" s="4">
        <v>4</v>
      </c>
      <c r="J1683" s="4">
        <v>1</v>
      </c>
      <c r="K1683" s="102">
        <v>4</v>
      </c>
      <c r="M1683" s="101">
        <f t="shared" si="433"/>
        <v>30</v>
      </c>
      <c r="N1683" s="4">
        <f t="shared" si="434"/>
        <v>12</v>
      </c>
      <c r="O1683" s="4">
        <f t="shared" si="435"/>
        <v>45</v>
      </c>
      <c r="P1683" s="4">
        <f t="shared" si="436"/>
        <v>34</v>
      </c>
      <c r="Q1683" s="4">
        <f t="shared" si="437"/>
        <v>12</v>
      </c>
      <c r="R1683" s="4">
        <f t="shared" si="438"/>
        <v>34</v>
      </c>
      <c r="S1683" s="102">
        <f t="shared" si="439"/>
        <v>12</v>
      </c>
      <c r="U1683" s="101">
        <f t="shared" si="440"/>
        <v>39</v>
      </c>
      <c r="V1683" s="4">
        <f t="shared" si="441"/>
        <v>9</v>
      </c>
      <c r="W1683" s="4">
        <f t="shared" si="442"/>
        <v>71</v>
      </c>
      <c r="X1683" s="4">
        <f t="shared" si="443"/>
        <v>46</v>
      </c>
      <c r="Y1683" s="4">
        <f t="shared" si="444"/>
        <v>9</v>
      </c>
      <c r="Z1683" s="4">
        <f t="shared" si="445"/>
        <v>46</v>
      </c>
      <c r="AA1683" s="102">
        <f t="shared" si="446"/>
        <v>9</v>
      </c>
      <c r="AC1683" s="100">
        <f t="shared" si="447"/>
        <v>0.99682831052478948</v>
      </c>
    </row>
    <row r="1684" spans="4:29" x14ac:dyDescent="0.35">
      <c r="D1684">
        <f t="shared" si="448"/>
        <v>1680</v>
      </c>
      <c r="E1684" s="101">
        <v>2</v>
      </c>
      <c r="F1684" s="4">
        <v>7</v>
      </c>
      <c r="G1684" s="4">
        <v>1</v>
      </c>
      <c r="H1684" s="4">
        <v>3</v>
      </c>
      <c r="I1684" s="4">
        <v>2</v>
      </c>
      <c r="J1684" s="4">
        <v>3</v>
      </c>
      <c r="K1684" s="102">
        <v>6</v>
      </c>
      <c r="M1684" s="101">
        <f t="shared" si="433"/>
        <v>56</v>
      </c>
      <c r="N1684" s="4">
        <f t="shared" si="434"/>
        <v>29</v>
      </c>
      <c r="O1684" s="4">
        <f t="shared" si="435"/>
        <v>34</v>
      </c>
      <c r="P1684" s="4">
        <f t="shared" si="436"/>
        <v>23</v>
      </c>
      <c r="Q1684" s="4">
        <f t="shared" si="437"/>
        <v>56</v>
      </c>
      <c r="R1684" s="4">
        <f t="shared" si="438"/>
        <v>23</v>
      </c>
      <c r="S1684" s="102">
        <f t="shared" si="439"/>
        <v>45</v>
      </c>
      <c r="U1684" s="101">
        <f t="shared" si="440"/>
        <v>78</v>
      </c>
      <c r="V1684" s="4">
        <f t="shared" si="441"/>
        <v>41</v>
      </c>
      <c r="W1684" s="4">
        <f t="shared" si="442"/>
        <v>46</v>
      </c>
      <c r="X1684" s="4">
        <f t="shared" si="443"/>
        <v>39</v>
      </c>
      <c r="Y1684" s="4">
        <f t="shared" si="444"/>
        <v>78</v>
      </c>
      <c r="Z1684" s="4">
        <f t="shared" si="445"/>
        <v>39</v>
      </c>
      <c r="AA1684" s="102">
        <f t="shared" si="446"/>
        <v>71</v>
      </c>
      <c r="AC1684" s="100">
        <f t="shared" si="447"/>
        <v>0.97971701321537374</v>
      </c>
    </row>
    <row r="1685" spans="4:29" x14ac:dyDescent="0.35">
      <c r="D1685">
        <f t="shared" si="448"/>
        <v>1681</v>
      </c>
      <c r="E1685" s="101">
        <v>2</v>
      </c>
      <c r="F1685" s="4">
        <v>2</v>
      </c>
      <c r="G1685" s="4">
        <v>1</v>
      </c>
      <c r="H1685" s="4">
        <v>3</v>
      </c>
      <c r="I1685" s="4">
        <v>3</v>
      </c>
      <c r="J1685" s="4">
        <v>2</v>
      </c>
      <c r="K1685" s="102">
        <v>2</v>
      </c>
      <c r="M1685" s="101">
        <f t="shared" si="433"/>
        <v>56</v>
      </c>
      <c r="N1685" s="4">
        <f t="shared" si="434"/>
        <v>56</v>
      </c>
      <c r="O1685" s="4">
        <f t="shared" si="435"/>
        <v>34</v>
      </c>
      <c r="P1685" s="4">
        <f t="shared" si="436"/>
        <v>23</v>
      </c>
      <c r="Q1685" s="4">
        <f t="shared" si="437"/>
        <v>23</v>
      </c>
      <c r="R1685" s="4">
        <f t="shared" si="438"/>
        <v>56</v>
      </c>
      <c r="S1685" s="102">
        <f t="shared" si="439"/>
        <v>56</v>
      </c>
      <c r="U1685" s="101">
        <f t="shared" si="440"/>
        <v>78</v>
      </c>
      <c r="V1685" s="4">
        <f t="shared" si="441"/>
        <v>78</v>
      </c>
      <c r="W1685" s="4">
        <f t="shared" si="442"/>
        <v>46</v>
      </c>
      <c r="X1685" s="4">
        <f t="shared" si="443"/>
        <v>39</v>
      </c>
      <c r="Y1685" s="4">
        <f t="shared" si="444"/>
        <v>39</v>
      </c>
      <c r="Z1685" s="4">
        <f t="shared" si="445"/>
        <v>78</v>
      </c>
      <c r="AA1685" s="102">
        <f t="shared" si="446"/>
        <v>78</v>
      </c>
      <c r="AC1685" s="100">
        <f t="shared" si="447"/>
        <v>0.99382028952763246</v>
      </c>
    </row>
    <row r="1686" spans="4:29" x14ac:dyDescent="0.35">
      <c r="D1686">
        <f t="shared" si="448"/>
        <v>1682</v>
      </c>
      <c r="E1686" s="101">
        <v>6</v>
      </c>
      <c r="F1686" s="4">
        <v>5</v>
      </c>
      <c r="G1686" s="4">
        <v>2</v>
      </c>
      <c r="H1686" s="4">
        <v>2</v>
      </c>
      <c r="I1686" s="4">
        <v>2</v>
      </c>
      <c r="J1686" s="4">
        <v>6</v>
      </c>
      <c r="K1686" s="102">
        <v>3</v>
      </c>
      <c r="M1686" s="101">
        <f t="shared" si="433"/>
        <v>45</v>
      </c>
      <c r="N1686" s="4">
        <f t="shared" si="434"/>
        <v>30</v>
      </c>
      <c r="O1686" s="4">
        <f t="shared" si="435"/>
        <v>56</v>
      </c>
      <c r="P1686" s="4">
        <f t="shared" si="436"/>
        <v>56</v>
      </c>
      <c r="Q1686" s="4">
        <f t="shared" si="437"/>
        <v>56</v>
      </c>
      <c r="R1686" s="4">
        <f t="shared" si="438"/>
        <v>45</v>
      </c>
      <c r="S1686" s="102">
        <f t="shared" si="439"/>
        <v>23</v>
      </c>
      <c r="U1686" s="101">
        <f t="shared" si="440"/>
        <v>71</v>
      </c>
      <c r="V1686" s="4">
        <f t="shared" si="441"/>
        <v>39</v>
      </c>
      <c r="W1686" s="4">
        <f t="shared" si="442"/>
        <v>78</v>
      </c>
      <c r="X1686" s="4">
        <f t="shared" si="443"/>
        <v>78</v>
      </c>
      <c r="Y1686" s="4">
        <f t="shared" si="444"/>
        <v>78</v>
      </c>
      <c r="Z1686" s="4">
        <f t="shared" si="445"/>
        <v>71</v>
      </c>
      <c r="AA1686" s="102">
        <f t="shared" si="446"/>
        <v>39</v>
      </c>
      <c r="AC1686" s="100">
        <f t="shared" si="447"/>
        <v>0.96747491644501638</v>
      </c>
    </row>
    <row r="1687" spans="4:29" x14ac:dyDescent="0.35">
      <c r="D1687">
        <f t="shared" si="448"/>
        <v>1683</v>
      </c>
      <c r="E1687" s="101">
        <v>4</v>
      </c>
      <c r="F1687" s="4">
        <v>7</v>
      </c>
      <c r="G1687" s="4">
        <v>4</v>
      </c>
      <c r="H1687" s="4">
        <v>1</v>
      </c>
      <c r="I1687" s="4">
        <v>1</v>
      </c>
      <c r="J1687" s="4">
        <v>4</v>
      </c>
      <c r="K1687" s="102">
        <v>5</v>
      </c>
      <c r="M1687" s="101">
        <f t="shared" si="433"/>
        <v>12</v>
      </c>
      <c r="N1687" s="4">
        <f t="shared" si="434"/>
        <v>29</v>
      </c>
      <c r="O1687" s="4">
        <f t="shared" si="435"/>
        <v>12</v>
      </c>
      <c r="P1687" s="4">
        <f t="shared" si="436"/>
        <v>34</v>
      </c>
      <c r="Q1687" s="4">
        <f t="shared" si="437"/>
        <v>34</v>
      </c>
      <c r="R1687" s="4">
        <f t="shared" si="438"/>
        <v>12</v>
      </c>
      <c r="S1687" s="102">
        <f t="shared" si="439"/>
        <v>30</v>
      </c>
      <c r="U1687" s="101">
        <f t="shared" si="440"/>
        <v>9</v>
      </c>
      <c r="V1687" s="4">
        <f t="shared" si="441"/>
        <v>41</v>
      </c>
      <c r="W1687" s="4">
        <f t="shared" si="442"/>
        <v>9</v>
      </c>
      <c r="X1687" s="4">
        <f t="shared" si="443"/>
        <v>46</v>
      </c>
      <c r="Y1687" s="4">
        <f t="shared" si="444"/>
        <v>46</v>
      </c>
      <c r="Z1687" s="4">
        <f t="shared" si="445"/>
        <v>9</v>
      </c>
      <c r="AA1687" s="102">
        <f t="shared" si="446"/>
        <v>39</v>
      </c>
      <c r="AC1687" s="100">
        <f t="shared" si="447"/>
        <v>0.99756123507652794</v>
      </c>
    </row>
    <row r="1688" spans="4:29" x14ac:dyDescent="0.35">
      <c r="D1688">
        <f t="shared" si="448"/>
        <v>1684</v>
      </c>
      <c r="E1688" s="101">
        <v>6</v>
      </c>
      <c r="F1688" s="4">
        <v>7</v>
      </c>
      <c r="G1688" s="4">
        <v>7</v>
      </c>
      <c r="H1688" s="4">
        <v>5</v>
      </c>
      <c r="I1688" s="4">
        <v>3</v>
      </c>
      <c r="J1688" s="4">
        <v>5</v>
      </c>
      <c r="K1688" s="102">
        <v>2</v>
      </c>
      <c r="M1688" s="101">
        <f t="shared" si="433"/>
        <v>45</v>
      </c>
      <c r="N1688" s="4">
        <f t="shared" si="434"/>
        <v>29</v>
      </c>
      <c r="O1688" s="4">
        <f t="shared" si="435"/>
        <v>29</v>
      </c>
      <c r="P1688" s="4">
        <f t="shared" si="436"/>
        <v>30</v>
      </c>
      <c r="Q1688" s="4">
        <f t="shared" si="437"/>
        <v>23</v>
      </c>
      <c r="R1688" s="4">
        <f t="shared" si="438"/>
        <v>30</v>
      </c>
      <c r="S1688" s="102">
        <f t="shared" si="439"/>
        <v>56</v>
      </c>
      <c r="U1688" s="101">
        <f t="shared" si="440"/>
        <v>71</v>
      </c>
      <c r="V1688" s="4">
        <f t="shared" si="441"/>
        <v>41</v>
      </c>
      <c r="W1688" s="4">
        <f t="shared" si="442"/>
        <v>41</v>
      </c>
      <c r="X1688" s="4">
        <f t="shared" si="443"/>
        <v>39</v>
      </c>
      <c r="Y1688" s="4">
        <f t="shared" si="444"/>
        <v>39</v>
      </c>
      <c r="Z1688" s="4">
        <f t="shared" si="445"/>
        <v>39</v>
      </c>
      <c r="AA1688" s="102">
        <f t="shared" si="446"/>
        <v>78</v>
      </c>
      <c r="AC1688" s="100">
        <f t="shared" si="447"/>
        <v>0.96622632499708183</v>
      </c>
    </row>
    <row r="1689" spans="4:29" x14ac:dyDescent="0.35">
      <c r="D1689">
        <f t="shared" si="448"/>
        <v>1685</v>
      </c>
      <c r="E1689" s="101">
        <v>2</v>
      </c>
      <c r="F1689" s="4">
        <v>2</v>
      </c>
      <c r="G1689" s="4">
        <v>5</v>
      </c>
      <c r="H1689" s="4">
        <v>7</v>
      </c>
      <c r="I1689" s="4">
        <v>6</v>
      </c>
      <c r="J1689" s="4">
        <v>3</v>
      </c>
      <c r="K1689" s="102">
        <v>7</v>
      </c>
      <c r="M1689" s="101">
        <f t="shared" si="433"/>
        <v>56</v>
      </c>
      <c r="N1689" s="4">
        <f t="shared" si="434"/>
        <v>56</v>
      </c>
      <c r="O1689" s="4">
        <f t="shared" si="435"/>
        <v>30</v>
      </c>
      <c r="P1689" s="4">
        <f t="shared" si="436"/>
        <v>29</v>
      </c>
      <c r="Q1689" s="4">
        <f t="shared" si="437"/>
        <v>45</v>
      </c>
      <c r="R1689" s="4">
        <f t="shared" si="438"/>
        <v>23</v>
      </c>
      <c r="S1689" s="102">
        <f t="shared" si="439"/>
        <v>29</v>
      </c>
      <c r="U1689" s="101">
        <f t="shared" si="440"/>
        <v>78</v>
      </c>
      <c r="V1689" s="4">
        <f t="shared" si="441"/>
        <v>78</v>
      </c>
      <c r="W1689" s="4">
        <f t="shared" si="442"/>
        <v>39</v>
      </c>
      <c r="X1689" s="4">
        <f t="shared" si="443"/>
        <v>41</v>
      </c>
      <c r="Y1689" s="4">
        <f t="shared" si="444"/>
        <v>71</v>
      </c>
      <c r="Z1689" s="4">
        <f t="shared" si="445"/>
        <v>39</v>
      </c>
      <c r="AA1689" s="102">
        <f t="shared" si="446"/>
        <v>41</v>
      </c>
      <c r="AC1689" s="100">
        <f t="shared" si="447"/>
        <v>0.97763746794209316</v>
      </c>
    </row>
    <row r="1690" spans="4:29" x14ac:dyDescent="0.35">
      <c r="D1690">
        <f t="shared" si="448"/>
        <v>1686</v>
      </c>
      <c r="E1690" s="101">
        <v>3</v>
      </c>
      <c r="F1690" s="4">
        <v>7</v>
      </c>
      <c r="G1690" s="4">
        <v>4</v>
      </c>
      <c r="H1690" s="4">
        <v>6</v>
      </c>
      <c r="I1690" s="4">
        <v>1</v>
      </c>
      <c r="J1690" s="4">
        <v>5</v>
      </c>
      <c r="K1690" s="102">
        <v>2</v>
      </c>
      <c r="M1690" s="101">
        <f t="shared" si="433"/>
        <v>23</v>
      </c>
      <c r="N1690" s="4">
        <f t="shared" si="434"/>
        <v>29</v>
      </c>
      <c r="O1690" s="4">
        <f t="shared" si="435"/>
        <v>12</v>
      </c>
      <c r="P1690" s="4">
        <f t="shared" si="436"/>
        <v>45</v>
      </c>
      <c r="Q1690" s="4">
        <f t="shared" si="437"/>
        <v>34</v>
      </c>
      <c r="R1690" s="4">
        <f t="shared" si="438"/>
        <v>30</v>
      </c>
      <c r="S1690" s="102">
        <f t="shared" si="439"/>
        <v>56</v>
      </c>
      <c r="U1690" s="101">
        <f t="shared" si="440"/>
        <v>39</v>
      </c>
      <c r="V1690" s="4">
        <f t="shared" si="441"/>
        <v>41</v>
      </c>
      <c r="W1690" s="4">
        <f t="shared" si="442"/>
        <v>9</v>
      </c>
      <c r="X1690" s="4">
        <f t="shared" si="443"/>
        <v>71</v>
      </c>
      <c r="Y1690" s="4">
        <f t="shared" si="444"/>
        <v>46</v>
      </c>
      <c r="Z1690" s="4">
        <f t="shared" si="445"/>
        <v>39</v>
      </c>
      <c r="AA1690" s="102">
        <f t="shared" si="446"/>
        <v>78</v>
      </c>
      <c r="AC1690" s="100">
        <f t="shared" si="447"/>
        <v>0.97529211313754416</v>
      </c>
    </row>
    <row r="1691" spans="4:29" x14ac:dyDescent="0.35">
      <c r="D1691">
        <f t="shared" si="448"/>
        <v>1687</v>
      </c>
      <c r="E1691" s="101">
        <v>3</v>
      </c>
      <c r="F1691" s="4">
        <v>5</v>
      </c>
      <c r="G1691" s="4">
        <v>7</v>
      </c>
      <c r="H1691" s="4">
        <v>7</v>
      </c>
      <c r="I1691" s="4">
        <v>1</v>
      </c>
      <c r="J1691" s="4">
        <v>2</v>
      </c>
      <c r="K1691" s="102">
        <v>2</v>
      </c>
      <c r="M1691" s="101">
        <f t="shared" si="433"/>
        <v>23</v>
      </c>
      <c r="N1691" s="4">
        <f t="shared" si="434"/>
        <v>30</v>
      </c>
      <c r="O1691" s="4">
        <f t="shared" si="435"/>
        <v>29</v>
      </c>
      <c r="P1691" s="4">
        <f t="shared" si="436"/>
        <v>29</v>
      </c>
      <c r="Q1691" s="4">
        <f t="shared" si="437"/>
        <v>34</v>
      </c>
      <c r="R1691" s="4">
        <f t="shared" si="438"/>
        <v>56</v>
      </c>
      <c r="S1691" s="102">
        <f t="shared" si="439"/>
        <v>56</v>
      </c>
      <c r="U1691" s="101">
        <f t="shared" si="440"/>
        <v>39</v>
      </c>
      <c r="V1691" s="4">
        <f t="shared" si="441"/>
        <v>39</v>
      </c>
      <c r="W1691" s="4">
        <f t="shared" si="442"/>
        <v>41</v>
      </c>
      <c r="X1691" s="4">
        <f t="shared" si="443"/>
        <v>41</v>
      </c>
      <c r="Y1691" s="4">
        <f t="shared" si="444"/>
        <v>46</v>
      </c>
      <c r="Z1691" s="4">
        <f t="shared" si="445"/>
        <v>78</v>
      </c>
      <c r="AA1691" s="102">
        <f t="shared" si="446"/>
        <v>78</v>
      </c>
      <c r="AC1691" s="100">
        <f t="shared" si="447"/>
        <v>0.98712192438801671</v>
      </c>
    </row>
    <row r="1692" spans="4:29" x14ac:dyDescent="0.35">
      <c r="D1692">
        <f t="shared" si="448"/>
        <v>1688</v>
      </c>
      <c r="E1692" s="101">
        <v>7</v>
      </c>
      <c r="F1692" s="4">
        <v>4</v>
      </c>
      <c r="G1692" s="4">
        <v>7</v>
      </c>
      <c r="H1692" s="4">
        <v>3</v>
      </c>
      <c r="I1692" s="4">
        <v>3</v>
      </c>
      <c r="J1692" s="4">
        <v>1</v>
      </c>
      <c r="K1692" s="102">
        <v>5</v>
      </c>
      <c r="M1692" s="101">
        <f t="shared" si="433"/>
        <v>29</v>
      </c>
      <c r="N1692" s="4">
        <f t="shared" si="434"/>
        <v>12</v>
      </c>
      <c r="O1692" s="4">
        <f t="shared" si="435"/>
        <v>29</v>
      </c>
      <c r="P1692" s="4">
        <f t="shared" si="436"/>
        <v>23</v>
      </c>
      <c r="Q1692" s="4">
        <f t="shared" si="437"/>
        <v>23</v>
      </c>
      <c r="R1692" s="4">
        <f t="shared" si="438"/>
        <v>34</v>
      </c>
      <c r="S1692" s="102">
        <f t="shared" si="439"/>
        <v>30</v>
      </c>
      <c r="U1692" s="101">
        <f t="shared" si="440"/>
        <v>41</v>
      </c>
      <c r="V1692" s="4">
        <f t="shared" si="441"/>
        <v>9</v>
      </c>
      <c r="W1692" s="4">
        <f t="shared" si="442"/>
        <v>41</v>
      </c>
      <c r="X1692" s="4">
        <f t="shared" si="443"/>
        <v>39</v>
      </c>
      <c r="Y1692" s="4">
        <f t="shared" si="444"/>
        <v>39</v>
      </c>
      <c r="Z1692" s="4">
        <f t="shared" si="445"/>
        <v>46</v>
      </c>
      <c r="AA1692" s="102">
        <f t="shared" si="446"/>
        <v>39</v>
      </c>
      <c r="AC1692" s="100">
        <f t="shared" si="447"/>
        <v>0.90877271856610775</v>
      </c>
    </row>
    <row r="1693" spans="4:29" x14ac:dyDescent="0.35">
      <c r="D1693">
        <f t="shared" si="448"/>
        <v>1689</v>
      </c>
      <c r="E1693" s="101">
        <v>4</v>
      </c>
      <c r="F1693" s="4">
        <v>6</v>
      </c>
      <c r="G1693" s="4">
        <v>2</v>
      </c>
      <c r="H1693" s="4">
        <v>6</v>
      </c>
      <c r="I1693" s="4">
        <v>6</v>
      </c>
      <c r="J1693" s="4">
        <v>3</v>
      </c>
      <c r="K1693" s="102">
        <v>3</v>
      </c>
      <c r="M1693" s="101">
        <f t="shared" si="433"/>
        <v>12</v>
      </c>
      <c r="N1693" s="4">
        <f t="shared" si="434"/>
        <v>45</v>
      </c>
      <c r="O1693" s="4">
        <f t="shared" si="435"/>
        <v>56</v>
      </c>
      <c r="P1693" s="4">
        <f t="shared" si="436"/>
        <v>45</v>
      </c>
      <c r="Q1693" s="4">
        <f t="shared" si="437"/>
        <v>45</v>
      </c>
      <c r="R1693" s="4">
        <f t="shared" si="438"/>
        <v>23</v>
      </c>
      <c r="S1693" s="102">
        <f t="shared" si="439"/>
        <v>23</v>
      </c>
      <c r="U1693" s="101">
        <f t="shared" si="440"/>
        <v>9</v>
      </c>
      <c r="V1693" s="4">
        <f t="shared" si="441"/>
        <v>71</v>
      </c>
      <c r="W1693" s="4">
        <f t="shared" si="442"/>
        <v>78</v>
      </c>
      <c r="X1693" s="4">
        <f t="shared" si="443"/>
        <v>71</v>
      </c>
      <c r="Y1693" s="4">
        <f t="shared" si="444"/>
        <v>71</v>
      </c>
      <c r="Z1693" s="4">
        <f t="shared" si="445"/>
        <v>39</v>
      </c>
      <c r="AA1693" s="102">
        <f t="shared" si="446"/>
        <v>39</v>
      </c>
      <c r="AC1693" s="100">
        <f t="shared" si="447"/>
        <v>0.97575248118728031</v>
      </c>
    </row>
    <row r="1694" spans="4:29" x14ac:dyDescent="0.35">
      <c r="D1694">
        <f t="shared" si="448"/>
        <v>1690</v>
      </c>
      <c r="E1694" s="101">
        <v>1</v>
      </c>
      <c r="F1694" s="4">
        <v>1</v>
      </c>
      <c r="G1694" s="4">
        <v>7</v>
      </c>
      <c r="H1694" s="4">
        <v>4</v>
      </c>
      <c r="I1694" s="4">
        <v>3</v>
      </c>
      <c r="J1694" s="4">
        <v>4</v>
      </c>
      <c r="K1694" s="102">
        <v>4</v>
      </c>
      <c r="M1694" s="101">
        <f t="shared" si="433"/>
        <v>34</v>
      </c>
      <c r="N1694" s="4">
        <f t="shared" si="434"/>
        <v>34</v>
      </c>
      <c r="O1694" s="4">
        <f t="shared" si="435"/>
        <v>29</v>
      </c>
      <c r="P1694" s="4">
        <f t="shared" si="436"/>
        <v>12</v>
      </c>
      <c r="Q1694" s="4">
        <f t="shared" si="437"/>
        <v>23</v>
      </c>
      <c r="R1694" s="4">
        <f t="shared" si="438"/>
        <v>12</v>
      </c>
      <c r="S1694" s="102">
        <f t="shared" si="439"/>
        <v>12</v>
      </c>
      <c r="U1694" s="101">
        <f t="shared" si="440"/>
        <v>46</v>
      </c>
      <c r="V1694" s="4">
        <f t="shared" si="441"/>
        <v>46</v>
      </c>
      <c r="W1694" s="4">
        <f t="shared" si="442"/>
        <v>41</v>
      </c>
      <c r="X1694" s="4">
        <f t="shared" si="443"/>
        <v>9</v>
      </c>
      <c r="Y1694" s="4">
        <f t="shared" si="444"/>
        <v>39</v>
      </c>
      <c r="Z1694" s="4">
        <f t="shared" si="445"/>
        <v>9</v>
      </c>
      <c r="AA1694" s="102">
        <f t="shared" si="446"/>
        <v>9</v>
      </c>
      <c r="AC1694" s="100">
        <f t="shared" si="447"/>
        <v>0.97223449459194622</v>
      </c>
    </row>
    <row r="1695" spans="4:29" x14ac:dyDescent="0.35">
      <c r="D1695">
        <f t="shared" si="448"/>
        <v>1691</v>
      </c>
      <c r="E1695" s="101">
        <v>5</v>
      </c>
      <c r="F1695" s="4">
        <v>7</v>
      </c>
      <c r="G1695" s="4">
        <v>1</v>
      </c>
      <c r="H1695" s="4">
        <v>3</v>
      </c>
      <c r="I1695" s="4">
        <v>4</v>
      </c>
      <c r="J1695" s="4">
        <v>5</v>
      </c>
      <c r="K1695" s="102">
        <v>7</v>
      </c>
      <c r="M1695" s="101">
        <f t="shared" si="433"/>
        <v>30</v>
      </c>
      <c r="N1695" s="4">
        <f t="shared" si="434"/>
        <v>29</v>
      </c>
      <c r="O1695" s="4">
        <f t="shared" si="435"/>
        <v>34</v>
      </c>
      <c r="P1695" s="4">
        <f t="shared" si="436"/>
        <v>23</v>
      </c>
      <c r="Q1695" s="4">
        <f t="shared" si="437"/>
        <v>12</v>
      </c>
      <c r="R1695" s="4">
        <f t="shared" si="438"/>
        <v>30</v>
      </c>
      <c r="S1695" s="102">
        <f t="shared" si="439"/>
        <v>29</v>
      </c>
      <c r="U1695" s="101">
        <f t="shared" si="440"/>
        <v>39</v>
      </c>
      <c r="V1695" s="4">
        <f t="shared" si="441"/>
        <v>41</v>
      </c>
      <c r="W1695" s="4">
        <f t="shared" si="442"/>
        <v>46</v>
      </c>
      <c r="X1695" s="4">
        <f t="shared" si="443"/>
        <v>39</v>
      </c>
      <c r="Y1695" s="4">
        <f t="shared" si="444"/>
        <v>9</v>
      </c>
      <c r="Z1695" s="4">
        <f t="shared" si="445"/>
        <v>39</v>
      </c>
      <c r="AA1695" s="102">
        <f t="shared" si="446"/>
        <v>41</v>
      </c>
      <c r="AC1695" s="100">
        <f t="shared" si="447"/>
        <v>0.93854516668094623</v>
      </c>
    </row>
    <row r="1696" spans="4:29" x14ac:dyDescent="0.35">
      <c r="D1696">
        <f t="shared" si="448"/>
        <v>1692</v>
      </c>
      <c r="E1696" s="101">
        <v>1</v>
      </c>
      <c r="F1696" s="4">
        <v>1</v>
      </c>
      <c r="G1696" s="4">
        <v>4</v>
      </c>
      <c r="H1696" s="4">
        <v>4</v>
      </c>
      <c r="I1696" s="4">
        <v>4</v>
      </c>
      <c r="J1696" s="4">
        <v>5</v>
      </c>
      <c r="K1696" s="102">
        <v>4</v>
      </c>
      <c r="M1696" s="101">
        <f t="shared" si="433"/>
        <v>34</v>
      </c>
      <c r="N1696" s="4">
        <f t="shared" si="434"/>
        <v>34</v>
      </c>
      <c r="O1696" s="4">
        <f t="shared" si="435"/>
        <v>12</v>
      </c>
      <c r="P1696" s="4">
        <f t="shared" si="436"/>
        <v>12</v>
      </c>
      <c r="Q1696" s="4">
        <f t="shared" si="437"/>
        <v>12</v>
      </c>
      <c r="R1696" s="4">
        <f t="shared" si="438"/>
        <v>30</v>
      </c>
      <c r="S1696" s="102">
        <f t="shared" si="439"/>
        <v>12</v>
      </c>
      <c r="U1696" s="101">
        <f t="shared" si="440"/>
        <v>46</v>
      </c>
      <c r="V1696" s="4">
        <f t="shared" si="441"/>
        <v>46</v>
      </c>
      <c r="W1696" s="4">
        <f t="shared" si="442"/>
        <v>9</v>
      </c>
      <c r="X1696" s="4">
        <f t="shared" si="443"/>
        <v>9</v>
      </c>
      <c r="Y1696" s="4">
        <f t="shared" si="444"/>
        <v>9</v>
      </c>
      <c r="Z1696" s="4">
        <f t="shared" si="445"/>
        <v>39</v>
      </c>
      <c r="AA1696" s="102">
        <f t="shared" si="446"/>
        <v>9</v>
      </c>
      <c r="AC1696" s="100">
        <f t="shared" si="447"/>
        <v>0.99998676809308329</v>
      </c>
    </row>
    <row r="1697" spans="4:29" x14ac:dyDescent="0.35">
      <c r="D1697">
        <f t="shared" si="448"/>
        <v>1693</v>
      </c>
      <c r="E1697" s="101">
        <v>4</v>
      </c>
      <c r="F1697" s="4">
        <v>2</v>
      </c>
      <c r="G1697" s="4">
        <v>4</v>
      </c>
      <c r="H1697" s="4">
        <v>1</v>
      </c>
      <c r="I1697" s="4">
        <v>3</v>
      </c>
      <c r="J1697" s="4">
        <v>1</v>
      </c>
      <c r="K1697" s="102">
        <v>7</v>
      </c>
      <c r="M1697" s="101">
        <f t="shared" si="433"/>
        <v>12</v>
      </c>
      <c r="N1697" s="4">
        <f t="shared" si="434"/>
        <v>56</v>
      </c>
      <c r="O1697" s="4">
        <f t="shared" si="435"/>
        <v>12</v>
      </c>
      <c r="P1697" s="4">
        <f t="shared" si="436"/>
        <v>34</v>
      </c>
      <c r="Q1697" s="4">
        <f t="shared" si="437"/>
        <v>23</v>
      </c>
      <c r="R1697" s="4">
        <f t="shared" si="438"/>
        <v>34</v>
      </c>
      <c r="S1697" s="102">
        <f t="shared" si="439"/>
        <v>29</v>
      </c>
      <c r="U1697" s="101">
        <f t="shared" si="440"/>
        <v>9</v>
      </c>
      <c r="V1697" s="4">
        <f t="shared" si="441"/>
        <v>78</v>
      </c>
      <c r="W1697" s="4">
        <f t="shared" si="442"/>
        <v>9</v>
      </c>
      <c r="X1697" s="4">
        <f t="shared" si="443"/>
        <v>46</v>
      </c>
      <c r="Y1697" s="4">
        <f t="shared" si="444"/>
        <v>39</v>
      </c>
      <c r="Z1697" s="4">
        <f t="shared" si="445"/>
        <v>46</v>
      </c>
      <c r="AA1697" s="102">
        <f t="shared" si="446"/>
        <v>41</v>
      </c>
      <c r="AC1697" s="100">
        <f t="shared" si="447"/>
        <v>0.98137700477219703</v>
      </c>
    </row>
    <row r="1698" spans="4:29" x14ac:dyDescent="0.35">
      <c r="D1698">
        <f t="shared" si="448"/>
        <v>1694</v>
      </c>
      <c r="E1698" s="101">
        <v>5</v>
      </c>
      <c r="F1698" s="4">
        <v>7</v>
      </c>
      <c r="G1698" s="4">
        <v>7</v>
      </c>
      <c r="H1698" s="4">
        <v>5</v>
      </c>
      <c r="I1698" s="4">
        <v>1</v>
      </c>
      <c r="J1698" s="4">
        <v>5</v>
      </c>
      <c r="K1698" s="102">
        <v>7</v>
      </c>
      <c r="M1698" s="101">
        <f t="shared" si="433"/>
        <v>30</v>
      </c>
      <c r="N1698" s="4">
        <f t="shared" si="434"/>
        <v>29</v>
      </c>
      <c r="O1698" s="4">
        <f t="shared" si="435"/>
        <v>29</v>
      </c>
      <c r="P1698" s="4">
        <f t="shared" si="436"/>
        <v>30</v>
      </c>
      <c r="Q1698" s="4">
        <f t="shared" si="437"/>
        <v>34</v>
      </c>
      <c r="R1698" s="4">
        <f t="shared" si="438"/>
        <v>30</v>
      </c>
      <c r="S1698" s="102">
        <f t="shared" si="439"/>
        <v>29</v>
      </c>
      <c r="U1698" s="101">
        <f t="shared" si="440"/>
        <v>39</v>
      </c>
      <c r="V1698" s="4">
        <f t="shared" si="441"/>
        <v>41</v>
      </c>
      <c r="W1698" s="4">
        <f t="shared" si="442"/>
        <v>41</v>
      </c>
      <c r="X1698" s="4">
        <f t="shared" si="443"/>
        <v>39</v>
      </c>
      <c r="Y1698" s="4">
        <f t="shared" si="444"/>
        <v>46</v>
      </c>
      <c r="Z1698" s="4">
        <f t="shared" si="445"/>
        <v>39</v>
      </c>
      <c r="AA1698" s="102">
        <f t="shared" si="446"/>
        <v>41</v>
      </c>
      <c r="AC1698" s="100">
        <f t="shared" si="447"/>
        <v>0.76405090429576739</v>
      </c>
    </row>
    <row r="1699" spans="4:29" x14ac:dyDescent="0.35">
      <c r="D1699">
        <f t="shared" si="448"/>
        <v>1695</v>
      </c>
      <c r="E1699" s="101">
        <v>1</v>
      </c>
      <c r="F1699" s="4">
        <v>4</v>
      </c>
      <c r="G1699" s="4">
        <v>7</v>
      </c>
      <c r="H1699" s="4">
        <v>6</v>
      </c>
      <c r="I1699" s="4">
        <v>4</v>
      </c>
      <c r="J1699" s="4">
        <v>4</v>
      </c>
      <c r="K1699" s="102">
        <v>7</v>
      </c>
      <c r="M1699" s="101">
        <f t="shared" si="433"/>
        <v>34</v>
      </c>
      <c r="N1699" s="4">
        <f t="shared" si="434"/>
        <v>12</v>
      </c>
      <c r="O1699" s="4">
        <f t="shared" si="435"/>
        <v>29</v>
      </c>
      <c r="P1699" s="4">
        <f t="shared" si="436"/>
        <v>45</v>
      </c>
      <c r="Q1699" s="4">
        <f t="shared" si="437"/>
        <v>12</v>
      </c>
      <c r="R1699" s="4">
        <f t="shared" si="438"/>
        <v>12</v>
      </c>
      <c r="S1699" s="102">
        <f t="shared" si="439"/>
        <v>29</v>
      </c>
      <c r="U1699" s="101">
        <f t="shared" si="440"/>
        <v>46</v>
      </c>
      <c r="V1699" s="4">
        <f t="shared" si="441"/>
        <v>9</v>
      </c>
      <c r="W1699" s="4">
        <f t="shared" si="442"/>
        <v>41</v>
      </c>
      <c r="X1699" s="4">
        <f t="shared" si="443"/>
        <v>71</v>
      </c>
      <c r="Y1699" s="4">
        <f t="shared" si="444"/>
        <v>9</v>
      </c>
      <c r="Z1699" s="4">
        <f t="shared" si="445"/>
        <v>9</v>
      </c>
      <c r="AA1699" s="102">
        <f t="shared" si="446"/>
        <v>41</v>
      </c>
      <c r="AC1699" s="100">
        <f t="shared" si="447"/>
        <v>0.99787635450242285</v>
      </c>
    </row>
    <row r="1700" spans="4:29" x14ac:dyDescent="0.35">
      <c r="D1700">
        <f t="shared" si="448"/>
        <v>1696</v>
      </c>
      <c r="E1700" s="101">
        <v>5</v>
      </c>
      <c r="F1700" s="4">
        <v>7</v>
      </c>
      <c r="G1700" s="4">
        <v>6</v>
      </c>
      <c r="H1700" s="4">
        <v>1</v>
      </c>
      <c r="I1700" s="4">
        <v>1</v>
      </c>
      <c r="J1700" s="4">
        <v>2</v>
      </c>
      <c r="K1700" s="102">
        <v>3</v>
      </c>
      <c r="M1700" s="101">
        <f t="shared" si="433"/>
        <v>30</v>
      </c>
      <c r="N1700" s="4">
        <f t="shared" si="434"/>
        <v>29</v>
      </c>
      <c r="O1700" s="4">
        <f t="shared" si="435"/>
        <v>45</v>
      </c>
      <c r="P1700" s="4">
        <f t="shared" si="436"/>
        <v>34</v>
      </c>
      <c r="Q1700" s="4">
        <f t="shared" si="437"/>
        <v>34</v>
      </c>
      <c r="R1700" s="4">
        <f t="shared" si="438"/>
        <v>56</v>
      </c>
      <c r="S1700" s="102">
        <f t="shared" si="439"/>
        <v>23</v>
      </c>
      <c r="U1700" s="101">
        <f t="shared" si="440"/>
        <v>39</v>
      </c>
      <c r="V1700" s="4">
        <f t="shared" si="441"/>
        <v>41</v>
      </c>
      <c r="W1700" s="4">
        <f t="shared" si="442"/>
        <v>71</v>
      </c>
      <c r="X1700" s="4">
        <f t="shared" si="443"/>
        <v>46</v>
      </c>
      <c r="Y1700" s="4">
        <f t="shared" si="444"/>
        <v>46</v>
      </c>
      <c r="Z1700" s="4">
        <f t="shared" si="445"/>
        <v>78</v>
      </c>
      <c r="AA1700" s="102">
        <f t="shared" si="446"/>
        <v>39</v>
      </c>
      <c r="AC1700" s="100">
        <f t="shared" si="447"/>
        <v>0.96287014255618342</v>
      </c>
    </row>
    <row r="1701" spans="4:29" x14ac:dyDescent="0.35">
      <c r="D1701">
        <f t="shared" si="448"/>
        <v>1697</v>
      </c>
      <c r="E1701" s="101">
        <v>7</v>
      </c>
      <c r="F1701" s="4">
        <v>6</v>
      </c>
      <c r="G1701" s="4">
        <v>2</v>
      </c>
      <c r="H1701" s="4">
        <v>7</v>
      </c>
      <c r="I1701" s="4">
        <v>7</v>
      </c>
      <c r="J1701" s="4">
        <v>6</v>
      </c>
      <c r="K1701" s="102">
        <v>5</v>
      </c>
      <c r="M1701" s="101">
        <f t="shared" si="433"/>
        <v>29</v>
      </c>
      <c r="N1701" s="4">
        <f t="shared" si="434"/>
        <v>45</v>
      </c>
      <c r="O1701" s="4">
        <f t="shared" si="435"/>
        <v>56</v>
      </c>
      <c r="P1701" s="4">
        <f t="shared" si="436"/>
        <v>29</v>
      </c>
      <c r="Q1701" s="4">
        <f t="shared" si="437"/>
        <v>29</v>
      </c>
      <c r="R1701" s="4">
        <f t="shared" si="438"/>
        <v>45</v>
      </c>
      <c r="S1701" s="102">
        <f t="shared" si="439"/>
        <v>30</v>
      </c>
      <c r="U1701" s="101">
        <f t="shared" si="440"/>
        <v>41</v>
      </c>
      <c r="V1701" s="4">
        <f t="shared" si="441"/>
        <v>71</v>
      </c>
      <c r="W1701" s="4">
        <f t="shared" si="442"/>
        <v>78</v>
      </c>
      <c r="X1701" s="4">
        <f t="shared" si="443"/>
        <v>41</v>
      </c>
      <c r="Y1701" s="4">
        <f t="shared" si="444"/>
        <v>41</v>
      </c>
      <c r="Z1701" s="4">
        <f t="shared" si="445"/>
        <v>71</v>
      </c>
      <c r="AA1701" s="102">
        <f t="shared" si="446"/>
        <v>39</v>
      </c>
      <c r="AC1701" s="100">
        <f t="shared" si="447"/>
        <v>0.97599971482410741</v>
      </c>
    </row>
    <row r="1702" spans="4:29" x14ac:dyDescent="0.35">
      <c r="D1702">
        <f t="shared" si="448"/>
        <v>1698</v>
      </c>
      <c r="E1702" s="101">
        <v>3</v>
      </c>
      <c r="F1702" s="4">
        <v>1</v>
      </c>
      <c r="G1702" s="4">
        <v>7</v>
      </c>
      <c r="H1702" s="4">
        <v>7</v>
      </c>
      <c r="I1702" s="4">
        <v>3</v>
      </c>
      <c r="J1702" s="4">
        <v>7</v>
      </c>
      <c r="K1702" s="102">
        <v>6</v>
      </c>
      <c r="M1702" s="101">
        <f t="shared" si="433"/>
        <v>23</v>
      </c>
      <c r="N1702" s="4">
        <f t="shared" si="434"/>
        <v>34</v>
      </c>
      <c r="O1702" s="4">
        <f t="shared" si="435"/>
        <v>29</v>
      </c>
      <c r="P1702" s="4">
        <f t="shared" si="436"/>
        <v>29</v>
      </c>
      <c r="Q1702" s="4">
        <f t="shared" si="437"/>
        <v>23</v>
      </c>
      <c r="R1702" s="4">
        <f t="shared" si="438"/>
        <v>29</v>
      </c>
      <c r="S1702" s="102">
        <f t="shared" si="439"/>
        <v>45</v>
      </c>
      <c r="U1702" s="101">
        <f t="shared" si="440"/>
        <v>39</v>
      </c>
      <c r="V1702" s="4">
        <f t="shared" si="441"/>
        <v>46</v>
      </c>
      <c r="W1702" s="4">
        <f t="shared" si="442"/>
        <v>41</v>
      </c>
      <c r="X1702" s="4">
        <f t="shared" si="443"/>
        <v>41</v>
      </c>
      <c r="Y1702" s="4">
        <f t="shared" si="444"/>
        <v>39</v>
      </c>
      <c r="Z1702" s="4">
        <f t="shared" si="445"/>
        <v>41</v>
      </c>
      <c r="AA1702" s="102">
        <f t="shared" si="446"/>
        <v>71</v>
      </c>
      <c r="AC1702" s="100">
        <f t="shared" si="447"/>
        <v>0.93844150633213308</v>
      </c>
    </row>
    <row r="1703" spans="4:29" x14ac:dyDescent="0.35">
      <c r="D1703">
        <f t="shared" si="448"/>
        <v>1699</v>
      </c>
      <c r="E1703" s="101">
        <v>4</v>
      </c>
      <c r="F1703" s="4">
        <v>3</v>
      </c>
      <c r="G1703" s="4">
        <v>3</v>
      </c>
      <c r="H1703" s="4">
        <v>5</v>
      </c>
      <c r="I1703" s="4">
        <v>4</v>
      </c>
      <c r="J1703" s="4">
        <v>3</v>
      </c>
      <c r="K1703" s="102">
        <v>4</v>
      </c>
      <c r="M1703" s="101">
        <f t="shared" si="433"/>
        <v>12</v>
      </c>
      <c r="N1703" s="4">
        <f t="shared" si="434"/>
        <v>23</v>
      </c>
      <c r="O1703" s="4">
        <f t="shared" si="435"/>
        <v>23</v>
      </c>
      <c r="P1703" s="4">
        <f t="shared" si="436"/>
        <v>30</v>
      </c>
      <c r="Q1703" s="4">
        <f t="shared" si="437"/>
        <v>12</v>
      </c>
      <c r="R1703" s="4">
        <f t="shared" si="438"/>
        <v>23</v>
      </c>
      <c r="S1703" s="102">
        <f t="shared" si="439"/>
        <v>12</v>
      </c>
      <c r="U1703" s="101">
        <f t="shared" si="440"/>
        <v>9</v>
      </c>
      <c r="V1703" s="4">
        <f t="shared" si="441"/>
        <v>39</v>
      </c>
      <c r="W1703" s="4">
        <f t="shared" si="442"/>
        <v>39</v>
      </c>
      <c r="X1703" s="4">
        <f t="shared" si="443"/>
        <v>39</v>
      </c>
      <c r="Y1703" s="4">
        <f t="shared" si="444"/>
        <v>9</v>
      </c>
      <c r="Z1703" s="4">
        <f t="shared" si="445"/>
        <v>39</v>
      </c>
      <c r="AA1703" s="102">
        <f t="shared" si="446"/>
        <v>9</v>
      </c>
      <c r="AC1703" s="100">
        <f t="shared" si="447"/>
        <v>0.93994247048746926</v>
      </c>
    </row>
    <row r="1704" spans="4:29" x14ac:dyDescent="0.35">
      <c r="D1704">
        <f t="shared" si="448"/>
        <v>1700</v>
      </c>
      <c r="E1704" s="101">
        <v>7</v>
      </c>
      <c r="F1704" s="4">
        <v>2</v>
      </c>
      <c r="G1704" s="4">
        <v>6</v>
      </c>
      <c r="H1704" s="4">
        <v>2</v>
      </c>
      <c r="I1704" s="4">
        <v>1</v>
      </c>
      <c r="J1704" s="4">
        <v>1</v>
      </c>
      <c r="K1704" s="102">
        <v>6</v>
      </c>
      <c r="M1704" s="101">
        <f t="shared" si="433"/>
        <v>29</v>
      </c>
      <c r="N1704" s="4">
        <f t="shared" si="434"/>
        <v>56</v>
      </c>
      <c r="O1704" s="4">
        <f t="shared" si="435"/>
        <v>45</v>
      </c>
      <c r="P1704" s="4">
        <f t="shared" si="436"/>
        <v>56</v>
      </c>
      <c r="Q1704" s="4">
        <f t="shared" si="437"/>
        <v>34</v>
      </c>
      <c r="R1704" s="4">
        <f t="shared" si="438"/>
        <v>34</v>
      </c>
      <c r="S1704" s="102">
        <f t="shared" si="439"/>
        <v>45</v>
      </c>
      <c r="U1704" s="101">
        <f t="shared" si="440"/>
        <v>41</v>
      </c>
      <c r="V1704" s="4">
        <f t="shared" si="441"/>
        <v>78</v>
      </c>
      <c r="W1704" s="4">
        <f t="shared" si="442"/>
        <v>71</v>
      </c>
      <c r="X1704" s="4">
        <f t="shared" si="443"/>
        <v>78</v>
      </c>
      <c r="Y1704" s="4">
        <f t="shared" si="444"/>
        <v>46</v>
      </c>
      <c r="Z1704" s="4">
        <f t="shared" si="445"/>
        <v>46</v>
      </c>
      <c r="AA1704" s="102">
        <f t="shared" si="446"/>
        <v>71</v>
      </c>
      <c r="AC1704" s="100">
        <f t="shared" si="447"/>
        <v>0.96611375256843657</v>
      </c>
    </row>
    <row r="1705" spans="4:29" x14ac:dyDescent="0.35">
      <c r="D1705">
        <f t="shared" si="448"/>
        <v>1701</v>
      </c>
      <c r="E1705" s="101">
        <v>7</v>
      </c>
      <c r="F1705" s="4">
        <v>4</v>
      </c>
      <c r="G1705" s="4">
        <v>4</v>
      </c>
      <c r="H1705" s="4">
        <v>2</v>
      </c>
      <c r="I1705" s="4">
        <v>4</v>
      </c>
      <c r="J1705" s="4">
        <v>1</v>
      </c>
      <c r="K1705" s="102">
        <v>1</v>
      </c>
      <c r="M1705" s="101">
        <f t="shared" si="433"/>
        <v>29</v>
      </c>
      <c r="N1705" s="4">
        <f t="shared" si="434"/>
        <v>12</v>
      </c>
      <c r="O1705" s="4">
        <f t="shared" si="435"/>
        <v>12</v>
      </c>
      <c r="P1705" s="4">
        <f t="shared" si="436"/>
        <v>56</v>
      </c>
      <c r="Q1705" s="4">
        <f t="shared" si="437"/>
        <v>12</v>
      </c>
      <c r="R1705" s="4">
        <f t="shared" si="438"/>
        <v>34</v>
      </c>
      <c r="S1705" s="102">
        <f t="shared" si="439"/>
        <v>34</v>
      </c>
      <c r="U1705" s="101">
        <f t="shared" si="440"/>
        <v>41</v>
      </c>
      <c r="V1705" s="4">
        <f t="shared" si="441"/>
        <v>9</v>
      </c>
      <c r="W1705" s="4">
        <f t="shared" si="442"/>
        <v>9</v>
      </c>
      <c r="X1705" s="4">
        <f t="shared" si="443"/>
        <v>78</v>
      </c>
      <c r="Y1705" s="4">
        <f t="shared" si="444"/>
        <v>9</v>
      </c>
      <c r="Z1705" s="4">
        <f t="shared" si="445"/>
        <v>46</v>
      </c>
      <c r="AA1705" s="102">
        <f t="shared" si="446"/>
        <v>46</v>
      </c>
      <c r="AC1705" s="100">
        <f t="shared" si="447"/>
        <v>0.99704732734958845</v>
      </c>
    </row>
    <row r="1706" spans="4:29" x14ac:dyDescent="0.35">
      <c r="D1706">
        <f t="shared" si="448"/>
        <v>1702</v>
      </c>
      <c r="E1706" s="101">
        <v>5</v>
      </c>
      <c r="F1706" s="4">
        <v>4</v>
      </c>
      <c r="G1706" s="4">
        <v>4</v>
      </c>
      <c r="H1706" s="4">
        <v>3</v>
      </c>
      <c r="I1706" s="4">
        <v>3</v>
      </c>
      <c r="J1706" s="4">
        <v>1</v>
      </c>
      <c r="K1706" s="102">
        <v>3</v>
      </c>
      <c r="M1706" s="101">
        <f t="shared" si="433"/>
        <v>30</v>
      </c>
      <c r="N1706" s="4">
        <f t="shared" si="434"/>
        <v>12</v>
      </c>
      <c r="O1706" s="4">
        <f t="shared" si="435"/>
        <v>12</v>
      </c>
      <c r="P1706" s="4">
        <f t="shared" si="436"/>
        <v>23</v>
      </c>
      <c r="Q1706" s="4">
        <f t="shared" si="437"/>
        <v>23</v>
      </c>
      <c r="R1706" s="4">
        <f t="shared" si="438"/>
        <v>34</v>
      </c>
      <c r="S1706" s="102">
        <f t="shared" si="439"/>
        <v>23</v>
      </c>
      <c r="U1706" s="101">
        <f t="shared" si="440"/>
        <v>39</v>
      </c>
      <c r="V1706" s="4">
        <f t="shared" si="441"/>
        <v>9</v>
      </c>
      <c r="W1706" s="4">
        <f t="shared" si="442"/>
        <v>9</v>
      </c>
      <c r="X1706" s="4">
        <f t="shared" si="443"/>
        <v>39</v>
      </c>
      <c r="Y1706" s="4">
        <f t="shared" si="444"/>
        <v>39</v>
      </c>
      <c r="Z1706" s="4">
        <f t="shared" si="445"/>
        <v>46</v>
      </c>
      <c r="AA1706" s="102">
        <f t="shared" si="446"/>
        <v>39</v>
      </c>
      <c r="AC1706" s="100">
        <f t="shared" si="447"/>
        <v>0.91761792137740728</v>
      </c>
    </row>
    <row r="1707" spans="4:29" x14ac:dyDescent="0.35">
      <c r="D1707">
        <f t="shared" si="448"/>
        <v>1703</v>
      </c>
      <c r="E1707" s="101">
        <v>3</v>
      </c>
      <c r="F1707" s="4">
        <v>1</v>
      </c>
      <c r="G1707" s="4">
        <v>1</v>
      </c>
      <c r="H1707" s="4">
        <v>4</v>
      </c>
      <c r="I1707" s="4">
        <v>5</v>
      </c>
      <c r="J1707" s="4">
        <v>5</v>
      </c>
      <c r="K1707" s="102">
        <v>5</v>
      </c>
      <c r="M1707" s="101">
        <f t="shared" si="433"/>
        <v>23</v>
      </c>
      <c r="N1707" s="4">
        <f t="shared" si="434"/>
        <v>34</v>
      </c>
      <c r="O1707" s="4">
        <f t="shared" si="435"/>
        <v>34</v>
      </c>
      <c r="P1707" s="4">
        <f t="shared" si="436"/>
        <v>12</v>
      </c>
      <c r="Q1707" s="4">
        <f t="shared" si="437"/>
        <v>30</v>
      </c>
      <c r="R1707" s="4">
        <f t="shared" si="438"/>
        <v>30</v>
      </c>
      <c r="S1707" s="102">
        <f t="shared" si="439"/>
        <v>30</v>
      </c>
      <c r="U1707" s="101">
        <f t="shared" si="440"/>
        <v>39</v>
      </c>
      <c r="V1707" s="4">
        <f t="shared" si="441"/>
        <v>46</v>
      </c>
      <c r="W1707" s="4">
        <f t="shared" si="442"/>
        <v>46</v>
      </c>
      <c r="X1707" s="4">
        <f t="shared" si="443"/>
        <v>9</v>
      </c>
      <c r="Y1707" s="4">
        <f t="shared" si="444"/>
        <v>39</v>
      </c>
      <c r="Z1707" s="4">
        <f t="shared" si="445"/>
        <v>39</v>
      </c>
      <c r="AA1707" s="102">
        <f t="shared" si="446"/>
        <v>39</v>
      </c>
      <c r="AC1707" s="100">
        <f t="shared" si="447"/>
        <v>0.94216697077416256</v>
      </c>
    </row>
    <row r="1708" spans="4:29" x14ac:dyDescent="0.35">
      <c r="D1708">
        <f t="shared" si="448"/>
        <v>1704</v>
      </c>
      <c r="E1708" s="101">
        <v>1</v>
      </c>
      <c r="F1708" s="4">
        <v>1</v>
      </c>
      <c r="G1708" s="4">
        <v>6</v>
      </c>
      <c r="H1708" s="4">
        <v>1</v>
      </c>
      <c r="I1708" s="4">
        <v>5</v>
      </c>
      <c r="J1708" s="4">
        <v>6</v>
      </c>
      <c r="K1708" s="102">
        <v>2</v>
      </c>
      <c r="M1708" s="101">
        <f t="shared" si="433"/>
        <v>34</v>
      </c>
      <c r="N1708" s="4">
        <f t="shared" si="434"/>
        <v>34</v>
      </c>
      <c r="O1708" s="4">
        <f t="shared" si="435"/>
        <v>45</v>
      </c>
      <c r="P1708" s="4">
        <f t="shared" si="436"/>
        <v>34</v>
      </c>
      <c r="Q1708" s="4">
        <f t="shared" si="437"/>
        <v>30</v>
      </c>
      <c r="R1708" s="4">
        <f t="shared" si="438"/>
        <v>45</v>
      </c>
      <c r="S1708" s="102">
        <f t="shared" si="439"/>
        <v>56</v>
      </c>
      <c r="U1708" s="101">
        <f t="shared" si="440"/>
        <v>46</v>
      </c>
      <c r="V1708" s="4">
        <f t="shared" si="441"/>
        <v>46</v>
      </c>
      <c r="W1708" s="4">
        <f t="shared" si="442"/>
        <v>71</v>
      </c>
      <c r="X1708" s="4">
        <f t="shared" si="443"/>
        <v>46</v>
      </c>
      <c r="Y1708" s="4">
        <f t="shared" si="444"/>
        <v>39</v>
      </c>
      <c r="Z1708" s="4">
        <f t="shared" si="445"/>
        <v>71</v>
      </c>
      <c r="AA1708" s="102">
        <f t="shared" si="446"/>
        <v>78</v>
      </c>
      <c r="AC1708" s="100">
        <f t="shared" si="447"/>
        <v>0.96624446147411314</v>
      </c>
    </row>
    <row r="1709" spans="4:29" x14ac:dyDescent="0.35">
      <c r="D1709">
        <f t="shared" si="448"/>
        <v>1705</v>
      </c>
      <c r="E1709" s="101">
        <v>4</v>
      </c>
      <c r="F1709" s="4">
        <v>3</v>
      </c>
      <c r="G1709" s="4">
        <v>2</v>
      </c>
      <c r="H1709" s="4">
        <v>5</v>
      </c>
      <c r="I1709" s="4">
        <v>3</v>
      </c>
      <c r="J1709" s="4">
        <v>1</v>
      </c>
      <c r="K1709" s="102">
        <v>7</v>
      </c>
      <c r="M1709" s="101">
        <f t="shared" si="433"/>
        <v>12</v>
      </c>
      <c r="N1709" s="4">
        <f t="shared" si="434"/>
        <v>23</v>
      </c>
      <c r="O1709" s="4">
        <f t="shared" si="435"/>
        <v>56</v>
      </c>
      <c r="P1709" s="4">
        <f t="shared" si="436"/>
        <v>30</v>
      </c>
      <c r="Q1709" s="4">
        <f t="shared" si="437"/>
        <v>23</v>
      </c>
      <c r="R1709" s="4">
        <f t="shared" si="438"/>
        <v>34</v>
      </c>
      <c r="S1709" s="102">
        <f t="shared" si="439"/>
        <v>29</v>
      </c>
      <c r="U1709" s="101">
        <f t="shared" si="440"/>
        <v>9</v>
      </c>
      <c r="V1709" s="4">
        <f t="shared" si="441"/>
        <v>39</v>
      </c>
      <c r="W1709" s="4">
        <f t="shared" si="442"/>
        <v>78</v>
      </c>
      <c r="X1709" s="4">
        <f t="shared" si="443"/>
        <v>39</v>
      </c>
      <c r="Y1709" s="4">
        <f t="shared" si="444"/>
        <v>39</v>
      </c>
      <c r="Z1709" s="4">
        <f t="shared" si="445"/>
        <v>46</v>
      </c>
      <c r="AA1709" s="102">
        <f t="shared" si="446"/>
        <v>41</v>
      </c>
      <c r="AC1709" s="100">
        <f t="shared" si="447"/>
        <v>0.96557646180086365</v>
      </c>
    </row>
    <row r="1710" spans="4:29" x14ac:dyDescent="0.35">
      <c r="D1710">
        <f t="shared" si="448"/>
        <v>1706</v>
      </c>
      <c r="E1710" s="101">
        <v>4</v>
      </c>
      <c r="F1710" s="4">
        <v>4</v>
      </c>
      <c r="G1710" s="4">
        <v>6</v>
      </c>
      <c r="H1710" s="4">
        <v>6</v>
      </c>
      <c r="I1710" s="4">
        <v>7</v>
      </c>
      <c r="J1710" s="4">
        <v>2</v>
      </c>
      <c r="K1710" s="102">
        <v>3</v>
      </c>
      <c r="M1710" s="101">
        <f t="shared" si="433"/>
        <v>12</v>
      </c>
      <c r="N1710" s="4">
        <f t="shared" si="434"/>
        <v>12</v>
      </c>
      <c r="O1710" s="4">
        <f t="shared" si="435"/>
        <v>45</v>
      </c>
      <c r="P1710" s="4">
        <f t="shared" si="436"/>
        <v>45</v>
      </c>
      <c r="Q1710" s="4">
        <f t="shared" si="437"/>
        <v>29</v>
      </c>
      <c r="R1710" s="4">
        <f t="shared" si="438"/>
        <v>56</v>
      </c>
      <c r="S1710" s="102">
        <f t="shared" si="439"/>
        <v>23</v>
      </c>
      <c r="U1710" s="101">
        <f t="shared" si="440"/>
        <v>9</v>
      </c>
      <c r="V1710" s="4">
        <f t="shared" si="441"/>
        <v>9</v>
      </c>
      <c r="W1710" s="4">
        <f t="shared" si="442"/>
        <v>71</v>
      </c>
      <c r="X1710" s="4">
        <f t="shared" si="443"/>
        <v>71</v>
      </c>
      <c r="Y1710" s="4">
        <f t="shared" si="444"/>
        <v>41</v>
      </c>
      <c r="Z1710" s="4">
        <f t="shared" si="445"/>
        <v>78</v>
      </c>
      <c r="AA1710" s="102">
        <f t="shared" si="446"/>
        <v>39</v>
      </c>
      <c r="AC1710" s="100">
        <f t="shared" si="447"/>
        <v>0.98248533122426174</v>
      </c>
    </row>
    <row r="1711" spans="4:29" x14ac:dyDescent="0.35">
      <c r="D1711">
        <f t="shared" si="448"/>
        <v>1707</v>
      </c>
      <c r="E1711" s="101">
        <v>3</v>
      </c>
      <c r="F1711" s="4">
        <v>3</v>
      </c>
      <c r="G1711" s="4">
        <v>4</v>
      </c>
      <c r="H1711" s="4">
        <v>6</v>
      </c>
      <c r="I1711" s="4">
        <v>2</v>
      </c>
      <c r="J1711" s="4">
        <v>7</v>
      </c>
      <c r="K1711" s="102">
        <v>4</v>
      </c>
      <c r="M1711" s="101">
        <f t="shared" si="433"/>
        <v>23</v>
      </c>
      <c r="N1711" s="4">
        <f t="shared" si="434"/>
        <v>23</v>
      </c>
      <c r="O1711" s="4">
        <f t="shared" si="435"/>
        <v>12</v>
      </c>
      <c r="P1711" s="4">
        <f t="shared" si="436"/>
        <v>45</v>
      </c>
      <c r="Q1711" s="4">
        <f t="shared" si="437"/>
        <v>56</v>
      </c>
      <c r="R1711" s="4">
        <f t="shared" si="438"/>
        <v>29</v>
      </c>
      <c r="S1711" s="102">
        <f t="shared" si="439"/>
        <v>12</v>
      </c>
      <c r="U1711" s="101">
        <f t="shared" si="440"/>
        <v>39</v>
      </c>
      <c r="V1711" s="4">
        <f t="shared" si="441"/>
        <v>39</v>
      </c>
      <c r="W1711" s="4">
        <f t="shared" si="442"/>
        <v>9</v>
      </c>
      <c r="X1711" s="4">
        <f t="shared" si="443"/>
        <v>71</v>
      </c>
      <c r="Y1711" s="4">
        <f t="shared" si="444"/>
        <v>78</v>
      </c>
      <c r="Z1711" s="4">
        <f t="shared" si="445"/>
        <v>41</v>
      </c>
      <c r="AA1711" s="102">
        <f t="shared" si="446"/>
        <v>9</v>
      </c>
      <c r="AC1711" s="100">
        <f t="shared" si="447"/>
        <v>0.97458929056574928</v>
      </c>
    </row>
    <row r="1712" spans="4:29" x14ac:dyDescent="0.35">
      <c r="D1712">
        <f t="shared" si="448"/>
        <v>1708</v>
      </c>
      <c r="E1712" s="101">
        <v>5</v>
      </c>
      <c r="F1712" s="4">
        <v>7</v>
      </c>
      <c r="G1712" s="4">
        <v>6</v>
      </c>
      <c r="H1712" s="4">
        <v>1</v>
      </c>
      <c r="I1712" s="4">
        <v>3</v>
      </c>
      <c r="J1712" s="4">
        <v>4</v>
      </c>
      <c r="K1712" s="102">
        <v>3</v>
      </c>
      <c r="M1712" s="101">
        <f t="shared" si="433"/>
        <v>30</v>
      </c>
      <c r="N1712" s="4">
        <f t="shared" si="434"/>
        <v>29</v>
      </c>
      <c r="O1712" s="4">
        <f t="shared" si="435"/>
        <v>45</v>
      </c>
      <c r="P1712" s="4">
        <f t="shared" si="436"/>
        <v>34</v>
      </c>
      <c r="Q1712" s="4">
        <f t="shared" si="437"/>
        <v>23</v>
      </c>
      <c r="R1712" s="4">
        <f t="shared" si="438"/>
        <v>12</v>
      </c>
      <c r="S1712" s="102">
        <f t="shared" si="439"/>
        <v>23</v>
      </c>
      <c r="U1712" s="101">
        <f t="shared" si="440"/>
        <v>39</v>
      </c>
      <c r="V1712" s="4">
        <f t="shared" si="441"/>
        <v>41</v>
      </c>
      <c r="W1712" s="4">
        <f t="shared" si="442"/>
        <v>71</v>
      </c>
      <c r="X1712" s="4">
        <f t="shared" si="443"/>
        <v>46</v>
      </c>
      <c r="Y1712" s="4">
        <f t="shared" si="444"/>
        <v>39</v>
      </c>
      <c r="Z1712" s="4">
        <f t="shared" si="445"/>
        <v>9</v>
      </c>
      <c r="AA1712" s="102">
        <f t="shared" si="446"/>
        <v>39</v>
      </c>
      <c r="AC1712" s="100">
        <f t="shared" si="447"/>
        <v>0.95663510890125913</v>
      </c>
    </row>
    <row r="1713" spans="4:29" x14ac:dyDescent="0.35">
      <c r="D1713">
        <f t="shared" si="448"/>
        <v>1709</v>
      </c>
      <c r="E1713" s="101">
        <v>6</v>
      </c>
      <c r="F1713" s="4">
        <v>2</v>
      </c>
      <c r="G1713" s="4">
        <v>5</v>
      </c>
      <c r="H1713" s="4">
        <v>1</v>
      </c>
      <c r="I1713" s="4">
        <v>2</v>
      </c>
      <c r="J1713" s="4">
        <v>2</v>
      </c>
      <c r="K1713" s="102">
        <v>6</v>
      </c>
      <c r="M1713" s="101">
        <f t="shared" si="433"/>
        <v>45</v>
      </c>
      <c r="N1713" s="4">
        <f t="shared" si="434"/>
        <v>56</v>
      </c>
      <c r="O1713" s="4">
        <f t="shared" si="435"/>
        <v>30</v>
      </c>
      <c r="P1713" s="4">
        <f t="shared" si="436"/>
        <v>34</v>
      </c>
      <c r="Q1713" s="4">
        <f t="shared" si="437"/>
        <v>56</v>
      </c>
      <c r="R1713" s="4">
        <f t="shared" si="438"/>
        <v>56</v>
      </c>
      <c r="S1713" s="102">
        <f t="shared" si="439"/>
        <v>45</v>
      </c>
      <c r="U1713" s="101">
        <f t="shared" si="440"/>
        <v>71</v>
      </c>
      <c r="V1713" s="4">
        <f t="shared" si="441"/>
        <v>78</v>
      </c>
      <c r="W1713" s="4">
        <f t="shared" si="442"/>
        <v>39</v>
      </c>
      <c r="X1713" s="4">
        <f t="shared" si="443"/>
        <v>46</v>
      </c>
      <c r="Y1713" s="4">
        <f t="shared" si="444"/>
        <v>78</v>
      </c>
      <c r="Z1713" s="4">
        <f t="shared" si="445"/>
        <v>78</v>
      </c>
      <c r="AA1713" s="102">
        <f t="shared" si="446"/>
        <v>71</v>
      </c>
      <c r="AC1713" s="100">
        <f t="shared" si="447"/>
        <v>0.96106735613386018</v>
      </c>
    </row>
    <row r="1714" spans="4:29" x14ac:dyDescent="0.35">
      <c r="D1714">
        <f t="shared" si="448"/>
        <v>1710</v>
      </c>
      <c r="E1714" s="101">
        <v>3</v>
      </c>
      <c r="F1714" s="4">
        <v>2</v>
      </c>
      <c r="G1714" s="4">
        <v>2</v>
      </c>
      <c r="H1714" s="4">
        <v>6</v>
      </c>
      <c r="I1714" s="4">
        <v>5</v>
      </c>
      <c r="J1714" s="4">
        <v>7</v>
      </c>
      <c r="K1714" s="102">
        <v>2</v>
      </c>
      <c r="M1714" s="101">
        <f t="shared" si="433"/>
        <v>23</v>
      </c>
      <c r="N1714" s="4">
        <f t="shared" si="434"/>
        <v>56</v>
      </c>
      <c r="O1714" s="4">
        <f t="shared" si="435"/>
        <v>56</v>
      </c>
      <c r="P1714" s="4">
        <f t="shared" si="436"/>
        <v>45</v>
      </c>
      <c r="Q1714" s="4">
        <f t="shared" si="437"/>
        <v>30</v>
      </c>
      <c r="R1714" s="4">
        <f t="shared" si="438"/>
        <v>29</v>
      </c>
      <c r="S1714" s="102">
        <f t="shared" si="439"/>
        <v>56</v>
      </c>
      <c r="U1714" s="101">
        <f t="shared" si="440"/>
        <v>39</v>
      </c>
      <c r="V1714" s="4">
        <f t="shared" si="441"/>
        <v>78</v>
      </c>
      <c r="W1714" s="4">
        <f t="shared" si="442"/>
        <v>78</v>
      </c>
      <c r="X1714" s="4">
        <f t="shared" si="443"/>
        <v>71</v>
      </c>
      <c r="Y1714" s="4">
        <f t="shared" si="444"/>
        <v>39</v>
      </c>
      <c r="Z1714" s="4">
        <f t="shared" si="445"/>
        <v>41</v>
      </c>
      <c r="AA1714" s="102">
        <f t="shared" si="446"/>
        <v>78</v>
      </c>
      <c r="AC1714" s="100">
        <f t="shared" si="447"/>
        <v>0.97925487423723556</v>
      </c>
    </row>
    <row r="1715" spans="4:29" x14ac:dyDescent="0.35">
      <c r="D1715">
        <f t="shared" si="448"/>
        <v>1711</v>
      </c>
      <c r="E1715" s="101">
        <v>2</v>
      </c>
      <c r="F1715" s="4">
        <v>1</v>
      </c>
      <c r="G1715" s="4">
        <v>5</v>
      </c>
      <c r="H1715" s="4">
        <v>5</v>
      </c>
      <c r="I1715" s="4">
        <v>4</v>
      </c>
      <c r="J1715" s="4">
        <v>1</v>
      </c>
      <c r="K1715" s="102">
        <v>6</v>
      </c>
      <c r="M1715" s="101">
        <f t="shared" si="433"/>
        <v>56</v>
      </c>
      <c r="N1715" s="4">
        <f t="shared" si="434"/>
        <v>34</v>
      </c>
      <c r="O1715" s="4">
        <f t="shared" si="435"/>
        <v>30</v>
      </c>
      <c r="P1715" s="4">
        <f t="shared" si="436"/>
        <v>30</v>
      </c>
      <c r="Q1715" s="4">
        <f t="shared" si="437"/>
        <v>12</v>
      </c>
      <c r="R1715" s="4">
        <f t="shared" si="438"/>
        <v>34</v>
      </c>
      <c r="S1715" s="102">
        <f t="shared" si="439"/>
        <v>45</v>
      </c>
      <c r="U1715" s="101">
        <f t="shared" si="440"/>
        <v>78</v>
      </c>
      <c r="V1715" s="4">
        <f t="shared" si="441"/>
        <v>46</v>
      </c>
      <c r="W1715" s="4">
        <f t="shared" si="442"/>
        <v>39</v>
      </c>
      <c r="X1715" s="4">
        <f t="shared" si="443"/>
        <v>39</v>
      </c>
      <c r="Y1715" s="4">
        <f t="shared" si="444"/>
        <v>9</v>
      </c>
      <c r="Z1715" s="4">
        <f t="shared" si="445"/>
        <v>46</v>
      </c>
      <c r="AA1715" s="102">
        <f t="shared" si="446"/>
        <v>71</v>
      </c>
      <c r="AC1715" s="100">
        <f t="shared" si="447"/>
        <v>0.98932473696845602</v>
      </c>
    </row>
    <row r="1716" spans="4:29" x14ac:dyDescent="0.35">
      <c r="D1716">
        <f t="shared" si="448"/>
        <v>1712</v>
      </c>
      <c r="E1716" s="101">
        <v>6</v>
      </c>
      <c r="F1716" s="4">
        <v>6</v>
      </c>
      <c r="G1716" s="4">
        <v>6</v>
      </c>
      <c r="H1716" s="4">
        <v>6</v>
      </c>
      <c r="I1716" s="4">
        <v>7</v>
      </c>
      <c r="J1716" s="4">
        <v>7</v>
      </c>
      <c r="K1716" s="102">
        <v>1</v>
      </c>
      <c r="M1716" s="101">
        <f t="shared" si="433"/>
        <v>45</v>
      </c>
      <c r="N1716" s="4">
        <f t="shared" si="434"/>
        <v>45</v>
      </c>
      <c r="O1716" s="4">
        <f t="shared" si="435"/>
        <v>45</v>
      </c>
      <c r="P1716" s="4">
        <f t="shared" si="436"/>
        <v>45</v>
      </c>
      <c r="Q1716" s="4">
        <f t="shared" si="437"/>
        <v>29</v>
      </c>
      <c r="R1716" s="4">
        <f t="shared" si="438"/>
        <v>29</v>
      </c>
      <c r="S1716" s="102">
        <f t="shared" si="439"/>
        <v>34</v>
      </c>
      <c r="U1716" s="101">
        <f t="shared" si="440"/>
        <v>71</v>
      </c>
      <c r="V1716" s="4">
        <f t="shared" si="441"/>
        <v>71</v>
      </c>
      <c r="W1716" s="4">
        <f t="shared" si="442"/>
        <v>71</v>
      </c>
      <c r="X1716" s="4">
        <f t="shared" si="443"/>
        <v>71</v>
      </c>
      <c r="Y1716" s="4">
        <f t="shared" si="444"/>
        <v>41</v>
      </c>
      <c r="Z1716" s="4">
        <f t="shared" si="445"/>
        <v>41</v>
      </c>
      <c r="AA1716" s="102">
        <f t="shared" si="446"/>
        <v>46</v>
      </c>
      <c r="AC1716" s="100">
        <f t="shared" si="447"/>
        <v>0.99453510819458102</v>
      </c>
    </row>
    <row r="1717" spans="4:29" x14ac:dyDescent="0.35">
      <c r="D1717">
        <f t="shared" si="448"/>
        <v>1713</v>
      </c>
      <c r="E1717" s="101">
        <v>6</v>
      </c>
      <c r="F1717" s="4">
        <v>1</v>
      </c>
      <c r="G1717" s="4">
        <v>5</v>
      </c>
      <c r="H1717" s="4">
        <v>2</v>
      </c>
      <c r="I1717" s="4">
        <v>7</v>
      </c>
      <c r="J1717" s="4">
        <v>3</v>
      </c>
      <c r="K1717" s="102">
        <v>6</v>
      </c>
      <c r="M1717" s="101">
        <f t="shared" si="433"/>
        <v>45</v>
      </c>
      <c r="N1717" s="4">
        <f t="shared" si="434"/>
        <v>34</v>
      </c>
      <c r="O1717" s="4">
        <f t="shared" si="435"/>
        <v>30</v>
      </c>
      <c r="P1717" s="4">
        <f t="shared" si="436"/>
        <v>56</v>
      </c>
      <c r="Q1717" s="4">
        <f t="shared" si="437"/>
        <v>29</v>
      </c>
      <c r="R1717" s="4">
        <f t="shared" si="438"/>
        <v>23</v>
      </c>
      <c r="S1717" s="102">
        <f t="shared" si="439"/>
        <v>45</v>
      </c>
      <c r="U1717" s="101">
        <f t="shared" si="440"/>
        <v>71</v>
      </c>
      <c r="V1717" s="4">
        <f t="shared" si="441"/>
        <v>46</v>
      </c>
      <c r="W1717" s="4">
        <f t="shared" si="442"/>
        <v>39</v>
      </c>
      <c r="X1717" s="4">
        <f t="shared" si="443"/>
        <v>78</v>
      </c>
      <c r="Y1717" s="4">
        <f t="shared" si="444"/>
        <v>41</v>
      </c>
      <c r="Z1717" s="4">
        <f t="shared" si="445"/>
        <v>39</v>
      </c>
      <c r="AA1717" s="102">
        <f t="shared" si="446"/>
        <v>71</v>
      </c>
      <c r="AC1717" s="100">
        <f t="shared" si="447"/>
        <v>0.96189300371852338</v>
      </c>
    </row>
    <row r="1718" spans="4:29" x14ac:dyDescent="0.35">
      <c r="D1718">
        <f t="shared" si="448"/>
        <v>1714</v>
      </c>
      <c r="E1718" s="101">
        <v>4</v>
      </c>
      <c r="F1718" s="4">
        <v>5</v>
      </c>
      <c r="G1718" s="4">
        <v>4</v>
      </c>
      <c r="H1718" s="4">
        <v>1</v>
      </c>
      <c r="I1718" s="4">
        <v>2</v>
      </c>
      <c r="J1718" s="4">
        <v>3</v>
      </c>
      <c r="K1718" s="102">
        <v>3</v>
      </c>
      <c r="M1718" s="101">
        <f t="shared" si="433"/>
        <v>12</v>
      </c>
      <c r="N1718" s="4">
        <f t="shared" si="434"/>
        <v>30</v>
      </c>
      <c r="O1718" s="4">
        <f t="shared" si="435"/>
        <v>12</v>
      </c>
      <c r="P1718" s="4">
        <f t="shared" si="436"/>
        <v>34</v>
      </c>
      <c r="Q1718" s="4">
        <f t="shared" si="437"/>
        <v>56</v>
      </c>
      <c r="R1718" s="4">
        <f t="shared" si="438"/>
        <v>23</v>
      </c>
      <c r="S1718" s="102">
        <f t="shared" si="439"/>
        <v>23</v>
      </c>
      <c r="U1718" s="101">
        <f t="shared" si="440"/>
        <v>9</v>
      </c>
      <c r="V1718" s="4">
        <f t="shared" si="441"/>
        <v>39</v>
      </c>
      <c r="W1718" s="4">
        <f t="shared" si="442"/>
        <v>9</v>
      </c>
      <c r="X1718" s="4">
        <f t="shared" si="443"/>
        <v>46</v>
      </c>
      <c r="Y1718" s="4">
        <f t="shared" si="444"/>
        <v>78</v>
      </c>
      <c r="Z1718" s="4">
        <f t="shared" si="445"/>
        <v>39</v>
      </c>
      <c r="AA1718" s="102">
        <f t="shared" si="446"/>
        <v>39</v>
      </c>
      <c r="AC1718" s="100">
        <f t="shared" si="447"/>
        <v>0.96917706217835509</v>
      </c>
    </row>
    <row r="1719" spans="4:29" x14ac:dyDescent="0.35">
      <c r="D1719">
        <f t="shared" si="448"/>
        <v>1715</v>
      </c>
      <c r="E1719" s="101">
        <v>6</v>
      </c>
      <c r="F1719" s="4">
        <v>3</v>
      </c>
      <c r="G1719" s="4">
        <v>6</v>
      </c>
      <c r="H1719" s="4">
        <v>2</v>
      </c>
      <c r="I1719" s="4">
        <v>1</v>
      </c>
      <c r="J1719" s="4">
        <v>2</v>
      </c>
      <c r="K1719" s="102">
        <v>5</v>
      </c>
      <c r="M1719" s="101">
        <f t="shared" si="433"/>
        <v>45</v>
      </c>
      <c r="N1719" s="4">
        <f t="shared" si="434"/>
        <v>23</v>
      </c>
      <c r="O1719" s="4">
        <f t="shared" si="435"/>
        <v>45</v>
      </c>
      <c r="P1719" s="4">
        <f t="shared" si="436"/>
        <v>56</v>
      </c>
      <c r="Q1719" s="4">
        <f t="shared" si="437"/>
        <v>34</v>
      </c>
      <c r="R1719" s="4">
        <f t="shared" si="438"/>
        <v>56</v>
      </c>
      <c r="S1719" s="102">
        <f t="shared" si="439"/>
        <v>30</v>
      </c>
      <c r="U1719" s="101">
        <f t="shared" si="440"/>
        <v>71</v>
      </c>
      <c r="V1719" s="4">
        <f t="shared" si="441"/>
        <v>39</v>
      </c>
      <c r="W1719" s="4">
        <f t="shared" si="442"/>
        <v>71</v>
      </c>
      <c r="X1719" s="4">
        <f t="shared" si="443"/>
        <v>78</v>
      </c>
      <c r="Y1719" s="4">
        <f t="shared" si="444"/>
        <v>46</v>
      </c>
      <c r="Z1719" s="4">
        <f t="shared" si="445"/>
        <v>78</v>
      </c>
      <c r="AA1719" s="102">
        <f t="shared" si="446"/>
        <v>39</v>
      </c>
      <c r="AC1719" s="100">
        <f t="shared" si="447"/>
        <v>0.96327016407967803</v>
      </c>
    </row>
    <row r="1720" spans="4:29" x14ac:dyDescent="0.35">
      <c r="D1720">
        <f t="shared" si="448"/>
        <v>1716</v>
      </c>
      <c r="E1720" s="101">
        <v>6</v>
      </c>
      <c r="F1720" s="4">
        <v>7</v>
      </c>
      <c r="G1720" s="4">
        <v>5</v>
      </c>
      <c r="H1720" s="4">
        <v>6</v>
      </c>
      <c r="I1720" s="4">
        <v>3</v>
      </c>
      <c r="J1720" s="4">
        <v>7</v>
      </c>
      <c r="K1720" s="102">
        <v>3</v>
      </c>
      <c r="M1720" s="101">
        <f t="shared" si="433"/>
        <v>45</v>
      </c>
      <c r="N1720" s="4">
        <f t="shared" si="434"/>
        <v>29</v>
      </c>
      <c r="O1720" s="4">
        <f t="shared" si="435"/>
        <v>30</v>
      </c>
      <c r="P1720" s="4">
        <f t="shared" si="436"/>
        <v>45</v>
      </c>
      <c r="Q1720" s="4">
        <f t="shared" si="437"/>
        <v>23</v>
      </c>
      <c r="R1720" s="4">
        <f t="shared" si="438"/>
        <v>29</v>
      </c>
      <c r="S1720" s="102">
        <f t="shared" si="439"/>
        <v>23</v>
      </c>
      <c r="U1720" s="101">
        <f t="shared" si="440"/>
        <v>71</v>
      </c>
      <c r="V1720" s="4">
        <f t="shared" si="441"/>
        <v>41</v>
      </c>
      <c r="W1720" s="4">
        <f t="shared" si="442"/>
        <v>39</v>
      </c>
      <c r="X1720" s="4">
        <f t="shared" si="443"/>
        <v>71</v>
      </c>
      <c r="Y1720" s="4">
        <f t="shared" si="444"/>
        <v>39</v>
      </c>
      <c r="Z1720" s="4">
        <f t="shared" si="445"/>
        <v>41</v>
      </c>
      <c r="AA1720" s="102">
        <f t="shared" si="446"/>
        <v>39</v>
      </c>
      <c r="AC1720" s="100">
        <f t="shared" si="447"/>
        <v>0.96078186138725097</v>
      </c>
    </row>
    <row r="1721" spans="4:29" x14ac:dyDescent="0.35">
      <c r="D1721">
        <f t="shared" si="448"/>
        <v>1717</v>
      </c>
      <c r="E1721" s="101">
        <v>4</v>
      </c>
      <c r="F1721" s="4">
        <v>5</v>
      </c>
      <c r="G1721" s="4">
        <v>4</v>
      </c>
      <c r="H1721" s="4">
        <v>5</v>
      </c>
      <c r="I1721" s="4">
        <v>4</v>
      </c>
      <c r="J1721" s="4">
        <v>3</v>
      </c>
      <c r="K1721" s="102">
        <v>6</v>
      </c>
      <c r="M1721" s="101">
        <f t="shared" si="433"/>
        <v>12</v>
      </c>
      <c r="N1721" s="4">
        <f t="shared" si="434"/>
        <v>30</v>
      </c>
      <c r="O1721" s="4">
        <f t="shared" si="435"/>
        <v>12</v>
      </c>
      <c r="P1721" s="4">
        <f t="shared" si="436"/>
        <v>30</v>
      </c>
      <c r="Q1721" s="4">
        <f t="shared" si="437"/>
        <v>12</v>
      </c>
      <c r="R1721" s="4">
        <f t="shared" si="438"/>
        <v>23</v>
      </c>
      <c r="S1721" s="102">
        <f t="shared" si="439"/>
        <v>45</v>
      </c>
      <c r="U1721" s="101">
        <f t="shared" si="440"/>
        <v>9</v>
      </c>
      <c r="V1721" s="4">
        <f t="shared" si="441"/>
        <v>39</v>
      </c>
      <c r="W1721" s="4">
        <f t="shared" si="442"/>
        <v>9</v>
      </c>
      <c r="X1721" s="4">
        <f t="shared" si="443"/>
        <v>39</v>
      </c>
      <c r="Y1721" s="4">
        <f t="shared" si="444"/>
        <v>9</v>
      </c>
      <c r="Z1721" s="4">
        <f t="shared" si="445"/>
        <v>39</v>
      </c>
      <c r="AA1721" s="102">
        <f t="shared" si="446"/>
        <v>71</v>
      </c>
      <c r="AC1721" s="100">
        <f t="shared" si="447"/>
        <v>0.98246559222738861</v>
      </c>
    </row>
    <row r="1722" spans="4:29" x14ac:dyDescent="0.35">
      <c r="D1722">
        <f t="shared" si="448"/>
        <v>1718</v>
      </c>
      <c r="E1722" s="101">
        <v>5</v>
      </c>
      <c r="F1722" s="4">
        <v>3</v>
      </c>
      <c r="G1722" s="4">
        <v>4</v>
      </c>
      <c r="H1722" s="4">
        <v>2</v>
      </c>
      <c r="I1722" s="4">
        <v>1</v>
      </c>
      <c r="J1722" s="4">
        <v>2</v>
      </c>
      <c r="K1722" s="102">
        <v>5</v>
      </c>
      <c r="M1722" s="101">
        <f t="shared" si="433"/>
        <v>30</v>
      </c>
      <c r="N1722" s="4">
        <f t="shared" si="434"/>
        <v>23</v>
      </c>
      <c r="O1722" s="4">
        <f t="shared" si="435"/>
        <v>12</v>
      </c>
      <c r="P1722" s="4">
        <f t="shared" si="436"/>
        <v>56</v>
      </c>
      <c r="Q1722" s="4">
        <f t="shared" si="437"/>
        <v>34</v>
      </c>
      <c r="R1722" s="4">
        <f t="shared" si="438"/>
        <v>56</v>
      </c>
      <c r="S1722" s="102">
        <f t="shared" si="439"/>
        <v>30</v>
      </c>
      <c r="U1722" s="101">
        <f t="shared" si="440"/>
        <v>39</v>
      </c>
      <c r="V1722" s="4">
        <f t="shared" si="441"/>
        <v>39</v>
      </c>
      <c r="W1722" s="4">
        <f t="shared" si="442"/>
        <v>9</v>
      </c>
      <c r="X1722" s="4">
        <f t="shared" si="443"/>
        <v>78</v>
      </c>
      <c r="Y1722" s="4">
        <f t="shared" si="444"/>
        <v>46</v>
      </c>
      <c r="Z1722" s="4">
        <f t="shared" si="445"/>
        <v>78</v>
      </c>
      <c r="AA1722" s="102">
        <f t="shared" si="446"/>
        <v>39</v>
      </c>
      <c r="AC1722" s="100">
        <f t="shared" si="447"/>
        <v>0.98468578611408175</v>
      </c>
    </row>
    <row r="1723" spans="4:29" x14ac:dyDescent="0.35">
      <c r="D1723">
        <f t="shared" si="448"/>
        <v>1719</v>
      </c>
      <c r="E1723" s="101">
        <v>1</v>
      </c>
      <c r="F1723" s="4">
        <v>6</v>
      </c>
      <c r="G1723" s="4">
        <v>2</v>
      </c>
      <c r="H1723" s="4">
        <v>1</v>
      </c>
      <c r="I1723" s="4">
        <v>1</v>
      </c>
      <c r="J1723" s="4">
        <v>5</v>
      </c>
      <c r="K1723" s="102">
        <v>4</v>
      </c>
      <c r="M1723" s="101">
        <f t="shared" si="433"/>
        <v>34</v>
      </c>
      <c r="N1723" s="4">
        <f t="shared" si="434"/>
        <v>45</v>
      </c>
      <c r="O1723" s="4">
        <f t="shared" si="435"/>
        <v>56</v>
      </c>
      <c r="P1723" s="4">
        <f t="shared" si="436"/>
        <v>34</v>
      </c>
      <c r="Q1723" s="4">
        <f t="shared" si="437"/>
        <v>34</v>
      </c>
      <c r="R1723" s="4">
        <f t="shared" si="438"/>
        <v>30</v>
      </c>
      <c r="S1723" s="102">
        <f t="shared" si="439"/>
        <v>12</v>
      </c>
      <c r="U1723" s="101">
        <f t="shared" si="440"/>
        <v>46</v>
      </c>
      <c r="V1723" s="4">
        <f t="shared" si="441"/>
        <v>71</v>
      </c>
      <c r="W1723" s="4">
        <f t="shared" si="442"/>
        <v>78</v>
      </c>
      <c r="X1723" s="4">
        <f t="shared" si="443"/>
        <v>46</v>
      </c>
      <c r="Y1723" s="4">
        <f t="shared" si="444"/>
        <v>46</v>
      </c>
      <c r="Z1723" s="4">
        <f t="shared" si="445"/>
        <v>39</v>
      </c>
      <c r="AA1723" s="102">
        <f t="shared" si="446"/>
        <v>9</v>
      </c>
      <c r="AC1723" s="100">
        <f t="shared" si="447"/>
        <v>0.98913706111666277</v>
      </c>
    </row>
    <row r="1724" spans="4:29" x14ac:dyDescent="0.35">
      <c r="D1724">
        <f t="shared" si="448"/>
        <v>1720</v>
      </c>
      <c r="E1724" s="101">
        <v>1</v>
      </c>
      <c r="F1724" s="4">
        <v>7</v>
      </c>
      <c r="G1724" s="4">
        <v>1</v>
      </c>
      <c r="H1724" s="4">
        <v>2</v>
      </c>
      <c r="I1724" s="4">
        <v>5</v>
      </c>
      <c r="J1724" s="4">
        <v>2</v>
      </c>
      <c r="K1724" s="102">
        <v>5</v>
      </c>
      <c r="M1724" s="101">
        <f t="shared" si="433"/>
        <v>34</v>
      </c>
      <c r="N1724" s="4">
        <f t="shared" si="434"/>
        <v>29</v>
      </c>
      <c r="O1724" s="4">
        <f t="shared" si="435"/>
        <v>34</v>
      </c>
      <c r="P1724" s="4">
        <f t="shared" si="436"/>
        <v>56</v>
      </c>
      <c r="Q1724" s="4">
        <f t="shared" si="437"/>
        <v>30</v>
      </c>
      <c r="R1724" s="4">
        <f t="shared" si="438"/>
        <v>56</v>
      </c>
      <c r="S1724" s="102">
        <f t="shared" si="439"/>
        <v>30</v>
      </c>
      <c r="U1724" s="101">
        <f t="shared" si="440"/>
        <v>46</v>
      </c>
      <c r="V1724" s="4">
        <f t="shared" si="441"/>
        <v>41</v>
      </c>
      <c r="W1724" s="4">
        <f t="shared" si="442"/>
        <v>46</v>
      </c>
      <c r="X1724" s="4">
        <f t="shared" si="443"/>
        <v>78</v>
      </c>
      <c r="Y1724" s="4">
        <f t="shared" si="444"/>
        <v>39</v>
      </c>
      <c r="Z1724" s="4">
        <f t="shared" si="445"/>
        <v>78</v>
      </c>
      <c r="AA1724" s="102">
        <f t="shared" si="446"/>
        <v>39</v>
      </c>
      <c r="AC1724" s="100">
        <f t="shared" si="447"/>
        <v>0.99788401307619379</v>
      </c>
    </row>
    <row r="1725" spans="4:29" x14ac:dyDescent="0.35">
      <c r="D1725">
        <f t="shared" si="448"/>
        <v>1721</v>
      </c>
      <c r="E1725" s="101">
        <v>4</v>
      </c>
      <c r="F1725" s="4">
        <v>7</v>
      </c>
      <c r="G1725" s="4">
        <v>5</v>
      </c>
      <c r="H1725" s="4">
        <v>1</v>
      </c>
      <c r="I1725" s="4">
        <v>2</v>
      </c>
      <c r="J1725" s="4">
        <v>3</v>
      </c>
      <c r="K1725" s="102">
        <v>4</v>
      </c>
      <c r="M1725" s="101">
        <f t="shared" si="433"/>
        <v>12</v>
      </c>
      <c r="N1725" s="4">
        <f t="shared" si="434"/>
        <v>29</v>
      </c>
      <c r="O1725" s="4">
        <f t="shared" si="435"/>
        <v>30</v>
      </c>
      <c r="P1725" s="4">
        <f t="shared" si="436"/>
        <v>34</v>
      </c>
      <c r="Q1725" s="4">
        <f t="shared" si="437"/>
        <v>56</v>
      </c>
      <c r="R1725" s="4">
        <f t="shared" si="438"/>
        <v>23</v>
      </c>
      <c r="S1725" s="102">
        <f t="shared" si="439"/>
        <v>12</v>
      </c>
      <c r="U1725" s="101">
        <f t="shared" si="440"/>
        <v>9</v>
      </c>
      <c r="V1725" s="4">
        <f t="shared" si="441"/>
        <v>41</v>
      </c>
      <c r="W1725" s="4">
        <f t="shared" si="442"/>
        <v>39</v>
      </c>
      <c r="X1725" s="4">
        <f t="shared" si="443"/>
        <v>46</v>
      </c>
      <c r="Y1725" s="4">
        <f t="shared" si="444"/>
        <v>78</v>
      </c>
      <c r="Z1725" s="4">
        <f t="shared" si="445"/>
        <v>39</v>
      </c>
      <c r="AA1725" s="102">
        <f t="shared" si="446"/>
        <v>9</v>
      </c>
      <c r="AC1725" s="100">
        <f t="shared" si="447"/>
        <v>0.98074972360144641</v>
      </c>
    </row>
    <row r="1726" spans="4:29" x14ac:dyDescent="0.35">
      <c r="D1726">
        <f t="shared" si="448"/>
        <v>1722</v>
      </c>
      <c r="E1726" s="101">
        <v>4</v>
      </c>
      <c r="F1726" s="4">
        <v>6</v>
      </c>
      <c r="G1726" s="4">
        <v>1</v>
      </c>
      <c r="H1726" s="4">
        <v>4</v>
      </c>
      <c r="I1726" s="4">
        <v>1</v>
      </c>
      <c r="J1726" s="4">
        <v>7</v>
      </c>
      <c r="K1726" s="102">
        <v>7</v>
      </c>
      <c r="M1726" s="101">
        <f t="shared" si="433"/>
        <v>12</v>
      </c>
      <c r="N1726" s="4">
        <f t="shared" si="434"/>
        <v>45</v>
      </c>
      <c r="O1726" s="4">
        <f t="shared" si="435"/>
        <v>34</v>
      </c>
      <c r="P1726" s="4">
        <f t="shared" si="436"/>
        <v>12</v>
      </c>
      <c r="Q1726" s="4">
        <f t="shared" si="437"/>
        <v>34</v>
      </c>
      <c r="R1726" s="4">
        <f t="shared" si="438"/>
        <v>29</v>
      </c>
      <c r="S1726" s="102">
        <f t="shared" si="439"/>
        <v>29</v>
      </c>
      <c r="U1726" s="101">
        <f t="shared" si="440"/>
        <v>9</v>
      </c>
      <c r="V1726" s="4">
        <f t="shared" si="441"/>
        <v>71</v>
      </c>
      <c r="W1726" s="4">
        <f t="shared" si="442"/>
        <v>46</v>
      </c>
      <c r="X1726" s="4">
        <f t="shared" si="443"/>
        <v>9</v>
      </c>
      <c r="Y1726" s="4">
        <f t="shared" si="444"/>
        <v>46</v>
      </c>
      <c r="Z1726" s="4">
        <f t="shared" si="445"/>
        <v>41</v>
      </c>
      <c r="AA1726" s="102">
        <f t="shared" si="446"/>
        <v>41</v>
      </c>
      <c r="AC1726" s="100">
        <f t="shared" si="447"/>
        <v>0.99589172460060738</v>
      </c>
    </row>
    <row r="1727" spans="4:29" x14ac:dyDescent="0.35">
      <c r="D1727">
        <f t="shared" si="448"/>
        <v>1723</v>
      </c>
      <c r="E1727" s="101">
        <v>1</v>
      </c>
      <c r="F1727" s="4">
        <v>2</v>
      </c>
      <c r="G1727" s="4">
        <v>5</v>
      </c>
      <c r="H1727" s="4">
        <v>1</v>
      </c>
      <c r="I1727" s="4">
        <v>2</v>
      </c>
      <c r="J1727" s="4">
        <v>4</v>
      </c>
      <c r="K1727" s="102">
        <v>6</v>
      </c>
      <c r="M1727" s="101">
        <f t="shared" si="433"/>
        <v>34</v>
      </c>
      <c r="N1727" s="4">
        <f t="shared" si="434"/>
        <v>56</v>
      </c>
      <c r="O1727" s="4">
        <f t="shared" si="435"/>
        <v>30</v>
      </c>
      <c r="P1727" s="4">
        <f t="shared" si="436"/>
        <v>34</v>
      </c>
      <c r="Q1727" s="4">
        <f t="shared" si="437"/>
        <v>56</v>
      </c>
      <c r="R1727" s="4">
        <f t="shared" si="438"/>
        <v>12</v>
      </c>
      <c r="S1727" s="102">
        <f t="shared" si="439"/>
        <v>45</v>
      </c>
      <c r="U1727" s="101">
        <f t="shared" si="440"/>
        <v>46</v>
      </c>
      <c r="V1727" s="4">
        <f t="shared" si="441"/>
        <v>78</v>
      </c>
      <c r="W1727" s="4">
        <f t="shared" si="442"/>
        <v>39</v>
      </c>
      <c r="X1727" s="4">
        <f t="shared" si="443"/>
        <v>46</v>
      </c>
      <c r="Y1727" s="4">
        <f t="shared" si="444"/>
        <v>78</v>
      </c>
      <c r="Z1727" s="4">
        <f t="shared" si="445"/>
        <v>9</v>
      </c>
      <c r="AA1727" s="102">
        <f t="shared" si="446"/>
        <v>71</v>
      </c>
      <c r="AC1727" s="100">
        <f t="shared" si="447"/>
        <v>0.98962605802558135</v>
      </c>
    </row>
    <row r="1728" spans="4:29" x14ac:dyDescent="0.35">
      <c r="D1728">
        <f t="shared" si="448"/>
        <v>1724</v>
      </c>
      <c r="E1728" s="101">
        <v>2</v>
      </c>
      <c r="F1728" s="4">
        <v>1</v>
      </c>
      <c r="G1728" s="4">
        <v>2</v>
      </c>
      <c r="H1728" s="4">
        <v>6</v>
      </c>
      <c r="I1728" s="4">
        <v>6</v>
      </c>
      <c r="J1728" s="4">
        <v>1</v>
      </c>
      <c r="K1728" s="102">
        <v>1</v>
      </c>
      <c r="M1728" s="101">
        <f t="shared" si="433"/>
        <v>56</v>
      </c>
      <c r="N1728" s="4">
        <f t="shared" si="434"/>
        <v>34</v>
      </c>
      <c r="O1728" s="4">
        <f t="shared" si="435"/>
        <v>56</v>
      </c>
      <c r="P1728" s="4">
        <f t="shared" si="436"/>
        <v>45</v>
      </c>
      <c r="Q1728" s="4">
        <f t="shared" si="437"/>
        <v>45</v>
      </c>
      <c r="R1728" s="4">
        <f t="shared" si="438"/>
        <v>34</v>
      </c>
      <c r="S1728" s="102">
        <f t="shared" si="439"/>
        <v>34</v>
      </c>
      <c r="U1728" s="101">
        <f t="shared" si="440"/>
        <v>78</v>
      </c>
      <c r="V1728" s="4">
        <f t="shared" si="441"/>
        <v>46</v>
      </c>
      <c r="W1728" s="4">
        <f t="shared" si="442"/>
        <v>78</v>
      </c>
      <c r="X1728" s="4">
        <f t="shared" si="443"/>
        <v>71</v>
      </c>
      <c r="Y1728" s="4">
        <f t="shared" si="444"/>
        <v>71</v>
      </c>
      <c r="Z1728" s="4">
        <f t="shared" si="445"/>
        <v>46</v>
      </c>
      <c r="AA1728" s="102">
        <f t="shared" si="446"/>
        <v>46</v>
      </c>
      <c r="AC1728" s="100">
        <f t="shared" si="447"/>
        <v>0.95951390752188626</v>
      </c>
    </row>
    <row r="1729" spans="4:29" x14ac:dyDescent="0.35">
      <c r="D1729">
        <f t="shared" si="448"/>
        <v>1725</v>
      </c>
      <c r="E1729" s="101">
        <v>1</v>
      </c>
      <c r="F1729" s="4">
        <v>3</v>
      </c>
      <c r="G1729" s="4">
        <v>6</v>
      </c>
      <c r="H1729" s="4">
        <v>1</v>
      </c>
      <c r="I1729" s="4">
        <v>3</v>
      </c>
      <c r="J1729" s="4">
        <v>7</v>
      </c>
      <c r="K1729" s="102">
        <v>7</v>
      </c>
      <c r="M1729" s="101">
        <f t="shared" si="433"/>
        <v>34</v>
      </c>
      <c r="N1729" s="4">
        <f t="shared" si="434"/>
        <v>23</v>
      </c>
      <c r="O1729" s="4">
        <f t="shared" si="435"/>
        <v>45</v>
      </c>
      <c r="P1729" s="4">
        <f t="shared" si="436"/>
        <v>34</v>
      </c>
      <c r="Q1729" s="4">
        <f t="shared" si="437"/>
        <v>23</v>
      </c>
      <c r="R1729" s="4">
        <f t="shared" si="438"/>
        <v>29</v>
      </c>
      <c r="S1729" s="102">
        <f t="shared" si="439"/>
        <v>29</v>
      </c>
      <c r="U1729" s="101">
        <f t="shared" si="440"/>
        <v>46</v>
      </c>
      <c r="V1729" s="4">
        <f t="shared" si="441"/>
        <v>39</v>
      </c>
      <c r="W1729" s="4">
        <f t="shared" si="442"/>
        <v>71</v>
      </c>
      <c r="X1729" s="4">
        <f t="shared" si="443"/>
        <v>46</v>
      </c>
      <c r="Y1729" s="4">
        <f t="shared" si="444"/>
        <v>39</v>
      </c>
      <c r="Z1729" s="4">
        <f t="shared" si="445"/>
        <v>41</v>
      </c>
      <c r="AA1729" s="102">
        <f t="shared" si="446"/>
        <v>41</v>
      </c>
      <c r="AC1729" s="100">
        <f t="shared" si="447"/>
        <v>0.92675172595074262</v>
      </c>
    </row>
    <row r="1730" spans="4:29" x14ac:dyDescent="0.35">
      <c r="D1730">
        <f t="shared" si="448"/>
        <v>1726</v>
      </c>
      <c r="E1730" s="101">
        <v>6</v>
      </c>
      <c r="F1730" s="4">
        <v>7</v>
      </c>
      <c r="G1730" s="4">
        <v>6</v>
      </c>
      <c r="H1730" s="4">
        <v>2</v>
      </c>
      <c r="I1730" s="4">
        <v>4</v>
      </c>
      <c r="J1730" s="4">
        <v>4</v>
      </c>
      <c r="K1730" s="102">
        <v>6</v>
      </c>
      <c r="M1730" s="101">
        <f t="shared" si="433"/>
        <v>45</v>
      </c>
      <c r="N1730" s="4">
        <f t="shared" si="434"/>
        <v>29</v>
      </c>
      <c r="O1730" s="4">
        <f t="shared" si="435"/>
        <v>45</v>
      </c>
      <c r="P1730" s="4">
        <f t="shared" si="436"/>
        <v>56</v>
      </c>
      <c r="Q1730" s="4">
        <f t="shared" si="437"/>
        <v>12</v>
      </c>
      <c r="R1730" s="4">
        <f t="shared" si="438"/>
        <v>12</v>
      </c>
      <c r="S1730" s="102">
        <f t="shared" si="439"/>
        <v>45</v>
      </c>
      <c r="U1730" s="101">
        <f t="shared" si="440"/>
        <v>71</v>
      </c>
      <c r="V1730" s="4">
        <f t="shared" si="441"/>
        <v>41</v>
      </c>
      <c r="W1730" s="4">
        <f t="shared" si="442"/>
        <v>71</v>
      </c>
      <c r="X1730" s="4">
        <f t="shared" si="443"/>
        <v>78</v>
      </c>
      <c r="Y1730" s="4">
        <f t="shared" si="444"/>
        <v>9</v>
      </c>
      <c r="Z1730" s="4">
        <f t="shared" si="445"/>
        <v>9</v>
      </c>
      <c r="AA1730" s="102">
        <f t="shared" si="446"/>
        <v>71</v>
      </c>
      <c r="AC1730" s="100">
        <f t="shared" si="447"/>
        <v>0.9896109809318534</v>
      </c>
    </row>
    <row r="1731" spans="4:29" x14ac:dyDescent="0.35">
      <c r="D1731">
        <f t="shared" si="448"/>
        <v>1727</v>
      </c>
      <c r="E1731" s="101">
        <v>2</v>
      </c>
      <c r="F1731" s="4">
        <v>6</v>
      </c>
      <c r="G1731" s="4">
        <v>1</v>
      </c>
      <c r="H1731" s="4">
        <v>6</v>
      </c>
      <c r="I1731" s="4">
        <v>6</v>
      </c>
      <c r="J1731" s="4">
        <v>3</v>
      </c>
      <c r="K1731" s="102">
        <v>5</v>
      </c>
      <c r="M1731" s="101">
        <f t="shared" si="433"/>
        <v>56</v>
      </c>
      <c r="N1731" s="4">
        <f t="shared" si="434"/>
        <v>45</v>
      </c>
      <c r="O1731" s="4">
        <f t="shared" si="435"/>
        <v>34</v>
      </c>
      <c r="P1731" s="4">
        <f t="shared" si="436"/>
        <v>45</v>
      </c>
      <c r="Q1731" s="4">
        <f t="shared" si="437"/>
        <v>45</v>
      </c>
      <c r="R1731" s="4">
        <f t="shared" si="438"/>
        <v>23</v>
      </c>
      <c r="S1731" s="102">
        <f t="shared" si="439"/>
        <v>30</v>
      </c>
      <c r="U1731" s="101">
        <f t="shared" si="440"/>
        <v>78</v>
      </c>
      <c r="V1731" s="4">
        <f t="shared" si="441"/>
        <v>71</v>
      </c>
      <c r="W1731" s="4">
        <f t="shared" si="442"/>
        <v>46</v>
      </c>
      <c r="X1731" s="4">
        <f t="shared" si="443"/>
        <v>71</v>
      </c>
      <c r="Y1731" s="4">
        <f t="shared" si="444"/>
        <v>71</v>
      </c>
      <c r="Z1731" s="4">
        <f t="shared" si="445"/>
        <v>39</v>
      </c>
      <c r="AA1731" s="102">
        <f t="shared" si="446"/>
        <v>39</v>
      </c>
      <c r="AC1731" s="100">
        <f t="shared" si="447"/>
        <v>0.95582307911211295</v>
      </c>
    </row>
    <row r="1732" spans="4:29" x14ac:dyDescent="0.35">
      <c r="D1732">
        <f t="shared" si="448"/>
        <v>1728</v>
      </c>
      <c r="E1732" s="101">
        <v>1</v>
      </c>
      <c r="F1732" s="4">
        <v>1</v>
      </c>
      <c r="G1732" s="4">
        <v>5</v>
      </c>
      <c r="H1732" s="4">
        <v>2</v>
      </c>
      <c r="I1732" s="4">
        <v>1</v>
      </c>
      <c r="J1732" s="4">
        <v>3</v>
      </c>
      <c r="K1732" s="102">
        <v>1</v>
      </c>
      <c r="M1732" s="101">
        <f t="shared" si="433"/>
        <v>34</v>
      </c>
      <c r="N1732" s="4">
        <f t="shared" si="434"/>
        <v>34</v>
      </c>
      <c r="O1732" s="4">
        <f t="shared" si="435"/>
        <v>30</v>
      </c>
      <c r="P1732" s="4">
        <f t="shared" si="436"/>
        <v>56</v>
      </c>
      <c r="Q1732" s="4">
        <f t="shared" si="437"/>
        <v>34</v>
      </c>
      <c r="R1732" s="4">
        <f t="shared" si="438"/>
        <v>23</v>
      </c>
      <c r="S1732" s="102">
        <f t="shared" si="439"/>
        <v>34</v>
      </c>
      <c r="U1732" s="101">
        <f t="shared" si="440"/>
        <v>46</v>
      </c>
      <c r="V1732" s="4">
        <f t="shared" si="441"/>
        <v>46</v>
      </c>
      <c r="W1732" s="4">
        <f t="shared" si="442"/>
        <v>39</v>
      </c>
      <c r="X1732" s="4">
        <f t="shared" si="443"/>
        <v>78</v>
      </c>
      <c r="Y1732" s="4">
        <f t="shared" si="444"/>
        <v>46</v>
      </c>
      <c r="Z1732" s="4">
        <f t="shared" si="445"/>
        <v>39</v>
      </c>
      <c r="AA1732" s="102">
        <f t="shared" si="446"/>
        <v>46</v>
      </c>
      <c r="AC1732" s="100">
        <f t="shared" si="447"/>
        <v>0.97329351528816321</v>
      </c>
    </row>
    <row r="1733" spans="4:29" x14ac:dyDescent="0.35">
      <c r="D1733">
        <f t="shared" si="448"/>
        <v>1729</v>
      </c>
      <c r="E1733" s="101">
        <v>7</v>
      </c>
      <c r="F1733" s="4">
        <v>3</v>
      </c>
      <c r="G1733" s="4">
        <v>6</v>
      </c>
      <c r="H1733" s="4">
        <v>2</v>
      </c>
      <c r="I1733" s="4">
        <v>7</v>
      </c>
      <c r="J1733" s="4">
        <v>4</v>
      </c>
      <c r="K1733" s="102">
        <v>6</v>
      </c>
      <c r="M1733" s="101">
        <f t="shared" si="433"/>
        <v>29</v>
      </c>
      <c r="N1733" s="4">
        <f t="shared" si="434"/>
        <v>23</v>
      </c>
      <c r="O1733" s="4">
        <f t="shared" si="435"/>
        <v>45</v>
      </c>
      <c r="P1733" s="4">
        <f t="shared" si="436"/>
        <v>56</v>
      </c>
      <c r="Q1733" s="4">
        <f t="shared" si="437"/>
        <v>29</v>
      </c>
      <c r="R1733" s="4">
        <f t="shared" si="438"/>
        <v>12</v>
      </c>
      <c r="S1733" s="102">
        <f t="shared" si="439"/>
        <v>45</v>
      </c>
      <c r="U1733" s="101">
        <f t="shared" si="440"/>
        <v>41</v>
      </c>
      <c r="V1733" s="4">
        <f t="shared" si="441"/>
        <v>39</v>
      </c>
      <c r="W1733" s="4">
        <f t="shared" si="442"/>
        <v>71</v>
      </c>
      <c r="X1733" s="4">
        <f t="shared" si="443"/>
        <v>78</v>
      </c>
      <c r="Y1733" s="4">
        <f t="shared" si="444"/>
        <v>41</v>
      </c>
      <c r="Z1733" s="4">
        <f t="shared" si="445"/>
        <v>9</v>
      </c>
      <c r="AA1733" s="102">
        <f t="shared" si="446"/>
        <v>71</v>
      </c>
      <c r="AC1733" s="100">
        <f t="shared" si="447"/>
        <v>0.97862135760878077</v>
      </c>
    </row>
    <row r="1734" spans="4:29" x14ac:dyDescent="0.35">
      <c r="D1734">
        <f t="shared" si="448"/>
        <v>1730</v>
      </c>
      <c r="E1734" s="101">
        <v>7</v>
      </c>
      <c r="F1734" s="4">
        <v>3</v>
      </c>
      <c r="G1734" s="4">
        <v>6</v>
      </c>
      <c r="H1734" s="4">
        <v>3</v>
      </c>
      <c r="I1734" s="4">
        <v>4</v>
      </c>
      <c r="J1734" s="4">
        <v>3</v>
      </c>
      <c r="K1734" s="102">
        <v>5</v>
      </c>
      <c r="M1734" s="101">
        <f t="shared" ref="M1734:M1797" si="449">INDEX($A$5:$A$11,E1734)</f>
        <v>29</v>
      </c>
      <c r="N1734" s="4">
        <f t="shared" ref="N1734:N1797" si="450">INDEX($A$5:$A$11,F1734)</f>
        <v>23</v>
      </c>
      <c r="O1734" s="4">
        <f t="shared" ref="O1734:O1797" si="451">INDEX($A$5:$A$11,G1734)</f>
        <v>45</v>
      </c>
      <c r="P1734" s="4">
        <f t="shared" ref="P1734:P1797" si="452">INDEX($A$5:$A$11,H1734)</f>
        <v>23</v>
      </c>
      <c r="Q1734" s="4">
        <f t="shared" ref="Q1734:Q1797" si="453">INDEX($A$5:$A$11,I1734)</f>
        <v>12</v>
      </c>
      <c r="R1734" s="4">
        <f t="shared" ref="R1734:R1797" si="454">INDEX($A$5:$A$11,J1734)</f>
        <v>23</v>
      </c>
      <c r="S1734" s="102">
        <f t="shared" ref="S1734:S1797" si="455">INDEX($A$5:$A$11,K1734)</f>
        <v>30</v>
      </c>
      <c r="U1734" s="101">
        <f t="shared" ref="U1734:U1797" si="456">INDEX($B$5:$B$11,E1734)</f>
        <v>41</v>
      </c>
      <c r="V1734" s="4">
        <f t="shared" ref="V1734:V1797" si="457">INDEX($B$5:$B$11,F1734)</f>
        <v>39</v>
      </c>
      <c r="W1734" s="4">
        <f t="shared" ref="W1734:W1797" si="458">INDEX($B$5:$B$11,G1734)</f>
        <v>71</v>
      </c>
      <c r="X1734" s="4">
        <f t="shared" ref="X1734:X1797" si="459">INDEX($B$5:$B$11,H1734)</f>
        <v>39</v>
      </c>
      <c r="Y1734" s="4">
        <f t="shared" ref="Y1734:Y1797" si="460">INDEX($B$5:$B$11,I1734)</f>
        <v>9</v>
      </c>
      <c r="Z1734" s="4">
        <f t="shared" ref="Z1734:Z1797" si="461">INDEX($B$5:$B$11,J1734)</f>
        <v>39</v>
      </c>
      <c r="AA1734" s="102">
        <f t="shared" ref="AA1734:AA1797" si="462">INDEX($B$5:$B$11,K1734)</f>
        <v>39</v>
      </c>
      <c r="AC1734" s="100">
        <f t="shared" ref="AC1734:AC1797" si="463">CORREL(M1734:S1734,U1734:AA1734)</f>
        <v>0.95423264134951469</v>
      </c>
    </row>
    <row r="1735" spans="4:29" x14ac:dyDescent="0.35">
      <c r="D1735">
        <f t="shared" ref="D1735:D1798" si="464">D1734+1</f>
        <v>1731</v>
      </c>
      <c r="E1735" s="101">
        <v>4</v>
      </c>
      <c r="F1735" s="4">
        <v>6</v>
      </c>
      <c r="G1735" s="4">
        <v>7</v>
      </c>
      <c r="H1735" s="4">
        <v>7</v>
      </c>
      <c r="I1735" s="4">
        <v>5</v>
      </c>
      <c r="J1735" s="4">
        <v>7</v>
      </c>
      <c r="K1735" s="102">
        <v>3</v>
      </c>
      <c r="M1735" s="101">
        <f t="shared" si="449"/>
        <v>12</v>
      </c>
      <c r="N1735" s="4">
        <f t="shared" si="450"/>
        <v>45</v>
      </c>
      <c r="O1735" s="4">
        <f t="shared" si="451"/>
        <v>29</v>
      </c>
      <c r="P1735" s="4">
        <f t="shared" si="452"/>
        <v>29</v>
      </c>
      <c r="Q1735" s="4">
        <f t="shared" si="453"/>
        <v>30</v>
      </c>
      <c r="R1735" s="4">
        <f t="shared" si="454"/>
        <v>29</v>
      </c>
      <c r="S1735" s="102">
        <f t="shared" si="455"/>
        <v>23</v>
      </c>
      <c r="U1735" s="101">
        <f t="shared" si="456"/>
        <v>9</v>
      </c>
      <c r="V1735" s="4">
        <f t="shared" si="457"/>
        <v>71</v>
      </c>
      <c r="W1735" s="4">
        <f t="shared" si="458"/>
        <v>41</v>
      </c>
      <c r="X1735" s="4">
        <f t="shared" si="459"/>
        <v>41</v>
      </c>
      <c r="Y1735" s="4">
        <f t="shared" si="460"/>
        <v>39</v>
      </c>
      <c r="Z1735" s="4">
        <f t="shared" si="461"/>
        <v>41</v>
      </c>
      <c r="AA1735" s="102">
        <f t="shared" si="462"/>
        <v>39</v>
      </c>
      <c r="AC1735" s="100">
        <f t="shared" si="463"/>
        <v>0.97587946873048603</v>
      </c>
    </row>
    <row r="1736" spans="4:29" x14ac:dyDescent="0.35">
      <c r="D1736">
        <f t="shared" si="464"/>
        <v>1732</v>
      </c>
      <c r="E1736" s="101">
        <v>2</v>
      </c>
      <c r="F1736" s="4">
        <v>6</v>
      </c>
      <c r="G1736" s="4">
        <v>1</v>
      </c>
      <c r="H1736" s="4">
        <v>7</v>
      </c>
      <c r="I1736" s="4">
        <v>5</v>
      </c>
      <c r="J1736" s="4">
        <v>5</v>
      </c>
      <c r="K1736" s="102">
        <v>2</v>
      </c>
      <c r="M1736" s="101">
        <f t="shared" si="449"/>
        <v>56</v>
      </c>
      <c r="N1736" s="4">
        <f t="shared" si="450"/>
        <v>45</v>
      </c>
      <c r="O1736" s="4">
        <f t="shared" si="451"/>
        <v>34</v>
      </c>
      <c r="P1736" s="4">
        <f t="shared" si="452"/>
        <v>29</v>
      </c>
      <c r="Q1736" s="4">
        <f t="shared" si="453"/>
        <v>30</v>
      </c>
      <c r="R1736" s="4">
        <f t="shared" si="454"/>
        <v>30</v>
      </c>
      <c r="S1736" s="102">
        <f t="shared" si="455"/>
        <v>56</v>
      </c>
      <c r="U1736" s="101">
        <f t="shared" si="456"/>
        <v>78</v>
      </c>
      <c r="V1736" s="4">
        <f t="shared" si="457"/>
        <v>71</v>
      </c>
      <c r="W1736" s="4">
        <f t="shared" si="458"/>
        <v>46</v>
      </c>
      <c r="X1736" s="4">
        <f t="shared" si="459"/>
        <v>41</v>
      </c>
      <c r="Y1736" s="4">
        <f t="shared" si="460"/>
        <v>39</v>
      </c>
      <c r="Z1736" s="4">
        <f t="shared" si="461"/>
        <v>39</v>
      </c>
      <c r="AA1736" s="102">
        <f t="shared" si="462"/>
        <v>78</v>
      </c>
      <c r="AC1736" s="100">
        <f t="shared" si="463"/>
        <v>0.98182677221902925</v>
      </c>
    </row>
    <row r="1737" spans="4:29" x14ac:dyDescent="0.35">
      <c r="D1737">
        <f t="shared" si="464"/>
        <v>1733</v>
      </c>
      <c r="E1737" s="101">
        <v>7</v>
      </c>
      <c r="F1737" s="4">
        <v>5</v>
      </c>
      <c r="G1737" s="4">
        <v>4</v>
      </c>
      <c r="H1737" s="4">
        <v>6</v>
      </c>
      <c r="I1737" s="4">
        <v>6</v>
      </c>
      <c r="J1737" s="4">
        <v>7</v>
      </c>
      <c r="K1737" s="102">
        <v>3</v>
      </c>
      <c r="M1737" s="101">
        <f t="shared" si="449"/>
        <v>29</v>
      </c>
      <c r="N1737" s="4">
        <f t="shared" si="450"/>
        <v>30</v>
      </c>
      <c r="O1737" s="4">
        <f t="shared" si="451"/>
        <v>12</v>
      </c>
      <c r="P1737" s="4">
        <f t="shared" si="452"/>
        <v>45</v>
      </c>
      <c r="Q1737" s="4">
        <f t="shared" si="453"/>
        <v>45</v>
      </c>
      <c r="R1737" s="4">
        <f t="shared" si="454"/>
        <v>29</v>
      </c>
      <c r="S1737" s="102">
        <f t="shared" si="455"/>
        <v>23</v>
      </c>
      <c r="U1737" s="101">
        <f t="shared" si="456"/>
        <v>41</v>
      </c>
      <c r="V1737" s="4">
        <f t="shared" si="457"/>
        <v>39</v>
      </c>
      <c r="W1737" s="4">
        <f t="shared" si="458"/>
        <v>9</v>
      </c>
      <c r="X1737" s="4">
        <f t="shared" si="459"/>
        <v>71</v>
      </c>
      <c r="Y1737" s="4">
        <f t="shared" si="460"/>
        <v>71</v>
      </c>
      <c r="Z1737" s="4">
        <f t="shared" si="461"/>
        <v>41</v>
      </c>
      <c r="AA1737" s="102">
        <f t="shared" si="462"/>
        <v>39</v>
      </c>
      <c r="AC1737" s="100">
        <f t="shared" si="463"/>
        <v>0.98320885818791848</v>
      </c>
    </row>
    <row r="1738" spans="4:29" x14ac:dyDescent="0.35">
      <c r="D1738">
        <f t="shared" si="464"/>
        <v>1734</v>
      </c>
      <c r="E1738" s="101">
        <v>6</v>
      </c>
      <c r="F1738" s="4">
        <v>7</v>
      </c>
      <c r="G1738" s="4">
        <v>1</v>
      </c>
      <c r="H1738" s="4">
        <v>2</v>
      </c>
      <c r="I1738" s="4">
        <v>5</v>
      </c>
      <c r="J1738" s="4">
        <v>3</v>
      </c>
      <c r="K1738" s="102">
        <v>5</v>
      </c>
      <c r="M1738" s="101">
        <f t="shared" si="449"/>
        <v>45</v>
      </c>
      <c r="N1738" s="4">
        <f t="shared" si="450"/>
        <v>29</v>
      </c>
      <c r="O1738" s="4">
        <f t="shared" si="451"/>
        <v>34</v>
      </c>
      <c r="P1738" s="4">
        <f t="shared" si="452"/>
        <v>56</v>
      </c>
      <c r="Q1738" s="4">
        <f t="shared" si="453"/>
        <v>30</v>
      </c>
      <c r="R1738" s="4">
        <f t="shared" si="454"/>
        <v>23</v>
      </c>
      <c r="S1738" s="102">
        <f t="shared" si="455"/>
        <v>30</v>
      </c>
      <c r="U1738" s="101">
        <f t="shared" si="456"/>
        <v>71</v>
      </c>
      <c r="V1738" s="4">
        <f t="shared" si="457"/>
        <v>41</v>
      </c>
      <c r="W1738" s="4">
        <f t="shared" si="458"/>
        <v>46</v>
      </c>
      <c r="X1738" s="4">
        <f t="shared" si="459"/>
        <v>78</v>
      </c>
      <c r="Y1738" s="4">
        <f t="shared" si="460"/>
        <v>39</v>
      </c>
      <c r="Z1738" s="4">
        <f t="shared" si="461"/>
        <v>39</v>
      </c>
      <c r="AA1738" s="102">
        <f t="shared" si="462"/>
        <v>39</v>
      </c>
      <c r="AC1738" s="100">
        <f t="shared" si="463"/>
        <v>0.96267816560012376</v>
      </c>
    </row>
    <row r="1739" spans="4:29" x14ac:dyDescent="0.35">
      <c r="D1739">
        <f t="shared" si="464"/>
        <v>1735</v>
      </c>
      <c r="E1739" s="101">
        <v>6</v>
      </c>
      <c r="F1739" s="4">
        <v>3</v>
      </c>
      <c r="G1739" s="4">
        <v>4</v>
      </c>
      <c r="H1739" s="4">
        <v>3</v>
      </c>
      <c r="I1739" s="4">
        <v>2</v>
      </c>
      <c r="J1739" s="4">
        <v>2</v>
      </c>
      <c r="K1739" s="102">
        <v>6</v>
      </c>
      <c r="M1739" s="101">
        <f t="shared" si="449"/>
        <v>45</v>
      </c>
      <c r="N1739" s="4">
        <f t="shared" si="450"/>
        <v>23</v>
      </c>
      <c r="O1739" s="4">
        <f t="shared" si="451"/>
        <v>12</v>
      </c>
      <c r="P1739" s="4">
        <f t="shared" si="452"/>
        <v>23</v>
      </c>
      <c r="Q1739" s="4">
        <f t="shared" si="453"/>
        <v>56</v>
      </c>
      <c r="R1739" s="4">
        <f t="shared" si="454"/>
        <v>56</v>
      </c>
      <c r="S1739" s="102">
        <f t="shared" si="455"/>
        <v>45</v>
      </c>
      <c r="U1739" s="101">
        <f t="shared" si="456"/>
        <v>71</v>
      </c>
      <c r="V1739" s="4">
        <f t="shared" si="457"/>
        <v>39</v>
      </c>
      <c r="W1739" s="4">
        <f t="shared" si="458"/>
        <v>9</v>
      </c>
      <c r="X1739" s="4">
        <f t="shared" si="459"/>
        <v>39</v>
      </c>
      <c r="Y1739" s="4">
        <f t="shared" si="460"/>
        <v>78</v>
      </c>
      <c r="Z1739" s="4">
        <f t="shared" si="461"/>
        <v>78</v>
      </c>
      <c r="AA1739" s="102">
        <f t="shared" si="462"/>
        <v>71</v>
      </c>
      <c r="AC1739" s="100">
        <f t="shared" si="463"/>
        <v>0.97446805346556009</v>
      </c>
    </row>
    <row r="1740" spans="4:29" x14ac:dyDescent="0.35">
      <c r="D1740">
        <f t="shared" si="464"/>
        <v>1736</v>
      </c>
      <c r="E1740" s="101">
        <v>1</v>
      </c>
      <c r="F1740" s="4">
        <v>5</v>
      </c>
      <c r="G1740" s="4">
        <v>6</v>
      </c>
      <c r="H1740" s="4">
        <v>4</v>
      </c>
      <c r="I1740" s="4">
        <v>6</v>
      </c>
      <c r="J1740" s="4">
        <v>5</v>
      </c>
      <c r="K1740" s="102">
        <v>6</v>
      </c>
      <c r="M1740" s="101">
        <f t="shared" si="449"/>
        <v>34</v>
      </c>
      <c r="N1740" s="4">
        <f t="shared" si="450"/>
        <v>30</v>
      </c>
      <c r="O1740" s="4">
        <f t="shared" si="451"/>
        <v>45</v>
      </c>
      <c r="P1740" s="4">
        <f t="shared" si="452"/>
        <v>12</v>
      </c>
      <c r="Q1740" s="4">
        <f t="shared" si="453"/>
        <v>45</v>
      </c>
      <c r="R1740" s="4">
        <f t="shared" si="454"/>
        <v>30</v>
      </c>
      <c r="S1740" s="102">
        <f t="shared" si="455"/>
        <v>45</v>
      </c>
      <c r="U1740" s="101">
        <f t="shared" si="456"/>
        <v>46</v>
      </c>
      <c r="V1740" s="4">
        <f t="shared" si="457"/>
        <v>39</v>
      </c>
      <c r="W1740" s="4">
        <f t="shared" si="458"/>
        <v>71</v>
      </c>
      <c r="X1740" s="4">
        <f t="shared" si="459"/>
        <v>9</v>
      </c>
      <c r="Y1740" s="4">
        <f t="shared" si="460"/>
        <v>71</v>
      </c>
      <c r="Z1740" s="4">
        <f t="shared" si="461"/>
        <v>39</v>
      </c>
      <c r="AA1740" s="102">
        <f t="shared" si="462"/>
        <v>71</v>
      </c>
      <c r="AC1740" s="100">
        <f t="shared" si="463"/>
        <v>0.99600130425846911</v>
      </c>
    </row>
    <row r="1741" spans="4:29" x14ac:dyDescent="0.35">
      <c r="D1741">
        <f t="shared" si="464"/>
        <v>1737</v>
      </c>
      <c r="E1741" s="101">
        <v>4</v>
      </c>
      <c r="F1741" s="4">
        <v>7</v>
      </c>
      <c r="G1741" s="4">
        <v>2</v>
      </c>
      <c r="H1741" s="4">
        <v>5</v>
      </c>
      <c r="I1741" s="4">
        <v>7</v>
      </c>
      <c r="J1741" s="4">
        <v>6</v>
      </c>
      <c r="K1741" s="102">
        <v>2</v>
      </c>
      <c r="M1741" s="101">
        <f t="shared" si="449"/>
        <v>12</v>
      </c>
      <c r="N1741" s="4">
        <f t="shared" si="450"/>
        <v>29</v>
      </c>
      <c r="O1741" s="4">
        <f t="shared" si="451"/>
        <v>56</v>
      </c>
      <c r="P1741" s="4">
        <f t="shared" si="452"/>
        <v>30</v>
      </c>
      <c r="Q1741" s="4">
        <f t="shared" si="453"/>
        <v>29</v>
      </c>
      <c r="R1741" s="4">
        <f t="shared" si="454"/>
        <v>45</v>
      </c>
      <c r="S1741" s="102">
        <f t="shared" si="455"/>
        <v>56</v>
      </c>
      <c r="U1741" s="101">
        <f t="shared" si="456"/>
        <v>9</v>
      </c>
      <c r="V1741" s="4">
        <f t="shared" si="457"/>
        <v>41</v>
      </c>
      <c r="W1741" s="4">
        <f t="shared" si="458"/>
        <v>78</v>
      </c>
      <c r="X1741" s="4">
        <f t="shared" si="459"/>
        <v>39</v>
      </c>
      <c r="Y1741" s="4">
        <f t="shared" si="460"/>
        <v>41</v>
      </c>
      <c r="Z1741" s="4">
        <f t="shared" si="461"/>
        <v>71</v>
      </c>
      <c r="AA1741" s="102">
        <f t="shared" si="462"/>
        <v>78</v>
      </c>
      <c r="AC1741" s="100">
        <f t="shared" si="463"/>
        <v>0.98838974223778464</v>
      </c>
    </row>
    <row r="1742" spans="4:29" x14ac:dyDescent="0.35">
      <c r="D1742">
        <f t="shared" si="464"/>
        <v>1738</v>
      </c>
      <c r="E1742" s="101">
        <v>2</v>
      </c>
      <c r="F1742" s="4">
        <v>7</v>
      </c>
      <c r="G1742" s="4">
        <v>7</v>
      </c>
      <c r="H1742" s="4">
        <v>4</v>
      </c>
      <c r="I1742" s="4">
        <v>4</v>
      </c>
      <c r="J1742" s="4">
        <v>3</v>
      </c>
      <c r="K1742" s="102">
        <v>6</v>
      </c>
      <c r="M1742" s="101">
        <f t="shared" si="449"/>
        <v>56</v>
      </c>
      <c r="N1742" s="4">
        <f t="shared" si="450"/>
        <v>29</v>
      </c>
      <c r="O1742" s="4">
        <f t="shared" si="451"/>
        <v>29</v>
      </c>
      <c r="P1742" s="4">
        <f t="shared" si="452"/>
        <v>12</v>
      </c>
      <c r="Q1742" s="4">
        <f t="shared" si="453"/>
        <v>12</v>
      </c>
      <c r="R1742" s="4">
        <f t="shared" si="454"/>
        <v>23</v>
      </c>
      <c r="S1742" s="102">
        <f t="shared" si="455"/>
        <v>45</v>
      </c>
      <c r="U1742" s="101">
        <f t="shared" si="456"/>
        <v>78</v>
      </c>
      <c r="V1742" s="4">
        <f t="shared" si="457"/>
        <v>41</v>
      </c>
      <c r="W1742" s="4">
        <f t="shared" si="458"/>
        <v>41</v>
      </c>
      <c r="X1742" s="4">
        <f t="shared" si="459"/>
        <v>9</v>
      </c>
      <c r="Y1742" s="4">
        <f t="shared" si="460"/>
        <v>9</v>
      </c>
      <c r="Z1742" s="4">
        <f t="shared" si="461"/>
        <v>39</v>
      </c>
      <c r="AA1742" s="102">
        <f t="shared" si="462"/>
        <v>71</v>
      </c>
      <c r="AC1742" s="100">
        <f t="shared" si="463"/>
        <v>0.98139683518169407</v>
      </c>
    </row>
    <row r="1743" spans="4:29" x14ac:dyDescent="0.35">
      <c r="D1743">
        <f t="shared" si="464"/>
        <v>1739</v>
      </c>
      <c r="E1743" s="101">
        <v>7</v>
      </c>
      <c r="F1743" s="4">
        <v>1</v>
      </c>
      <c r="G1743" s="4">
        <v>2</v>
      </c>
      <c r="H1743" s="4">
        <v>3</v>
      </c>
      <c r="I1743" s="4">
        <v>5</v>
      </c>
      <c r="J1743" s="4">
        <v>2</v>
      </c>
      <c r="K1743" s="102">
        <v>5</v>
      </c>
      <c r="M1743" s="101">
        <f t="shared" si="449"/>
        <v>29</v>
      </c>
      <c r="N1743" s="4">
        <f t="shared" si="450"/>
        <v>34</v>
      </c>
      <c r="O1743" s="4">
        <f t="shared" si="451"/>
        <v>56</v>
      </c>
      <c r="P1743" s="4">
        <f t="shared" si="452"/>
        <v>23</v>
      </c>
      <c r="Q1743" s="4">
        <f t="shared" si="453"/>
        <v>30</v>
      </c>
      <c r="R1743" s="4">
        <f t="shared" si="454"/>
        <v>56</v>
      </c>
      <c r="S1743" s="102">
        <f t="shared" si="455"/>
        <v>30</v>
      </c>
      <c r="U1743" s="101">
        <f t="shared" si="456"/>
        <v>41</v>
      </c>
      <c r="V1743" s="4">
        <f t="shared" si="457"/>
        <v>46</v>
      </c>
      <c r="W1743" s="4">
        <f t="shared" si="458"/>
        <v>78</v>
      </c>
      <c r="X1743" s="4">
        <f t="shared" si="459"/>
        <v>39</v>
      </c>
      <c r="Y1743" s="4">
        <f t="shared" si="460"/>
        <v>39</v>
      </c>
      <c r="Z1743" s="4">
        <f t="shared" si="461"/>
        <v>78</v>
      </c>
      <c r="AA1743" s="102">
        <f t="shared" si="462"/>
        <v>39</v>
      </c>
      <c r="AC1743" s="100">
        <f t="shared" si="463"/>
        <v>0.98424428431570321</v>
      </c>
    </row>
    <row r="1744" spans="4:29" x14ac:dyDescent="0.35">
      <c r="D1744">
        <f t="shared" si="464"/>
        <v>1740</v>
      </c>
      <c r="E1744" s="101">
        <v>6</v>
      </c>
      <c r="F1744" s="4">
        <v>4</v>
      </c>
      <c r="G1744" s="4">
        <v>5</v>
      </c>
      <c r="H1744" s="4">
        <v>4</v>
      </c>
      <c r="I1744" s="4">
        <v>2</v>
      </c>
      <c r="J1744" s="4">
        <v>3</v>
      </c>
      <c r="K1744" s="102">
        <v>1</v>
      </c>
      <c r="M1744" s="101">
        <f t="shared" si="449"/>
        <v>45</v>
      </c>
      <c r="N1744" s="4">
        <f t="shared" si="450"/>
        <v>12</v>
      </c>
      <c r="O1744" s="4">
        <f t="shared" si="451"/>
        <v>30</v>
      </c>
      <c r="P1744" s="4">
        <f t="shared" si="452"/>
        <v>12</v>
      </c>
      <c r="Q1744" s="4">
        <f t="shared" si="453"/>
        <v>56</v>
      </c>
      <c r="R1744" s="4">
        <f t="shared" si="454"/>
        <v>23</v>
      </c>
      <c r="S1744" s="102">
        <f t="shared" si="455"/>
        <v>34</v>
      </c>
      <c r="U1744" s="101">
        <f t="shared" si="456"/>
        <v>71</v>
      </c>
      <c r="V1744" s="4">
        <f t="shared" si="457"/>
        <v>9</v>
      </c>
      <c r="W1744" s="4">
        <f t="shared" si="458"/>
        <v>39</v>
      </c>
      <c r="X1744" s="4">
        <f t="shared" si="459"/>
        <v>9</v>
      </c>
      <c r="Y1744" s="4">
        <f t="shared" si="460"/>
        <v>78</v>
      </c>
      <c r="Z1744" s="4">
        <f t="shared" si="461"/>
        <v>39</v>
      </c>
      <c r="AA1744" s="102">
        <f t="shared" si="462"/>
        <v>46</v>
      </c>
      <c r="AC1744" s="100">
        <f t="shared" si="463"/>
        <v>0.98048891763588508</v>
      </c>
    </row>
    <row r="1745" spans="4:29" x14ac:dyDescent="0.35">
      <c r="D1745">
        <f t="shared" si="464"/>
        <v>1741</v>
      </c>
      <c r="E1745" s="101">
        <v>7</v>
      </c>
      <c r="F1745" s="4">
        <v>3</v>
      </c>
      <c r="G1745" s="4">
        <v>7</v>
      </c>
      <c r="H1745" s="4">
        <v>5</v>
      </c>
      <c r="I1745" s="4">
        <v>7</v>
      </c>
      <c r="J1745" s="4">
        <v>5</v>
      </c>
      <c r="K1745" s="102">
        <v>2</v>
      </c>
      <c r="M1745" s="101">
        <f t="shared" si="449"/>
        <v>29</v>
      </c>
      <c r="N1745" s="4">
        <f t="shared" si="450"/>
        <v>23</v>
      </c>
      <c r="O1745" s="4">
        <f t="shared" si="451"/>
        <v>29</v>
      </c>
      <c r="P1745" s="4">
        <f t="shared" si="452"/>
        <v>30</v>
      </c>
      <c r="Q1745" s="4">
        <f t="shared" si="453"/>
        <v>29</v>
      </c>
      <c r="R1745" s="4">
        <f t="shared" si="454"/>
        <v>30</v>
      </c>
      <c r="S1745" s="102">
        <f t="shared" si="455"/>
        <v>56</v>
      </c>
      <c r="U1745" s="101">
        <f t="shared" si="456"/>
        <v>41</v>
      </c>
      <c r="V1745" s="4">
        <f t="shared" si="457"/>
        <v>39</v>
      </c>
      <c r="W1745" s="4">
        <f t="shared" si="458"/>
        <v>41</v>
      </c>
      <c r="X1745" s="4">
        <f t="shared" si="459"/>
        <v>39</v>
      </c>
      <c r="Y1745" s="4">
        <f t="shared" si="460"/>
        <v>41</v>
      </c>
      <c r="Z1745" s="4">
        <f t="shared" si="461"/>
        <v>39</v>
      </c>
      <c r="AA1745" s="102">
        <f t="shared" si="462"/>
        <v>78</v>
      </c>
      <c r="AC1745" s="100">
        <f t="shared" si="463"/>
        <v>0.976074925664005</v>
      </c>
    </row>
    <row r="1746" spans="4:29" x14ac:dyDescent="0.35">
      <c r="D1746">
        <f t="shared" si="464"/>
        <v>1742</v>
      </c>
      <c r="E1746" s="101">
        <v>3</v>
      </c>
      <c r="F1746" s="4">
        <v>6</v>
      </c>
      <c r="G1746" s="4">
        <v>7</v>
      </c>
      <c r="H1746" s="4">
        <v>4</v>
      </c>
      <c r="I1746" s="4">
        <v>1</v>
      </c>
      <c r="J1746" s="4">
        <v>2</v>
      </c>
      <c r="K1746" s="102">
        <v>2</v>
      </c>
      <c r="M1746" s="101">
        <f t="shared" si="449"/>
        <v>23</v>
      </c>
      <c r="N1746" s="4">
        <f t="shared" si="450"/>
        <v>45</v>
      </c>
      <c r="O1746" s="4">
        <f t="shared" si="451"/>
        <v>29</v>
      </c>
      <c r="P1746" s="4">
        <f t="shared" si="452"/>
        <v>12</v>
      </c>
      <c r="Q1746" s="4">
        <f t="shared" si="453"/>
        <v>34</v>
      </c>
      <c r="R1746" s="4">
        <f t="shared" si="454"/>
        <v>56</v>
      </c>
      <c r="S1746" s="102">
        <f t="shared" si="455"/>
        <v>56</v>
      </c>
      <c r="U1746" s="101">
        <f t="shared" si="456"/>
        <v>39</v>
      </c>
      <c r="V1746" s="4">
        <f t="shared" si="457"/>
        <v>71</v>
      </c>
      <c r="W1746" s="4">
        <f t="shared" si="458"/>
        <v>41</v>
      </c>
      <c r="X1746" s="4">
        <f t="shared" si="459"/>
        <v>9</v>
      </c>
      <c r="Y1746" s="4">
        <f t="shared" si="460"/>
        <v>46</v>
      </c>
      <c r="Z1746" s="4">
        <f t="shared" si="461"/>
        <v>78</v>
      </c>
      <c r="AA1746" s="102">
        <f t="shared" si="462"/>
        <v>78</v>
      </c>
      <c r="AC1746" s="100">
        <f t="shared" si="463"/>
        <v>0.97965305071165631</v>
      </c>
    </row>
    <row r="1747" spans="4:29" x14ac:dyDescent="0.35">
      <c r="D1747">
        <f t="shared" si="464"/>
        <v>1743</v>
      </c>
      <c r="E1747" s="101">
        <v>1</v>
      </c>
      <c r="F1747" s="4">
        <v>4</v>
      </c>
      <c r="G1747" s="4">
        <v>6</v>
      </c>
      <c r="H1747" s="4">
        <v>5</v>
      </c>
      <c r="I1747" s="4">
        <v>4</v>
      </c>
      <c r="J1747" s="4">
        <v>6</v>
      </c>
      <c r="K1747" s="102">
        <v>1</v>
      </c>
      <c r="M1747" s="101">
        <f t="shared" si="449"/>
        <v>34</v>
      </c>
      <c r="N1747" s="4">
        <f t="shared" si="450"/>
        <v>12</v>
      </c>
      <c r="O1747" s="4">
        <f t="shared" si="451"/>
        <v>45</v>
      </c>
      <c r="P1747" s="4">
        <f t="shared" si="452"/>
        <v>30</v>
      </c>
      <c r="Q1747" s="4">
        <f t="shared" si="453"/>
        <v>12</v>
      </c>
      <c r="R1747" s="4">
        <f t="shared" si="454"/>
        <v>45</v>
      </c>
      <c r="S1747" s="102">
        <f t="shared" si="455"/>
        <v>34</v>
      </c>
      <c r="U1747" s="101">
        <f t="shared" si="456"/>
        <v>46</v>
      </c>
      <c r="V1747" s="4">
        <f t="shared" si="457"/>
        <v>9</v>
      </c>
      <c r="W1747" s="4">
        <f t="shared" si="458"/>
        <v>71</v>
      </c>
      <c r="X1747" s="4">
        <f t="shared" si="459"/>
        <v>39</v>
      </c>
      <c r="Y1747" s="4">
        <f t="shared" si="460"/>
        <v>9</v>
      </c>
      <c r="Z1747" s="4">
        <f t="shared" si="461"/>
        <v>71</v>
      </c>
      <c r="AA1747" s="102">
        <f t="shared" si="462"/>
        <v>46</v>
      </c>
      <c r="AC1747" s="100">
        <f t="shared" si="463"/>
        <v>0.99627350568066642</v>
      </c>
    </row>
    <row r="1748" spans="4:29" x14ac:dyDescent="0.35">
      <c r="D1748">
        <f t="shared" si="464"/>
        <v>1744</v>
      </c>
      <c r="E1748" s="101">
        <v>5</v>
      </c>
      <c r="F1748" s="4">
        <v>2</v>
      </c>
      <c r="G1748" s="4">
        <v>3</v>
      </c>
      <c r="H1748" s="4">
        <v>7</v>
      </c>
      <c r="I1748" s="4">
        <v>2</v>
      </c>
      <c r="J1748" s="4">
        <v>6</v>
      </c>
      <c r="K1748" s="102">
        <v>6</v>
      </c>
      <c r="M1748" s="101">
        <f t="shared" si="449"/>
        <v>30</v>
      </c>
      <c r="N1748" s="4">
        <f t="shared" si="450"/>
        <v>56</v>
      </c>
      <c r="O1748" s="4">
        <f t="shared" si="451"/>
        <v>23</v>
      </c>
      <c r="P1748" s="4">
        <f t="shared" si="452"/>
        <v>29</v>
      </c>
      <c r="Q1748" s="4">
        <f t="shared" si="453"/>
        <v>56</v>
      </c>
      <c r="R1748" s="4">
        <f t="shared" si="454"/>
        <v>45</v>
      </c>
      <c r="S1748" s="102">
        <f t="shared" si="455"/>
        <v>45</v>
      </c>
      <c r="U1748" s="101">
        <f t="shared" si="456"/>
        <v>39</v>
      </c>
      <c r="V1748" s="4">
        <f t="shared" si="457"/>
        <v>78</v>
      </c>
      <c r="W1748" s="4">
        <f t="shared" si="458"/>
        <v>39</v>
      </c>
      <c r="X1748" s="4">
        <f t="shared" si="459"/>
        <v>41</v>
      </c>
      <c r="Y1748" s="4">
        <f t="shared" si="460"/>
        <v>78</v>
      </c>
      <c r="Z1748" s="4">
        <f t="shared" si="461"/>
        <v>71</v>
      </c>
      <c r="AA1748" s="102">
        <f t="shared" si="462"/>
        <v>71</v>
      </c>
      <c r="AC1748" s="100">
        <f t="shared" si="463"/>
        <v>0.96929933737538509</v>
      </c>
    </row>
    <row r="1749" spans="4:29" x14ac:dyDescent="0.35">
      <c r="D1749">
        <f t="shared" si="464"/>
        <v>1745</v>
      </c>
      <c r="E1749" s="101">
        <v>5</v>
      </c>
      <c r="F1749" s="4">
        <v>4</v>
      </c>
      <c r="G1749" s="4">
        <v>1</v>
      </c>
      <c r="H1749" s="4">
        <v>4</v>
      </c>
      <c r="I1749" s="4">
        <v>3</v>
      </c>
      <c r="J1749" s="4">
        <v>3</v>
      </c>
      <c r="K1749" s="102">
        <v>4</v>
      </c>
      <c r="M1749" s="101">
        <f t="shared" si="449"/>
        <v>30</v>
      </c>
      <c r="N1749" s="4">
        <f t="shared" si="450"/>
        <v>12</v>
      </c>
      <c r="O1749" s="4">
        <f t="shared" si="451"/>
        <v>34</v>
      </c>
      <c r="P1749" s="4">
        <f t="shared" si="452"/>
        <v>12</v>
      </c>
      <c r="Q1749" s="4">
        <f t="shared" si="453"/>
        <v>23</v>
      </c>
      <c r="R1749" s="4">
        <f t="shared" si="454"/>
        <v>23</v>
      </c>
      <c r="S1749" s="102">
        <f t="shared" si="455"/>
        <v>12</v>
      </c>
      <c r="U1749" s="101">
        <f t="shared" si="456"/>
        <v>39</v>
      </c>
      <c r="V1749" s="4">
        <f t="shared" si="457"/>
        <v>9</v>
      </c>
      <c r="W1749" s="4">
        <f t="shared" si="458"/>
        <v>46</v>
      </c>
      <c r="X1749" s="4">
        <f t="shared" si="459"/>
        <v>9</v>
      </c>
      <c r="Y1749" s="4">
        <f t="shared" si="460"/>
        <v>39</v>
      </c>
      <c r="Z1749" s="4">
        <f t="shared" si="461"/>
        <v>39</v>
      </c>
      <c r="AA1749" s="102">
        <f t="shared" si="462"/>
        <v>9</v>
      </c>
      <c r="AC1749" s="100">
        <f t="shared" si="463"/>
        <v>0.94571402478807354</v>
      </c>
    </row>
    <row r="1750" spans="4:29" x14ac:dyDescent="0.35">
      <c r="D1750">
        <f t="shared" si="464"/>
        <v>1746</v>
      </c>
      <c r="E1750" s="101">
        <v>5</v>
      </c>
      <c r="F1750" s="4">
        <v>1</v>
      </c>
      <c r="G1750" s="4">
        <v>3</v>
      </c>
      <c r="H1750" s="4">
        <v>6</v>
      </c>
      <c r="I1750" s="4">
        <v>3</v>
      </c>
      <c r="J1750" s="4">
        <v>4</v>
      </c>
      <c r="K1750" s="102">
        <v>7</v>
      </c>
      <c r="M1750" s="101">
        <f t="shared" si="449"/>
        <v>30</v>
      </c>
      <c r="N1750" s="4">
        <f t="shared" si="450"/>
        <v>34</v>
      </c>
      <c r="O1750" s="4">
        <f t="shared" si="451"/>
        <v>23</v>
      </c>
      <c r="P1750" s="4">
        <f t="shared" si="452"/>
        <v>45</v>
      </c>
      <c r="Q1750" s="4">
        <f t="shared" si="453"/>
        <v>23</v>
      </c>
      <c r="R1750" s="4">
        <f t="shared" si="454"/>
        <v>12</v>
      </c>
      <c r="S1750" s="102">
        <f t="shared" si="455"/>
        <v>29</v>
      </c>
      <c r="U1750" s="101">
        <f t="shared" si="456"/>
        <v>39</v>
      </c>
      <c r="V1750" s="4">
        <f t="shared" si="457"/>
        <v>46</v>
      </c>
      <c r="W1750" s="4">
        <f t="shared" si="458"/>
        <v>39</v>
      </c>
      <c r="X1750" s="4">
        <f t="shared" si="459"/>
        <v>71</v>
      </c>
      <c r="Y1750" s="4">
        <f t="shared" si="460"/>
        <v>39</v>
      </c>
      <c r="Z1750" s="4">
        <f t="shared" si="461"/>
        <v>9</v>
      </c>
      <c r="AA1750" s="102">
        <f t="shared" si="462"/>
        <v>41</v>
      </c>
      <c r="AC1750" s="100">
        <f t="shared" si="463"/>
        <v>0.95663510890125902</v>
      </c>
    </row>
    <row r="1751" spans="4:29" x14ac:dyDescent="0.35">
      <c r="D1751">
        <f t="shared" si="464"/>
        <v>1747</v>
      </c>
      <c r="E1751" s="101">
        <v>1</v>
      </c>
      <c r="F1751" s="4">
        <v>1</v>
      </c>
      <c r="G1751" s="4">
        <v>4</v>
      </c>
      <c r="H1751" s="4">
        <v>7</v>
      </c>
      <c r="I1751" s="4">
        <v>4</v>
      </c>
      <c r="J1751" s="4">
        <v>5</v>
      </c>
      <c r="K1751" s="102">
        <v>4</v>
      </c>
      <c r="M1751" s="101">
        <f t="shared" si="449"/>
        <v>34</v>
      </c>
      <c r="N1751" s="4">
        <f t="shared" si="450"/>
        <v>34</v>
      </c>
      <c r="O1751" s="4">
        <f t="shared" si="451"/>
        <v>12</v>
      </c>
      <c r="P1751" s="4">
        <f t="shared" si="452"/>
        <v>29</v>
      </c>
      <c r="Q1751" s="4">
        <f t="shared" si="453"/>
        <v>12</v>
      </c>
      <c r="R1751" s="4">
        <f t="shared" si="454"/>
        <v>30</v>
      </c>
      <c r="S1751" s="102">
        <f t="shared" si="455"/>
        <v>12</v>
      </c>
      <c r="U1751" s="101">
        <f t="shared" si="456"/>
        <v>46</v>
      </c>
      <c r="V1751" s="4">
        <f t="shared" si="457"/>
        <v>46</v>
      </c>
      <c r="W1751" s="4">
        <f t="shared" si="458"/>
        <v>9</v>
      </c>
      <c r="X1751" s="4">
        <f t="shared" si="459"/>
        <v>41</v>
      </c>
      <c r="Y1751" s="4">
        <f t="shared" si="460"/>
        <v>9</v>
      </c>
      <c r="Z1751" s="4">
        <f t="shared" si="461"/>
        <v>39</v>
      </c>
      <c r="AA1751" s="102">
        <f t="shared" si="462"/>
        <v>9</v>
      </c>
      <c r="AC1751" s="100">
        <f t="shared" si="463"/>
        <v>0.99756123507652794</v>
      </c>
    </row>
    <row r="1752" spans="4:29" x14ac:dyDescent="0.35">
      <c r="D1752">
        <f t="shared" si="464"/>
        <v>1748</v>
      </c>
      <c r="E1752" s="101">
        <v>7</v>
      </c>
      <c r="F1752" s="4">
        <v>6</v>
      </c>
      <c r="G1752" s="4">
        <v>3</v>
      </c>
      <c r="H1752" s="4">
        <v>4</v>
      </c>
      <c r="I1752" s="4">
        <v>2</v>
      </c>
      <c r="J1752" s="4">
        <v>1</v>
      </c>
      <c r="K1752" s="102">
        <v>6</v>
      </c>
      <c r="M1752" s="101">
        <f t="shared" si="449"/>
        <v>29</v>
      </c>
      <c r="N1752" s="4">
        <f t="shared" si="450"/>
        <v>45</v>
      </c>
      <c r="O1752" s="4">
        <f t="shared" si="451"/>
        <v>23</v>
      </c>
      <c r="P1752" s="4">
        <f t="shared" si="452"/>
        <v>12</v>
      </c>
      <c r="Q1752" s="4">
        <f t="shared" si="453"/>
        <v>56</v>
      </c>
      <c r="R1752" s="4">
        <f t="shared" si="454"/>
        <v>34</v>
      </c>
      <c r="S1752" s="102">
        <f t="shared" si="455"/>
        <v>45</v>
      </c>
      <c r="U1752" s="101">
        <f t="shared" si="456"/>
        <v>41</v>
      </c>
      <c r="V1752" s="4">
        <f t="shared" si="457"/>
        <v>71</v>
      </c>
      <c r="W1752" s="4">
        <f t="shared" si="458"/>
        <v>39</v>
      </c>
      <c r="X1752" s="4">
        <f t="shared" si="459"/>
        <v>9</v>
      </c>
      <c r="Y1752" s="4">
        <f t="shared" si="460"/>
        <v>78</v>
      </c>
      <c r="Z1752" s="4">
        <f t="shared" si="461"/>
        <v>46</v>
      </c>
      <c r="AA1752" s="102">
        <f t="shared" si="462"/>
        <v>71</v>
      </c>
      <c r="AC1752" s="100">
        <f t="shared" si="463"/>
        <v>0.97643806751196394</v>
      </c>
    </row>
    <row r="1753" spans="4:29" x14ac:dyDescent="0.35">
      <c r="D1753">
        <f t="shared" si="464"/>
        <v>1749</v>
      </c>
      <c r="E1753" s="101">
        <v>4</v>
      </c>
      <c r="F1753" s="4">
        <v>4</v>
      </c>
      <c r="G1753" s="4">
        <v>1</v>
      </c>
      <c r="H1753" s="4">
        <v>2</v>
      </c>
      <c r="I1753" s="4">
        <v>4</v>
      </c>
      <c r="J1753" s="4">
        <v>7</v>
      </c>
      <c r="K1753" s="102">
        <v>4</v>
      </c>
      <c r="M1753" s="101">
        <f t="shared" si="449"/>
        <v>12</v>
      </c>
      <c r="N1753" s="4">
        <f t="shared" si="450"/>
        <v>12</v>
      </c>
      <c r="O1753" s="4">
        <f t="shared" si="451"/>
        <v>34</v>
      </c>
      <c r="P1753" s="4">
        <f t="shared" si="452"/>
        <v>56</v>
      </c>
      <c r="Q1753" s="4">
        <f t="shared" si="453"/>
        <v>12</v>
      </c>
      <c r="R1753" s="4">
        <f t="shared" si="454"/>
        <v>29</v>
      </c>
      <c r="S1753" s="102">
        <f t="shared" si="455"/>
        <v>12</v>
      </c>
      <c r="U1753" s="101">
        <f t="shared" si="456"/>
        <v>9</v>
      </c>
      <c r="V1753" s="4">
        <f t="shared" si="457"/>
        <v>9</v>
      </c>
      <c r="W1753" s="4">
        <f t="shared" si="458"/>
        <v>46</v>
      </c>
      <c r="X1753" s="4">
        <f t="shared" si="459"/>
        <v>78</v>
      </c>
      <c r="Y1753" s="4">
        <f t="shared" si="460"/>
        <v>9</v>
      </c>
      <c r="Z1753" s="4">
        <f t="shared" si="461"/>
        <v>41</v>
      </c>
      <c r="AA1753" s="102">
        <f t="shared" si="462"/>
        <v>9</v>
      </c>
      <c r="AC1753" s="100">
        <f t="shared" si="463"/>
        <v>0.99724724510226426</v>
      </c>
    </row>
    <row r="1754" spans="4:29" x14ac:dyDescent="0.35">
      <c r="D1754">
        <f t="shared" si="464"/>
        <v>1750</v>
      </c>
      <c r="E1754" s="101">
        <v>2</v>
      </c>
      <c r="F1754" s="4">
        <v>6</v>
      </c>
      <c r="G1754" s="4">
        <v>3</v>
      </c>
      <c r="H1754" s="4">
        <v>4</v>
      </c>
      <c r="I1754" s="4">
        <v>6</v>
      </c>
      <c r="J1754" s="4">
        <v>6</v>
      </c>
      <c r="K1754" s="102">
        <v>7</v>
      </c>
      <c r="M1754" s="101">
        <f t="shared" si="449"/>
        <v>56</v>
      </c>
      <c r="N1754" s="4">
        <f t="shared" si="450"/>
        <v>45</v>
      </c>
      <c r="O1754" s="4">
        <f t="shared" si="451"/>
        <v>23</v>
      </c>
      <c r="P1754" s="4">
        <f t="shared" si="452"/>
        <v>12</v>
      </c>
      <c r="Q1754" s="4">
        <f t="shared" si="453"/>
        <v>45</v>
      </c>
      <c r="R1754" s="4">
        <f t="shared" si="454"/>
        <v>45</v>
      </c>
      <c r="S1754" s="102">
        <f t="shared" si="455"/>
        <v>29</v>
      </c>
      <c r="U1754" s="101">
        <f t="shared" si="456"/>
        <v>78</v>
      </c>
      <c r="V1754" s="4">
        <f t="shared" si="457"/>
        <v>71</v>
      </c>
      <c r="W1754" s="4">
        <f t="shared" si="458"/>
        <v>39</v>
      </c>
      <c r="X1754" s="4">
        <f t="shared" si="459"/>
        <v>9</v>
      </c>
      <c r="Y1754" s="4">
        <f t="shared" si="460"/>
        <v>71</v>
      </c>
      <c r="Z1754" s="4">
        <f t="shared" si="461"/>
        <v>71</v>
      </c>
      <c r="AA1754" s="102">
        <f t="shared" si="462"/>
        <v>41</v>
      </c>
      <c r="AC1754" s="100">
        <f t="shared" si="463"/>
        <v>0.97859138509471855</v>
      </c>
    </row>
    <row r="1755" spans="4:29" x14ac:dyDescent="0.35">
      <c r="D1755">
        <f t="shared" si="464"/>
        <v>1751</v>
      </c>
      <c r="E1755" s="101">
        <v>7</v>
      </c>
      <c r="F1755" s="4">
        <v>4</v>
      </c>
      <c r="G1755" s="4">
        <v>5</v>
      </c>
      <c r="H1755" s="4">
        <v>2</v>
      </c>
      <c r="I1755" s="4">
        <v>7</v>
      </c>
      <c r="J1755" s="4">
        <v>6</v>
      </c>
      <c r="K1755" s="102">
        <v>2</v>
      </c>
      <c r="M1755" s="101">
        <f t="shared" si="449"/>
        <v>29</v>
      </c>
      <c r="N1755" s="4">
        <f t="shared" si="450"/>
        <v>12</v>
      </c>
      <c r="O1755" s="4">
        <f t="shared" si="451"/>
        <v>30</v>
      </c>
      <c r="P1755" s="4">
        <f t="shared" si="452"/>
        <v>56</v>
      </c>
      <c r="Q1755" s="4">
        <f t="shared" si="453"/>
        <v>29</v>
      </c>
      <c r="R1755" s="4">
        <f t="shared" si="454"/>
        <v>45</v>
      </c>
      <c r="S1755" s="102">
        <f t="shared" si="455"/>
        <v>56</v>
      </c>
      <c r="U1755" s="101">
        <f t="shared" si="456"/>
        <v>41</v>
      </c>
      <c r="V1755" s="4">
        <f t="shared" si="457"/>
        <v>9</v>
      </c>
      <c r="W1755" s="4">
        <f t="shared" si="458"/>
        <v>39</v>
      </c>
      <c r="X1755" s="4">
        <f t="shared" si="459"/>
        <v>78</v>
      </c>
      <c r="Y1755" s="4">
        <f t="shared" si="460"/>
        <v>41</v>
      </c>
      <c r="Z1755" s="4">
        <f t="shared" si="461"/>
        <v>71</v>
      </c>
      <c r="AA1755" s="102">
        <f t="shared" si="462"/>
        <v>78</v>
      </c>
      <c r="AC1755" s="100">
        <f t="shared" si="463"/>
        <v>0.98838974223778464</v>
      </c>
    </row>
    <row r="1756" spans="4:29" x14ac:dyDescent="0.35">
      <c r="D1756">
        <f t="shared" si="464"/>
        <v>1752</v>
      </c>
      <c r="E1756" s="101">
        <v>2</v>
      </c>
      <c r="F1756" s="4">
        <v>6</v>
      </c>
      <c r="G1756" s="4">
        <v>6</v>
      </c>
      <c r="H1756" s="4">
        <v>5</v>
      </c>
      <c r="I1756" s="4">
        <v>5</v>
      </c>
      <c r="J1756" s="4">
        <v>2</v>
      </c>
      <c r="K1756" s="102">
        <v>1</v>
      </c>
      <c r="M1756" s="101">
        <f t="shared" si="449"/>
        <v>56</v>
      </c>
      <c r="N1756" s="4">
        <f t="shared" si="450"/>
        <v>45</v>
      </c>
      <c r="O1756" s="4">
        <f t="shared" si="451"/>
        <v>45</v>
      </c>
      <c r="P1756" s="4">
        <f t="shared" si="452"/>
        <v>30</v>
      </c>
      <c r="Q1756" s="4">
        <f t="shared" si="453"/>
        <v>30</v>
      </c>
      <c r="R1756" s="4">
        <f t="shared" si="454"/>
        <v>56</v>
      </c>
      <c r="S1756" s="102">
        <f t="shared" si="455"/>
        <v>34</v>
      </c>
      <c r="U1756" s="101">
        <f t="shared" si="456"/>
        <v>78</v>
      </c>
      <c r="V1756" s="4">
        <f t="shared" si="457"/>
        <v>71</v>
      </c>
      <c r="W1756" s="4">
        <f t="shared" si="458"/>
        <v>71</v>
      </c>
      <c r="X1756" s="4">
        <f t="shared" si="459"/>
        <v>39</v>
      </c>
      <c r="Y1756" s="4">
        <f t="shared" si="460"/>
        <v>39</v>
      </c>
      <c r="Z1756" s="4">
        <f t="shared" si="461"/>
        <v>78</v>
      </c>
      <c r="AA1756" s="102">
        <f t="shared" si="462"/>
        <v>46</v>
      </c>
      <c r="AC1756" s="100">
        <f t="shared" si="463"/>
        <v>0.96852607839395122</v>
      </c>
    </row>
    <row r="1757" spans="4:29" x14ac:dyDescent="0.35">
      <c r="D1757">
        <f t="shared" si="464"/>
        <v>1753</v>
      </c>
      <c r="E1757" s="101">
        <v>2</v>
      </c>
      <c r="F1757" s="4">
        <v>4</v>
      </c>
      <c r="G1757" s="4">
        <v>2</v>
      </c>
      <c r="H1757" s="4">
        <v>4</v>
      </c>
      <c r="I1757" s="4">
        <v>2</v>
      </c>
      <c r="J1757" s="4">
        <v>7</v>
      </c>
      <c r="K1757" s="102">
        <v>6</v>
      </c>
      <c r="M1757" s="101">
        <f t="shared" si="449"/>
        <v>56</v>
      </c>
      <c r="N1757" s="4">
        <f t="shared" si="450"/>
        <v>12</v>
      </c>
      <c r="O1757" s="4">
        <f t="shared" si="451"/>
        <v>56</v>
      </c>
      <c r="P1757" s="4">
        <f t="shared" si="452"/>
        <v>12</v>
      </c>
      <c r="Q1757" s="4">
        <f t="shared" si="453"/>
        <v>56</v>
      </c>
      <c r="R1757" s="4">
        <f t="shared" si="454"/>
        <v>29</v>
      </c>
      <c r="S1757" s="102">
        <f t="shared" si="455"/>
        <v>45</v>
      </c>
      <c r="U1757" s="101">
        <f t="shared" si="456"/>
        <v>78</v>
      </c>
      <c r="V1757" s="4">
        <f t="shared" si="457"/>
        <v>9</v>
      </c>
      <c r="W1757" s="4">
        <f t="shared" si="458"/>
        <v>78</v>
      </c>
      <c r="X1757" s="4">
        <f t="shared" si="459"/>
        <v>9</v>
      </c>
      <c r="Y1757" s="4">
        <f t="shared" si="460"/>
        <v>78</v>
      </c>
      <c r="Z1757" s="4">
        <f t="shared" si="461"/>
        <v>41</v>
      </c>
      <c r="AA1757" s="102">
        <f t="shared" si="462"/>
        <v>71</v>
      </c>
      <c r="AC1757" s="100">
        <f t="shared" si="463"/>
        <v>0.99202408260688169</v>
      </c>
    </row>
    <row r="1758" spans="4:29" x14ac:dyDescent="0.35">
      <c r="D1758">
        <f t="shared" si="464"/>
        <v>1754</v>
      </c>
      <c r="E1758" s="101">
        <v>1</v>
      </c>
      <c r="F1758" s="4">
        <v>4</v>
      </c>
      <c r="G1758" s="4">
        <v>6</v>
      </c>
      <c r="H1758" s="4">
        <v>3</v>
      </c>
      <c r="I1758" s="4">
        <v>2</v>
      </c>
      <c r="J1758" s="4">
        <v>4</v>
      </c>
      <c r="K1758" s="102">
        <v>5</v>
      </c>
      <c r="M1758" s="101">
        <f t="shared" si="449"/>
        <v>34</v>
      </c>
      <c r="N1758" s="4">
        <f t="shared" si="450"/>
        <v>12</v>
      </c>
      <c r="O1758" s="4">
        <f t="shared" si="451"/>
        <v>45</v>
      </c>
      <c r="P1758" s="4">
        <f t="shared" si="452"/>
        <v>23</v>
      </c>
      <c r="Q1758" s="4">
        <f t="shared" si="453"/>
        <v>56</v>
      </c>
      <c r="R1758" s="4">
        <f t="shared" si="454"/>
        <v>12</v>
      </c>
      <c r="S1758" s="102">
        <f t="shared" si="455"/>
        <v>30</v>
      </c>
      <c r="U1758" s="101">
        <f t="shared" si="456"/>
        <v>46</v>
      </c>
      <c r="V1758" s="4">
        <f t="shared" si="457"/>
        <v>9</v>
      </c>
      <c r="W1758" s="4">
        <f t="shared" si="458"/>
        <v>71</v>
      </c>
      <c r="X1758" s="4">
        <f t="shared" si="459"/>
        <v>39</v>
      </c>
      <c r="Y1758" s="4">
        <f t="shared" si="460"/>
        <v>78</v>
      </c>
      <c r="Z1758" s="4">
        <f t="shared" si="461"/>
        <v>9</v>
      </c>
      <c r="AA1758" s="102">
        <f t="shared" si="462"/>
        <v>39</v>
      </c>
      <c r="AC1758" s="100">
        <f t="shared" si="463"/>
        <v>0.9804889176358853</v>
      </c>
    </row>
    <row r="1759" spans="4:29" x14ac:dyDescent="0.35">
      <c r="D1759">
        <f t="shared" si="464"/>
        <v>1755</v>
      </c>
      <c r="E1759" s="101">
        <v>5</v>
      </c>
      <c r="F1759" s="4">
        <v>7</v>
      </c>
      <c r="G1759" s="4">
        <v>7</v>
      </c>
      <c r="H1759" s="4">
        <v>7</v>
      </c>
      <c r="I1759" s="4">
        <v>3</v>
      </c>
      <c r="J1759" s="4">
        <v>1</v>
      </c>
      <c r="K1759" s="102">
        <v>1</v>
      </c>
      <c r="M1759" s="101">
        <f t="shared" si="449"/>
        <v>30</v>
      </c>
      <c r="N1759" s="4">
        <f t="shared" si="450"/>
        <v>29</v>
      </c>
      <c r="O1759" s="4">
        <f t="shared" si="451"/>
        <v>29</v>
      </c>
      <c r="P1759" s="4">
        <f t="shared" si="452"/>
        <v>29</v>
      </c>
      <c r="Q1759" s="4">
        <f t="shared" si="453"/>
        <v>23</v>
      </c>
      <c r="R1759" s="4">
        <f t="shared" si="454"/>
        <v>34</v>
      </c>
      <c r="S1759" s="102">
        <f t="shared" si="455"/>
        <v>34</v>
      </c>
      <c r="U1759" s="101">
        <f t="shared" si="456"/>
        <v>39</v>
      </c>
      <c r="V1759" s="4">
        <f t="shared" si="457"/>
        <v>41</v>
      </c>
      <c r="W1759" s="4">
        <f t="shared" si="458"/>
        <v>41</v>
      </c>
      <c r="X1759" s="4">
        <f t="shared" si="459"/>
        <v>41</v>
      </c>
      <c r="Y1759" s="4">
        <f t="shared" si="460"/>
        <v>39</v>
      </c>
      <c r="Z1759" s="4">
        <f t="shared" si="461"/>
        <v>46</v>
      </c>
      <c r="AA1759" s="102">
        <f t="shared" si="462"/>
        <v>46</v>
      </c>
      <c r="AC1759" s="100">
        <f t="shared" si="463"/>
        <v>0.83899103735098157</v>
      </c>
    </row>
    <row r="1760" spans="4:29" x14ac:dyDescent="0.35">
      <c r="D1760">
        <f t="shared" si="464"/>
        <v>1756</v>
      </c>
      <c r="E1760" s="101">
        <v>2</v>
      </c>
      <c r="F1760" s="4">
        <v>2</v>
      </c>
      <c r="G1760" s="4">
        <v>7</v>
      </c>
      <c r="H1760" s="4">
        <v>2</v>
      </c>
      <c r="I1760" s="4">
        <v>2</v>
      </c>
      <c r="J1760" s="4">
        <v>2</v>
      </c>
      <c r="K1760" s="102">
        <v>1</v>
      </c>
      <c r="M1760" s="101">
        <f t="shared" si="449"/>
        <v>56</v>
      </c>
      <c r="N1760" s="4">
        <f t="shared" si="450"/>
        <v>56</v>
      </c>
      <c r="O1760" s="4">
        <f t="shared" si="451"/>
        <v>29</v>
      </c>
      <c r="P1760" s="4">
        <f t="shared" si="452"/>
        <v>56</v>
      </c>
      <c r="Q1760" s="4">
        <f t="shared" si="453"/>
        <v>56</v>
      </c>
      <c r="R1760" s="4">
        <f t="shared" si="454"/>
        <v>56</v>
      </c>
      <c r="S1760" s="102">
        <f t="shared" si="455"/>
        <v>34</v>
      </c>
      <c r="U1760" s="101">
        <f t="shared" si="456"/>
        <v>78</v>
      </c>
      <c r="V1760" s="4">
        <f t="shared" si="457"/>
        <v>78</v>
      </c>
      <c r="W1760" s="4">
        <f t="shared" si="458"/>
        <v>41</v>
      </c>
      <c r="X1760" s="4">
        <f t="shared" si="459"/>
        <v>78</v>
      </c>
      <c r="Y1760" s="4">
        <f t="shared" si="460"/>
        <v>78</v>
      </c>
      <c r="Z1760" s="4">
        <f t="shared" si="461"/>
        <v>78</v>
      </c>
      <c r="AA1760" s="102">
        <f t="shared" si="462"/>
        <v>46</v>
      </c>
      <c r="AC1760" s="100">
        <f t="shared" si="463"/>
        <v>0.99940066209462097</v>
      </c>
    </row>
    <row r="1761" spans="4:29" x14ac:dyDescent="0.35">
      <c r="D1761">
        <f t="shared" si="464"/>
        <v>1757</v>
      </c>
      <c r="E1761" s="101">
        <v>5</v>
      </c>
      <c r="F1761" s="4">
        <v>7</v>
      </c>
      <c r="G1761" s="4">
        <v>7</v>
      </c>
      <c r="H1761" s="4">
        <v>3</v>
      </c>
      <c r="I1761" s="4">
        <v>1</v>
      </c>
      <c r="J1761" s="4">
        <v>1</v>
      </c>
      <c r="K1761" s="102">
        <v>1</v>
      </c>
      <c r="M1761" s="101">
        <f t="shared" si="449"/>
        <v>30</v>
      </c>
      <c r="N1761" s="4">
        <f t="shared" si="450"/>
        <v>29</v>
      </c>
      <c r="O1761" s="4">
        <f t="shared" si="451"/>
        <v>29</v>
      </c>
      <c r="P1761" s="4">
        <f t="shared" si="452"/>
        <v>23</v>
      </c>
      <c r="Q1761" s="4">
        <f t="shared" si="453"/>
        <v>34</v>
      </c>
      <c r="R1761" s="4">
        <f t="shared" si="454"/>
        <v>34</v>
      </c>
      <c r="S1761" s="102">
        <f t="shared" si="455"/>
        <v>34</v>
      </c>
      <c r="U1761" s="101">
        <f t="shared" si="456"/>
        <v>39</v>
      </c>
      <c r="V1761" s="4">
        <f t="shared" si="457"/>
        <v>41</v>
      </c>
      <c r="W1761" s="4">
        <f t="shared" si="458"/>
        <v>41</v>
      </c>
      <c r="X1761" s="4">
        <f t="shared" si="459"/>
        <v>39</v>
      </c>
      <c r="Y1761" s="4">
        <f t="shared" si="460"/>
        <v>46</v>
      </c>
      <c r="Z1761" s="4">
        <f t="shared" si="461"/>
        <v>46</v>
      </c>
      <c r="AA1761" s="102">
        <f t="shared" si="462"/>
        <v>46</v>
      </c>
      <c r="AC1761" s="100">
        <f t="shared" si="463"/>
        <v>0.86463890280279465</v>
      </c>
    </row>
    <row r="1762" spans="4:29" x14ac:dyDescent="0.35">
      <c r="D1762">
        <f t="shared" si="464"/>
        <v>1758</v>
      </c>
      <c r="E1762" s="101">
        <v>1</v>
      </c>
      <c r="F1762" s="4">
        <v>4</v>
      </c>
      <c r="G1762" s="4">
        <v>5</v>
      </c>
      <c r="H1762" s="4">
        <v>5</v>
      </c>
      <c r="I1762" s="4">
        <v>4</v>
      </c>
      <c r="J1762" s="4">
        <v>6</v>
      </c>
      <c r="K1762" s="102">
        <v>3</v>
      </c>
      <c r="M1762" s="101">
        <f t="shared" si="449"/>
        <v>34</v>
      </c>
      <c r="N1762" s="4">
        <f t="shared" si="450"/>
        <v>12</v>
      </c>
      <c r="O1762" s="4">
        <f t="shared" si="451"/>
        <v>30</v>
      </c>
      <c r="P1762" s="4">
        <f t="shared" si="452"/>
        <v>30</v>
      </c>
      <c r="Q1762" s="4">
        <f t="shared" si="453"/>
        <v>12</v>
      </c>
      <c r="R1762" s="4">
        <f t="shared" si="454"/>
        <v>45</v>
      </c>
      <c r="S1762" s="102">
        <f t="shared" si="455"/>
        <v>23</v>
      </c>
      <c r="U1762" s="101">
        <f t="shared" si="456"/>
        <v>46</v>
      </c>
      <c r="V1762" s="4">
        <f t="shared" si="457"/>
        <v>9</v>
      </c>
      <c r="W1762" s="4">
        <f t="shared" si="458"/>
        <v>39</v>
      </c>
      <c r="X1762" s="4">
        <f t="shared" si="459"/>
        <v>39</v>
      </c>
      <c r="Y1762" s="4">
        <f t="shared" si="460"/>
        <v>9</v>
      </c>
      <c r="Z1762" s="4">
        <f t="shared" si="461"/>
        <v>71</v>
      </c>
      <c r="AA1762" s="102">
        <f t="shared" si="462"/>
        <v>39</v>
      </c>
      <c r="AC1762" s="100">
        <f t="shared" si="463"/>
        <v>0.97764605051821762</v>
      </c>
    </row>
    <row r="1763" spans="4:29" x14ac:dyDescent="0.35">
      <c r="D1763">
        <f t="shared" si="464"/>
        <v>1759</v>
      </c>
      <c r="E1763" s="101">
        <v>2</v>
      </c>
      <c r="F1763" s="4">
        <v>4</v>
      </c>
      <c r="G1763" s="4">
        <v>1</v>
      </c>
      <c r="H1763" s="4">
        <v>6</v>
      </c>
      <c r="I1763" s="4">
        <v>3</v>
      </c>
      <c r="J1763" s="4">
        <v>6</v>
      </c>
      <c r="K1763" s="102">
        <v>3</v>
      </c>
      <c r="M1763" s="101">
        <f t="shared" si="449"/>
        <v>56</v>
      </c>
      <c r="N1763" s="4">
        <f t="shared" si="450"/>
        <v>12</v>
      </c>
      <c r="O1763" s="4">
        <f t="shared" si="451"/>
        <v>34</v>
      </c>
      <c r="P1763" s="4">
        <f t="shared" si="452"/>
        <v>45</v>
      </c>
      <c r="Q1763" s="4">
        <f t="shared" si="453"/>
        <v>23</v>
      </c>
      <c r="R1763" s="4">
        <f t="shared" si="454"/>
        <v>45</v>
      </c>
      <c r="S1763" s="102">
        <f t="shared" si="455"/>
        <v>23</v>
      </c>
      <c r="U1763" s="101">
        <f t="shared" si="456"/>
        <v>78</v>
      </c>
      <c r="V1763" s="4">
        <f t="shared" si="457"/>
        <v>9</v>
      </c>
      <c r="W1763" s="4">
        <f t="shared" si="458"/>
        <v>46</v>
      </c>
      <c r="X1763" s="4">
        <f t="shared" si="459"/>
        <v>71</v>
      </c>
      <c r="Y1763" s="4">
        <f t="shared" si="460"/>
        <v>39</v>
      </c>
      <c r="Z1763" s="4">
        <f t="shared" si="461"/>
        <v>71</v>
      </c>
      <c r="AA1763" s="102">
        <f t="shared" si="462"/>
        <v>39</v>
      </c>
      <c r="AC1763" s="100">
        <f t="shared" si="463"/>
        <v>0.97137197773071693</v>
      </c>
    </row>
    <row r="1764" spans="4:29" x14ac:dyDescent="0.35">
      <c r="D1764">
        <f t="shared" si="464"/>
        <v>1760</v>
      </c>
      <c r="E1764" s="101">
        <v>4</v>
      </c>
      <c r="F1764" s="4">
        <v>4</v>
      </c>
      <c r="G1764" s="4">
        <v>7</v>
      </c>
      <c r="H1764" s="4">
        <v>3</v>
      </c>
      <c r="I1764" s="4">
        <v>2</v>
      </c>
      <c r="J1764" s="4">
        <v>6</v>
      </c>
      <c r="K1764" s="102">
        <v>3</v>
      </c>
      <c r="M1764" s="101">
        <f t="shared" si="449"/>
        <v>12</v>
      </c>
      <c r="N1764" s="4">
        <f t="shared" si="450"/>
        <v>12</v>
      </c>
      <c r="O1764" s="4">
        <f t="shared" si="451"/>
        <v>29</v>
      </c>
      <c r="P1764" s="4">
        <f t="shared" si="452"/>
        <v>23</v>
      </c>
      <c r="Q1764" s="4">
        <f t="shared" si="453"/>
        <v>56</v>
      </c>
      <c r="R1764" s="4">
        <f t="shared" si="454"/>
        <v>45</v>
      </c>
      <c r="S1764" s="102">
        <f t="shared" si="455"/>
        <v>23</v>
      </c>
      <c r="U1764" s="101">
        <f t="shared" si="456"/>
        <v>9</v>
      </c>
      <c r="V1764" s="4">
        <f t="shared" si="457"/>
        <v>9</v>
      </c>
      <c r="W1764" s="4">
        <f t="shared" si="458"/>
        <v>41</v>
      </c>
      <c r="X1764" s="4">
        <f t="shared" si="459"/>
        <v>39</v>
      </c>
      <c r="Y1764" s="4">
        <f t="shared" si="460"/>
        <v>78</v>
      </c>
      <c r="Z1764" s="4">
        <f t="shared" si="461"/>
        <v>71</v>
      </c>
      <c r="AA1764" s="102">
        <f t="shared" si="462"/>
        <v>39</v>
      </c>
      <c r="AC1764" s="100">
        <f t="shared" si="463"/>
        <v>0.97458929056574928</v>
      </c>
    </row>
    <row r="1765" spans="4:29" x14ac:dyDescent="0.35">
      <c r="D1765">
        <f t="shared" si="464"/>
        <v>1761</v>
      </c>
      <c r="E1765" s="101">
        <v>5</v>
      </c>
      <c r="F1765" s="4">
        <v>1</v>
      </c>
      <c r="G1765" s="4">
        <v>1</v>
      </c>
      <c r="H1765" s="4">
        <v>1</v>
      </c>
      <c r="I1765" s="4">
        <v>1</v>
      </c>
      <c r="J1765" s="4">
        <v>6</v>
      </c>
      <c r="K1765" s="102">
        <v>6</v>
      </c>
      <c r="M1765" s="101">
        <f t="shared" si="449"/>
        <v>30</v>
      </c>
      <c r="N1765" s="4">
        <f t="shared" si="450"/>
        <v>34</v>
      </c>
      <c r="O1765" s="4">
        <f t="shared" si="451"/>
        <v>34</v>
      </c>
      <c r="P1765" s="4">
        <f t="shared" si="452"/>
        <v>34</v>
      </c>
      <c r="Q1765" s="4">
        <f t="shared" si="453"/>
        <v>34</v>
      </c>
      <c r="R1765" s="4">
        <f t="shared" si="454"/>
        <v>45</v>
      </c>
      <c r="S1765" s="102">
        <f t="shared" si="455"/>
        <v>45</v>
      </c>
      <c r="U1765" s="101">
        <f t="shared" si="456"/>
        <v>39</v>
      </c>
      <c r="V1765" s="4">
        <f t="shared" si="457"/>
        <v>46</v>
      </c>
      <c r="W1765" s="4">
        <f t="shared" si="458"/>
        <v>46</v>
      </c>
      <c r="X1765" s="4">
        <f t="shared" si="459"/>
        <v>46</v>
      </c>
      <c r="Y1765" s="4">
        <f t="shared" si="460"/>
        <v>46</v>
      </c>
      <c r="Z1765" s="4">
        <f t="shared" si="461"/>
        <v>71</v>
      </c>
      <c r="AA1765" s="102">
        <f t="shared" si="462"/>
        <v>71</v>
      </c>
      <c r="AC1765" s="100">
        <f t="shared" si="463"/>
        <v>0.99861933928316937</v>
      </c>
    </row>
    <row r="1766" spans="4:29" x14ac:dyDescent="0.35">
      <c r="D1766">
        <f t="shared" si="464"/>
        <v>1762</v>
      </c>
      <c r="E1766" s="101">
        <v>4</v>
      </c>
      <c r="F1766" s="4">
        <v>3</v>
      </c>
      <c r="G1766" s="4">
        <v>6</v>
      </c>
      <c r="H1766" s="4">
        <v>2</v>
      </c>
      <c r="I1766" s="4">
        <v>4</v>
      </c>
      <c r="J1766" s="4">
        <v>1</v>
      </c>
      <c r="K1766" s="102">
        <v>6</v>
      </c>
      <c r="M1766" s="101">
        <f t="shared" si="449"/>
        <v>12</v>
      </c>
      <c r="N1766" s="4">
        <f t="shared" si="450"/>
        <v>23</v>
      </c>
      <c r="O1766" s="4">
        <f t="shared" si="451"/>
        <v>45</v>
      </c>
      <c r="P1766" s="4">
        <f t="shared" si="452"/>
        <v>56</v>
      </c>
      <c r="Q1766" s="4">
        <f t="shared" si="453"/>
        <v>12</v>
      </c>
      <c r="R1766" s="4">
        <f t="shared" si="454"/>
        <v>34</v>
      </c>
      <c r="S1766" s="102">
        <f t="shared" si="455"/>
        <v>45</v>
      </c>
      <c r="U1766" s="101">
        <f t="shared" si="456"/>
        <v>9</v>
      </c>
      <c r="V1766" s="4">
        <f t="shared" si="457"/>
        <v>39</v>
      </c>
      <c r="W1766" s="4">
        <f t="shared" si="458"/>
        <v>71</v>
      </c>
      <c r="X1766" s="4">
        <f t="shared" si="459"/>
        <v>78</v>
      </c>
      <c r="Y1766" s="4">
        <f t="shared" si="460"/>
        <v>9</v>
      </c>
      <c r="Z1766" s="4">
        <f t="shared" si="461"/>
        <v>46</v>
      </c>
      <c r="AA1766" s="102">
        <f t="shared" si="462"/>
        <v>71</v>
      </c>
      <c r="AC1766" s="100">
        <f t="shared" si="463"/>
        <v>0.98152907680380008</v>
      </c>
    </row>
    <row r="1767" spans="4:29" x14ac:dyDescent="0.35">
      <c r="D1767">
        <f t="shared" si="464"/>
        <v>1763</v>
      </c>
      <c r="E1767" s="101">
        <v>5</v>
      </c>
      <c r="F1767" s="4">
        <v>6</v>
      </c>
      <c r="G1767" s="4">
        <v>5</v>
      </c>
      <c r="H1767" s="4">
        <v>4</v>
      </c>
      <c r="I1767" s="4">
        <v>1</v>
      </c>
      <c r="J1767" s="4">
        <v>3</v>
      </c>
      <c r="K1767" s="102">
        <v>3</v>
      </c>
      <c r="M1767" s="101">
        <f t="shared" si="449"/>
        <v>30</v>
      </c>
      <c r="N1767" s="4">
        <f t="shared" si="450"/>
        <v>45</v>
      </c>
      <c r="O1767" s="4">
        <f t="shared" si="451"/>
        <v>30</v>
      </c>
      <c r="P1767" s="4">
        <f t="shared" si="452"/>
        <v>12</v>
      </c>
      <c r="Q1767" s="4">
        <f t="shared" si="453"/>
        <v>34</v>
      </c>
      <c r="R1767" s="4">
        <f t="shared" si="454"/>
        <v>23</v>
      </c>
      <c r="S1767" s="102">
        <f t="shared" si="455"/>
        <v>23</v>
      </c>
      <c r="U1767" s="101">
        <f t="shared" si="456"/>
        <v>39</v>
      </c>
      <c r="V1767" s="4">
        <f t="shared" si="457"/>
        <v>71</v>
      </c>
      <c r="W1767" s="4">
        <f t="shared" si="458"/>
        <v>39</v>
      </c>
      <c r="X1767" s="4">
        <f t="shared" si="459"/>
        <v>9</v>
      </c>
      <c r="Y1767" s="4">
        <f t="shared" si="460"/>
        <v>46</v>
      </c>
      <c r="Z1767" s="4">
        <f t="shared" si="461"/>
        <v>39</v>
      </c>
      <c r="AA1767" s="102">
        <f t="shared" si="462"/>
        <v>39</v>
      </c>
      <c r="AC1767" s="100">
        <f t="shared" si="463"/>
        <v>0.95114111463713569</v>
      </c>
    </row>
    <row r="1768" spans="4:29" x14ac:dyDescent="0.35">
      <c r="D1768">
        <f t="shared" si="464"/>
        <v>1764</v>
      </c>
      <c r="E1768" s="101">
        <v>5</v>
      </c>
      <c r="F1768" s="4">
        <v>7</v>
      </c>
      <c r="G1768" s="4">
        <v>5</v>
      </c>
      <c r="H1768" s="4">
        <v>6</v>
      </c>
      <c r="I1768" s="4">
        <v>6</v>
      </c>
      <c r="J1768" s="4">
        <v>4</v>
      </c>
      <c r="K1768" s="102">
        <v>7</v>
      </c>
      <c r="M1768" s="101">
        <f t="shared" si="449"/>
        <v>30</v>
      </c>
      <c r="N1768" s="4">
        <f t="shared" si="450"/>
        <v>29</v>
      </c>
      <c r="O1768" s="4">
        <f t="shared" si="451"/>
        <v>30</v>
      </c>
      <c r="P1768" s="4">
        <f t="shared" si="452"/>
        <v>45</v>
      </c>
      <c r="Q1768" s="4">
        <f t="shared" si="453"/>
        <v>45</v>
      </c>
      <c r="R1768" s="4">
        <f t="shared" si="454"/>
        <v>12</v>
      </c>
      <c r="S1768" s="102">
        <f t="shared" si="455"/>
        <v>29</v>
      </c>
      <c r="U1768" s="101">
        <f t="shared" si="456"/>
        <v>39</v>
      </c>
      <c r="V1768" s="4">
        <f t="shared" si="457"/>
        <v>41</v>
      </c>
      <c r="W1768" s="4">
        <f t="shared" si="458"/>
        <v>39</v>
      </c>
      <c r="X1768" s="4">
        <f t="shared" si="459"/>
        <v>71</v>
      </c>
      <c r="Y1768" s="4">
        <f t="shared" si="460"/>
        <v>71</v>
      </c>
      <c r="Z1768" s="4">
        <f t="shared" si="461"/>
        <v>9</v>
      </c>
      <c r="AA1768" s="102">
        <f t="shared" si="462"/>
        <v>41</v>
      </c>
      <c r="AC1768" s="100">
        <f t="shared" si="463"/>
        <v>0.99618355122745117</v>
      </c>
    </row>
    <row r="1769" spans="4:29" x14ac:dyDescent="0.35">
      <c r="D1769">
        <f t="shared" si="464"/>
        <v>1765</v>
      </c>
      <c r="E1769" s="101">
        <v>1</v>
      </c>
      <c r="F1769" s="4">
        <v>4</v>
      </c>
      <c r="G1769" s="4">
        <v>7</v>
      </c>
      <c r="H1769" s="4">
        <v>7</v>
      </c>
      <c r="I1769" s="4">
        <v>7</v>
      </c>
      <c r="J1769" s="4">
        <v>3</v>
      </c>
      <c r="K1769" s="102">
        <v>5</v>
      </c>
      <c r="M1769" s="101">
        <f t="shared" si="449"/>
        <v>34</v>
      </c>
      <c r="N1769" s="4">
        <f t="shared" si="450"/>
        <v>12</v>
      </c>
      <c r="O1769" s="4">
        <f t="shared" si="451"/>
        <v>29</v>
      </c>
      <c r="P1769" s="4">
        <f t="shared" si="452"/>
        <v>29</v>
      </c>
      <c r="Q1769" s="4">
        <f t="shared" si="453"/>
        <v>29</v>
      </c>
      <c r="R1769" s="4">
        <f t="shared" si="454"/>
        <v>23</v>
      </c>
      <c r="S1769" s="102">
        <f t="shared" si="455"/>
        <v>30</v>
      </c>
      <c r="U1769" s="101">
        <f t="shared" si="456"/>
        <v>46</v>
      </c>
      <c r="V1769" s="4">
        <f t="shared" si="457"/>
        <v>9</v>
      </c>
      <c r="W1769" s="4">
        <f t="shared" si="458"/>
        <v>41</v>
      </c>
      <c r="X1769" s="4">
        <f t="shared" si="459"/>
        <v>41</v>
      </c>
      <c r="Y1769" s="4">
        <f t="shared" si="460"/>
        <v>41</v>
      </c>
      <c r="Z1769" s="4">
        <f t="shared" si="461"/>
        <v>39</v>
      </c>
      <c r="AA1769" s="102">
        <f t="shared" si="462"/>
        <v>39</v>
      </c>
      <c r="AC1769" s="100">
        <f t="shared" si="463"/>
        <v>0.9437939365183533</v>
      </c>
    </row>
    <row r="1770" spans="4:29" x14ac:dyDescent="0.35">
      <c r="D1770">
        <f t="shared" si="464"/>
        <v>1766</v>
      </c>
      <c r="E1770" s="101">
        <v>7</v>
      </c>
      <c r="F1770" s="4">
        <v>3</v>
      </c>
      <c r="G1770" s="4">
        <v>5</v>
      </c>
      <c r="H1770" s="4">
        <v>3</v>
      </c>
      <c r="I1770" s="4">
        <v>6</v>
      </c>
      <c r="J1770" s="4">
        <v>3</v>
      </c>
      <c r="K1770" s="102">
        <v>2</v>
      </c>
      <c r="M1770" s="101">
        <f t="shared" si="449"/>
        <v>29</v>
      </c>
      <c r="N1770" s="4">
        <f t="shared" si="450"/>
        <v>23</v>
      </c>
      <c r="O1770" s="4">
        <f t="shared" si="451"/>
        <v>30</v>
      </c>
      <c r="P1770" s="4">
        <f t="shared" si="452"/>
        <v>23</v>
      </c>
      <c r="Q1770" s="4">
        <f t="shared" si="453"/>
        <v>45</v>
      </c>
      <c r="R1770" s="4">
        <f t="shared" si="454"/>
        <v>23</v>
      </c>
      <c r="S1770" s="102">
        <f t="shared" si="455"/>
        <v>56</v>
      </c>
      <c r="U1770" s="101">
        <f t="shared" si="456"/>
        <v>41</v>
      </c>
      <c r="V1770" s="4">
        <f t="shared" si="457"/>
        <v>39</v>
      </c>
      <c r="W1770" s="4">
        <f t="shared" si="458"/>
        <v>39</v>
      </c>
      <c r="X1770" s="4">
        <f t="shared" si="459"/>
        <v>39</v>
      </c>
      <c r="Y1770" s="4">
        <f t="shared" si="460"/>
        <v>71</v>
      </c>
      <c r="Z1770" s="4">
        <f t="shared" si="461"/>
        <v>39</v>
      </c>
      <c r="AA1770" s="102">
        <f t="shared" si="462"/>
        <v>78</v>
      </c>
      <c r="AC1770" s="100">
        <f t="shared" si="463"/>
        <v>0.96893885159013515</v>
      </c>
    </row>
    <row r="1771" spans="4:29" x14ac:dyDescent="0.35">
      <c r="D1771">
        <f t="shared" si="464"/>
        <v>1767</v>
      </c>
      <c r="E1771" s="101">
        <v>1</v>
      </c>
      <c r="F1771" s="4">
        <v>7</v>
      </c>
      <c r="G1771" s="4">
        <v>7</v>
      </c>
      <c r="H1771" s="4">
        <v>4</v>
      </c>
      <c r="I1771" s="4">
        <v>5</v>
      </c>
      <c r="J1771" s="4">
        <v>6</v>
      </c>
      <c r="K1771" s="102">
        <v>7</v>
      </c>
      <c r="M1771" s="101">
        <f t="shared" si="449"/>
        <v>34</v>
      </c>
      <c r="N1771" s="4">
        <f t="shared" si="450"/>
        <v>29</v>
      </c>
      <c r="O1771" s="4">
        <f t="shared" si="451"/>
        <v>29</v>
      </c>
      <c r="P1771" s="4">
        <f t="shared" si="452"/>
        <v>12</v>
      </c>
      <c r="Q1771" s="4">
        <f t="shared" si="453"/>
        <v>30</v>
      </c>
      <c r="R1771" s="4">
        <f t="shared" si="454"/>
        <v>45</v>
      </c>
      <c r="S1771" s="102">
        <f t="shared" si="455"/>
        <v>29</v>
      </c>
      <c r="U1771" s="101">
        <f t="shared" si="456"/>
        <v>46</v>
      </c>
      <c r="V1771" s="4">
        <f t="shared" si="457"/>
        <v>41</v>
      </c>
      <c r="W1771" s="4">
        <f t="shared" si="458"/>
        <v>41</v>
      </c>
      <c r="X1771" s="4">
        <f t="shared" si="459"/>
        <v>9</v>
      </c>
      <c r="Y1771" s="4">
        <f t="shared" si="460"/>
        <v>39</v>
      </c>
      <c r="Z1771" s="4">
        <f t="shared" si="461"/>
        <v>71</v>
      </c>
      <c r="AA1771" s="102">
        <f t="shared" si="462"/>
        <v>41</v>
      </c>
      <c r="AC1771" s="100">
        <f t="shared" si="463"/>
        <v>0.99393837458475154</v>
      </c>
    </row>
    <row r="1772" spans="4:29" x14ac:dyDescent="0.35">
      <c r="D1772">
        <f t="shared" si="464"/>
        <v>1768</v>
      </c>
      <c r="E1772" s="101">
        <v>6</v>
      </c>
      <c r="F1772" s="4">
        <v>6</v>
      </c>
      <c r="G1772" s="4">
        <v>6</v>
      </c>
      <c r="H1772" s="4">
        <v>2</v>
      </c>
      <c r="I1772" s="4">
        <v>5</v>
      </c>
      <c r="J1772" s="4">
        <v>1</v>
      </c>
      <c r="K1772" s="102">
        <v>6</v>
      </c>
      <c r="M1772" s="101">
        <f t="shared" si="449"/>
        <v>45</v>
      </c>
      <c r="N1772" s="4">
        <f t="shared" si="450"/>
        <v>45</v>
      </c>
      <c r="O1772" s="4">
        <f t="shared" si="451"/>
        <v>45</v>
      </c>
      <c r="P1772" s="4">
        <f t="shared" si="452"/>
        <v>56</v>
      </c>
      <c r="Q1772" s="4">
        <f t="shared" si="453"/>
        <v>30</v>
      </c>
      <c r="R1772" s="4">
        <f t="shared" si="454"/>
        <v>34</v>
      </c>
      <c r="S1772" s="102">
        <f t="shared" si="455"/>
        <v>45</v>
      </c>
      <c r="U1772" s="101">
        <f t="shared" si="456"/>
        <v>71</v>
      </c>
      <c r="V1772" s="4">
        <f t="shared" si="457"/>
        <v>71</v>
      </c>
      <c r="W1772" s="4">
        <f t="shared" si="458"/>
        <v>71</v>
      </c>
      <c r="X1772" s="4">
        <f t="shared" si="459"/>
        <v>78</v>
      </c>
      <c r="Y1772" s="4">
        <f t="shared" si="460"/>
        <v>39</v>
      </c>
      <c r="Z1772" s="4">
        <f t="shared" si="461"/>
        <v>46</v>
      </c>
      <c r="AA1772" s="102">
        <f t="shared" si="462"/>
        <v>71</v>
      </c>
      <c r="AC1772" s="100">
        <f t="shared" si="463"/>
        <v>0.94926586434170224</v>
      </c>
    </row>
    <row r="1773" spans="4:29" x14ac:dyDescent="0.35">
      <c r="D1773">
        <f t="shared" si="464"/>
        <v>1769</v>
      </c>
      <c r="E1773" s="101">
        <v>1</v>
      </c>
      <c r="F1773" s="4">
        <v>1</v>
      </c>
      <c r="G1773" s="4">
        <v>4</v>
      </c>
      <c r="H1773" s="4">
        <v>3</v>
      </c>
      <c r="I1773" s="4">
        <v>7</v>
      </c>
      <c r="J1773" s="4">
        <v>1</v>
      </c>
      <c r="K1773" s="102">
        <v>6</v>
      </c>
      <c r="M1773" s="101">
        <f t="shared" si="449"/>
        <v>34</v>
      </c>
      <c r="N1773" s="4">
        <f t="shared" si="450"/>
        <v>34</v>
      </c>
      <c r="O1773" s="4">
        <f t="shared" si="451"/>
        <v>12</v>
      </c>
      <c r="P1773" s="4">
        <f t="shared" si="452"/>
        <v>23</v>
      </c>
      <c r="Q1773" s="4">
        <f t="shared" si="453"/>
        <v>29</v>
      </c>
      <c r="R1773" s="4">
        <f t="shared" si="454"/>
        <v>34</v>
      </c>
      <c r="S1773" s="102">
        <f t="shared" si="455"/>
        <v>45</v>
      </c>
      <c r="U1773" s="101">
        <f t="shared" si="456"/>
        <v>46</v>
      </c>
      <c r="V1773" s="4">
        <f t="shared" si="457"/>
        <v>46</v>
      </c>
      <c r="W1773" s="4">
        <f t="shared" si="458"/>
        <v>9</v>
      </c>
      <c r="X1773" s="4">
        <f t="shared" si="459"/>
        <v>39</v>
      </c>
      <c r="Y1773" s="4">
        <f t="shared" si="460"/>
        <v>41</v>
      </c>
      <c r="Z1773" s="4">
        <f t="shared" si="461"/>
        <v>46</v>
      </c>
      <c r="AA1773" s="102">
        <f t="shared" si="462"/>
        <v>71</v>
      </c>
      <c r="AC1773" s="100">
        <f t="shared" si="463"/>
        <v>0.9691907301997883</v>
      </c>
    </row>
    <row r="1774" spans="4:29" x14ac:dyDescent="0.35">
      <c r="D1774">
        <f t="shared" si="464"/>
        <v>1770</v>
      </c>
      <c r="E1774" s="101">
        <v>1</v>
      </c>
      <c r="F1774" s="4">
        <v>4</v>
      </c>
      <c r="G1774" s="4">
        <v>1</v>
      </c>
      <c r="H1774" s="4">
        <v>6</v>
      </c>
      <c r="I1774" s="4">
        <v>5</v>
      </c>
      <c r="J1774" s="4">
        <v>2</v>
      </c>
      <c r="K1774" s="102">
        <v>6</v>
      </c>
      <c r="M1774" s="101">
        <f t="shared" si="449"/>
        <v>34</v>
      </c>
      <c r="N1774" s="4">
        <f t="shared" si="450"/>
        <v>12</v>
      </c>
      <c r="O1774" s="4">
        <f t="shared" si="451"/>
        <v>34</v>
      </c>
      <c r="P1774" s="4">
        <f t="shared" si="452"/>
        <v>45</v>
      </c>
      <c r="Q1774" s="4">
        <f t="shared" si="453"/>
        <v>30</v>
      </c>
      <c r="R1774" s="4">
        <f t="shared" si="454"/>
        <v>56</v>
      </c>
      <c r="S1774" s="102">
        <f t="shared" si="455"/>
        <v>45</v>
      </c>
      <c r="U1774" s="101">
        <f t="shared" si="456"/>
        <v>46</v>
      </c>
      <c r="V1774" s="4">
        <f t="shared" si="457"/>
        <v>9</v>
      </c>
      <c r="W1774" s="4">
        <f t="shared" si="458"/>
        <v>46</v>
      </c>
      <c r="X1774" s="4">
        <f t="shared" si="459"/>
        <v>71</v>
      </c>
      <c r="Y1774" s="4">
        <f t="shared" si="460"/>
        <v>39</v>
      </c>
      <c r="Z1774" s="4">
        <f t="shared" si="461"/>
        <v>78</v>
      </c>
      <c r="AA1774" s="102">
        <f t="shared" si="462"/>
        <v>71</v>
      </c>
      <c r="AC1774" s="100">
        <f t="shared" si="463"/>
        <v>0.98542430833609518</v>
      </c>
    </row>
    <row r="1775" spans="4:29" x14ac:dyDescent="0.35">
      <c r="D1775">
        <f t="shared" si="464"/>
        <v>1771</v>
      </c>
      <c r="E1775" s="101">
        <v>2</v>
      </c>
      <c r="F1775" s="4">
        <v>4</v>
      </c>
      <c r="G1775" s="4">
        <v>1</v>
      </c>
      <c r="H1775" s="4">
        <v>7</v>
      </c>
      <c r="I1775" s="4">
        <v>4</v>
      </c>
      <c r="J1775" s="4">
        <v>3</v>
      </c>
      <c r="K1775" s="102">
        <v>4</v>
      </c>
      <c r="M1775" s="101">
        <f t="shared" si="449"/>
        <v>56</v>
      </c>
      <c r="N1775" s="4">
        <f t="shared" si="450"/>
        <v>12</v>
      </c>
      <c r="O1775" s="4">
        <f t="shared" si="451"/>
        <v>34</v>
      </c>
      <c r="P1775" s="4">
        <f t="shared" si="452"/>
        <v>29</v>
      </c>
      <c r="Q1775" s="4">
        <f t="shared" si="453"/>
        <v>12</v>
      </c>
      <c r="R1775" s="4">
        <f t="shared" si="454"/>
        <v>23</v>
      </c>
      <c r="S1775" s="102">
        <f t="shared" si="455"/>
        <v>12</v>
      </c>
      <c r="U1775" s="101">
        <f t="shared" si="456"/>
        <v>78</v>
      </c>
      <c r="V1775" s="4">
        <f t="shared" si="457"/>
        <v>9</v>
      </c>
      <c r="W1775" s="4">
        <f t="shared" si="458"/>
        <v>46</v>
      </c>
      <c r="X1775" s="4">
        <f t="shared" si="459"/>
        <v>41</v>
      </c>
      <c r="Y1775" s="4">
        <f t="shared" si="460"/>
        <v>9</v>
      </c>
      <c r="Z1775" s="4">
        <f t="shared" si="461"/>
        <v>39</v>
      </c>
      <c r="AA1775" s="102">
        <f t="shared" si="462"/>
        <v>9</v>
      </c>
      <c r="AC1775" s="100">
        <f t="shared" si="463"/>
        <v>0.9828577450413547</v>
      </c>
    </row>
    <row r="1776" spans="4:29" x14ac:dyDescent="0.35">
      <c r="D1776">
        <f t="shared" si="464"/>
        <v>1772</v>
      </c>
      <c r="E1776" s="101">
        <v>3</v>
      </c>
      <c r="F1776" s="4">
        <v>4</v>
      </c>
      <c r="G1776" s="4">
        <v>2</v>
      </c>
      <c r="H1776" s="4">
        <v>7</v>
      </c>
      <c r="I1776" s="4">
        <v>1</v>
      </c>
      <c r="J1776" s="4">
        <v>1</v>
      </c>
      <c r="K1776" s="102">
        <v>1</v>
      </c>
      <c r="M1776" s="101">
        <f t="shared" si="449"/>
        <v>23</v>
      </c>
      <c r="N1776" s="4">
        <f t="shared" si="450"/>
        <v>12</v>
      </c>
      <c r="O1776" s="4">
        <f t="shared" si="451"/>
        <v>56</v>
      </c>
      <c r="P1776" s="4">
        <f t="shared" si="452"/>
        <v>29</v>
      </c>
      <c r="Q1776" s="4">
        <f t="shared" si="453"/>
        <v>34</v>
      </c>
      <c r="R1776" s="4">
        <f t="shared" si="454"/>
        <v>34</v>
      </c>
      <c r="S1776" s="102">
        <f t="shared" si="455"/>
        <v>34</v>
      </c>
      <c r="U1776" s="101">
        <f t="shared" si="456"/>
        <v>39</v>
      </c>
      <c r="V1776" s="4">
        <f t="shared" si="457"/>
        <v>9</v>
      </c>
      <c r="W1776" s="4">
        <f t="shared" si="458"/>
        <v>78</v>
      </c>
      <c r="X1776" s="4">
        <f t="shared" si="459"/>
        <v>41</v>
      </c>
      <c r="Y1776" s="4">
        <f t="shared" si="460"/>
        <v>46</v>
      </c>
      <c r="Z1776" s="4">
        <f t="shared" si="461"/>
        <v>46</v>
      </c>
      <c r="AA1776" s="102">
        <f t="shared" si="462"/>
        <v>46</v>
      </c>
      <c r="AC1776" s="100">
        <f t="shared" si="463"/>
        <v>0.97804096048777278</v>
      </c>
    </row>
    <row r="1777" spans="4:29" x14ac:dyDescent="0.35">
      <c r="D1777">
        <f t="shared" si="464"/>
        <v>1773</v>
      </c>
      <c r="E1777" s="101">
        <v>2</v>
      </c>
      <c r="F1777" s="4">
        <v>4</v>
      </c>
      <c r="G1777" s="4">
        <v>4</v>
      </c>
      <c r="H1777" s="4">
        <v>3</v>
      </c>
      <c r="I1777" s="4">
        <v>3</v>
      </c>
      <c r="J1777" s="4">
        <v>3</v>
      </c>
      <c r="K1777" s="102">
        <v>4</v>
      </c>
      <c r="M1777" s="101">
        <f t="shared" si="449"/>
        <v>56</v>
      </c>
      <c r="N1777" s="4">
        <f t="shared" si="450"/>
        <v>12</v>
      </c>
      <c r="O1777" s="4">
        <f t="shared" si="451"/>
        <v>12</v>
      </c>
      <c r="P1777" s="4">
        <f t="shared" si="452"/>
        <v>23</v>
      </c>
      <c r="Q1777" s="4">
        <f t="shared" si="453"/>
        <v>23</v>
      </c>
      <c r="R1777" s="4">
        <f t="shared" si="454"/>
        <v>23</v>
      </c>
      <c r="S1777" s="102">
        <f t="shared" si="455"/>
        <v>12</v>
      </c>
      <c r="U1777" s="101">
        <f t="shared" si="456"/>
        <v>78</v>
      </c>
      <c r="V1777" s="4">
        <f t="shared" si="457"/>
        <v>9</v>
      </c>
      <c r="W1777" s="4">
        <f t="shared" si="458"/>
        <v>9</v>
      </c>
      <c r="X1777" s="4">
        <f t="shared" si="459"/>
        <v>39</v>
      </c>
      <c r="Y1777" s="4">
        <f t="shared" si="460"/>
        <v>39</v>
      </c>
      <c r="Z1777" s="4">
        <f t="shared" si="461"/>
        <v>39</v>
      </c>
      <c r="AA1777" s="102">
        <f t="shared" si="462"/>
        <v>9</v>
      </c>
      <c r="AC1777" s="100">
        <f t="shared" si="463"/>
        <v>0.96312263519286156</v>
      </c>
    </row>
    <row r="1778" spans="4:29" x14ac:dyDescent="0.35">
      <c r="D1778">
        <f t="shared" si="464"/>
        <v>1774</v>
      </c>
      <c r="E1778" s="101">
        <v>2</v>
      </c>
      <c r="F1778" s="4">
        <v>5</v>
      </c>
      <c r="G1778" s="4">
        <v>7</v>
      </c>
      <c r="H1778" s="4">
        <v>4</v>
      </c>
      <c r="I1778" s="4">
        <v>7</v>
      </c>
      <c r="J1778" s="4">
        <v>3</v>
      </c>
      <c r="K1778" s="102">
        <v>6</v>
      </c>
      <c r="M1778" s="101">
        <f t="shared" si="449"/>
        <v>56</v>
      </c>
      <c r="N1778" s="4">
        <f t="shared" si="450"/>
        <v>30</v>
      </c>
      <c r="O1778" s="4">
        <f t="shared" si="451"/>
        <v>29</v>
      </c>
      <c r="P1778" s="4">
        <f t="shared" si="452"/>
        <v>12</v>
      </c>
      <c r="Q1778" s="4">
        <f t="shared" si="453"/>
        <v>29</v>
      </c>
      <c r="R1778" s="4">
        <f t="shared" si="454"/>
        <v>23</v>
      </c>
      <c r="S1778" s="102">
        <f t="shared" si="455"/>
        <v>45</v>
      </c>
      <c r="U1778" s="101">
        <f t="shared" si="456"/>
        <v>78</v>
      </c>
      <c r="V1778" s="4">
        <f t="shared" si="457"/>
        <v>39</v>
      </c>
      <c r="W1778" s="4">
        <f t="shared" si="458"/>
        <v>41</v>
      </c>
      <c r="X1778" s="4">
        <f t="shared" si="459"/>
        <v>9</v>
      </c>
      <c r="Y1778" s="4">
        <f t="shared" si="460"/>
        <v>41</v>
      </c>
      <c r="Z1778" s="4">
        <f t="shared" si="461"/>
        <v>39</v>
      </c>
      <c r="AA1778" s="102">
        <f t="shared" si="462"/>
        <v>71</v>
      </c>
      <c r="AC1778" s="100">
        <f t="shared" si="463"/>
        <v>0.97632814590635097</v>
      </c>
    </row>
    <row r="1779" spans="4:29" x14ac:dyDescent="0.35">
      <c r="D1779">
        <f t="shared" si="464"/>
        <v>1775</v>
      </c>
      <c r="E1779" s="101">
        <v>7</v>
      </c>
      <c r="F1779" s="4">
        <v>3</v>
      </c>
      <c r="G1779" s="4">
        <v>7</v>
      </c>
      <c r="H1779" s="4">
        <v>7</v>
      </c>
      <c r="I1779" s="4">
        <v>1</v>
      </c>
      <c r="J1779" s="4">
        <v>3</v>
      </c>
      <c r="K1779" s="102">
        <v>7</v>
      </c>
      <c r="M1779" s="101">
        <f t="shared" si="449"/>
        <v>29</v>
      </c>
      <c r="N1779" s="4">
        <f t="shared" si="450"/>
        <v>23</v>
      </c>
      <c r="O1779" s="4">
        <f t="shared" si="451"/>
        <v>29</v>
      </c>
      <c r="P1779" s="4">
        <f t="shared" si="452"/>
        <v>29</v>
      </c>
      <c r="Q1779" s="4">
        <f t="shared" si="453"/>
        <v>34</v>
      </c>
      <c r="R1779" s="4">
        <f t="shared" si="454"/>
        <v>23</v>
      </c>
      <c r="S1779" s="102">
        <f t="shared" si="455"/>
        <v>29</v>
      </c>
      <c r="U1779" s="101">
        <f t="shared" si="456"/>
        <v>41</v>
      </c>
      <c r="V1779" s="4">
        <f t="shared" si="457"/>
        <v>39</v>
      </c>
      <c r="W1779" s="4">
        <f t="shared" si="458"/>
        <v>41</v>
      </c>
      <c r="X1779" s="4">
        <f t="shared" si="459"/>
        <v>41</v>
      </c>
      <c r="Y1779" s="4">
        <f t="shared" si="460"/>
        <v>46</v>
      </c>
      <c r="Z1779" s="4">
        <f t="shared" si="461"/>
        <v>39</v>
      </c>
      <c r="AA1779" s="102">
        <f t="shared" si="462"/>
        <v>41</v>
      </c>
      <c r="AC1779" s="100">
        <f t="shared" si="463"/>
        <v>0.91946214061228415</v>
      </c>
    </row>
    <row r="1780" spans="4:29" x14ac:dyDescent="0.35">
      <c r="D1780">
        <f t="shared" si="464"/>
        <v>1776</v>
      </c>
      <c r="E1780" s="101">
        <v>3</v>
      </c>
      <c r="F1780" s="4">
        <v>5</v>
      </c>
      <c r="G1780" s="4">
        <v>6</v>
      </c>
      <c r="H1780" s="4">
        <v>5</v>
      </c>
      <c r="I1780" s="4">
        <v>7</v>
      </c>
      <c r="J1780" s="4">
        <v>5</v>
      </c>
      <c r="K1780" s="102">
        <v>2</v>
      </c>
      <c r="M1780" s="101">
        <f t="shared" si="449"/>
        <v>23</v>
      </c>
      <c r="N1780" s="4">
        <f t="shared" si="450"/>
        <v>30</v>
      </c>
      <c r="O1780" s="4">
        <f t="shared" si="451"/>
        <v>45</v>
      </c>
      <c r="P1780" s="4">
        <f t="shared" si="452"/>
        <v>30</v>
      </c>
      <c r="Q1780" s="4">
        <f t="shared" si="453"/>
        <v>29</v>
      </c>
      <c r="R1780" s="4">
        <f t="shared" si="454"/>
        <v>30</v>
      </c>
      <c r="S1780" s="102">
        <f t="shared" si="455"/>
        <v>56</v>
      </c>
      <c r="U1780" s="101">
        <f t="shared" si="456"/>
        <v>39</v>
      </c>
      <c r="V1780" s="4">
        <f t="shared" si="457"/>
        <v>39</v>
      </c>
      <c r="W1780" s="4">
        <f t="shared" si="458"/>
        <v>71</v>
      </c>
      <c r="X1780" s="4">
        <f t="shared" si="459"/>
        <v>39</v>
      </c>
      <c r="Y1780" s="4">
        <f t="shared" si="460"/>
        <v>41</v>
      </c>
      <c r="Z1780" s="4">
        <f t="shared" si="461"/>
        <v>39</v>
      </c>
      <c r="AA1780" s="102">
        <f t="shared" si="462"/>
        <v>78</v>
      </c>
      <c r="AC1780" s="100">
        <f t="shared" si="463"/>
        <v>0.96258301122103451</v>
      </c>
    </row>
    <row r="1781" spans="4:29" x14ac:dyDescent="0.35">
      <c r="D1781">
        <f t="shared" si="464"/>
        <v>1777</v>
      </c>
      <c r="E1781" s="101">
        <v>4</v>
      </c>
      <c r="F1781" s="4">
        <v>6</v>
      </c>
      <c r="G1781" s="4">
        <v>4</v>
      </c>
      <c r="H1781" s="4">
        <v>1</v>
      </c>
      <c r="I1781" s="4">
        <v>1</v>
      </c>
      <c r="J1781" s="4">
        <v>1</v>
      </c>
      <c r="K1781" s="102">
        <v>6</v>
      </c>
      <c r="M1781" s="101">
        <f t="shared" si="449"/>
        <v>12</v>
      </c>
      <c r="N1781" s="4">
        <f t="shared" si="450"/>
        <v>45</v>
      </c>
      <c r="O1781" s="4">
        <f t="shared" si="451"/>
        <v>12</v>
      </c>
      <c r="P1781" s="4">
        <f t="shared" si="452"/>
        <v>34</v>
      </c>
      <c r="Q1781" s="4">
        <f t="shared" si="453"/>
        <v>34</v>
      </c>
      <c r="R1781" s="4">
        <f t="shared" si="454"/>
        <v>34</v>
      </c>
      <c r="S1781" s="102">
        <f t="shared" si="455"/>
        <v>45</v>
      </c>
      <c r="U1781" s="101">
        <f t="shared" si="456"/>
        <v>9</v>
      </c>
      <c r="V1781" s="4">
        <f t="shared" si="457"/>
        <v>71</v>
      </c>
      <c r="W1781" s="4">
        <f t="shared" si="458"/>
        <v>9</v>
      </c>
      <c r="X1781" s="4">
        <f t="shared" si="459"/>
        <v>46</v>
      </c>
      <c r="Y1781" s="4">
        <f t="shared" si="460"/>
        <v>46</v>
      </c>
      <c r="Z1781" s="4">
        <f t="shared" si="461"/>
        <v>46</v>
      </c>
      <c r="AA1781" s="102">
        <f t="shared" si="462"/>
        <v>71</v>
      </c>
      <c r="AC1781" s="100">
        <f t="shared" si="463"/>
        <v>0.99605860231373944</v>
      </c>
    </row>
    <row r="1782" spans="4:29" x14ac:dyDescent="0.35">
      <c r="D1782">
        <f t="shared" si="464"/>
        <v>1778</v>
      </c>
      <c r="E1782" s="101">
        <v>5</v>
      </c>
      <c r="F1782" s="4">
        <v>2</v>
      </c>
      <c r="G1782" s="4">
        <v>1</v>
      </c>
      <c r="H1782" s="4">
        <v>1</v>
      </c>
      <c r="I1782" s="4">
        <v>1</v>
      </c>
      <c r="J1782" s="4">
        <v>2</v>
      </c>
      <c r="K1782" s="102">
        <v>7</v>
      </c>
      <c r="M1782" s="101">
        <f t="shared" si="449"/>
        <v>30</v>
      </c>
      <c r="N1782" s="4">
        <f t="shared" si="450"/>
        <v>56</v>
      </c>
      <c r="O1782" s="4">
        <f t="shared" si="451"/>
        <v>34</v>
      </c>
      <c r="P1782" s="4">
        <f t="shared" si="452"/>
        <v>34</v>
      </c>
      <c r="Q1782" s="4">
        <f t="shared" si="453"/>
        <v>34</v>
      </c>
      <c r="R1782" s="4">
        <f t="shared" si="454"/>
        <v>56</v>
      </c>
      <c r="S1782" s="102">
        <f t="shared" si="455"/>
        <v>29</v>
      </c>
      <c r="U1782" s="101">
        <f t="shared" si="456"/>
        <v>39</v>
      </c>
      <c r="V1782" s="4">
        <f t="shared" si="457"/>
        <v>78</v>
      </c>
      <c r="W1782" s="4">
        <f t="shared" si="458"/>
        <v>46</v>
      </c>
      <c r="X1782" s="4">
        <f t="shared" si="459"/>
        <v>46</v>
      </c>
      <c r="Y1782" s="4">
        <f t="shared" si="460"/>
        <v>46</v>
      </c>
      <c r="Z1782" s="4">
        <f t="shared" si="461"/>
        <v>78</v>
      </c>
      <c r="AA1782" s="102">
        <f t="shared" si="462"/>
        <v>41</v>
      </c>
      <c r="AC1782" s="100">
        <f t="shared" si="463"/>
        <v>0.99820757935193927</v>
      </c>
    </row>
    <row r="1783" spans="4:29" x14ac:dyDescent="0.35">
      <c r="D1783">
        <f t="shared" si="464"/>
        <v>1779</v>
      </c>
      <c r="E1783" s="101">
        <v>3</v>
      </c>
      <c r="F1783" s="4">
        <v>3</v>
      </c>
      <c r="G1783" s="4">
        <v>5</v>
      </c>
      <c r="H1783" s="4">
        <v>4</v>
      </c>
      <c r="I1783" s="4">
        <v>5</v>
      </c>
      <c r="J1783" s="4">
        <v>5</v>
      </c>
      <c r="K1783" s="102">
        <v>2</v>
      </c>
      <c r="M1783" s="101">
        <f t="shared" si="449"/>
        <v>23</v>
      </c>
      <c r="N1783" s="4">
        <f t="shared" si="450"/>
        <v>23</v>
      </c>
      <c r="O1783" s="4">
        <f t="shared" si="451"/>
        <v>30</v>
      </c>
      <c r="P1783" s="4">
        <f t="shared" si="452"/>
        <v>12</v>
      </c>
      <c r="Q1783" s="4">
        <f t="shared" si="453"/>
        <v>30</v>
      </c>
      <c r="R1783" s="4">
        <f t="shared" si="454"/>
        <v>30</v>
      </c>
      <c r="S1783" s="102">
        <f t="shared" si="455"/>
        <v>56</v>
      </c>
      <c r="U1783" s="101">
        <f t="shared" si="456"/>
        <v>39</v>
      </c>
      <c r="V1783" s="4">
        <f t="shared" si="457"/>
        <v>39</v>
      </c>
      <c r="W1783" s="4">
        <f t="shared" si="458"/>
        <v>39</v>
      </c>
      <c r="X1783" s="4">
        <f t="shared" si="459"/>
        <v>9</v>
      </c>
      <c r="Y1783" s="4">
        <f t="shared" si="460"/>
        <v>39</v>
      </c>
      <c r="Z1783" s="4">
        <f t="shared" si="461"/>
        <v>39</v>
      </c>
      <c r="AA1783" s="102">
        <f t="shared" si="462"/>
        <v>78</v>
      </c>
      <c r="AC1783" s="100">
        <f t="shared" si="463"/>
        <v>0.9624160509371491</v>
      </c>
    </row>
    <row r="1784" spans="4:29" x14ac:dyDescent="0.35">
      <c r="D1784">
        <f t="shared" si="464"/>
        <v>1780</v>
      </c>
      <c r="E1784" s="101">
        <v>4</v>
      </c>
      <c r="F1784" s="4">
        <v>2</v>
      </c>
      <c r="G1784" s="4">
        <v>2</v>
      </c>
      <c r="H1784" s="4">
        <v>1</v>
      </c>
      <c r="I1784" s="4">
        <v>3</v>
      </c>
      <c r="J1784" s="4">
        <v>5</v>
      </c>
      <c r="K1784" s="102">
        <v>2</v>
      </c>
      <c r="M1784" s="101">
        <f t="shared" si="449"/>
        <v>12</v>
      </c>
      <c r="N1784" s="4">
        <f t="shared" si="450"/>
        <v>56</v>
      </c>
      <c r="O1784" s="4">
        <f t="shared" si="451"/>
        <v>56</v>
      </c>
      <c r="P1784" s="4">
        <f t="shared" si="452"/>
        <v>34</v>
      </c>
      <c r="Q1784" s="4">
        <f t="shared" si="453"/>
        <v>23</v>
      </c>
      <c r="R1784" s="4">
        <f t="shared" si="454"/>
        <v>30</v>
      </c>
      <c r="S1784" s="102">
        <f t="shared" si="455"/>
        <v>56</v>
      </c>
      <c r="U1784" s="101">
        <f t="shared" si="456"/>
        <v>9</v>
      </c>
      <c r="V1784" s="4">
        <f t="shared" si="457"/>
        <v>78</v>
      </c>
      <c r="W1784" s="4">
        <f t="shared" si="458"/>
        <v>78</v>
      </c>
      <c r="X1784" s="4">
        <f t="shared" si="459"/>
        <v>46</v>
      </c>
      <c r="Y1784" s="4">
        <f t="shared" si="460"/>
        <v>39</v>
      </c>
      <c r="Z1784" s="4">
        <f t="shared" si="461"/>
        <v>39</v>
      </c>
      <c r="AA1784" s="102">
        <f t="shared" si="462"/>
        <v>78</v>
      </c>
      <c r="AC1784" s="100">
        <f t="shared" si="463"/>
        <v>0.98741959162650095</v>
      </c>
    </row>
    <row r="1785" spans="4:29" x14ac:dyDescent="0.35">
      <c r="D1785">
        <f t="shared" si="464"/>
        <v>1781</v>
      </c>
      <c r="E1785" s="101">
        <v>1</v>
      </c>
      <c r="F1785" s="4">
        <v>6</v>
      </c>
      <c r="G1785" s="4">
        <v>5</v>
      </c>
      <c r="H1785" s="4">
        <v>2</v>
      </c>
      <c r="I1785" s="4">
        <v>5</v>
      </c>
      <c r="J1785" s="4">
        <v>4</v>
      </c>
      <c r="K1785" s="102">
        <v>5</v>
      </c>
      <c r="M1785" s="101">
        <f t="shared" si="449"/>
        <v>34</v>
      </c>
      <c r="N1785" s="4">
        <f t="shared" si="450"/>
        <v>45</v>
      </c>
      <c r="O1785" s="4">
        <f t="shared" si="451"/>
        <v>30</v>
      </c>
      <c r="P1785" s="4">
        <f t="shared" si="452"/>
        <v>56</v>
      </c>
      <c r="Q1785" s="4">
        <f t="shared" si="453"/>
        <v>30</v>
      </c>
      <c r="R1785" s="4">
        <f t="shared" si="454"/>
        <v>12</v>
      </c>
      <c r="S1785" s="102">
        <f t="shared" si="455"/>
        <v>30</v>
      </c>
      <c r="U1785" s="101">
        <f t="shared" si="456"/>
        <v>46</v>
      </c>
      <c r="V1785" s="4">
        <f t="shared" si="457"/>
        <v>71</v>
      </c>
      <c r="W1785" s="4">
        <f t="shared" si="458"/>
        <v>39</v>
      </c>
      <c r="X1785" s="4">
        <f t="shared" si="459"/>
        <v>78</v>
      </c>
      <c r="Y1785" s="4">
        <f t="shared" si="460"/>
        <v>39</v>
      </c>
      <c r="Z1785" s="4">
        <f t="shared" si="461"/>
        <v>9</v>
      </c>
      <c r="AA1785" s="102">
        <f t="shared" si="462"/>
        <v>39</v>
      </c>
      <c r="AC1785" s="100">
        <f t="shared" si="463"/>
        <v>0.98946677201994804</v>
      </c>
    </row>
    <row r="1786" spans="4:29" x14ac:dyDescent="0.35">
      <c r="D1786">
        <f t="shared" si="464"/>
        <v>1782</v>
      </c>
      <c r="E1786" s="101">
        <v>2</v>
      </c>
      <c r="F1786" s="4">
        <v>1</v>
      </c>
      <c r="G1786" s="4">
        <v>1</v>
      </c>
      <c r="H1786" s="4">
        <v>7</v>
      </c>
      <c r="I1786" s="4">
        <v>6</v>
      </c>
      <c r="J1786" s="4">
        <v>4</v>
      </c>
      <c r="K1786" s="102">
        <v>1</v>
      </c>
      <c r="M1786" s="101">
        <f t="shared" si="449"/>
        <v>56</v>
      </c>
      <c r="N1786" s="4">
        <f t="shared" si="450"/>
        <v>34</v>
      </c>
      <c r="O1786" s="4">
        <f t="shared" si="451"/>
        <v>34</v>
      </c>
      <c r="P1786" s="4">
        <f t="shared" si="452"/>
        <v>29</v>
      </c>
      <c r="Q1786" s="4">
        <f t="shared" si="453"/>
        <v>45</v>
      </c>
      <c r="R1786" s="4">
        <f t="shared" si="454"/>
        <v>12</v>
      </c>
      <c r="S1786" s="102">
        <f t="shared" si="455"/>
        <v>34</v>
      </c>
      <c r="U1786" s="101">
        <f t="shared" si="456"/>
        <v>78</v>
      </c>
      <c r="V1786" s="4">
        <f t="shared" si="457"/>
        <v>46</v>
      </c>
      <c r="W1786" s="4">
        <f t="shared" si="458"/>
        <v>46</v>
      </c>
      <c r="X1786" s="4">
        <f t="shared" si="459"/>
        <v>41</v>
      </c>
      <c r="Y1786" s="4">
        <f t="shared" si="460"/>
        <v>71</v>
      </c>
      <c r="Z1786" s="4">
        <f t="shared" si="461"/>
        <v>9</v>
      </c>
      <c r="AA1786" s="102">
        <f t="shared" si="462"/>
        <v>46</v>
      </c>
      <c r="AC1786" s="100">
        <f t="shared" si="463"/>
        <v>0.98793575395783795</v>
      </c>
    </row>
    <row r="1787" spans="4:29" x14ac:dyDescent="0.35">
      <c r="D1787">
        <f t="shared" si="464"/>
        <v>1783</v>
      </c>
      <c r="E1787" s="101">
        <v>2</v>
      </c>
      <c r="F1787" s="4">
        <v>2</v>
      </c>
      <c r="G1787" s="4">
        <v>5</v>
      </c>
      <c r="H1787" s="4">
        <v>4</v>
      </c>
      <c r="I1787" s="4">
        <v>3</v>
      </c>
      <c r="J1787" s="4">
        <v>6</v>
      </c>
      <c r="K1787" s="102">
        <v>7</v>
      </c>
      <c r="M1787" s="101">
        <f t="shared" si="449"/>
        <v>56</v>
      </c>
      <c r="N1787" s="4">
        <f t="shared" si="450"/>
        <v>56</v>
      </c>
      <c r="O1787" s="4">
        <f t="shared" si="451"/>
        <v>30</v>
      </c>
      <c r="P1787" s="4">
        <f t="shared" si="452"/>
        <v>12</v>
      </c>
      <c r="Q1787" s="4">
        <f t="shared" si="453"/>
        <v>23</v>
      </c>
      <c r="R1787" s="4">
        <f t="shared" si="454"/>
        <v>45</v>
      </c>
      <c r="S1787" s="102">
        <f t="shared" si="455"/>
        <v>29</v>
      </c>
      <c r="U1787" s="101">
        <f t="shared" si="456"/>
        <v>78</v>
      </c>
      <c r="V1787" s="4">
        <f t="shared" si="457"/>
        <v>78</v>
      </c>
      <c r="W1787" s="4">
        <f t="shared" si="458"/>
        <v>39</v>
      </c>
      <c r="X1787" s="4">
        <f t="shared" si="459"/>
        <v>9</v>
      </c>
      <c r="Y1787" s="4">
        <f t="shared" si="460"/>
        <v>39</v>
      </c>
      <c r="Z1787" s="4">
        <f t="shared" si="461"/>
        <v>71</v>
      </c>
      <c r="AA1787" s="102">
        <f t="shared" si="462"/>
        <v>41</v>
      </c>
      <c r="AC1787" s="100">
        <f t="shared" si="463"/>
        <v>0.97962571832011636</v>
      </c>
    </row>
    <row r="1788" spans="4:29" x14ac:dyDescent="0.35">
      <c r="D1788">
        <f t="shared" si="464"/>
        <v>1784</v>
      </c>
      <c r="E1788" s="101">
        <v>3</v>
      </c>
      <c r="F1788" s="4">
        <v>3</v>
      </c>
      <c r="G1788" s="4">
        <v>3</v>
      </c>
      <c r="H1788" s="4">
        <v>7</v>
      </c>
      <c r="I1788" s="4">
        <v>7</v>
      </c>
      <c r="J1788" s="4">
        <v>1</v>
      </c>
      <c r="K1788" s="102">
        <v>4</v>
      </c>
      <c r="M1788" s="101">
        <f t="shared" si="449"/>
        <v>23</v>
      </c>
      <c r="N1788" s="4">
        <f t="shared" si="450"/>
        <v>23</v>
      </c>
      <c r="O1788" s="4">
        <f t="shared" si="451"/>
        <v>23</v>
      </c>
      <c r="P1788" s="4">
        <f t="shared" si="452"/>
        <v>29</v>
      </c>
      <c r="Q1788" s="4">
        <f t="shared" si="453"/>
        <v>29</v>
      </c>
      <c r="R1788" s="4">
        <f t="shared" si="454"/>
        <v>34</v>
      </c>
      <c r="S1788" s="102">
        <f t="shared" si="455"/>
        <v>12</v>
      </c>
      <c r="U1788" s="101">
        <f t="shared" si="456"/>
        <v>39</v>
      </c>
      <c r="V1788" s="4">
        <f t="shared" si="457"/>
        <v>39</v>
      </c>
      <c r="W1788" s="4">
        <f t="shared" si="458"/>
        <v>39</v>
      </c>
      <c r="X1788" s="4">
        <f t="shared" si="459"/>
        <v>41</v>
      </c>
      <c r="Y1788" s="4">
        <f t="shared" si="460"/>
        <v>41</v>
      </c>
      <c r="Z1788" s="4">
        <f t="shared" si="461"/>
        <v>46</v>
      </c>
      <c r="AA1788" s="102">
        <f t="shared" si="462"/>
        <v>9</v>
      </c>
      <c r="AC1788" s="100">
        <f t="shared" si="463"/>
        <v>0.89936993213419447</v>
      </c>
    </row>
    <row r="1789" spans="4:29" x14ac:dyDescent="0.35">
      <c r="D1789">
        <f t="shared" si="464"/>
        <v>1785</v>
      </c>
      <c r="E1789" s="101">
        <v>4</v>
      </c>
      <c r="F1789" s="4">
        <v>7</v>
      </c>
      <c r="G1789" s="4">
        <v>1</v>
      </c>
      <c r="H1789" s="4">
        <v>2</v>
      </c>
      <c r="I1789" s="4">
        <v>4</v>
      </c>
      <c r="J1789" s="4">
        <v>5</v>
      </c>
      <c r="K1789" s="102">
        <v>3</v>
      </c>
      <c r="M1789" s="101">
        <f t="shared" si="449"/>
        <v>12</v>
      </c>
      <c r="N1789" s="4">
        <f t="shared" si="450"/>
        <v>29</v>
      </c>
      <c r="O1789" s="4">
        <f t="shared" si="451"/>
        <v>34</v>
      </c>
      <c r="P1789" s="4">
        <f t="shared" si="452"/>
        <v>56</v>
      </c>
      <c r="Q1789" s="4">
        <f t="shared" si="453"/>
        <v>12</v>
      </c>
      <c r="R1789" s="4">
        <f t="shared" si="454"/>
        <v>30</v>
      </c>
      <c r="S1789" s="102">
        <f t="shared" si="455"/>
        <v>23</v>
      </c>
      <c r="U1789" s="101">
        <f t="shared" si="456"/>
        <v>9</v>
      </c>
      <c r="V1789" s="4">
        <f t="shared" si="457"/>
        <v>41</v>
      </c>
      <c r="W1789" s="4">
        <f t="shared" si="458"/>
        <v>46</v>
      </c>
      <c r="X1789" s="4">
        <f t="shared" si="459"/>
        <v>78</v>
      </c>
      <c r="Y1789" s="4">
        <f t="shared" si="460"/>
        <v>9</v>
      </c>
      <c r="Z1789" s="4">
        <f t="shared" si="461"/>
        <v>39</v>
      </c>
      <c r="AA1789" s="102">
        <f t="shared" si="462"/>
        <v>39</v>
      </c>
      <c r="AC1789" s="100">
        <f t="shared" si="463"/>
        <v>0.98074972360144641</v>
      </c>
    </row>
    <row r="1790" spans="4:29" x14ac:dyDescent="0.35">
      <c r="D1790">
        <f t="shared" si="464"/>
        <v>1786</v>
      </c>
      <c r="E1790" s="101">
        <v>6</v>
      </c>
      <c r="F1790" s="4">
        <v>6</v>
      </c>
      <c r="G1790" s="4">
        <v>2</v>
      </c>
      <c r="H1790" s="4">
        <v>1</v>
      </c>
      <c r="I1790" s="4">
        <v>5</v>
      </c>
      <c r="J1790" s="4">
        <v>7</v>
      </c>
      <c r="K1790" s="102">
        <v>3</v>
      </c>
      <c r="M1790" s="101">
        <f t="shared" si="449"/>
        <v>45</v>
      </c>
      <c r="N1790" s="4">
        <f t="shared" si="450"/>
        <v>45</v>
      </c>
      <c r="O1790" s="4">
        <f t="shared" si="451"/>
        <v>56</v>
      </c>
      <c r="P1790" s="4">
        <f t="shared" si="452"/>
        <v>34</v>
      </c>
      <c r="Q1790" s="4">
        <f t="shared" si="453"/>
        <v>30</v>
      </c>
      <c r="R1790" s="4">
        <f t="shared" si="454"/>
        <v>29</v>
      </c>
      <c r="S1790" s="102">
        <f t="shared" si="455"/>
        <v>23</v>
      </c>
      <c r="U1790" s="101">
        <f t="shared" si="456"/>
        <v>71</v>
      </c>
      <c r="V1790" s="4">
        <f t="shared" si="457"/>
        <v>71</v>
      </c>
      <c r="W1790" s="4">
        <f t="shared" si="458"/>
        <v>78</v>
      </c>
      <c r="X1790" s="4">
        <f t="shared" si="459"/>
        <v>46</v>
      </c>
      <c r="Y1790" s="4">
        <f t="shared" si="460"/>
        <v>39</v>
      </c>
      <c r="Z1790" s="4">
        <f t="shared" si="461"/>
        <v>41</v>
      </c>
      <c r="AA1790" s="102">
        <f t="shared" si="462"/>
        <v>39</v>
      </c>
      <c r="AC1790" s="100">
        <f t="shared" si="463"/>
        <v>0.96189300371852338</v>
      </c>
    </row>
    <row r="1791" spans="4:29" x14ac:dyDescent="0.35">
      <c r="D1791">
        <f t="shared" si="464"/>
        <v>1787</v>
      </c>
      <c r="E1791" s="101">
        <v>7</v>
      </c>
      <c r="F1791" s="4">
        <v>5</v>
      </c>
      <c r="G1791" s="4">
        <v>7</v>
      </c>
      <c r="H1791" s="4">
        <v>2</v>
      </c>
      <c r="I1791" s="4">
        <v>1</v>
      </c>
      <c r="J1791" s="4">
        <v>7</v>
      </c>
      <c r="K1791" s="102">
        <v>5</v>
      </c>
      <c r="M1791" s="101">
        <f t="shared" si="449"/>
        <v>29</v>
      </c>
      <c r="N1791" s="4">
        <f t="shared" si="450"/>
        <v>30</v>
      </c>
      <c r="O1791" s="4">
        <f t="shared" si="451"/>
        <v>29</v>
      </c>
      <c r="P1791" s="4">
        <f t="shared" si="452"/>
        <v>56</v>
      </c>
      <c r="Q1791" s="4">
        <f t="shared" si="453"/>
        <v>34</v>
      </c>
      <c r="R1791" s="4">
        <f t="shared" si="454"/>
        <v>29</v>
      </c>
      <c r="S1791" s="102">
        <f t="shared" si="455"/>
        <v>30</v>
      </c>
      <c r="U1791" s="101">
        <f t="shared" si="456"/>
        <v>41</v>
      </c>
      <c r="V1791" s="4">
        <f t="shared" si="457"/>
        <v>39</v>
      </c>
      <c r="W1791" s="4">
        <f t="shared" si="458"/>
        <v>41</v>
      </c>
      <c r="X1791" s="4">
        <f t="shared" si="459"/>
        <v>78</v>
      </c>
      <c r="Y1791" s="4">
        <f t="shared" si="460"/>
        <v>46</v>
      </c>
      <c r="Z1791" s="4">
        <f t="shared" si="461"/>
        <v>41</v>
      </c>
      <c r="AA1791" s="102">
        <f t="shared" si="462"/>
        <v>39</v>
      </c>
      <c r="AC1791" s="100">
        <f t="shared" si="463"/>
        <v>0.99392672891643052</v>
      </c>
    </row>
    <row r="1792" spans="4:29" x14ac:dyDescent="0.35">
      <c r="D1792">
        <f t="shared" si="464"/>
        <v>1788</v>
      </c>
      <c r="E1792" s="101">
        <v>1</v>
      </c>
      <c r="F1792" s="4">
        <v>3</v>
      </c>
      <c r="G1792" s="4">
        <v>7</v>
      </c>
      <c r="H1792" s="4">
        <v>3</v>
      </c>
      <c r="I1792" s="4">
        <v>7</v>
      </c>
      <c r="J1792" s="4">
        <v>1</v>
      </c>
      <c r="K1792" s="102">
        <v>6</v>
      </c>
      <c r="M1792" s="101">
        <f t="shared" si="449"/>
        <v>34</v>
      </c>
      <c r="N1792" s="4">
        <f t="shared" si="450"/>
        <v>23</v>
      </c>
      <c r="O1792" s="4">
        <f t="shared" si="451"/>
        <v>29</v>
      </c>
      <c r="P1792" s="4">
        <f t="shared" si="452"/>
        <v>23</v>
      </c>
      <c r="Q1792" s="4">
        <f t="shared" si="453"/>
        <v>29</v>
      </c>
      <c r="R1792" s="4">
        <f t="shared" si="454"/>
        <v>34</v>
      </c>
      <c r="S1792" s="102">
        <f t="shared" si="455"/>
        <v>45</v>
      </c>
      <c r="U1792" s="101">
        <f t="shared" si="456"/>
        <v>46</v>
      </c>
      <c r="V1792" s="4">
        <f t="shared" si="457"/>
        <v>39</v>
      </c>
      <c r="W1792" s="4">
        <f t="shared" si="458"/>
        <v>41</v>
      </c>
      <c r="X1792" s="4">
        <f t="shared" si="459"/>
        <v>39</v>
      </c>
      <c r="Y1792" s="4">
        <f t="shared" si="460"/>
        <v>41</v>
      </c>
      <c r="Z1792" s="4">
        <f t="shared" si="461"/>
        <v>46</v>
      </c>
      <c r="AA1792" s="102">
        <f t="shared" si="462"/>
        <v>71</v>
      </c>
      <c r="AC1792" s="100">
        <f t="shared" si="463"/>
        <v>0.92675172595074262</v>
      </c>
    </row>
    <row r="1793" spans="4:29" x14ac:dyDescent="0.35">
      <c r="D1793">
        <f t="shared" si="464"/>
        <v>1789</v>
      </c>
      <c r="E1793" s="101">
        <v>6</v>
      </c>
      <c r="F1793" s="4">
        <v>3</v>
      </c>
      <c r="G1793" s="4">
        <v>4</v>
      </c>
      <c r="H1793" s="4">
        <v>3</v>
      </c>
      <c r="I1793" s="4">
        <v>2</v>
      </c>
      <c r="J1793" s="4">
        <v>3</v>
      </c>
      <c r="K1793" s="102">
        <v>4</v>
      </c>
      <c r="M1793" s="101">
        <f t="shared" si="449"/>
        <v>45</v>
      </c>
      <c r="N1793" s="4">
        <f t="shared" si="450"/>
        <v>23</v>
      </c>
      <c r="O1793" s="4">
        <f t="shared" si="451"/>
        <v>12</v>
      </c>
      <c r="P1793" s="4">
        <f t="shared" si="452"/>
        <v>23</v>
      </c>
      <c r="Q1793" s="4">
        <f t="shared" si="453"/>
        <v>56</v>
      </c>
      <c r="R1793" s="4">
        <f t="shared" si="454"/>
        <v>23</v>
      </c>
      <c r="S1793" s="102">
        <f t="shared" si="455"/>
        <v>12</v>
      </c>
      <c r="U1793" s="101">
        <f t="shared" si="456"/>
        <v>71</v>
      </c>
      <c r="V1793" s="4">
        <f t="shared" si="457"/>
        <v>39</v>
      </c>
      <c r="W1793" s="4">
        <f t="shared" si="458"/>
        <v>9</v>
      </c>
      <c r="X1793" s="4">
        <f t="shared" si="459"/>
        <v>39</v>
      </c>
      <c r="Y1793" s="4">
        <f t="shared" si="460"/>
        <v>78</v>
      </c>
      <c r="Z1793" s="4">
        <f t="shared" si="461"/>
        <v>39</v>
      </c>
      <c r="AA1793" s="102">
        <f t="shared" si="462"/>
        <v>9</v>
      </c>
      <c r="AC1793" s="100">
        <f t="shared" si="463"/>
        <v>0.96988798242072094</v>
      </c>
    </row>
    <row r="1794" spans="4:29" x14ac:dyDescent="0.35">
      <c r="D1794">
        <f t="shared" si="464"/>
        <v>1790</v>
      </c>
      <c r="E1794" s="101">
        <v>5</v>
      </c>
      <c r="F1794" s="4">
        <v>6</v>
      </c>
      <c r="G1794" s="4">
        <v>5</v>
      </c>
      <c r="H1794" s="4">
        <v>6</v>
      </c>
      <c r="I1794" s="4">
        <v>2</v>
      </c>
      <c r="J1794" s="4">
        <v>3</v>
      </c>
      <c r="K1794" s="102">
        <v>3</v>
      </c>
      <c r="M1794" s="101">
        <f t="shared" si="449"/>
        <v>30</v>
      </c>
      <c r="N1794" s="4">
        <f t="shared" si="450"/>
        <v>45</v>
      </c>
      <c r="O1794" s="4">
        <f t="shared" si="451"/>
        <v>30</v>
      </c>
      <c r="P1794" s="4">
        <f t="shared" si="452"/>
        <v>45</v>
      </c>
      <c r="Q1794" s="4">
        <f t="shared" si="453"/>
        <v>56</v>
      </c>
      <c r="R1794" s="4">
        <f t="shared" si="454"/>
        <v>23</v>
      </c>
      <c r="S1794" s="102">
        <f t="shared" si="455"/>
        <v>23</v>
      </c>
      <c r="U1794" s="101">
        <f t="shared" si="456"/>
        <v>39</v>
      </c>
      <c r="V1794" s="4">
        <f t="shared" si="457"/>
        <v>71</v>
      </c>
      <c r="W1794" s="4">
        <f t="shared" si="458"/>
        <v>39</v>
      </c>
      <c r="X1794" s="4">
        <f t="shared" si="459"/>
        <v>71</v>
      </c>
      <c r="Y1794" s="4">
        <f t="shared" si="460"/>
        <v>78</v>
      </c>
      <c r="Z1794" s="4">
        <f t="shared" si="461"/>
        <v>39</v>
      </c>
      <c r="AA1794" s="102">
        <f t="shared" si="462"/>
        <v>39</v>
      </c>
      <c r="AC1794" s="100">
        <f t="shared" si="463"/>
        <v>0.95981328501158547</v>
      </c>
    </row>
    <row r="1795" spans="4:29" x14ac:dyDescent="0.35">
      <c r="D1795">
        <f t="shared" si="464"/>
        <v>1791</v>
      </c>
      <c r="E1795" s="101">
        <v>2</v>
      </c>
      <c r="F1795" s="4">
        <v>4</v>
      </c>
      <c r="G1795" s="4">
        <v>6</v>
      </c>
      <c r="H1795" s="4">
        <v>6</v>
      </c>
      <c r="I1795" s="4">
        <v>6</v>
      </c>
      <c r="J1795" s="4">
        <v>3</v>
      </c>
      <c r="K1795" s="102">
        <v>7</v>
      </c>
      <c r="M1795" s="101">
        <f t="shared" si="449"/>
        <v>56</v>
      </c>
      <c r="N1795" s="4">
        <f t="shared" si="450"/>
        <v>12</v>
      </c>
      <c r="O1795" s="4">
        <f t="shared" si="451"/>
        <v>45</v>
      </c>
      <c r="P1795" s="4">
        <f t="shared" si="452"/>
        <v>45</v>
      </c>
      <c r="Q1795" s="4">
        <f t="shared" si="453"/>
        <v>45</v>
      </c>
      <c r="R1795" s="4">
        <f t="shared" si="454"/>
        <v>23</v>
      </c>
      <c r="S1795" s="102">
        <f t="shared" si="455"/>
        <v>29</v>
      </c>
      <c r="U1795" s="101">
        <f t="shared" si="456"/>
        <v>78</v>
      </c>
      <c r="V1795" s="4">
        <f t="shared" si="457"/>
        <v>9</v>
      </c>
      <c r="W1795" s="4">
        <f t="shared" si="458"/>
        <v>71</v>
      </c>
      <c r="X1795" s="4">
        <f t="shared" si="459"/>
        <v>71</v>
      </c>
      <c r="Y1795" s="4">
        <f t="shared" si="460"/>
        <v>71</v>
      </c>
      <c r="Z1795" s="4">
        <f t="shared" si="461"/>
        <v>39</v>
      </c>
      <c r="AA1795" s="102">
        <f t="shared" si="462"/>
        <v>41</v>
      </c>
      <c r="AC1795" s="100">
        <f t="shared" si="463"/>
        <v>0.97859138509471832</v>
      </c>
    </row>
    <row r="1796" spans="4:29" x14ac:dyDescent="0.35">
      <c r="D1796">
        <f t="shared" si="464"/>
        <v>1792</v>
      </c>
      <c r="E1796" s="101">
        <v>6</v>
      </c>
      <c r="F1796" s="4">
        <v>5</v>
      </c>
      <c r="G1796" s="4">
        <v>7</v>
      </c>
      <c r="H1796" s="4">
        <v>7</v>
      </c>
      <c r="I1796" s="4">
        <v>4</v>
      </c>
      <c r="J1796" s="4">
        <v>2</v>
      </c>
      <c r="K1796" s="102">
        <v>5</v>
      </c>
      <c r="M1796" s="101">
        <f t="shared" si="449"/>
        <v>45</v>
      </c>
      <c r="N1796" s="4">
        <f t="shared" si="450"/>
        <v>30</v>
      </c>
      <c r="O1796" s="4">
        <f t="shared" si="451"/>
        <v>29</v>
      </c>
      <c r="P1796" s="4">
        <f t="shared" si="452"/>
        <v>29</v>
      </c>
      <c r="Q1796" s="4">
        <f t="shared" si="453"/>
        <v>12</v>
      </c>
      <c r="R1796" s="4">
        <f t="shared" si="454"/>
        <v>56</v>
      </c>
      <c r="S1796" s="102">
        <f t="shared" si="455"/>
        <v>30</v>
      </c>
      <c r="U1796" s="101">
        <f t="shared" si="456"/>
        <v>71</v>
      </c>
      <c r="V1796" s="4">
        <f t="shared" si="457"/>
        <v>39</v>
      </c>
      <c r="W1796" s="4">
        <f t="shared" si="458"/>
        <v>41</v>
      </c>
      <c r="X1796" s="4">
        <f t="shared" si="459"/>
        <v>41</v>
      </c>
      <c r="Y1796" s="4">
        <f t="shared" si="460"/>
        <v>9</v>
      </c>
      <c r="Z1796" s="4">
        <f t="shared" si="461"/>
        <v>78</v>
      </c>
      <c r="AA1796" s="102">
        <f t="shared" si="462"/>
        <v>39</v>
      </c>
      <c r="AC1796" s="100">
        <f t="shared" si="463"/>
        <v>0.98749316057530601</v>
      </c>
    </row>
    <row r="1797" spans="4:29" x14ac:dyDescent="0.35">
      <c r="D1797">
        <f t="shared" si="464"/>
        <v>1793</v>
      </c>
      <c r="E1797" s="101">
        <v>4</v>
      </c>
      <c r="F1797" s="4">
        <v>1</v>
      </c>
      <c r="G1797" s="4">
        <v>6</v>
      </c>
      <c r="H1797" s="4">
        <v>7</v>
      </c>
      <c r="I1797" s="4">
        <v>5</v>
      </c>
      <c r="J1797" s="4">
        <v>5</v>
      </c>
      <c r="K1797" s="102">
        <v>2</v>
      </c>
      <c r="M1797" s="101">
        <f t="shared" si="449"/>
        <v>12</v>
      </c>
      <c r="N1797" s="4">
        <f t="shared" si="450"/>
        <v>34</v>
      </c>
      <c r="O1797" s="4">
        <f t="shared" si="451"/>
        <v>45</v>
      </c>
      <c r="P1797" s="4">
        <f t="shared" si="452"/>
        <v>29</v>
      </c>
      <c r="Q1797" s="4">
        <f t="shared" si="453"/>
        <v>30</v>
      </c>
      <c r="R1797" s="4">
        <f t="shared" si="454"/>
        <v>30</v>
      </c>
      <c r="S1797" s="102">
        <f t="shared" si="455"/>
        <v>56</v>
      </c>
      <c r="U1797" s="101">
        <f t="shared" si="456"/>
        <v>9</v>
      </c>
      <c r="V1797" s="4">
        <f t="shared" si="457"/>
        <v>46</v>
      </c>
      <c r="W1797" s="4">
        <f t="shared" si="458"/>
        <v>71</v>
      </c>
      <c r="X1797" s="4">
        <f t="shared" si="459"/>
        <v>41</v>
      </c>
      <c r="Y1797" s="4">
        <f t="shared" si="460"/>
        <v>39</v>
      </c>
      <c r="Z1797" s="4">
        <f t="shared" si="461"/>
        <v>39</v>
      </c>
      <c r="AA1797" s="102">
        <f t="shared" si="462"/>
        <v>78</v>
      </c>
      <c r="AC1797" s="100">
        <f t="shared" si="463"/>
        <v>0.9881609722049397</v>
      </c>
    </row>
    <row r="1798" spans="4:29" x14ac:dyDescent="0.35">
      <c r="D1798">
        <f t="shared" si="464"/>
        <v>1794</v>
      </c>
      <c r="E1798" s="101">
        <v>4</v>
      </c>
      <c r="F1798" s="4">
        <v>7</v>
      </c>
      <c r="G1798" s="4">
        <v>1</v>
      </c>
      <c r="H1798" s="4">
        <v>5</v>
      </c>
      <c r="I1798" s="4">
        <v>3</v>
      </c>
      <c r="J1798" s="4">
        <v>3</v>
      </c>
      <c r="K1798" s="102">
        <v>3</v>
      </c>
      <c r="M1798" s="101">
        <f t="shared" ref="M1798:M1861" si="465">INDEX($A$5:$A$11,E1798)</f>
        <v>12</v>
      </c>
      <c r="N1798" s="4">
        <f t="shared" ref="N1798:N1861" si="466">INDEX($A$5:$A$11,F1798)</f>
        <v>29</v>
      </c>
      <c r="O1798" s="4">
        <f t="shared" ref="O1798:O1861" si="467">INDEX($A$5:$A$11,G1798)</f>
        <v>34</v>
      </c>
      <c r="P1798" s="4">
        <f t="shared" ref="P1798:P1861" si="468">INDEX($A$5:$A$11,H1798)</f>
        <v>30</v>
      </c>
      <c r="Q1798" s="4">
        <f t="shared" ref="Q1798:Q1861" si="469">INDEX($A$5:$A$11,I1798)</f>
        <v>23</v>
      </c>
      <c r="R1798" s="4">
        <f t="shared" ref="R1798:R1861" si="470">INDEX($A$5:$A$11,J1798)</f>
        <v>23</v>
      </c>
      <c r="S1798" s="102">
        <f t="shared" ref="S1798:S1861" si="471">INDEX($A$5:$A$11,K1798)</f>
        <v>23</v>
      </c>
      <c r="U1798" s="101">
        <f t="shared" ref="U1798:U1861" si="472">INDEX($B$5:$B$11,E1798)</f>
        <v>9</v>
      </c>
      <c r="V1798" s="4">
        <f t="shared" ref="V1798:V1861" si="473">INDEX($B$5:$B$11,F1798)</f>
        <v>41</v>
      </c>
      <c r="W1798" s="4">
        <f t="shared" ref="W1798:W1861" si="474">INDEX($B$5:$B$11,G1798)</f>
        <v>46</v>
      </c>
      <c r="X1798" s="4">
        <f t="shared" ref="X1798:X1861" si="475">INDEX($B$5:$B$11,H1798)</f>
        <v>39</v>
      </c>
      <c r="Y1798" s="4">
        <f t="shared" ref="Y1798:Y1861" si="476">INDEX($B$5:$B$11,I1798)</f>
        <v>39</v>
      </c>
      <c r="Z1798" s="4">
        <f t="shared" ref="Z1798:Z1861" si="477">INDEX($B$5:$B$11,J1798)</f>
        <v>39</v>
      </c>
      <c r="AA1798" s="102">
        <f t="shared" ref="AA1798:AA1861" si="478">INDEX($B$5:$B$11,K1798)</f>
        <v>39</v>
      </c>
      <c r="AC1798" s="100">
        <f t="shared" ref="AC1798:AC1861" si="479">CORREL(M1798:S1798,U1798:AA1798)</f>
        <v>0.88216853668371775</v>
      </c>
    </row>
    <row r="1799" spans="4:29" x14ac:dyDescent="0.35">
      <c r="D1799">
        <f t="shared" ref="D1799:D1862" si="480">D1798+1</f>
        <v>1795</v>
      </c>
      <c r="E1799" s="101">
        <v>5</v>
      </c>
      <c r="F1799" s="4">
        <v>3</v>
      </c>
      <c r="G1799" s="4">
        <v>5</v>
      </c>
      <c r="H1799" s="4">
        <v>5</v>
      </c>
      <c r="I1799" s="4">
        <v>5</v>
      </c>
      <c r="J1799" s="4">
        <v>3</v>
      </c>
      <c r="K1799" s="102">
        <v>6</v>
      </c>
      <c r="M1799" s="101">
        <f t="shared" si="465"/>
        <v>30</v>
      </c>
      <c r="N1799" s="4">
        <f t="shared" si="466"/>
        <v>23</v>
      </c>
      <c r="O1799" s="4">
        <f t="shared" si="467"/>
        <v>30</v>
      </c>
      <c r="P1799" s="4">
        <f t="shared" si="468"/>
        <v>30</v>
      </c>
      <c r="Q1799" s="4">
        <f t="shared" si="469"/>
        <v>30</v>
      </c>
      <c r="R1799" s="4">
        <f t="shared" si="470"/>
        <v>23</v>
      </c>
      <c r="S1799" s="102">
        <f t="shared" si="471"/>
        <v>45</v>
      </c>
      <c r="U1799" s="101">
        <f t="shared" si="472"/>
        <v>39</v>
      </c>
      <c r="V1799" s="4">
        <f t="shared" si="473"/>
        <v>39</v>
      </c>
      <c r="W1799" s="4">
        <f t="shared" si="474"/>
        <v>39</v>
      </c>
      <c r="X1799" s="4">
        <f t="shared" si="475"/>
        <v>39</v>
      </c>
      <c r="Y1799" s="4">
        <f t="shared" si="476"/>
        <v>39</v>
      </c>
      <c r="Z1799" s="4">
        <f t="shared" si="477"/>
        <v>39</v>
      </c>
      <c r="AA1799" s="102">
        <f t="shared" si="478"/>
        <v>71</v>
      </c>
      <c r="AC1799" s="100">
        <f t="shared" si="479"/>
        <v>0.893107002544544</v>
      </c>
    </row>
    <row r="1800" spans="4:29" x14ac:dyDescent="0.35">
      <c r="D1800">
        <f t="shared" si="480"/>
        <v>1796</v>
      </c>
      <c r="E1800" s="101">
        <v>5</v>
      </c>
      <c r="F1800" s="4">
        <v>6</v>
      </c>
      <c r="G1800" s="4">
        <v>7</v>
      </c>
      <c r="H1800" s="4">
        <v>3</v>
      </c>
      <c r="I1800" s="4">
        <v>4</v>
      </c>
      <c r="J1800" s="4">
        <v>3</v>
      </c>
      <c r="K1800" s="102">
        <v>3</v>
      </c>
      <c r="M1800" s="101">
        <f t="shared" si="465"/>
        <v>30</v>
      </c>
      <c r="N1800" s="4">
        <f t="shared" si="466"/>
        <v>45</v>
      </c>
      <c r="O1800" s="4">
        <f t="shared" si="467"/>
        <v>29</v>
      </c>
      <c r="P1800" s="4">
        <f t="shared" si="468"/>
        <v>23</v>
      </c>
      <c r="Q1800" s="4">
        <f t="shared" si="469"/>
        <v>12</v>
      </c>
      <c r="R1800" s="4">
        <f t="shared" si="470"/>
        <v>23</v>
      </c>
      <c r="S1800" s="102">
        <f t="shared" si="471"/>
        <v>23</v>
      </c>
      <c r="U1800" s="101">
        <f t="shared" si="472"/>
        <v>39</v>
      </c>
      <c r="V1800" s="4">
        <f t="shared" si="473"/>
        <v>71</v>
      </c>
      <c r="W1800" s="4">
        <f t="shared" si="474"/>
        <v>41</v>
      </c>
      <c r="X1800" s="4">
        <f t="shared" si="475"/>
        <v>39</v>
      </c>
      <c r="Y1800" s="4">
        <f t="shared" si="476"/>
        <v>9</v>
      </c>
      <c r="Z1800" s="4">
        <f t="shared" si="477"/>
        <v>39</v>
      </c>
      <c r="AA1800" s="102">
        <f t="shared" si="478"/>
        <v>39</v>
      </c>
      <c r="AC1800" s="100">
        <f t="shared" si="479"/>
        <v>0.95423264134951469</v>
      </c>
    </row>
    <row r="1801" spans="4:29" x14ac:dyDescent="0.35">
      <c r="D1801">
        <f t="shared" si="480"/>
        <v>1797</v>
      </c>
      <c r="E1801" s="101">
        <v>2</v>
      </c>
      <c r="F1801" s="4">
        <v>1</v>
      </c>
      <c r="G1801" s="4">
        <v>6</v>
      </c>
      <c r="H1801" s="4">
        <v>7</v>
      </c>
      <c r="I1801" s="4">
        <v>5</v>
      </c>
      <c r="J1801" s="4">
        <v>7</v>
      </c>
      <c r="K1801" s="102">
        <v>5</v>
      </c>
      <c r="M1801" s="101">
        <f t="shared" si="465"/>
        <v>56</v>
      </c>
      <c r="N1801" s="4">
        <f t="shared" si="466"/>
        <v>34</v>
      </c>
      <c r="O1801" s="4">
        <f t="shared" si="467"/>
        <v>45</v>
      </c>
      <c r="P1801" s="4">
        <f t="shared" si="468"/>
        <v>29</v>
      </c>
      <c r="Q1801" s="4">
        <f t="shared" si="469"/>
        <v>30</v>
      </c>
      <c r="R1801" s="4">
        <f t="shared" si="470"/>
        <v>29</v>
      </c>
      <c r="S1801" s="102">
        <f t="shared" si="471"/>
        <v>30</v>
      </c>
      <c r="U1801" s="101">
        <f t="shared" si="472"/>
        <v>78</v>
      </c>
      <c r="V1801" s="4">
        <f t="shared" si="473"/>
        <v>46</v>
      </c>
      <c r="W1801" s="4">
        <f t="shared" si="474"/>
        <v>71</v>
      </c>
      <c r="X1801" s="4">
        <f t="shared" si="475"/>
        <v>41</v>
      </c>
      <c r="Y1801" s="4">
        <f t="shared" si="476"/>
        <v>39</v>
      </c>
      <c r="Z1801" s="4">
        <f t="shared" si="477"/>
        <v>41</v>
      </c>
      <c r="AA1801" s="102">
        <f t="shared" si="478"/>
        <v>39</v>
      </c>
      <c r="AC1801" s="100">
        <f t="shared" si="479"/>
        <v>0.97830895728680878</v>
      </c>
    </row>
    <row r="1802" spans="4:29" x14ac:dyDescent="0.35">
      <c r="D1802">
        <f t="shared" si="480"/>
        <v>1798</v>
      </c>
      <c r="E1802" s="101">
        <v>7</v>
      </c>
      <c r="F1802" s="4">
        <v>6</v>
      </c>
      <c r="G1802" s="4">
        <v>7</v>
      </c>
      <c r="H1802" s="4">
        <v>6</v>
      </c>
      <c r="I1802" s="4">
        <v>1</v>
      </c>
      <c r="J1802" s="4">
        <v>4</v>
      </c>
      <c r="K1802" s="102">
        <v>2</v>
      </c>
      <c r="M1802" s="101">
        <f t="shared" si="465"/>
        <v>29</v>
      </c>
      <c r="N1802" s="4">
        <f t="shared" si="466"/>
        <v>45</v>
      </c>
      <c r="O1802" s="4">
        <f t="shared" si="467"/>
        <v>29</v>
      </c>
      <c r="P1802" s="4">
        <f t="shared" si="468"/>
        <v>45</v>
      </c>
      <c r="Q1802" s="4">
        <f t="shared" si="469"/>
        <v>34</v>
      </c>
      <c r="R1802" s="4">
        <f t="shared" si="470"/>
        <v>12</v>
      </c>
      <c r="S1802" s="102">
        <f t="shared" si="471"/>
        <v>56</v>
      </c>
      <c r="U1802" s="101">
        <f t="shared" si="472"/>
        <v>41</v>
      </c>
      <c r="V1802" s="4">
        <f t="shared" si="473"/>
        <v>71</v>
      </c>
      <c r="W1802" s="4">
        <f t="shared" si="474"/>
        <v>41</v>
      </c>
      <c r="X1802" s="4">
        <f t="shared" si="475"/>
        <v>71</v>
      </c>
      <c r="Y1802" s="4">
        <f t="shared" si="476"/>
        <v>46</v>
      </c>
      <c r="Z1802" s="4">
        <f t="shared" si="477"/>
        <v>9</v>
      </c>
      <c r="AA1802" s="102">
        <f t="shared" si="478"/>
        <v>78</v>
      </c>
      <c r="AC1802" s="100">
        <f t="shared" si="479"/>
        <v>0.98556824300359647</v>
      </c>
    </row>
    <row r="1803" spans="4:29" x14ac:dyDescent="0.35">
      <c r="D1803">
        <f t="shared" si="480"/>
        <v>1799</v>
      </c>
      <c r="E1803" s="101">
        <v>7</v>
      </c>
      <c r="F1803" s="4">
        <v>5</v>
      </c>
      <c r="G1803" s="4">
        <v>5</v>
      </c>
      <c r="H1803" s="4">
        <v>5</v>
      </c>
      <c r="I1803" s="4">
        <v>2</v>
      </c>
      <c r="J1803" s="4">
        <v>2</v>
      </c>
      <c r="K1803" s="102">
        <v>4</v>
      </c>
      <c r="M1803" s="101">
        <f t="shared" si="465"/>
        <v>29</v>
      </c>
      <c r="N1803" s="4">
        <f t="shared" si="466"/>
        <v>30</v>
      </c>
      <c r="O1803" s="4">
        <f t="shared" si="467"/>
        <v>30</v>
      </c>
      <c r="P1803" s="4">
        <f t="shared" si="468"/>
        <v>30</v>
      </c>
      <c r="Q1803" s="4">
        <f t="shared" si="469"/>
        <v>56</v>
      </c>
      <c r="R1803" s="4">
        <f t="shared" si="470"/>
        <v>56</v>
      </c>
      <c r="S1803" s="102">
        <f t="shared" si="471"/>
        <v>12</v>
      </c>
      <c r="U1803" s="101">
        <f t="shared" si="472"/>
        <v>41</v>
      </c>
      <c r="V1803" s="4">
        <f t="shared" si="473"/>
        <v>39</v>
      </c>
      <c r="W1803" s="4">
        <f t="shared" si="474"/>
        <v>39</v>
      </c>
      <c r="X1803" s="4">
        <f t="shared" si="475"/>
        <v>39</v>
      </c>
      <c r="Y1803" s="4">
        <f t="shared" si="476"/>
        <v>78</v>
      </c>
      <c r="Z1803" s="4">
        <f t="shared" si="477"/>
        <v>78</v>
      </c>
      <c r="AA1803" s="102">
        <f t="shared" si="478"/>
        <v>9</v>
      </c>
      <c r="AC1803" s="100">
        <f t="shared" si="479"/>
        <v>0.99725288929525191</v>
      </c>
    </row>
    <row r="1804" spans="4:29" x14ac:dyDescent="0.35">
      <c r="D1804">
        <f t="shared" si="480"/>
        <v>1800</v>
      </c>
      <c r="E1804" s="101">
        <v>5</v>
      </c>
      <c r="F1804" s="4">
        <v>7</v>
      </c>
      <c r="G1804" s="4">
        <v>5</v>
      </c>
      <c r="H1804" s="4">
        <v>5</v>
      </c>
      <c r="I1804" s="4">
        <v>7</v>
      </c>
      <c r="J1804" s="4">
        <v>1</v>
      </c>
      <c r="K1804" s="102">
        <v>4</v>
      </c>
      <c r="M1804" s="101">
        <f t="shared" si="465"/>
        <v>30</v>
      </c>
      <c r="N1804" s="4">
        <f t="shared" si="466"/>
        <v>29</v>
      </c>
      <c r="O1804" s="4">
        <f t="shared" si="467"/>
        <v>30</v>
      </c>
      <c r="P1804" s="4">
        <f t="shared" si="468"/>
        <v>30</v>
      </c>
      <c r="Q1804" s="4">
        <f t="shared" si="469"/>
        <v>29</v>
      </c>
      <c r="R1804" s="4">
        <f t="shared" si="470"/>
        <v>34</v>
      </c>
      <c r="S1804" s="102">
        <f t="shared" si="471"/>
        <v>12</v>
      </c>
      <c r="U1804" s="101">
        <f t="shared" si="472"/>
        <v>39</v>
      </c>
      <c r="V1804" s="4">
        <f t="shared" si="473"/>
        <v>41</v>
      </c>
      <c r="W1804" s="4">
        <f t="shared" si="474"/>
        <v>39</v>
      </c>
      <c r="X1804" s="4">
        <f t="shared" si="475"/>
        <v>39</v>
      </c>
      <c r="Y1804" s="4">
        <f t="shared" si="476"/>
        <v>41</v>
      </c>
      <c r="Z1804" s="4">
        <f t="shared" si="477"/>
        <v>46</v>
      </c>
      <c r="AA1804" s="102">
        <f t="shared" si="478"/>
        <v>9</v>
      </c>
      <c r="AC1804" s="100">
        <f t="shared" si="479"/>
        <v>0.98991612908516047</v>
      </c>
    </row>
    <row r="1805" spans="4:29" x14ac:dyDescent="0.35">
      <c r="D1805">
        <f t="shared" si="480"/>
        <v>1801</v>
      </c>
      <c r="E1805" s="101">
        <v>7</v>
      </c>
      <c r="F1805" s="4">
        <v>4</v>
      </c>
      <c r="G1805" s="4">
        <v>3</v>
      </c>
      <c r="H1805" s="4">
        <v>7</v>
      </c>
      <c r="I1805" s="4">
        <v>7</v>
      </c>
      <c r="J1805" s="4">
        <v>4</v>
      </c>
      <c r="K1805" s="102">
        <v>2</v>
      </c>
      <c r="M1805" s="101">
        <f t="shared" si="465"/>
        <v>29</v>
      </c>
      <c r="N1805" s="4">
        <f t="shared" si="466"/>
        <v>12</v>
      </c>
      <c r="O1805" s="4">
        <f t="shared" si="467"/>
        <v>23</v>
      </c>
      <c r="P1805" s="4">
        <f t="shared" si="468"/>
        <v>29</v>
      </c>
      <c r="Q1805" s="4">
        <f t="shared" si="469"/>
        <v>29</v>
      </c>
      <c r="R1805" s="4">
        <f t="shared" si="470"/>
        <v>12</v>
      </c>
      <c r="S1805" s="102">
        <f t="shared" si="471"/>
        <v>56</v>
      </c>
      <c r="U1805" s="101">
        <f t="shared" si="472"/>
        <v>41</v>
      </c>
      <c r="V1805" s="4">
        <f t="shared" si="473"/>
        <v>9</v>
      </c>
      <c r="W1805" s="4">
        <f t="shared" si="474"/>
        <v>39</v>
      </c>
      <c r="X1805" s="4">
        <f t="shared" si="475"/>
        <v>41</v>
      </c>
      <c r="Y1805" s="4">
        <f t="shared" si="476"/>
        <v>41</v>
      </c>
      <c r="Z1805" s="4">
        <f t="shared" si="477"/>
        <v>9</v>
      </c>
      <c r="AA1805" s="102">
        <f t="shared" si="478"/>
        <v>78</v>
      </c>
      <c r="AC1805" s="100">
        <f t="shared" si="479"/>
        <v>0.98019257255988057</v>
      </c>
    </row>
    <row r="1806" spans="4:29" x14ac:dyDescent="0.35">
      <c r="D1806">
        <f t="shared" si="480"/>
        <v>1802</v>
      </c>
      <c r="E1806" s="101">
        <v>1</v>
      </c>
      <c r="F1806" s="4">
        <v>2</v>
      </c>
      <c r="G1806" s="4">
        <v>5</v>
      </c>
      <c r="H1806" s="4">
        <v>5</v>
      </c>
      <c r="I1806" s="4">
        <v>2</v>
      </c>
      <c r="J1806" s="4">
        <v>3</v>
      </c>
      <c r="K1806" s="102">
        <v>4</v>
      </c>
      <c r="M1806" s="101">
        <f t="shared" si="465"/>
        <v>34</v>
      </c>
      <c r="N1806" s="4">
        <f t="shared" si="466"/>
        <v>56</v>
      </c>
      <c r="O1806" s="4">
        <f t="shared" si="467"/>
        <v>30</v>
      </c>
      <c r="P1806" s="4">
        <f t="shared" si="468"/>
        <v>30</v>
      </c>
      <c r="Q1806" s="4">
        <f t="shared" si="469"/>
        <v>56</v>
      </c>
      <c r="R1806" s="4">
        <f t="shared" si="470"/>
        <v>23</v>
      </c>
      <c r="S1806" s="102">
        <f t="shared" si="471"/>
        <v>12</v>
      </c>
      <c r="U1806" s="101">
        <f t="shared" si="472"/>
        <v>46</v>
      </c>
      <c r="V1806" s="4">
        <f t="shared" si="473"/>
        <v>78</v>
      </c>
      <c r="W1806" s="4">
        <f t="shared" si="474"/>
        <v>39</v>
      </c>
      <c r="X1806" s="4">
        <f t="shared" si="475"/>
        <v>39</v>
      </c>
      <c r="Y1806" s="4">
        <f t="shared" si="476"/>
        <v>78</v>
      </c>
      <c r="Z1806" s="4">
        <f t="shared" si="477"/>
        <v>39</v>
      </c>
      <c r="AA1806" s="102">
        <f t="shared" si="478"/>
        <v>9</v>
      </c>
      <c r="AC1806" s="100">
        <f t="shared" si="479"/>
        <v>0.98468578611408153</v>
      </c>
    </row>
    <row r="1807" spans="4:29" x14ac:dyDescent="0.35">
      <c r="D1807">
        <f t="shared" si="480"/>
        <v>1803</v>
      </c>
      <c r="E1807" s="101">
        <v>4</v>
      </c>
      <c r="F1807" s="4">
        <v>7</v>
      </c>
      <c r="G1807" s="4">
        <v>7</v>
      </c>
      <c r="H1807" s="4">
        <v>7</v>
      </c>
      <c r="I1807" s="4">
        <v>4</v>
      </c>
      <c r="J1807" s="4">
        <v>4</v>
      </c>
      <c r="K1807" s="102">
        <v>7</v>
      </c>
      <c r="M1807" s="101">
        <f t="shared" si="465"/>
        <v>12</v>
      </c>
      <c r="N1807" s="4">
        <f t="shared" si="466"/>
        <v>29</v>
      </c>
      <c r="O1807" s="4">
        <f t="shared" si="467"/>
        <v>29</v>
      </c>
      <c r="P1807" s="4">
        <f t="shared" si="468"/>
        <v>29</v>
      </c>
      <c r="Q1807" s="4">
        <f t="shared" si="469"/>
        <v>12</v>
      </c>
      <c r="R1807" s="4">
        <f t="shared" si="470"/>
        <v>12</v>
      </c>
      <c r="S1807" s="102">
        <f t="shared" si="471"/>
        <v>29</v>
      </c>
      <c r="U1807" s="101">
        <f t="shared" si="472"/>
        <v>9</v>
      </c>
      <c r="V1807" s="4">
        <f t="shared" si="473"/>
        <v>41</v>
      </c>
      <c r="W1807" s="4">
        <f t="shared" si="474"/>
        <v>41</v>
      </c>
      <c r="X1807" s="4">
        <f t="shared" si="475"/>
        <v>41</v>
      </c>
      <c r="Y1807" s="4">
        <f t="shared" si="476"/>
        <v>9</v>
      </c>
      <c r="Z1807" s="4">
        <f t="shared" si="477"/>
        <v>9</v>
      </c>
      <c r="AA1807" s="102">
        <f t="shared" si="478"/>
        <v>41</v>
      </c>
      <c r="AC1807" s="100">
        <f t="shared" si="479"/>
        <v>1</v>
      </c>
    </row>
    <row r="1808" spans="4:29" x14ac:dyDescent="0.35">
      <c r="D1808">
        <f t="shared" si="480"/>
        <v>1804</v>
      </c>
      <c r="E1808" s="101">
        <v>5</v>
      </c>
      <c r="F1808" s="4">
        <v>3</v>
      </c>
      <c r="G1808" s="4">
        <v>6</v>
      </c>
      <c r="H1808" s="4">
        <v>7</v>
      </c>
      <c r="I1808" s="4">
        <v>6</v>
      </c>
      <c r="J1808" s="4">
        <v>6</v>
      </c>
      <c r="K1808" s="102">
        <v>6</v>
      </c>
      <c r="M1808" s="101">
        <f t="shared" si="465"/>
        <v>30</v>
      </c>
      <c r="N1808" s="4">
        <f t="shared" si="466"/>
        <v>23</v>
      </c>
      <c r="O1808" s="4">
        <f t="shared" si="467"/>
        <v>45</v>
      </c>
      <c r="P1808" s="4">
        <f t="shared" si="468"/>
        <v>29</v>
      </c>
      <c r="Q1808" s="4">
        <f t="shared" si="469"/>
        <v>45</v>
      </c>
      <c r="R1808" s="4">
        <f t="shared" si="470"/>
        <v>45</v>
      </c>
      <c r="S1808" s="102">
        <f t="shared" si="471"/>
        <v>45</v>
      </c>
      <c r="U1808" s="101">
        <f t="shared" si="472"/>
        <v>39</v>
      </c>
      <c r="V1808" s="4">
        <f t="shared" si="473"/>
        <v>39</v>
      </c>
      <c r="W1808" s="4">
        <f t="shared" si="474"/>
        <v>71</v>
      </c>
      <c r="X1808" s="4">
        <f t="shared" si="475"/>
        <v>41</v>
      </c>
      <c r="Y1808" s="4">
        <f t="shared" si="476"/>
        <v>71</v>
      </c>
      <c r="Z1808" s="4">
        <f t="shared" si="477"/>
        <v>71</v>
      </c>
      <c r="AA1808" s="102">
        <f t="shared" si="478"/>
        <v>71</v>
      </c>
      <c r="AC1808" s="100">
        <f t="shared" si="479"/>
        <v>0.97689022779850287</v>
      </c>
    </row>
    <row r="1809" spans="4:29" x14ac:dyDescent="0.35">
      <c r="D1809">
        <f t="shared" si="480"/>
        <v>1805</v>
      </c>
      <c r="E1809" s="101">
        <v>2</v>
      </c>
      <c r="F1809" s="4">
        <v>4</v>
      </c>
      <c r="G1809" s="4">
        <v>6</v>
      </c>
      <c r="H1809" s="4">
        <v>5</v>
      </c>
      <c r="I1809" s="4">
        <v>4</v>
      </c>
      <c r="J1809" s="4">
        <v>3</v>
      </c>
      <c r="K1809" s="102">
        <v>6</v>
      </c>
      <c r="M1809" s="101">
        <f t="shared" si="465"/>
        <v>56</v>
      </c>
      <c r="N1809" s="4">
        <f t="shared" si="466"/>
        <v>12</v>
      </c>
      <c r="O1809" s="4">
        <f t="shared" si="467"/>
        <v>45</v>
      </c>
      <c r="P1809" s="4">
        <f t="shared" si="468"/>
        <v>30</v>
      </c>
      <c r="Q1809" s="4">
        <f t="shared" si="469"/>
        <v>12</v>
      </c>
      <c r="R1809" s="4">
        <f t="shared" si="470"/>
        <v>23</v>
      </c>
      <c r="S1809" s="102">
        <f t="shared" si="471"/>
        <v>45</v>
      </c>
      <c r="U1809" s="101">
        <f t="shared" si="472"/>
        <v>78</v>
      </c>
      <c r="V1809" s="4">
        <f t="shared" si="473"/>
        <v>9</v>
      </c>
      <c r="W1809" s="4">
        <f t="shared" si="474"/>
        <v>71</v>
      </c>
      <c r="X1809" s="4">
        <f t="shared" si="475"/>
        <v>39</v>
      </c>
      <c r="Y1809" s="4">
        <f t="shared" si="476"/>
        <v>9</v>
      </c>
      <c r="Z1809" s="4">
        <f t="shared" si="477"/>
        <v>39</v>
      </c>
      <c r="AA1809" s="102">
        <f t="shared" si="478"/>
        <v>71</v>
      </c>
      <c r="AC1809" s="100">
        <f t="shared" si="479"/>
        <v>0.98145793623200184</v>
      </c>
    </row>
    <row r="1810" spans="4:29" x14ac:dyDescent="0.35">
      <c r="D1810">
        <f t="shared" si="480"/>
        <v>1806</v>
      </c>
      <c r="E1810" s="101">
        <v>4</v>
      </c>
      <c r="F1810" s="4">
        <v>1</v>
      </c>
      <c r="G1810" s="4">
        <v>4</v>
      </c>
      <c r="H1810" s="4">
        <v>7</v>
      </c>
      <c r="I1810" s="4">
        <v>1</v>
      </c>
      <c r="J1810" s="4">
        <v>1</v>
      </c>
      <c r="K1810" s="102">
        <v>1</v>
      </c>
      <c r="M1810" s="101">
        <f t="shared" si="465"/>
        <v>12</v>
      </c>
      <c r="N1810" s="4">
        <f t="shared" si="466"/>
        <v>34</v>
      </c>
      <c r="O1810" s="4">
        <f t="shared" si="467"/>
        <v>12</v>
      </c>
      <c r="P1810" s="4">
        <f t="shared" si="468"/>
        <v>29</v>
      </c>
      <c r="Q1810" s="4">
        <f t="shared" si="469"/>
        <v>34</v>
      </c>
      <c r="R1810" s="4">
        <f t="shared" si="470"/>
        <v>34</v>
      </c>
      <c r="S1810" s="102">
        <f t="shared" si="471"/>
        <v>34</v>
      </c>
      <c r="U1810" s="101">
        <f t="shared" si="472"/>
        <v>9</v>
      </c>
      <c r="V1810" s="4">
        <f t="shared" si="473"/>
        <v>46</v>
      </c>
      <c r="W1810" s="4">
        <f t="shared" si="474"/>
        <v>9</v>
      </c>
      <c r="X1810" s="4">
        <f t="shared" si="475"/>
        <v>41</v>
      </c>
      <c r="Y1810" s="4">
        <f t="shared" si="476"/>
        <v>46</v>
      </c>
      <c r="Z1810" s="4">
        <f t="shared" si="477"/>
        <v>46</v>
      </c>
      <c r="AA1810" s="102">
        <f t="shared" si="478"/>
        <v>46</v>
      </c>
      <c r="AC1810" s="100">
        <f t="shared" si="479"/>
        <v>0.99735410384460066</v>
      </c>
    </row>
    <row r="1811" spans="4:29" x14ac:dyDescent="0.35">
      <c r="D1811">
        <f t="shared" si="480"/>
        <v>1807</v>
      </c>
      <c r="E1811" s="101">
        <v>1</v>
      </c>
      <c r="F1811" s="4">
        <v>4</v>
      </c>
      <c r="G1811" s="4">
        <v>7</v>
      </c>
      <c r="H1811" s="4">
        <v>5</v>
      </c>
      <c r="I1811" s="4">
        <v>7</v>
      </c>
      <c r="J1811" s="4">
        <v>5</v>
      </c>
      <c r="K1811" s="102">
        <v>2</v>
      </c>
      <c r="M1811" s="101">
        <f t="shared" si="465"/>
        <v>34</v>
      </c>
      <c r="N1811" s="4">
        <f t="shared" si="466"/>
        <v>12</v>
      </c>
      <c r="O1811" s="4">
        <f t="shared" si="467"/>
        <v>29</v>
      </c>
      <c r="P1811" s="4">
        <f t="shared" si="468"/>
        <v>30</v>
      </c>
      <c r="Q1811" s="4">
        <f t="shared" si="469"/>
        <v>29</v>
      </c>
      <c r="R1811" s="4">
        <f t="shared" si="470"/>
        <v>30</v>
      </c>
      <c r="S1811" s="102">
        <f t="shared" si="471"/>
        <v>56</v>
      </c>
      <c r="U1811" s="101">
        <f t="shared" si="472"/>
        <v>46</v>
      </c>
      <c r="V1811" s="4">
        <f t="shared" si="473"/>
        <v>9</v>
      </c>
      <c r="W1811" s="4">
        <f t="shared" si="474"/>
        <v>41</v>
      </c>
      <c r="X1811" s="4">
        <f t="shared" si="475"/>
        <v>39</v>
      </c>
      <c r="Y1811" s="4">
        <f t="shared" si="476"/>
        <v>41</v>
      </c>
      <c r="Z1811" s="4">
        <f t="shared" si="477"/>
        <v>39</v>
      </c>
      <c r="AA1811" s="102">
        <f t="shared" si="478"/>
        <v>78</v>
      </c>
      <c r="AC1811" s="100">
        <f t="shared" si="479"/>
        <v>0.99398979657724063</v>
      </c>
    </row>
    <row r="1812" spans="4:29" x14ac:dyDescent="0.35">
      <c r="D1812">
        <f t="shared" si="480"/>
        <v>1808</v>
      </c>
      <c r="E1812" s="101">
        <v>2</v>
      </c>
      <c r="F1812" s="4">
        <v>5</v>
      </c>
      <c r="G1812" s="4">
        <v>2</v>
      </c>
      <c r="H1812" s="4">
        <v>7</v>
      </c>
      <c r="I1812" s="4">
        <v>6</v>
      </c>
      <c r="J1812" s="4">
        <v>2</v>
      </c>
      <c r="K1812" s="102">
        <v>6</v>
      </c>
      <c r="M1812" s="101">
        <f t="shared" si="465"/>
        <v>56</v>
      </c>
      <c r="N1812" s="4">
        <f t="shared" si="466"/>
        <v>30</v>
      </c>
      <c r="O1812" s="4">
        <f t="shared" si="467"/>
        <v>56</v>
      </c>
      <c r="P1812" s="4">
        <f t="shared" si="468"/>
        <v>29</v>
      </c>
      <c r="Q1812" s="4">
        <f t="shared" si="469"/>
        <v>45</v>
      </c>
      <c r="R1812" s="4">
        <f t="shared" si="470"/>
        <v>56</v>
      </c>
      <c r="S1812" s="102">
        <f t="shared" si="471"/>
        <v>45</v>
      </c>
      <c r="U1812" s="101">
        <f t="shared" si="472"/>
        <v>78</v>
      </c>
      <c r="V1812" s="4">
        <f t="shared" si="473"/>
        <v>39</v>
      </c>
      <c r="W1812" s="4">
        <f t="shared" si="474"/>
        <v>78</v>
      </c>
      <c r="X1812" s="4">
        <f t="shared" si="475"/>
        <v>41</v>
      </c>
      <c r="Y1812" s="4">
        <f t="shared" si="476"/>
        <v>71</v>
      </c>
      <c r="Z1812" s="4">
        <f t="shared" si="477"/>
        <v>78</v>
      </c>
      <c r="AA1812" s="102">
        <f t="shared" si="478"/>
        <v>71</v>
      </c>
      <c r="AC1812" s="100">
        <f t="shared" si="479"/>
        <v>0.96785675555271977</v>
      </c>
    </row>
    <row r="1813" spans="4:29" x14ac:dyDescent="0.35">
      <c r="D1813">
        <f t="shared" si="480"/>
        <v>1809</v>
      </c>
      <c r="E1813" s="101">
        <v>7</v>
      </c>
      <c r="F1813" s="4">
        <v>7</v>
      </c>
      <c r="G1813" s="4">
        <v>6</v>
      </c>
      <c r="H1813" s="4">
        <v>3</v>
      </c>
      <c r="I1813" s="4">
        <v>2</v>
      </c>
      <c r="J1813" s="4">
        <v>1</v>
      </c>
      <c r="K1813" s="102">
        <v>4</v>
      </c>
      <c r="M1813" s="101">
        <f t="shared" si="465"/>
        <v>29</v>
      </c>
      <c r="N1813" s="4">
        <f t="shared" si="466"/>
        <v>29</v>
      </c>
      <c r="O1813" s="4">
        <f t="shared" si="467"/>
        <v>45</v>
      </c>
      <c r="P1813" s="4">
        <f t="shared" si="468"/>
        <v>23</v>
      </c>
      <c r="Q1813" s="4">
        <f t="shared" si="469"/>
        <v>56</v>
      </c>
      <c r="R1813" s="4">
        <f t="shared" si="470"/>
        <v>34</v>
      </c>
      <c r="S1813" s="102">
        <f t="shared" si="471"/>
        <v>12</v>
      </c>
      <c r="U1813" s="101">
        <f t="shared" si="472"/>
        <v>41</v>
      </c>
      <c r="V1813" s="4">
        <f t="shared" si="473"/>
        <v>41</v>
      </c>
      <c r="W1813" s="4">
        <f t="shared" si="474"/>
        <v>71</v>
      </c>
      <c r="X1813" s="4">
        <f t="shared" si="475"/>
        <v>39</v>
      </c>
      <c r="Y1813" s="4">
        <f t="shared" si="476"/>
        <v>78</v>
      </c>
      <c r="Z1813" s="4">
        <f t="shared" si="477"/>
        <v>46</v>
      </c>
      <c r="AA1813" s="102">
        <f t="shared" si="478"/>
        <v>9</v>
      </c>
      <c r="AC1813" s="100">
        <f t="shared" si="479"/>
        <v>0.97674572809751137</v>
      </c>
    </row>
    <row r="1814" spans="4:29" x14ac:dyDescent="0.35">
      <c r="D1814">
        <f t="shared" si="480"/>
        <v>1810</v>
      </c>
      <c r="E1814" s="101">
        <v>5</v>
      </c>
      <c r="F1814" s="4">
        <v>6</v>
      </c>
      <c r="G1814" s="4">
        <v>6</v>
      </c>
      <c r="H1814" s="4">
        <v>5</v>
      </c>
      <c r="I1814" s="4">
        <v>6</v>
      </c>
      <c r="J1814" s="4">
        <v>5</v>
      </c>
      <c r="K1814" s="102">
        <v>2</v>
      </c>
      <c r="M1814" s="101">
        <f t="shared" si="465"/>
        <v>30</v>
      </c>
      <c r="N1814" s="4">
        <f t="shared" si="466"/>
        <v>45</v>
      </c>
      <c r="O1814" s="4">
        <f t="shared" si="467"/>
        <v>45</v>
      </c>
      <c r="P1814" s="4">
        <f t="shared" si="468"/>
        <v>30</v>
      </c>
      <c r="Q1814" s="4">
        <f t="shared" si="469"/>
        <v>45</v>
      </c>
      <c r="R1814" s="4">
        <f t="shared" si="470"/>
        <v>30</v>
      </c>
      <c r="S1814" s="102">
        <f t="shared" si="471"/>
        <v>56</v>
      </c>
      <c r="U1814" s="101">
        <f t="shared" si="472"/>
        <v>39</v>
      </c>
      <c r="V1814" s="4">
        <f t="shared" si="473"/>
        <v>71</v>
      </c>
      <c r="W1814" s="4">
        <f t="shared" si="474"/>
        <v>71</v>
      </c>
      <c r="X1814" s="4">
        <f t="shared" si="475"/>
        <v>39</v>
      </c>
      <c r="Y1814" s="4">
        <f t="shared" si="476"/>
        <v>71</v>
      </c>
      <c r="Z1814" s="4">
        <f t="shared" si="477"/>
        <v>39</v>
      </c>
      <c r="AA1814" s="102">
        <f t="shared" si="478"/>
        <v>78</v>
      </c>
      <c r="AC1814" s="100">
        <f t="shared" si="479"/>
        <v>0.96824591212567934</v>
      </c>
    </row>
    <row r="1815" spans="4:29" x14ac:dyDescent="0.35">
      <c r="D1815">
        <f t="shared" si="480"/>
        <v>1811</v>
      </c>
      <c r="E1815" s="101">
        <v>6</v>
      </c>
      <c r="F1815" s="4">
        <v>1</v>
      </c>
      <c r="G1815" s="4">
        <v>1</v>
      </c>
      <c r="H1815" s="4">
        <v>7</v>
      </c>
      <c r="I1815" s="4">
        <v>4</v>
      </c>
      <c r="J1815" s="4">
        <v>6</v>
      </c>
      <c r="K1815" s="102">
        <v>3</v>
      </c>
      <c r="M1815" s="101">
        <f t="shared" si="465"/>
        <v>45</v>
      </c>
      <c r="N1815" s="4">
        <f t="shared" si="466"/>
        <v>34</v>
      </c>
      <c r="O1815" s="4">
        <f t="shared" si="467"/>
        <v>34</v>
      </c>
      <c r="P1815" s="4">
        <f t="shared" si="468"/>
        <v>29</v>
      </c>
      <c r="Q1815" s="4">
        <f t="shared" si="469"/>
        <v>12</v>
      </c>
      <c r="R1815" s="4">
        <f t="shared" si="470"/>
        <v>45</v>
      </c>
      <c r="S1815" s="102">
        <f t="shared" si="471"/>
        <v>23</v>
      </c>
      <c r="U1815" s="101">
        <f t="shared" si="472"/>
        <v>71</v>
      </c>
      <c r="V1815" s="4">
        <f t="shared" si="473"/>
        <v>46</v>
      </c>
      <c r="W1815" s="4">
        <f t="shared" si="474"/>
        <v>46</v>
      </c>
      <c r="X1815" s="4">
        <f t="shared" si="475"/>
        <v>41</v>
      </c>
      <c r="Y1815" s="4">
        <f t="shared" si="476"/>
        <v>9</v>
      </c>
      <c r="Z1815" s="4">
        <f t="shared" si="477"/>
        <v>71</v>
      </c>
      <c r="AA1815" s="102">
        <f t="shared" si="478"/>
        <v>39</v>
      </c>
      <c r="AC1815" s="100">
        <f t="shared" si="479"/>
        <v>0.97892462660870139</v>
      </c>
    </row>
    <row r="1816" spans="4:29" x14ac:dyDescent="0.35">
      <c r="D1816">
        <f t="shared" si="480"/>
        <v>1812</v>
      </c>
      <c r="E1816" s="101">
        <v>7</v>
      </c>
      <c r="F1816" s="4">
        <v>7</v>
      </c>
      <c r="G1816" s="4">
        <v>7</v>
      </c>
      <c r="H1816" s="4">
        <v>2</v>
      </c>
      <c r="I1816" s="4">
        <v>4</v>
      </c>
      <c r="J1816" s="4">
        <v>5</v>
      </c>
      <c r="K1816" s="102">
        <v>1</v>
      </c>
      <c r="M1816" s="101">
        <f t="shared" si="465"/>
        <v>29</v>
      </c>
      <c r="N1816" s="4">
        <f t="shared" si="466"/>
        <v>29</v>
      </c>
      <c r="O1816" s="4">
        <f t="shared" si="467"/>
        <v>29</v>
      </c>
      <c r="P1816" s="4">
        <f t="shared" si="468"/>
        <v>56</v>
      </c>
      <c r="Q1816" s="4">
        <f t="shared" si="469"/>
        <v>12</v>
      </c>
      <c r="R1816" s="4">
        <f t="shared" si="470"/>
        <v>30</v>
      </c>
      <c r="S1816" s="102">
        <f t="shared" si="471"/>
        <v>34</v>
      </c>
      <c r="U1816" s="101">
        <f t="shared" si="472"/>
        <v>41</v>
      </c>
      <c r="V1816" s="4">
        <f t="shared" si="473"/>
        <v>41</v>
      </c>
      <c r="W1816" s="4">
        <f t="shared" si="474"/>
        <v>41</v>
      </c>
      <c r="X1816" s="4">
        <f t="shared" si="475"/>
        <v>78</v>
      </c>
      <c r="Y1816" s="4">
        <f t="shared" si="476"/>
        <v>9</v>
      </c>
      <c r="Z1816" s="4">
        <f t="shared" si="477"/>
        <v>39</v>
      </c>
      <c r="AA1816" s="102">
        <f t="shared" si="478"/>
        <v>46</v>
      </c>
      <c r="AC1816" s="100">
        <f t="shared" si="479"/>
        <v>0.99269961775548032</v>
      </c>
    </row>
    <row r="1817" spans="4:29" x14ac:dyDescent="0.35">
      <c r="D1817">
        <f t="shared" si="480"/>
        <v>1813</v>
      </c>
      <c r="E1817" s="101">
        <v>4</v>
      </c>
      <c r="F1817" s="4">
        <v>5</v>
      </c>
      <c r="G1817" s="4">
        <v>5</v>
      </c>
      <c r="H1817" s="4">
        <v>4</v>
      </c>
      <c r="I1817" s="4">
        <v>1</v>
      </c>
      <c r="J1817" s="4">
        <v>7</v>
      </c>
      <c r="K1817" s="102">
        <v>1</v>
      </c>
      <c r="M1817" s="101">
        <f t="shared" si="465"/>
        <v>12</v>
      </c>
      <c r="N1817" s="4">
        <f t="shared" si="466"/>
        <v>30</v>
      </c>
      <c r="O1817" s="4">
        <f t="shared" si="467"/>
        <v>30</v>
      </c>
      <c r="P1817" s="4">
        <f t="shared" si="468"/>
        <v>12</v>
      </c>
      <c r="Q1817" s="4">
        <f t="shared" si="469"/>
        <v>34</v>
      </c>
      <c r="R1817" s="4">
        <f t="shared" si="470"/>
        <v>29</v>
      </c>
      <c r="S1817" s="102">
        <f t="shared" si="471"/>
        <v>34</v>
      </c>
      <c r="U1817" s="101">
        <f t="shared" si="472"/>
        <v>9</v>
      </c>
      <c r="V1817" s="4">
        <f t="shared" si="473"/>
        <v>39</v>
      </c>
      <c r="W1817" s="4">
        <f t="shared" si="474"/>
        <v>39</v>
      </c>
      <c r="X1817" s="4">
        <f t="shared" si="475"/>
        <v>9</v>
      </c>
      <c r="Y1817" s="4">
        <f t="shared" si="476"/>
        <v>46</v>
      </c>
      <c r="Z1817" s="4">
        <f t="shared" si="477"/>
        <v>41</v>
      </c>
      <c r="AA1817" s="102">
        <f t="shared" si="478"/>
        <v>46</v>
      </c>
      <c r="AC1817" s="100">
        <f t="shared" si="479"/>
        <v>0.9967735748125327</v>
      </c>
    </row>
    <row r="1818" spans="4:29" x14ac:dyDescent="0.35">
      <c r="D1818">
        <f t="shared" si="480"/>
        <v>1814</v>
      </c>
      <c r="E1818" s="101">
        <v>1</v>
      </c>
      <c r="F1818" s="4">
        <v>7</v>
      </c>
      <c r="G1818" s="4">
        <v>4</v>
      </c>
      <c r="H1818" s="4">
        <v>5</v>
      </c>
      <c r="I1818" s="4">
        <v>6</v>
      </c>
      <c r="J1818" s="4">
        <v>1</v>
      </c>
      <c r="K1818" s="102">
        <v>3</v>
      </c>
      <c r="M1818" s="101">
        <f t="shared" si="465"/>
        <v>34</v>
      </c>
      <c r="N1818" s="4">
        <f t="shared" si="466"/>
        <v>29</v>
      </c>
      <c r="O1818" s="4">
        <f t="shared" si="467"/>
        <v>12</v>
      </c>
      <c r="P1818" s="4">
        <f t="shared" si="468"/>
        <v>30</v>
      </c>
      <c r="Q1818" s="4">
        <f t="shared" si="469"/>
        <v>45</v>
      </c>
      <c r="R1818" s="4">
        <f t="shared" si="470"/>
        <v>34</v>
      </c>
      <c r="S1818" s="102">
        <f t="shared" si="471"/>
        <v>23</v>
      </c>
      <c r="U1818" s="101">
        <f t="shared" si="472"/>
        <v>46</v>
      </c>
      <c r="V1818" s="4">
        <f t="shared" si="473"/>
        <v>41</v>
      </c>
      <c r="W1818" s="4">
        <f t="shared" si="474"/>
        <v>9</v>
      </c>
      <c r="X1818" s="4">
        <f t="shared" si="475"/>
        <v>39</v>
      </c>
      <c r="Y1818" s="4">
        <f t="shared" si="476"/>
        <v>71</v>
      </c>
      <c r="Z1818" s="4">
        <f t="shared" si="477"/>
        <v>46</v>
      </c>
      <c r="AA1818" s="102">
        <f t="shared" si="478"/>
        <v>39</v>
      </c>
      <c r="AC1818" s="100">
        <f t="shared" si="479"/>
        <v>0.9688120544294756</v>
      </c>
    </row>
    <row r="1819" spans="4:29" x14ac:dyDescent="0.35">
      <c r="D1819">
        <f t="shared" si="480"/>
        <v>1815</v>
      </c>
      <c r="E1819" s="101">
        <v>3</v>
      </c>
      <c r="F1819" s="4">
        <v>2</v>
      </c>
      <c r="G1819" s="4">
        <v>3</v>
      </c>
      <c r="H1819" s="4">
        <v>5</v>
      </c>
      <c r="I1819" s="4">
        <v>3</v>
      </c>
      <c r="J1819" s="4">
        <v>1</v>
      </c>
      <c r="K1819" s="102">
        <v>2</v>
      </c>
      <c r="M1819" s="101">
        <f t="shared" si="465"/>
        <v>23</v>
      </c>
      <c r="N1819" s="4">
        <f t="shared" si="466"/>
        <v>56</v>
      </c>
      <c r="O1819" s="4">
        <f t="shared" si="467"/>
        <v>23</v>
      </c>
      <c r="P1819" s="4">
        <f t="shared" si="468"/>
        <v>30</v>
      </c>
      <c r="Q1819" s="4">
        <f t="shared" si="469"/>
        <v>23</v>
      </c>
      <c r="R1819" s="4">
        <f t="shared" si="470"/>
        <v>34</v>
      </c>
      <c r="S1819" s="102">
        <f t="shared" si="471"/>
        <v>56</v>
      </c>
      <c r="U1819" s="101">
        <f t="shared" si="472"/>
        <v>39</v>
      </c>
      <c r="V1819" s="4">
        <f t="shared" si="473"/>
        <v>78</v>
      </c>
      <c r="W1819" s="4">
        <f t="shared" si="474"/>
        <v>39</v>
      </c>
      <c r="X1819" s="4">
        <f t="shared" si="475"/>
        <v>39</v>
      </c>
      <c r="Y1819" s="4">
        <f t="shared" si="476"/>
        <v>39</v>
      </c>
      <c r="Z1819" s="4">
        <f t="shared" si="477"/>
        <v>46</v>
      </c>
      <c r="AA1819" s="102">
        <f t="shared" si="478"/>
        <v>78</v>
      </c>
      <c r="AC1819" s="100">
        <f t="shared" si="479"/>
        <v>0.98194792137421105</v>
      </c>
    </row>
    <row r="1820" spans="4:29" x14ac:dyDescent="0.35">
      <c r="D1820">
        <f t="shared" si="480"/>
        <v>1816</v>
      </c>
      <c r="E1820" s="101">
        <v>4</v>
      </c>
      <c r="F1820" s="4">
        <v>2</v>
      </c>
      <c r="G1820" s="4">
        <v>2</v>
      </c>
      <c r="H1820" s="4">
        <v>7</v>
      </c>
      <c r="I1820" s="4">
        <v>6</v>
      </c>
      <c r="J1820" s="4">
        <v>5</v>
      </c>
      <c r="K1820" s="102">
        <v>4</v>
      </c>
      <c r="M1820" s="101">
        <f t="shared" si="465"/>
        <v>12</v>
      </c>
      <c r="N1820" s="4">
        <f t="shared" si="466"/>
        <v>56</v>
      </c>
      <c r="O1820" s="4">
        <f t="shared" si="467"/>
        <v>56</v>
      </c>
      <c r="P1820" s="4">
        <f t="shared" si="468"/>
        <v>29</v>
      </c>
      <c r="Q1820" s="4">
        <f t="shared" si="469"/>
        <v>45</v>
      </c>
      <c r="R1820" s="4">
        <f t="shared" si="470"/>
        <v>30</v>
      </c>
      <c r="S1820" s="102">
        <f t="shared" si="471"/>
        <v>12</v>
      </c>
      <c r="U1820" s="101">
        <f t="shared" si="472"/>
        <v>9</v>
      </c>
      <c r="V1820" s="4">
        <f t="shared" si="473"/>
        <v>78</v>
      </c>
      <c r="W1820" s="4">
        <f t="shared" si="474"/>
        <v>78</v>
      </c>
      <c r="X1820" s="4">
        <f t="shared" si="475"/>
        <v>41</v>
      </c>
      <c r="Y1820" s="4">
        <f t="shared" si="476"/>
        <v>71</v>
      </c>
      <c r="Z1820" s="4">
        <f t="shared" si="477"/>
        <v>39</v>
      </c>
      <c r="AA1820" s="102">
        <f t="shared" si="478"/>
        <v>9</v>
      </c>
      <c r="AC1820" s="100">
        <f t="shared" si="479"/>
        <v>0.99166347144710953</v>
      </c>
    </row>
    <row r="1821" spans="4:29" x14ac:dyDescent="0.35">
      <c r="D1821">
        <f t="shared" si="480"/>
        <v>1817</v>
      </c>
      <c r="E1821" s="101">
        <v>5</v>
      </c>
      <c r="F1821" s="4">
        <v>5</v>
      </c>
      <c r="G1821" s="4">
        <v>6</v>
      </c>
      <c r="H1821" s="4">
        <v>1</v>
      </c>
      <c r="I1821" s="4">
        <v>1</v>
      </c>
      <c r="J1821" s="4">
        <v>4</v>
      </c>
      <c r="K1821" s="102">
        <v>1</v>
      </c>
      <c r="M1821" s="101">
        <f t="shared" si="465"/>
        <v>30</v>
      </c>
      <c r="N1821" s="4">
        <f t="shared" si="466"/>
        <v>30</v>
      </c>
      <c r="O1821" s="4">
        <f t="shared" si="467"/>
        <v>45</v>
      </c>
      <c r="P1821" s="4">
        <f t="shared" si="468"/>
        <v>34</v>
      </c>
      <c r="Q1821" s="4">
        <f t="shared" si="469"/>
        <v>34</v>
      </c>
      <c r="R1821" s="4">
        <f t="shared" si="470"/>
        <v>12</v>
      </c>
      <c r="S1821" s="102">
        <f t="shared" si="471"/>
        <v>34</v>
      </c>
      <c r="U1821" s="101">
        <f t="shared" si="472"/>
        <v>39</v>
      </c>
      <c r="V1821" s="4">
        <f t="shared" si="473"/>
        <v>39</v>
      </c>
      <c r="W1821" s="4">
        <f t="shared" si="474"/>
        <v>71</v>
      </c>
      <c r="X1821" s="4">
        <f t="shared" si="475"/>
        <v>46</v>
      </c>
      <c r="Y1821" s="4">
        <f t="shared" si="476"/>
        <v>46</v>
      </c>
      <c r="Z1821" s="4">
        <f t="shared" si="477"/>
        <v>9</v>
      </c>
      <c r="AA1821" s="102">
        <f t="shared" si="478"/>
        <v>46</v>
      </c>
      <c r="AC1821" s="100">
        <f t="shared" si="479"/>
        <v>0.9940826602153614</v>
      </c>
    </row>
    <row r="1822" spans="4:29" x14ac:dyDescent="0.35">
      <c r="D1822">
        <f t="shared" si="480"/>
        <v>1818</v>
      </c>
      <c r="E1822" s="101">
        <v>6</v>
      </c>
      <c r="F1822" s="4">
        <v>7</v>
      </c>
      <c r="G1822" s="4">
        <v>5</v>
      </c>
      <c r="H1822" s="4">
        <v>4</v>
      </c>
      <c r="I1822" s="4">
        <v>7</v>
      </c>
      <c r="J1822" s="4">
        <v>4</v>
      </c>
      <c r="K1822" s="102">
        <v>1</v>
      </c>
      <c r="M1822" s="101">
        <f t="shared" si="465"/>
        <v>45</v>
      </c>
      <c r="N1822" s="4">
        <f t="shared" si="466"/>
        <v>29</v>
      </c>
      <c r="O1822" s="4">
        <f t="shared" si="467"/>
        <v>30</v>
      </c>
      <c r="P1822" s="4">
        <f t="shared" si="468"/>
        <v>12</v>
      </c>
      <c r="Q1822" s="4">
        <f t="shared" si="469"/>
        <v>29</v>
      </c>
      <c r="R1822" s="4">
        <f t="shared" si="470"/>
        <v>12</v>
      </c>
      <c r="S1822" s="102">
        <f t="shared" si="471"/>
        <v>34</v>
      </c>
      <c r="U1822" s="101">
        <f t="shared" si="472"/>
        <v>71</v>
      </c>
      <c r="V1822" s="4">
        <f t="shared" si="473"/>
        <v>41</v>
      </c>
      <c r="W1822" s="4">
        <f t="shared" si="474"/>
        <v>39</v>
      </c>
      <c r="X1822" s="4">
        <f t="shared" si="475"/>
        <v>9</v>
      </c>
      <c r="Y1822" s="4">
        <f t="shared" si="476"/>
        <v>41</v>
      </c>
      <c r="Z1822" s="4">
        <f t="shared" si="477"/>
        <v>9</v>
      </c>
      <c r="AA1822" s="102">
        <f t="shared" si="478"/>
        <v>46</v>
      </c>
      <c r="AC1822" s="100">
        <f t="shared" si="479"/>
        <v>0.99606297586886183</v>
      </c>
    </row>
    <row r="1823" spans="4:29" x14ac:dyDescent="0.35">
      <c r="D1823">
        <f t="shared" si="480"/>
        <v>1819</v>
      </c>
      <c r="E1823" s="101">
        <v>4</v>
      </c>
      <c r="F1823" s="4">
        <v>4</v>
      </c>
      <c r="G1823" s="4">
        <v>6</v>
      </c>
      <c r="H1823" s="4">
        <v>7</v>
      </c>
      <c r="I1823" s="4">
        <v>6</v>
      </c>
      <c r="J1823" s="4">
        <v>5</v>
      </c>
      <c r="K1823" s="102">
        <v>4</v>
      </c>
      <c r="M1823" s="101">
        <f t="shared" si="465"/>
        <v>12</v>
      </c>
      <c r="N1823" s="4">
        <f t="shared" si="466"/>
        <v>12</v>
      </c>
      <c r="O1823" s="4">
        <f t="shared" si="467"/>
        <v>45</v>
      </c>
      <c r="P1823" s="4">
        <f t="shared" si="468"/>
        <v>29</v>
      </c>
      <c r="Q1823" s="4">
        <f t="shared" si="469"/>
        <v>45</v>
      </c>
      <c r="R1823" s="4">
        <f t="shared" si="470"/>
        <v>30</v>
      </c>
      <c r="S1823" s="102">
        <f t="shared" si="471"/>
        <v>12</v>
      </c>
      <c r="U1823" s="101">
        <f t="shared" si="472"/>
        <v>9</v>
      </c>
      <c r="V1823" s="4">
        <f t="shared" si="473"/>
        <v>9</v>
      </c>
      <c r="W1823" s="4">
        <f t="shared" si="474"/>
        <v>71</v>
      </c>
      <c r="X1823" s="4">
        <f t="shared" si="475"/>
        <v>41</v>
      </c>
      <c r="Y1823" s="4">
        <f t="shared" si="476"/>
        <v>71</v>
      </c>
      <c r="Z1823" s="4">
        <f t="shared" si="477"/>
        <v>39</v>
      </c>
      <c r="AA1823" s="102">
        <f t="shared" si="478"/>
        <v>9</v>
      </c>
      <c r="AC1823" s="100">
        <f t="shared" si="479"/>
        <v>0.99866831695910685</v>
      </c>
    </row>
    <row r="1824" spans="4:29" x14ac:dyDescent="0.35">
      <c r="D1824">
        <f t="shared" si="480"/>
        <v>1820</v>
      </c>
      <c r="E1824" s="101">
        <v>2</v>
      </c>
      <c r="F1824" s="4">
        <v>6</v>
      </c>
      <c r="G1824" s="4">
        <v>4</v>
      </c>
      <c r="H1824" s="4">
        <v>6</v>
      </c>
      <c r="I1824" s="4">
        <v>2</v>
      </c>
      <c r="J1824" s="4">
        <v>7</v>
      </c>
      <c r="K1824" s="102">
        <v>2</v>
      </c>
      <c r="M1824" s="101">
        <f t="shared" si="465"/>
        <v>56</v>
      </c>
      <c r="N1824" s="4">
        <f t="shared" si="466"/>
        <v>45</v>
      </c>
      <c r="O1824" s="4">
        <f t="shared" si="467"/>
        <v>12</v>
      </c>
      <c r="P1824" s="4">
        <f t="shared" si="468"/>
        <v>45</v>
      </c>
      <c r="Q1824" s="4">
        <f t="shared" si="469"/>
        <v>56</v>
      </c>
      <c r="R1824" s="4">
        <f t="shared" si="470"/>
        <v>29</v>
      </c>
      <c r="S1824" s="102">
        <f t="shared" si="471"/>
        <v>56</v>
      </c>
      <c r="U1824" s="101">
        <f t="shared" si="472"/>
        <v>78</v>
      </c>
      <c r="V1824" s="4">
        <f t="shared" si="473"/>
        <v>71</v>
      </c>
      <c r="W1824" s="4">
        <f t="shared" si="474"/>
        <v>9</v>
      </c>
      <c r="X1824" s="4">
        <f t="shared" si="475"/>
        <v>71</v>
      </c>
      <c r="Y1824" s="4">
        <f t="shared" si="476"/>
        <v>78</v>
      </c>
      <c r="Z1824" s="4">
        <f t="shared" si="477"/>
        <v>41</v>
      </c>
      <c r="AA1824" s="102">
        <f t="shared" si="478"/>
        <v>78</v>
      </c>
      <c r="AC1824" s="100">
        <f t="shared" si="479"/>
        <v>0.98272719530606767</v>
      </c>
    </row>
    <row r="1825" spans="4:29" x14ac:dyDescent="0.35">
      <c r="D1825">
        <f t="shared" si="480"/>
        <v>1821</v>
      </c>
      <c r="E1825" s="101">
        <v>2</v>
      </c>
      <c r="F1825" s="4">
        <v>6</v>
      </c>
      <c r="G1825" s="4">
        <v>2</v>
      </c>
      <c r="H1825" s="4">
        <v>6</v>
      </c>
      <c r="I1825" s="4">
        <v>1</v>
      </c>
      <c r="J1825" s="4">
        <v>7</v>
      </c>
      <c r="K1825" s="102">
        <v>5</v>
      </c>
      <c r="M1825" s="101">
        <f t="shared" si="465"/>
        <v>56</v>
      </c>
      <c r="N1825" s="4">
        <f t="shared" si="466"/>
        <v>45</v>
      </c>
      <c r="O1825" s="4">
        <f t="shared" si="467"/>
        <v>56</v>
      </c>
      <c r="P1825" s="4">
        <f t="shared" si="468"/>
        <v>45</v>
      </c>
      <c r="Q1825" s="4">
        <f t="shared" si="469"/>
        <v>34</v>
      </c>
      <c r="R1825" s="4">
        <f t="shared" si="470"/>
        <v>29</v>
      </c>
      <c r="S1825" s="102">
        <f t="shared" si="471"/>
        <v>30</v>
      </c>
      <c r="U1825" s="101">
        <f t="shared" si="472"/>
        <v>78</v>
      </c>
      <c r="V1825" s="4">
        <f t="shared" si="473"/>
        <v>71</v>
      </c>
      <c r="W1825" s="4">
        <f t="shared" si="474"/>
        <v>78</v>
      </c>
      <c r="X1825" s="4">
        <f t="shared" si="475"/>
        <v>71</v>
      </c>
      <c r="Y1825" s="4">
        <f t="shared" si="476"/>
        <v>46</v>
      </c>
      <c r="Z1825" s="4">
        <f t="shared" si="477"/>
        <v>41</v>
      </c>
      <c r="AA1825" s="102">
        <f t="shared" si="478"/>
        <v>39</v>
      </c>
      <c r="AC1825" s="100">
        <f t="shared" si="479"/>
        <v>0.96906703733281918</v>
      </c>
    </row>
    <row r="1826" spans="4:29" x14ac:dyDescent="0.35">
      <c r="D1826">
        <f t="shared" si="480"/>
        <v>1822</v>
      </c>
      <c r="E1826" s="101">
        <v>6</v>
      </c>
      <c r="F1826" s="4">
        <v>6</v>
      </c>
      <c r="G1826" s="4">
        <v>3</v>
      </c>
      <c r="H1826" s="4">
        <v>1</v>
      </c>
      <c r="I1826" s="4">
        <v>3</v>
      </c>
      <c r="J1826" s="4">
        <v>3</v>
      </c>
      <c r="K1826" s="102">
        <v>3</v>
      </c>
      <c r="M1826" s="101">
        <f t="shared" si="465"/>
        <v>45</v>
      </c>
      <c r="N1826" s="4">
        <f t="shared" si="466"/>
        <v>45</v>
      </c>
      <c r="O1826" s="4">
        <f t="shared" si="467"/>
        <v>23</v>
      </c>
      <c r="P1826" s="4">
        <f t="shared" si="468"/>
        <v>34</v>
      </c>
      <c r="Q1826" s="4">
        <f t="shared" si="469"/>
        <v>23</v>
      </c>
      <c r="R1826" s="4">
        <f t="shared" si="470"/>
        <v>23</v>
      </c>
      <c r="S1826" s="102">
        <f t="shared" si="471"/>
        <v>23</v>
      </c>
      <c r="U1826" s="101">
        <f t="shared" si="472"/>
        <v>71</v>
      </c>
      <c r="V1826" s="4">
        <f t="shared" si="473"/>
        <v>71</v>
      </c>
      <c r="W1826" s="4">
        <f t="shared" si="474"/>
        <v>39</v>
      </c>
      <c r="X1826" s="4">
        <f t="shared" si="475"/>
        <v>46</v>
      </c>
      <c r="Y1826" s="4">
        <f t="shared" si="476"/>
        <v>39</v>
      </c>
      <c r="Z1826" s="4">
        <f t="shared" si="477"/>
        <v>39</v>
      </c>
      <c r="AA1826" s="102">
        <f t="shared" si="478"/>
        <v>39</v>
      </c>
      <c r="AC1826" s="100">
        <f t="shared" si="479"/>
        <v>0.97491499971557349</v>
      </c>
    </row>
    <row r="1827" spans="4:29" x14ac:dyDescent="0.35">
      <c r="D1827">
        <f t="shared" si="480"/>
        <v>1823</v>
      </c>
      <c r="E1827" s="101">
        <v>4</v>
      </c>
      <c r="F1827" s="4">
        <v>6</v>
      </c>
      <c r="G1827" s="4">
        <v>2</v>
      </c>
      <c r="H1827" s="4">
        <v>4</v>
      </c>
      <c r="I1827" s="4">
        <v>7</v>
      </c>
      <c r="J1827" s="4">
        <v>5</v>
      </c>
      <c r="K1827" s="102">
        <v>5</v>
      </c>
      <c r="M1827" s="101">
        <f t="shared" si="465"/>
        <v>12</v>
      </c>
      <c r="N1827" s="4">
        <f t="shared" si="466"/>
        <v>45</v>
      </c>
      <c r="O1827" s="4">
        <f t="shared" si="467"/>
        <v>56</v>
      </c>
      <c r="P1827" s="4">
        <f t="shared" si="468"/>
        <v>12</v>
      </c>
      <c r="Q1827" s="4">
        <f t="shared" si="469"/>
        <v>29</v>
      </c>
      <c r="R1827" s="4">
        <f t="shared" si="470"/>
        <v>30</v>
      </c>
      <c r="S1827" s="102">
        <f t="shared" si="471"/>
        <v>30</v>
      </c>
      <c r="U1827" s="101">
        <f t="shared" si="472"/>
        <v>9</v>
      </c>
      <c r="V1827" s="4">
        <f t="shared" si="473"/>
        <v>71</v>
      </c>
      <c r="W1827" s="4">
        <f t="shared" si="474"/>
        <v>78</v>
      </c>
      <c r="X1827" s="4">
        <f t="shared" si="475"/>
        <v>9</v>
      </c>
      <c r="Y1827" s="4">
        <f t="shared" si="476"/>
        <v>41</v>
      </c>
      <c r="Z1827" s="4">
        <f t="shared" si="477"/>
        <v>39</v>
      </c>
      <c r="AA1827" s="102">
        <f t="shared" si="478"/>
        <v>39</v>
      </c>
      <c r="AC1827" s="100">
        <f t="shared" si="479"/>
        <v>0.99125073113172302</v>
      </c>
    </row>
    <row r="1828" spans="4:29" x14ac:dyDescent="0.35">
      <c r="D1828">
        <f t="shared" si="480"/>
        <v>1824</v>
      </c>
      <c r="E1828" s="101">
        <v>1</v>
      </c>
      <c r="F1828" s="4">
        <v>3</v>
      </c>
      <c r="G1828" s="4">
        <v>7</v>
      </c>
      <c r="H1828" s="4">
        <v>7</v>
      </c>
      <c r="I1828" s="4">
        <v>2</v>
      </c>
      <c r="J1828" s="4">
        <v>4</v>
      </c>
      <c r="K1828" s="102">
        <v>2</v>
      </c>
      <c r="M1828" s="101">
        <f t="shared" si="465"/>
        <v>34</v>
      </c>
      <c r="N1828" s="4">
        <f t="shared" si="466"/>
        <v>23</v>
      </c>
      <c r="O1828" s="4">
        <f t="shared" si="467"/>
        <v>29</v>
      </c>
      <c r="P1828" s="4">
        <f t="shared" si="468"/>
        <v>29</v>
      </c>
      <c r="Q1828" s="4">
        <f t="shared" si="469"/>
        <v>56</v>
      </c>
      <c r="R1828" s="4">
        <f t="shared" si="470"/>
        <v>12</v>
      </c>
      <c r="S1828" s="102">
        <f t="shared" si="471"/>
        <v>56</v>
      </c>
      <c r="U1828" s="101">
        <f t="shared" si="472"/>
        <v>46</v>
      </c>
      <c r="V1828" s="4">
        <f t="shared" si="473"/>
        <v>39</v>
      </c>
      <c r="W1828" s="4">
        <f t="shared" si="474"/>
        <v>41</v>
      </c>
      <c r="X1828" s="4">
        <f t="shared" si="475"/>
        <v>41</v>
      </c>
      <c r="Y1828" s="4">
        <f t="shared" si="476"/>
        <v>78</v>
      </c>
      <c r="Z1828" s="4">
        <f t="shared" si="477"/>
        <v>9</v>
      </c>
      <c r="AA1828" s="102">
        <f t="shared" si="478"/>
        <v>78</v>
      </c>
      <c r="AC1828" s="100">
        <f t="shared" si="479"/>
        <v>0.98477794947726294</v>
      </c>
    </row>
    <row r="1829" spans="4:29" x14ac:dyDescent="0.35">
      <c r="D1829">
        <f t="shared" si="480"/>
        <v>1825</v>
      </c>
      <c r="E1829" s="101">
        <v>2</v>
      </c>
      <c r="F1829" s="4">
        <v>7</v>
      </c>
      <c r="G1829" s="4">
        <v>7</v>
      </c>
      <c r="H1829" s="4">
        <v>1</v>
      </c>
      <c r="I1829" s="4">
        <v>2</v>
      </c>
      <c r="J1829" s="4">
        <v>6</v>
      </c>
      <c r="K1829" s="102">
        <v>7</v>
      </c>
      <c r="M1829" s="101">
        <f t="shared" si="465"/>
        <v>56</v>
      </c>
      <c r="N1829" s="4">
        <f t="shared" si="466"/>
        <v>29</v>
      </c>
      <c r="O1829" s="4">
        <f t="shared" si="467"/>
        <v>29</v>
      </c>
      <c r="P1829" s="4">
        <f t="shared" si="468"/>
        <v>34</v>
      </c>
      <c r="Q1829" s="4">
        <f t="shared" si="469"/>
        <v>56</v>
      </c>
      <c r="R1829" s="4">
        <f t="shared" si="470"/>
        <v>45</v>
      </c>
      <c r="S1829" s="102">
        <f t="shared" si="471"/>
        <v>29</v>
      </c>
      <c r="U1829" s="101">
        <f t="shared" si="472"/>
        <v>78</v>
      </c>
      <c r="V1829" s="4">
        <f t="shared" si="473"/>
        <v>41</v>
      </c>
      <c r="W1829" s="4">
        <f t="shared" si="474"/>
        <v>41</v>
      </c>
      <c r="X1829" s="4">
        <f t="shared" si="475"/>
        <v>46</v>
      </c>
      <c r="Y1829" s="4">
        <f t="shared" si="476"/>
        <v>78</v>
      </c>
      <c r="Z1829" s="4">
        <f t="shared" si="477"/>
        <v>71</v>
      </c>
      <c r="AA1829" s="102">
        <f t="shared" si="478"/>
        <v>41</v>
      </c>
      <c r="AC1829" s="100">
        <f t="shared" si="479"/>
        <v>0.98460542509126403</v>
      </c>
    </row>
    <row r="1830" spans="4:29" x14ac:dyDescent="0.35">
      <c r="D1830">
        <f t="shared" si="480"/>
        <v>1826</v>
      </c>
      <c r="E1830" s="101">
        <v>1</v>
      </c>
      <c r="F1830" s="4">
        <v>5</v>
      </c>
      <c r="G1830" s="4">
        <v>5</v>
      </c>
      <c r="H1830" s="4">
        <v>4</v>
      </c>
      <c r="I1830" s="4">
        <v>6</v>
      </c>
      <c r="J1830" s="4">
        <v>6</v>
      </c>
      <c r="K1830" s="102">
        <v>6</v>
      </c>
      <c r="M1830" s="101">
        <f t="shared" si="465"/>
        <v>34</v>
      </c>
      <c r="N1830" s="4">
        <f t="shared" si="466"/>
        <v>30</v>
      </c>
      <c r="O1830" s="4">
        <f t="shared" si="467"/>
        <v>30</v>
      </c>
      <c r="P1830" s="4">
        <f t="shared" si="468"/>
        <v>12</v>
      </c>
      <c r="Q1830" s="4">
        <f t="shared" si="469"/>
        <v>45</v>
      </c>
      <c r="R1830" s="4">
        <f t="shared" si="470"/>
        <v>45</v>
      </c>
      <c r="S1830" s="102">
        <f t="shared" si="471"/>
        <v>45</v>
      </c>
      <c r="U1830" s="101">
        <f t="shared" si="472"/>
        <v>46</v>
      </c>
      <c r="V1830" s="4">
        <f t="shared" si="473"/>
        <v>39</v>
      </c>
      <c r="W1830" s="4">
        <f t="shared" si="474"/>
        <v>39</v>
      </c>
      <c r="X1830" s="4">
        <f t="shared" si="475"/>
        <v>9</v>
      </c>
      <c r="Y1830" s="4">
        <f t="shared" si="476"/>
        <v>71</v>
      </c>
      <c r="Z1830" s="4">
        <f t="shared" si="477"/>
        <v>71</v>
      </c>
      <c r="AA1830" s="102">
        <f t="shared" si="478"/>
        <v>71</v>
      </c>
      <c r="AC1830" s="100">
        <f t="shared" si="479"/>
        <v>0.99600130425846911</v>
      </c>
    </row>
    <row r="1831" spans="4:29" x14ac:dyDescent="0.35">
      <c r="D1831">
        <f t="shared" si="480"/>
        <v>1827</v>
      </c>
      <c r="E1831" s="101">
        <v>6</v>
      </c>
      <c r="F1831" s="4">
        <v>5</v>
      </c>
      <c r="G1831" s="4">
        <v>4</v>
      </c>
      <c r="H1831" s="4">
        <v>2</v>
      </c>
      <c r="I1831" s="4">
        <v>6</v>
      </c>
      <c r="J1831" s="4">
        <v>6</v>
      </c>
      <c r="K1831" s="102">
        <v>6</v>
      </c>
      <c r="M1831" s="101">
        <f t="shared" si="465"/>
        <v>45</v>
      </c>
      <c r="N1831" s="4">
        <f t="shared" si="466"/>
        <v>30</v>
      </c>
      <c r="O1831" s="4">
        <f t="shared" si="467"/>
        <v>12</v>
      </c>
      <c r="P1831" s="4">
        <f t="shared" si="468"/>
        <v>56</v>
      </c>
      <c r="Q1831" s="4">
        <f t="shared" si="469"/>
        <v>45</v>
      </c>
      <c r="R1831" s="4">
        <f t="shared" si="470"/>
        <v>45</v>
      </c>
      <c r="S1831" s="102">
        <f t="shared" si="471"/>
        <v>45</v>
      </c>
      <c r="U1831" s="101">
        <f t="shared" si="472"/>
        <v>71</v>
      </c>
      <c r="V1831" s="4">
        <f t="shared" si="473"/>
        <v>39</v>
      </c>
      <c r="W1831" s="4">
        <f t="shared" si="474"/>
        <v>9</v>
      </c>
      <c r="X1831" s="4">
        <f t="shared" si="475"/>
        <v>78</v>
      </c>
      <c r="Y1831" s="4">
        <f t="shared" si="476"/>
        <v>71</v>
      </c>
      <c r="Z1831" s="4">
        <f t="shared" si="477"/>
        <v>71</v>
      </c>
      <c r="AA1831" s="102">
        <f t="shared" si="478"/>
        <v>71</v>
      </c>
      <c r="AC1831" s="100">
        <f t="shared" si="479"/>
        <v>0.98291790073509755</v>
      </c>
    </row>
    <row r="1832" spans="4:29" x14ac:dyDescent="0.35">
      <c r="D1832">
        <f t="shared" si="480"/>
        <v>1828</v>
      </c>
      <c r="E1832" s="101">
        <v>2</v>
      </c>
      <c r="F1832" s="4">
        <v>2</v>
      </c>
      <c r="G1832" s="4">
        <v>1</v>
      </c>
      <c r="H1832" s="4">
        <v>5</v>
      </c>
      <c r="I1832" s="4">
        <v>4</v>
      </c>
      <c r="J1832" s="4">
        <v>5</v>
      </c>
      <c r="K1832" s="102">
        <v>4</v>
      </c>
      <c r="M1832" s="101">
        <f t="shared" si="465"/>
        <v>56</v>
      </c>
      <c r="N1832" s="4">
        <f t="shared" si="466"/>
        <v>56</v>
      </c>
      <c r="O1832" s="4">
        <f t="shared" si="467"/>
        <v>34</v>
      </c>
      <c r="P1832" s="4">
        <f t="shared" si="468"/>
        <v>30</v>
      </c>
      <c r="Q1832" s="4">
        <f t="shared" si="469"/>
        <v>12</v>
      </c>
      <c r="R1832" s="4">
        <f t="shared" si="470"/>
        <v>30</v>
      </c>
      <c r="S1832" s="102">
        <f t="shared" si="471"/>
        <v>12</v>
      </c>
      <c r="U1832" s="101">
        <f t="shared" si="472"/>
        <v>78</v>
      </c>
      <c r="V1832" s="4">
        <f t="shared" si="473"/>
        <v>78</v>
      </c>
      <c r="W1832" s="4">
        <f t="shared" si="474"/>
        <v>46</v>
      </c>
      <c r="X1832" s="4">
        <f t="shared" si="475"/>
        <v>39</v>
      </c>
      <c r="Y1832" s="4">
        <f t="shared" si="476"/>
        <v>9</v>
      </c>
      <c r="Z1832" s="4">
        <f t="shared" si="477"/>
        <v>39</v>
      </c>
      <c r="AA1832" s="102">
        <f t="shared" si="478"/>
        <v>9</v>
      </c>
      <c r="AC1832" s="100">
        <f t="shared" si="479"/>
        <v>0.99924091541056825</v>
      </c>
    </row>
    <row r="1833" spans="4:29" x14ac:dyDescent="0.35">
      <c r="D1833">
        <f t="shared" si="480"/>
        <v>1829</v>
      </c>
      <c r="E1833" s="101">
        <v>2</v>
      </c>
      <c r="F1833" s="4">
        <v>6</v>
      </c>
      <c r="G1833" s="4">
        <v>7</v>
      </c>
      <c r="H1833" s="4">
        <v>4</v>
      </c>
      <c r="I1833" s="4">
        <v>3</v>
      </c>
      <c r="J1833" s="4">
        <v>6</v>
      </c>
      <c r="K1833" s="102">
        <v>2</v>
      </c>
      <c r="M1833" s="101">
        <f t="shared" si="465"/>
        <v>56</v>
      </c>
      <c r="N1833" s="4">
        <f t="shared" si="466"/>
        <v>45</v>
      </c>
      <c r="O1833" s="4">
        <f t="shared" si="467"/>
        <v>29</v>
      </c>
      <c r="P1833" s="4">
        <f t="shared" si="468"/>
        <v>12</v>
      </c>
      <c r="Q1833" s="4">
        <f t="shared" si="469"/>
        <v>23</v>
      </c>
      <c r="R1833" s="4">
        <f t="shared" si="470"/>
        <v>45</v>
      </c>
      <c r="S1833" s="102">
        <f t="shared" si="471"/>
        <v>56</v>
      </c>
      <c r="U1833" s="101">
        <f t="shared" si="472"/>
        <v>78</v>
      </c>
      <c r="V1833" s="4">
        <f t="shared" si="473"/>
        <v>71</v>
      </c>
      <c r="W1833" s="4">
        <f t="shared" si="474"/>
        <v>41</v>
      </c>
      <c r="X1833" s="4">
        <f t="shared" si="475"/>
        <v>9</v>
      </c>
      <c r="Y1833" s="4">
        <f t="shared" si="476"/>
        <v>39</v>
      </c>
      <c r="Z1833" s="4">
        <f t="shared" si="477"/>
        <v>71</v>
      </c>
      <c r="AA1833" s="102">
        <f t="shared" si="478"/>
        <v>78</v>
      </c>
      <c r="AC1833" s="100">
        <f t="shared" si="479"/>
        <v>0.97761635748703524</v>
      </c>
    </row>
    <row r="1834" spans="4:29" x14ac:dyDescent="0.35">
      <c r="D1834">
        <f t="shared" si="480"/>
        <v>1830</v>
      </c>
      <c r="E1834" s="101">
        <v>2</v>
      </c>
      <c r="F1834" s="4">
        <v>6</v>
      </c>
      <c r="G1834" s="4">
        <v>6</v>
      </c>
      <c r="H1834" s="4">
        <v>5</v>
      </c>
      <c r="I1834" s="4">
        <v>2</v>
      </c>
      <c r="J1834" s="4">
        <v>2</v>
      </c>
      <c r="K1834" s="102">
        <v>1</v>
      </c>
      <c r="M1834" s="101">
        <f t="shared" si="465"/>
        <v>56</v>
      </c>
      <c r="N1834" s="4">
        <f t="shared" si="466"/>
        <v>45</v>
      </c>
      <c r="O1834" s="4">
        <f t="shared" si="467"/>
        <v>45</v>
      </c>
      <c r="P1834" s="4">
        <f t="shared" si="468"/>
        <v>30</v>
      </c>
      <c r="Q1834" s="4">
        <f t="shared" si="469"/>
        <v>56</v>
      </c>
      <c r="R1834" s="4">
        <f t="shared" si="470"/>
        <v>56</v>
      </c>
      <c r="S1834" s="102">
        <f t="shared" si="471"/>
        <v>34</v>
      </c>
      <c r="U1834" s="101">
        <f t="shared" si="472"/>
        <v>78</v>
      </c>
      <c r="V1834" s="4">
        <f t="shared" si="473"/>
        <v>71</v>
      </c>
      <c r="W1834" s="4">
        <f t="shared" si="474"/>
        <v>71</v>
      </c>
      <c r="X1834" s="4">
        <f t="shared" si="475"/>
        <v>39</v>
      </c>
      <c r="Y1834" s="4">
        <f t="shared" si="476"/>
        <v>78</v>
      </c>
      <c r="Z1834" s="4">
        <f t="shared" si="477"/>
        <v>78</v>
      </c>
      <c r="AA1834" s="102">
        <f t="shared" si="478"/>
        <v>46</v>
      </c>
      <c r="AC1834" s="100">
        <f t="shared" si="479"/>
        <v>0.96106735613385996</v>
      </c>
    </row>
    <row r="1835" spans="4:29" x14ac:dyDescent="0.35">
      <c r="D1835">
        <f t="shared" si="480"/>
        <v>1831</v>
      </c>
      <c r="E1835" s="101">
        <v>5</v>
      </c>
      <c r="F1835" s="4">
        <v>7</v>
      </c>
      <c r="G1835" s="4">
        <v>6</v>
      </c>
      <c r="H1835" s="4">
        <v>4</v>
      </c>
      <c r="I1835" s="4">
        <v>6</v>
      </c>
      <c r="J1835" s="4">
        <v>2</v>
      </c>
      <c r="K1835" s="102">
        <v>6</v>
      </c>
      <c r="M1835" s="101">
        <f t="shared" si="465"/>
        <v>30</v>
      </c>
      <c r="N1835" s="4">
        <f t="shared" si="466"/>
        <v>29</v>
      </c>
      <c r="O1835" s="4">
        <f t="shared" si="467"/>
        <v>45</v>
      </c>
      <c r="P1835" s="4">
        <f t="shared" si="468"/>
        <v>12</v>
      </c>
      <c r="Q1835" s="4">
        <f t="shared" si="469"/>
        <v>45</v>
      </c>
      <c r="R1835" s="4">
        <f t="shared" si="470"/>
        <v>56</v>
      </c>
      <c r="S1835" s="102">
        <f t="shared" si="471"/>
        <v>45</v>
      </c>
      <c r="U1835" s="101">
        <f t="shared" si="472"/>
        <v>39</v>
      </c>
      <c r="V1835" s="4">
        <f t="shared" si="473"/>
        <v>41</v>
      </c>
      <c r="W1835" s="4">
        <f t="shared" si="474"/>
        <v>71</v>
      </c>
      <c r="X1835" s="4">
        <f t="shared" si="475"/>
        <v>9</v>
      </c>
      <c r="Y1835" s="4">
        <f t="shared" si="476"/>
        <v>71</v>
      </c>
      <c r="Z1835" s="4">
        <f t="shared" si="477"/>
        <v>78</v>
      </c>
      <c r="AA1835" s="102">
        <f t="shared" si="478"/>
        <v>71</v>
      </c>
      <c r="AC1835" s="100">
        <f t="shared" si="479"/>
        <v>0.98454945795283189</v>
      </c>
    </row>
    <row r="1836" spans="4:29" x14ac:dyDescent="0.35">
      <c r="D1836">
        <f t="shared" si="480"/>
        <v>1832</v>
      </c>
      <c r="E1836" s="101">
        <v>7</v>
      </c>
      <c r="F1836" s="4">
        <v>2</v>
      </c>
      <c r="G1836" s="4">
        <v>4</v>
      </c>
      <c r="H1836" s="4">
        <v>6</v>
      </c>
      <c r="I1836" s="4">
        <v>7</v>
      </c>
      <c r="J1836" s="4">
        <v>5</v>
      </c>
      <c r="K1836" s="102">
        <v>2</v>
      </c>
      <c r="M1836" s="101">
        <f t="shared" si="465"/>
        <v>29</v>
      </c>
      <c r="N1836" s="4">
        <f t="shared" si="466"/>
        <v>56</v>
      </c>
      <c r="O1836" s="4">
        <f t="shared" si="467"/>
        <v>12</v>
      </c>
      <c r="P1836" s="4">
        <f t="shared" si="468"/>
        <v>45</v>
      </c>
      <c r="Q1836" s="4">
        <f t="shared" si="469"/>
        <v>29</v>
      </c>
      <c r="R1836" s="4">
        <f t="shared" si="470"/>
        <v>30</v>
      </c>
      <c r="S1836" s="102">
        <f t="shared" si="471"/>
        <v>56</v>
      </c>
      <c r="U1836" s="101">
        <f t="shared" si="472"/>
        <v>41</v>
      </c>
      <c r="V1836" s="4">
        <f t="shared" si="473"/>
        <v>78</v>
      </c>
      <c r="W1836" s="4">
        <f t="shared" si="474"/>
        <v>9</v>
      </c>
      <c r="X1836" s="4">
        <f t="shared" si="475"/>
        <v>71</v>
      </c>
      <c r="Y1836" s="4">
        <f t="shared" si="476"/>
        <v>41</v>
      </c>
      <c r="Z1836" s="4">
        <f t="shared" si="477"/>
        <v>39</v>
      </c>
      <c r="AA1836" s="102">
        <f t="shared" si="478"/>
        <v>78</v>
      </c>
      <c r="AC1836" s="100">
        <f t="shared" si="479"/>
        <v>0.98838974223778464</v>
      </c>
    </row>
    <row r="1837" spans="4:29" x14ac:dyDescent="0.35">
      <c r="D1837">
        <f t="shared" si="480"/>
        <v>1833</v>
      </c>
      <c r="E1837" s="101">
        <v>3</v>
      </c>
      <c r="F1837" s="4">
        <v>5</v>
      </c>
      <c r="G1837" s="4">
        <v>5</v>
      </c>
      <c r="H1837" s="4">
        <v>1</v>
      </c>
      <c r="I1837" s="4">
        <v>6</v>
      </c>
      <c r="J1837" s="4">
        <v>5</v>
      </c>
      <c r="K1837" s="102">
        <v>3</v>
      </c>
      <c r="M1837" s="101">
        <f t="shared" si="465"/>
        <v>23</v>
      </c>
      <c r="N1837" s="4">
        <f t="shared" si="466"/>
        <v>30</v>
      </c>
      <c r="O1837" s="4">
        <f t="shared" si="467"/>
        <v>30</v>
      </c>
      <c r="P1837" s="4">
        <f t="shared" si="468"/>
        <v>34</v>
      </c>
      <c r="Q1837" s="4">
        <f t="shared" si="469"/>
        <v>45</v>
      </c>
      <c r="R1837" s="4">
        <f t="shared" si="470"/>
        <v>30</v>
      </c>
      <c r="S1837" s="102">
        <f t="shared" si="471"/>
        <v>23</v>
      </c>
      <c r="U1837" s="101">
        <f t="shared" si="472"/>
        <v>39</v>
      </c>
      <c r="V1837" s="4">
        <f t="shared" si="473"/>
        <v>39</v>
      </c>
      <c r="W1837" s="4">
        <f t="shared" si="474"/>
        <v>39</v>
      </c>
      <c r="X1837" s="4">
        <f t="shared" si="475"/>
        <v>46</v>
      </c>
      <c r="Y1837" s="4">
        <f t="shared" si="476"/>
        <v>71</v>
      </c>
      <c r="Z1837" s="4">
        <f t="shared" si="477"/>
        <v>39</v>
      </c>
      <c r="AA1837" s="102">
        <f t="shared" si="478"/>
        <v>39</v>
      </c>
      <c r="AC1837" s="100">
        <f t="shared" si="479"/>
        <v>0.89620230173712845</v>
      </c>
    </row>
    <row r="1838" spans="4:29" x14ac:dyDescent="0.35">
      <c r="D1838">
        <f t="shared" si="480"/>
        <v>1834</v>
      </c>
      <c r="E1838" s="101">
        <v>3</v>
      </c>
      <c r="F1838" s="4">
        <v>3</v>
      </c>
      <c r="G1838" s="4">
        <v>4</v>
      </c>
      <c r="H1838" s="4">
        <v>3</v>
      </c>
      <c r="I1838" s="4">
        <v>2</v>
      </c>
      <c r="J1838" s="4">
        <v>5</v>
      </c>
      <c r="K1838" s="102">
        <v>1</v>
      </c>
      <c r="M1838" s="101">
        <f t="shared" si="465"/>
        <v>23</v>
      </c>
      <c r="N1838" s="4">
        <f t="shared" si="466"/>
        <v>23</v>
      </c>
      <c r="O1838" s="4">
        <f t="shared" si="467"/>
        <v>12</v>
      </c>
      <c r="P1838" s="4">
        <f t="shared" si="468"/>
        <v>23</v>
      </c>
      <c r="Q1838" s="4">
        <f t="shared" si="469"/>
        <v>56</v>
      </c>
      <c r="R1838" s="4">
        <f t="shared" si="470"/>
        <v>30</v>
      </c>
      <c r="S1838" s="102">
        <f t="shared" si="471"/>
        <v>34</v>
      </c>
      <c r="U1838" s="101">
        <f t="shared" si="472"/>
        <v>39</v>
      </c>
      <c r="V1838" s="4">
        <f t="shared" si="473"/>
        <v>39</v>
      </c>
      <c r="W1838" s="4">
        <f t="shared" si="474"/>
        <v>9</v>
      </c>
      <c r="X1838" s="4">
        <f t="shared" si="475"/>
        <v>39</v>
      </c>
      <c r="Y1838" s="4">
        <f t="shared" si="476"/>
        <v>78</v>
      </c>
      <c r="Z1838" s="4">
        <f t="shared" si="477"/>
        <v>39</v>
      </c>
      <c r="AA1838" s="102">
        <f t="shared" si="478"/>
        <v>46</v>
      </c>
      <c r="AC1838" s="100">
        <f t="shared" si="479"/>
        <v>0.95739155719686342</v>
      </c>
    </row>
    <row r="1839" spans="4:29" x14ac:dyDescent="0.35">
      <c r="D1839">
        <f t="shared" si="480"/>
        <v>1835</v>
      </c>
      <c r="E1839" s="101">
        <v>3</v>
      </c>
      <c r="F1839" s="4">
        <v>3</v>
      </c>
      <c r="G1839" s="4">
        <v>5</v>
      </c>
      <c r="H1839" s="4">
        <v>6</v>
      </c>
      <c r="I1839" s="4">
        <v>2</v>
      </c>
      <c r="J1839" s="4">
        <v>6</v>
      </c>
      <c r="K1839" s="102">
        <v>7</v>
      </c>
      <c r="M1839" s="101">
        <f t="shared" si="465"/>
        <v>23</v>
      </c>
      <c r="N1839" s="4">
        <f t="shared" si="466"/>
        <v>23</v>
      </c>
      <c r="O1839" s="4">
        <f t="shared" si="467"/>
        <v>30</v>
      </c>
      <c r="P1839" s="4">
        <f t="shared" si="468"/>
        <v>45</v>
      </c>
      <c r="Q1839" s="4">
        <f t="shared" si="469"/>
        <v>56</v>
      </c>
      <c r="R1839" s="4">
        <f t="shared" si="470"/>
        <v>45</v>
      </c>
      <c r="S1839" s="102">
        <f t="shared" si="471"/>
        <v>29</v>
      </c>
      <c r="U1839" s="101">
        <f t="shared" si="472"/>
        <v>39</v>
      </c>
      <c r="V1839" s="4">
        <f t="shared" si="473"/>
        <v>39</v>
      </c>
      <c r="W1839" s="4">
        <f t="shared" si="474"/>
        <v>39</v>
      </c>
      <c r="X1839" s="4">
        <f t="shared" si="475"/>
        <v>71</v>
      </c>
      <c r="Y1839" s="4">
        <f t="shared" si="476"/>
        <v>78</v>
      </c>
      <c r="Z1839" s="4">
        <f t="shared" si="477"/>
        <v>71</v>
      </c>
      <c r="AA1839" s="102">
        <f t="shared" si="478"/>
        <v>41</v>
      </c>
      <c r="AC1839" s="100">
        <f t="shared" si="479"/>
        <v>0.9673763955471949</v>
      </c>
    </row>
    <row r="1840" spans="4:29" x14ac:dyDescent="0.35">
      <c r="D1840">
        <f t="shared" si="480"/>
        <v>1836</v>
      </c>
      <c r="E1840" s="101">
        <v>1</v>
      </c>
      <c r="F1840" s="4">
        <v>4</v>
      </c>
      <c r="G1840" s="4">
        <v>5</v>
      </c>
      <c r="H1840" s="4">
        <v>5</v>
      </c>
      <c r="I1840" s="4">
        <v>3</v>
      </c>
      <c r="J1840" s="4">
        <v>1</v>
      </c>
      <c r="K1840" s="102">
        <v>5</v>
      </c>
      <c r="M1840" s="101">
        <f t="shared" si="465"/>
        <v>34</v>
      </c>
      <c r="N1840" s="4">
        <f t="shared" si="466"/>
        <v>12</v>
      </c>
      <c r="O1840" s="4">
        <f t="shared" si="467"/>
        <v>30</v>
      </c>
      <c r="P1840" s="4">
        <f t="shared" si="468"/>
        <v>30</v>
      </c>
      <c r="Q1840" s="4">
        <f t="shared" si="469"/>
        <v>23</v>
      </c>
      <c r="R1840" s="4">
        <f t="shared" si="470"/>
        <v>34</v>
      </c>
      <c r="S1840" s="102">
        <f t="shared" si="471"/>
        <v>30</v>
      </c>
      <c r="U1840" s="101">
        <f t="shared" si="472"/>
        <v>46</v>
      </c>
      <c r="V1840" s="4">
        <f t="shared" si="473"/>
        <v>9</v>
      </c>
      <c r="W1840" s="4">
        <f t="shared" si="474"/>
        <v>39</v>
      </c>
      <c r="X1840" s="4">
        <f t="shared" si="475"/>
        <v>39</v>
      </c>
      <c r="Y1840" s="4">
        <f t="shared" si="476"/>
        <v>39</v>
      </c>
      <c r="Z1840" s="4">
        <f t="shared" si="477"/>
        <v>46</v>
      </c>
      <c r="AA1840" s="102">
        <f t="shared" si="478"/>
        <v>39</v>
      </c>
      <c r="AC1840" s="100">
        <f t="shared" si="479"/>
        <v>0.94216697077416256</v>
      </c>
    </row>
    <row r="1841" spans="4:29" x14ac:dyDescent="0.35">
      <c r="D1841">
        <f t="shared" si="480"/>
        <v>1837</v>
      </c>
      <c r="E1841" s="101">
        <v>3</v>
      </c>
      <c r="F1841" s="4">
        <v>4</v>
      </c>
      <c r="G1841" s="4">
        <v>1</v>
      </c>
      <c r="H1841" s="4">
        <v>4</v>
      </c>
      <c r="I1841" s="4">
        <v>4</v>
      </c>
      <c r="J1841" s="4">
        <v>5</v>
      </c>
      <c r="K1841" s="102">
        <v>2</v>
      </c>
      <c r="M1841" s="101">
        <f t="shared" si="465"/>
        <v>23</v>
      </c>
      <c r="N1841" s="4">
        <f t="shared" si="466"/>
        <v>12</v>
      </c>
      <c r="O1841" s="4">
        <f t="shared" si="467"/>
        <v>34</v>
      </c>
      <c r="P1841" s="4">
        <f t="shared" si="468"/>
        <v>12</v>
      </c>
      <c r="Q1841" s="4">
        <f t="shared" si="469"/>
        <v>12</v>
      </c>
      <c r="R1841" s="4">
        <f t="shared" si="470"/>
        <v>30</v>
      </c>
      <c r="S1841" s="102">
        <f t="shared" si="471"/>
        <v>56</v>
      </c>
      <c r="U1841" s="101">
        <f t="shared" si="472"/>
        <v>39</v>
      </c>
      <c r="V1841" s="4">
        <f t="shared" si="473"/>
        <v>9</v>
      </c>
      <c r="W1841" s="4">
        <f t="shared" si="474"/>
        <v>46</v>
      </c>
      <c r="X1841" s="4">
        <f t="shared" si="475"/>
        <v>9</v>
      </c>
      <c r="Y1841" s="4">
        <f t="shared" si="476"/>
        <v>9</v>
      </c>
      <c r="Z1841" s="4">
        <f t="shared" si="477"/>
        <v>39</v>
      </c>
      <c r="AA1841" s="102">
        <f t="shared" si="478"/>
        <v>78</v>
      </c>
      <c r="AC1841" s="100">
        <f t="shared" si="479"/>
        <v>0.98351865289124452</v>
      </c>
    </row>
    <row r="1842" spans="4:29" x14ac:dyDescent="0.35">
      <c r="D1842">
        <f t="shared" si="480"/>
        <v>1838</v>
      </c>
      <c r="E1842" s="101">
        <v>2</v>
      </c>
      <c r="F1842" s="4">
        <v>5</v>
      </c>
      <c r="G1842" s="4">
        <v>5</v>
      </c>
      <c r="H1842" s="4">
        <v>2</v>
      </c>
      <c r="I1842" s="4">
        <v>5</v>
      </c>
      <c r="J1842" s="4">
        <v>1</v>
      </c>
      <c r="K1842" s="102">
        <v>4</v>
      </c>
      <c r="M1842" s="101">
        <f t="shared" si="465"/>
        <v>56</v>
      </c>
      <c r="N1842" s="4">
        <f t="shared" si="466"/>
        <v>30</v>
      </c>
      <c r="O1842" s="4">
        <f t="shared" si="467"/>
        <v>30</v>
      </c>
      <c r="P1842" s="4">
        <f t="shared" si="468"/>
        <v>56</v>
      </c>
      <c r="Q1842" s="4">
        <f t="shared" si="469"/>
        <v>30</v>
      </c>
      <c r="R1842" s="4">
        <f t="shared" si="470"/>
        <v>34</v>
      </c>
      <c r="S1842" s="102">
        <f t="shared" si="471"/>
        <v>12</v>
      </c>
      <c r="U1842" s="101">
        <f t="shared" si="472"/>
        <v>78</v>
      </c>
      <c r="V1842" s="4">
        <f t="shared" si="473"/>
        <v>39</v>
      </c>
      <c r="W1842" s="4">
        <f t="shared" si="474"/>
        <v>39</v>
      </c>
      <c r="X1842" s="4">
        <f t="shared" si="475"/>
        <v>78</v>
      </c>
      <c r="Y1842" s="4">
        <f t="shared" si="476"/>
        <v>39</v>
      </c>
      <c r="Z1842" s="4">
        <f t="shared" si="477"/>
        <v>46</v>
      </c>
      <c r="AA1842" s="102">
        <f t="shared" si="478"/>
        <v>9</v>
      </c>
      <c r="AC1842" s="100">
        <f t="shared" si="479"/>
        <v>0.99912330802563465</v>
      </c>
    </row>
    <row r="1843" spans="4:29" x14ac:dyDescent="0.35">
      <c r="D1843">
        <f t="shared" si="480"/>
        <v>1839</v>
      </c>
      <c r="E1843" s="101">
        <v>2</v>
      </c>
      <c r="F1843" s="4">
        <v>1</v>
      </c>
      <c r="G1843" s="4">
        <v>1</v>
      </c>
      <c r="H1843" s="4">
        <v>1</v>
      </c>
      <c r="I1843" s="4">
        <v>3</v>
      </c>
      <c r="J1843" s="4">
        <v>1</v>
      </c>
      <c r="K1843" s="102">
        <v>2</v>
      </c>
      <c r="M1843" s="101">
        <f t="shared" si="465"/>
        <v>56</v>
      </c>
      <c r="N1843" s="4">
        <f t="shared" si="466"/>
        <v>34</v>
      </c>
      <c r="O1843" s="4">
        <f t="shared" si="467"/>
        <v>34</v>
      </c>
      <c r="P1843" s="4">
        <f t="shared" si="468"/>
        <v>34</v>
      </c>
      <c r="Q1843" s="4">
        <f t="shared" si="469"/>
        <v>23</v>
      </c>
      <c r="R1843" s="4">
        <f t="shared" si="470"/>
        <v>34</v>
      </c>
      <c r="S1843" s="102">
        <f t="shared" si="471"/>
        <v>56</v>
      </c>
      <c r="U1843" s="101">
        <f t="shared" si="472"/>
        <v>78</v>
      </c>
      <c r="V1843" s="4">
        <f t="shared" si="473"/>
        <v>46</v>
      </c>
      <c r="W1843" s="4">
        <f t="shared" si="474"/>
        <v>46</v>
      </c>
      <c r="X1843" s="4">
        <f t="shared" si="475"/>
        <v>46</v>
      </c>
      <c r="Y1843" s="4">
        <f t="shared" si="476"/>
        <v>39</v>
      </c>
      <c r="Z1843" s="4">
        <f t="shared" si="477"/>
        <v>46</v>
      </c>
      <c r="AA1843" s="102">
        <f t="shared" si="478"/>
        <v>78</v>
      </c>
      <c r="AC1843" s="100">
        <f t="shared" si="479"/>
        <v>0.98519220182697453</v>
      </c>
    </row>
    <row r="1844" spans="4:29" x14ac:dyDescent="0.35">
      <c r="D1844">
        <f t="shared" si="480"/>
        <v>1840</v>
      </c>
      <c r="E1844" s="101">
        <v>3</v>
      </c>
      <c r="F1844" s="4">
        <v>3</v>
      </c>
      <c r="G1844" s="4">
        <v>6</v>
      </c>
      <c r="H1844" s="4">
        <v>5</v>
      </c>
      <c r="I1844" s="4">
        <v>7</v>
      </c>
      <c r="J1844" s="4">
        <v>4</v>
      </c>
      <c r="K1844" s="102">
        <v>5</v>
      </c>
      <c r="M1844" s="101">
        <f t="shared" si="465"/>
        <v>23</v>
      </c>
      <c r="N1844" s="4">
        <f t="shared" si="466"/>
        <v>23</v>
      </c>
      <c r="O1844" s="4">
        <f t="shared" si="467"/>
        <v>45</v>
      </c>
      <c r="P1844" s="4">
        <f t="shared" si="468"/>
        <v>30</v>
      </c>
      <c r="Q1844" s="4">
        <f t="shared" si="469"/>
        <v>29</v>
      </c>
      <c r="R1844" s="4">
        <f t="shared" si="470"/>
        <v>12</v>
      </c>
      <c r="S1844" s="102">
        <f t="shared" si="471"/>
        <v>30</v>
      </c>
      <c r="U1844" s="101">
        <f t="shared" si="472"/>
        <v>39</v>
      </c>
      <c r="V1844" s="4">
        <f t="shared" si="473"/>
        <v>39</v>
      </c>
      <c r="W1844" s="4">
        <f t="shared" si="474"/>
        <v>71</v>
      </c>
      <c r="X1844" s="4">
        <f t="shared" si="475"/>
        <v>39</v>
      </c>
      <c r="Y1844" s="4">
        <f t="shared" si="476"/>
        <v>41</v>
      </c>
      <c r="Z1844" s="4">
        <f t="shared" si="477"/>
        <v>9</v>
      </c>
      <c r="AA1844" s="102">
        <f t="shared" si="478"/>
        <v>39</v>
      </c>
      <c r="AC1844" s="100">
        <f t="shared" si="479"/>
        <v>0.95526246841897067</v>
      </c>
    </row>
    <row r="1845" spans="4:29" x14ac:dyDescent="0.35">
      <c r="D1845">
        <f t="shared" si="480"/>
        <v>1841</v>
      </c>
      <c r="E1845" s="101">
        <v>2</v>
      </c>
      <c r="F1845" s="4">
        <v>3</v>
      </c>
      <c r="G1845" s="4">
        <v>1</v>
      </c>
      <c r="H1845" s="4">
        <v>2</v>
      </c>
      <c r="I1845" s="4">
        <v>6</v>
      </c>
      <c r="J1845" s="4">
        <v>4</v>
      </c>
      <c r="K1845" s="102">
        <v>4</v>
      </c>
      <c r="M1845" s="101">
        <f t="shared" si="465"/>
        <v>56</v>
      </c>
      <c r="N1845" s="4">
        <f t="shared" si="466"/>
        <v>23</v>
      </c>
      <c r="O1845" s="4">
        <f t="shared" si="467"/>
        <v>34</v>
      </c>
      <c r="P1845" s="4">
        <f t="shared" si="468"/>
        <v>56</v>
      </c>
      <c r="Q1845" s="4">
        <f t="shared" si="469"/>
        <v>45</v>
      </c>
      <c r="R1845" s="4">
        <f t="shared" si="470"/>
        <v>12</v>
      </c>
      <c r="S1845" s="102">
        <f t="shared" si="471"/>
        <v>12</v>
      </c>
      <c r="U1845" s="101">
        <f t="shared" si="472"/>
        <v>78</v>
      </c>
      <c r="V1845" s="4">
        <f t="shared" si="473"/>
        <v>39</v>
      </c>
      <c r="W1845" s="4">
        <f t="shared" si="474"/>
        <v>46</v>
      </c>
      <c r="X1845" s="4">
        <f t="shared" si="475"/>
        <v>78</v>
      </c>
      <c r="Y1845" s="4">
        <f t="shared" si="476"/>
        <v>71</v>
      </c>
      <c r="Z1845" s="4">
        <f t="shared" si="477"/>
        <v>9</v>
      </c>
      <c r="AA1845" s="102">
        <f t="shared" si="478"/>
        <v>9</v>
      </c>
      <c r="AC1845" s="100">
        <f t="shared" si="479"/>
        <v>0.98329099951932075</v>
      </c>
    </row>
    <row r="1846" spans="4:29" x14ac:dyDescent="0.35">
      <c r="D1846">
        <f t="shared" si="480"/>
        <v>1842</v>
      </c>
      <c r="E1846" s="101">
        <v>7</v>
      </c>
      <c r="F1846" s="4">
        <v>4</v>
      </c>
      <c r="G1846" s="4">
        <v>7</v>
      </c>
      <c r="H1846" s="4">
        <v>3</v>
      </c>
      <c r="I1846" s="4">
        <v>2</v>
      </c>
      <c r="J1846" s="4">
        <v>7</v>
      </c>
      <c r="K1846" s="102">
        <v>3</v>
      </c>
      <c r="M1846" s="101">
        <f t="shared" si="465"/>
        <v>29</v>
      </c>
      <c r="N1846" s="4">
        <f t="shared" si="466"/>
        <v>12</v>
      </c>
      <c r="O1846" s="4">
        <f t="shared" si="467"/>
        <v>29</v>
      </c>
      <c r="P1846" s="4">
        <f t="shared" si="468"/>
        <v>23</v>
      </c>
      <c r="Q1846" s="4">
        <f t="shared" si="469"/>
        <v>56</v>
      </c>
      <c r="R1846" s="4">
        <f t="shared" si="470"/>
        <v>29</v>
      </c>
      <c r="S1846" s="102">
        <f t="shared" si="471"/>
        <v>23</v>
      </c>
      <c r="U1846" s="101">
        <f t="shared" si="472"/>
        <v>41</v>
      </c>
      <c r="V1846" s="4">
        <f t="shared" si="473"/>
        <v>9</v>
      </c>
      <c r="W1846" s="4">
        <f t="shared" si="474"/>
        <v>41</v>
      </c>
      <c r="X1846" s="4">
        <f t="shared" si="475"/>
        <v>39</v>
      </c>
      <c r="Y1846" s="4">
        <f t="shared" si="476"/>
        <v>78</v>
      </c>
      <c r="Z1846" s="4">
        <f t="shared" si="477"/>
        <v>41</v>
      </c>
      <c r="AA1846" s="102">
        <f t="shared" si="478"/>
        <v>39</v>
      </c>
      <c r="AC1846" s="100">
        <f t="shared" si="479"/>
        <v>0.96909339813174022</v>
      </c>
    </row>
    <row r="1847" spans="4:29" x14ac:dyDescent="0.35">
      <c r="D1847">
        <f t="shared" si="480"/>
        <v>1843</v>
      </c>
      <c r="E1847" s="101">
        <v>1</v>
      </c>
      <c r="F1847" s="4">
        <v>1</v>
      </c>
      <c r="G1847" s="4">
        <v>2</v>
      </c>
      <c r="H1847" s="4">
        <v>5</v>
      </c>
      <c r="I1847" s="4">
        <v>4</v>
      </c>
      <c r="J1847" s="4">
        <v>4</v>
      </c>
      <c r="K1847" s="102">
        <v>6</v>
      </c>
      <c r="M1847" s="101">
        <f t="shared" si="465"/>
        <v>34</v>
      </c>
      <c r="N1847" s="4">
        <f t="shared" si="466"/>
        <v>34</v>
      </c>
      <c r="O1847" s="4">
        <f t="shared" si="467"/>
        <v>56</v>
      </c>
      <c r="P1847" s="4">
        <f t="shared" si="468"/>
        <v>30</v>
      </c>
      <c r="Q1847" s="4">
        <f t="shared" si="469"/>
        <v>12</v>
      </c>
      <c r="R1847" s="4">
        <f t="shared" si="470"/>
        <v>12</v>
      </c>
      <c r="S1847" s="102">
        <f t="shared" si="471"/>
        <v>45</v>
      </c>
      <c r="U1847" s="101">
        <f t="shared" si="472"/>
        <v>46</v>
      </c>
      <c r="V1847" s="4">
        <f t="shared" si="473"/>
        <v>46</v>
      </c>
      <c r="W1847" s="4">
        <f t="shared" si="474"/>
        <v>78</v>
      </c>
      <c r="X1847" s="4">
        <f t="shared" si="475"/>
        <v>39</v>
      </c>
      <c r="Y1847" s="4">
        <f t="shared" si="476"/>
        <v>9</v>
      </c>
      <c r="Z1847" s="4">
        <f t="shared" si="477"/>
        <v>9</v>
      </c>
      <c r="AA1847" s="102">
        <f t="shared" si="478"/>
        <v>71</v>
      </c>
      <c r="AC1847" s="100">
        <f t="shared" si="479"/>
        <v>0.99235286726261807</v>
      </c>
    </row>
    <row r="1848" spans="4:29" x14ac:dyDescent="0.35">
      <c r="D1848">
        <f t="shared" si="480"/>
        <v>1844</v>
      </c>
      <c r="E1848" s="101">
        <v>1</v>
      </c>
      <c r="F1848" s="4">
        <v>3</v>
      </c>
      <c r="G1848" s="4">
        <v>1</v>
      </c>
      <c r="H1848" s="4">
        <v>2</v>
      </c>
      <c r="I1848" s="4">
        <v>6</v>
      </c>
      <c r="J1848" s="4">
        <v>6</v>
      </c>
      <c r="K1848" s="102">
        <v>6</v>
      </c>
      <c r="M1848" s="101">
        <f t="shared" si="465"/>
        <v>34</v>
      </c>
      <c r="N1848" s="4">
        <f t="shared" si="466"/>
        <v>23</v>
      </c>
      <c r="O1848" s="4">
        <f t="shared" si="467"/>
        <v>34</v>
      </c>
      <c r="P1848" s="4">
        <f t="shared" si="468"/>
        <v>56</v>
      </c>
      <c r="Q1848" s="4">
        <f t="shared" si="469"/>
        <v>45</v>
      </c>
      <c r="R1848" s="4">
        <f t="shared" si="470"/>
        <v>45</v>
      </c>
      <c r="S1848" s="102">
        <f t="shared" si="471"/>
        <v>45</v>
      </c>
      <c r="U1848" s="101">
        <f t="shared" si="472"/>
        <v>46</v>
      </c>
      <c r="V1848" s="4">
        <f t="shared" si="473"/>
        <v>39</v>
      </c>
      <c r="W1848" s="4">
        <f t="shared" si="474"/>
        <v>46</v>
      </c>
      <c r="X1848" s="4">
        <f t="shared" si="475"/>
        <v>78</v>
      </c>
      <c r="Y1848" s="4">
        <f t="shared" si="476"/>
        <v>71</v>
      </c>
      <c r="Z1848" s="4">
        <f t="shared" si="477"/>
        <v>71</v>
      </c>
      <c r="AA1848" s="102">
        <f t="shared" si="478"/>
        <v>71</v>
      </c>
      <c r="AC1848" s="100">
        <f t="shared" si="479"/>
        <v>0.95361093992578783</v>
      </c>
    </row>
    <row r="1849" spans="4:29" x14ac:dyDescent="0.35">
      <c r="D1849">
        <f t="shared" si="480"/>
        <v>1845</v>
      </c>
      <c r="E1849" s="101">
        <v>7</v>
      </c>
      <c r="F1849" s="4">
        <v>3</v>
      </c>
      <c r="G1849" s="4">
        <v>6</v>
      </c>
      <c r="H1849" s="4">
        <v>6</v>
      </c>
      <c r="I1849" s="4">
        <v>2</v>
      </c>
      <c r="J1849" s="4">
        <v>7</v>
      </c>
      <c r="K1849" s="102">
        <v>6</v>
      </c>
      <c r="M1849" s="101">
        <f t="shared" si="465"/>
        <v>29</v>
      </c>
      <c r="N1849" s="4">
        <f t="shared" si="466"/>
        <v>23</v>
      </c>
      <c r="O1849" s="4">
        <f t="shared" si="467"/>
        <v>45</v>
      </c>
      <c r="P1849" s="4">
        <f t="shared" si="468"/>
        <v>45</v>
      </c>
      <c r="Q1849" s="4">
        <f t="shared" si="469"/>
        <v>56</v>
      </c>
      <c r="R1849" s="4">
        <f t="shared" si="470"/>
        <v>29</v>
      </c>
      <c r="S1849" s="102">
        <f t="shared" si="471"/>
        <v>45</v>
      </c>
      <c r="U1849" s="101">
        <f t="shared" si="472"/>
        <v>41</v>
      </c>
      <c r="V1849" s="4">
        <f t="shared" si="473"/>
        <v>39</v>
      </c>
      <c r="W1849" s="4">
        <f t="shared" si="474"/>
        <v>71</v>
      </c>
      <c r="X1849" s="4">
        <f t="shared" si="475"/>
        <v>71</v>
      </c>
      <c r="Y1849" s="4">
        <f t="shared" si="476"/>
        <v>78</v>
      </c>
      <c r="Z1849" s="4">
        <f t="shared" si="477"/>
        <v>41</v>
      </c>
      <c r="AA1849" s="102">
        <f t="shared" si="478"/>
        <v>71</v>
      </c>
      <c r="AC1849" s="100">
        <f t="shared" si="479"/>
        <v>0.97275756672687597</v>
      </c>
    </row>
    <row r="1850" spans="4:29" x14ac:dyDescent="0.35">
      <c r="D1850">
        <f t="shared" si="480"/>
        <v>1846</v>
      </c>
      <c r="E1850" s="101">
        <v>4</v>
      </c>
      <c r="F1850" s="4">
        <v>7</v>
      </c>
      <c r="G1850" s="4">
        <v>2</v>
      </c>
      <c r="H1850" s="4">
        <v>5</v>
      </c>
      <c r="I1850" s="4">
        <v>4</v>
      </c>
      <c r="J1850" s="4">
        <v>6</v>
      </c>
      <c r="K1850" s="102">
        <v>7</v>
      </c>
      <c r="M1850" s="101">
        <f t="shared" si="465"/>
        <v>12</v>
      </c>
      <c r="N1850" s="4">
        <f t="shared" si="466"/>
        <v>29</v>
      </c>
      <c r="O1850" s="4">
        <f t="shared" si="467"/>
        <v>56</v>
      </c>
      <c r="P1850" s="4">
        <f t="shared" si="468"/>
        <v>30</v>
      </c>
      <c r="Q1850" s="4">
        <f t="shared" si="469"/>
        <v>12</v>
      </c>
      <c r="R1850" s="4">
        <f t="shared" si="470"/>
        <v>45</v>
      </c>
      <c r="S1850" s="102">
        <f t="shared" si="471"/>
        <v>29</v>
      </c>
      <c r="U1850" s="101">
        <f t="shared" si="472"/>
        <v>9</v>
      </c>
      <c r="V1850" s="4">
        <f t="shared" si="473"/>
        <v>41</v>
      </c>
      <c r="W1850" s="4">
        <f t="shared" si="474"/>
        <v>78</v>
      </c>
      <c r="X1850" s="4">
        <f t="shared" si="475"/>
        <v>39</v>
      </c>
      <c r="Y1850" s="4">
        <f t="shared" si="476"/>
        <v>9</v>
      </c>
      <c r="Z1850" s="4">
        <f t="shared" si="477"/>
        <v>71</v>
      </c>
      <c r="AA1850" s="102">
        <f t="shared" si="478"/>
        <v>41</v>
      </c>
      <c r="AC1850" s="100">
        <f t="shared" si="479"/>
        <v>0.9906828628605433</v>
      </c>
    </row>
    <row r="1851" spans="4:29" x14ac:dyDescent="0.35">
      <c r="D1851">
        <f t="shared" si="480"/>
        <v>1847</v>
      </c>
      <c r="E1851" s="101">
        <v>2</v>
      </c>
      <c r="F1851" s="4">
        <v>3</v>
      </c>
      <c r="G1851" s="4">
        <v>3</v>
      </c>
      <c r="H1851" s="4">
        <v>1</v>
      </c>
      <c r="I1851" s="4">
        <v>4</v>
      </c>
      <c r="J1851" s="4">
        <v>4</v>
      </c>
      <c r="K1851" s="102">
        <v>1</v>
      </c>
      <c r="M1851" s="101">
        <f t="shared" si="465"/>
        <v>56</v>
      </c>
      <c r="N1851" s="4">
        <f t="shared" si="466"/>
        <v>23</v>
      </c>
      <c r="O1851" s="4">
        <f t="shared" si="467"/>
        <v>23</v>
      </c>
      <c r="P1851" s="4">
        <f t="shared" si="468"/>
        <v>34</v>
      </c>
      <c r="Q1851" s="4">
        <f t="shared" si="469"/>
        <v>12</v>
      </c>
      <c r="R1851" s="4">
        <f t="shared" si="470"/>
        <v>12</v>
      </c>
      <c r="S1851" s="102">
        <f t="shared" si="471"/>
        <v>34</v>
      </c>
      <c r="U1851" s="101">
        <f t="shared" si="472"/>
        <v>78</v>
      </c>
      <c r="V1851" s="4">
        <f t="shared" si="473"/>
        <v>39</v>
      </c>
      <c r="W1851" s="4">
        <f t="shared" si="474"/>
        <v>39</v>
      </c>
      <c r="X1851" s="4">
        <f t="shared" si="475"/>
        <v>46</v>
      </c>
      <c r="Y1851" s="4">
        <f t="shared" si="476"/>
        <v>9</v>
      </c>
      <c r="Z1851" s="4">
        <f t="shared" si="477"/>
        <v>9</v>
      </c>
      <c r="AA1851" s="102">
        <f t="shared" si="478"/>
        <v>46</v>
      </c>
      <c r="AC1851" s="100">
        <f t="shared" si="479"/>
        <v>0.97037435946476192</v>
      </c>
    </row>
    <row r="1852" spans="4:29" x14ac:dyDescent="0.35">
      <c r="D1852">
        <f t="shared" si="480"/>
        <v>1848</v>
      </c>
      <c r="E1852" s="101">
        <v>2</v>
      </c>
      <c r="F1852" s="4">
        <v>5</v>
      </c>
      <c r="G1852" s="4">
        <v>3</v>
      </c>
      <c r="H1852" s="4">
        <v>2</v>
      </c>
      <c r="I1852" s="4">
        <v>2</v>
      </c>
      <c r="J1852" s="4">
        <v>3</v>
      </c>
      <c r="K1852" s="102">
        <v>7</v>
      </c>
      <c r="M1852" s="101">
        <f t="shared" si="465"/>
        <v>56</v>
      </c>
      <c r="N1852" s="4">
        <f t="shared" si="466"/>
        <v>30</v>
      </c>
      <c r="O1852" s="4">
        <f t="shared" si="467"/>
        <v>23</v>
      </c>
      <c r="P1852" s="4">
        <f t="shared" si="468"/>
        <v>56</v>
      </c>
      <c r="Q1852" s="4">
        <f t="shared" si="469"/>
        <v>56</v>
      </c>
      <c r="R1852" s="4">
        <f t="shared" si="470"/>
        <v>23</v>
      </c>
      <c r="S1852" s="102">
        <f t="shared" si="471"/>
        <v>29</v>
      </c>
      <c r="U1852" s="101">
        <f t="shared" si="472"/>
        <v>78</v>
      </c>
      <c r="V1852" s="4">
        <f t="shared" si="473"/>
        <v>39</v>
      </c>
      <c r="W1852" s="4">
        <f t="shared" si="474"/>
        <v>39</v>
      </c>
      <c r="X1852" s="4">
        <f t="shared" si="475"/>
        <v>78</v>
      </c>
      <c r="Y1852" s="4">
        <f t="shared" si="476"/>
        <v>78</v>
      </c>
      <c r="Z1852" s="4">
        <f t="shared" si="477"/>
        <v>39</v>
      </c>
      <c r="AA1852" s="102">
        <f t="shared" si="478"/>
        <v>41</v>
      </c>
      <c r="AC1852" s="100">
        <f t="shared" si="479"/>
        <v>0.988382081612032</v>
      </c>
    </row>
    <row r="1853" spans="4:29" x14ac:dyDescent="0.35">
      <c r="D1853">
        <f t="shared" si="480"/>
        <v>1849</v>
      </c>
      <c r="E1853" s="101">
        <v>6</v>
      </c>
      <c r="F1853" s="4">
        <v>1</v>
      </c>
      <c r="G1853" s="4">
        <v>5</v>
      </c>
      <c r="H1853" s="4">
        <v>1</v>
      </c>
      <c r="I1853" s="4">
        <v>2</v>
      </c>
      <c r="J1853" s="4">
        <v>4</v>
      </c>
      <c r="K1853" s="102">
        <v>6</v>
      </c>
      <c r="M1853" s="101">
        <f t="shared" si="465"/>
        <v>45</v>
      </c>
      <c r="N1853" s="4">
        <f t="shared" si="466"/>
        <v>34</v>
      </c>
      <c r="O1853" s="4">
        <f t="shared" si="467"/>
        <v>30</v>
      </c>
      <c r="P1853" s="4">
        <f t="shared" si="468"/>
        <v>34</v>
      </c>
      <c r="Q1853" s="4">
        <f t="shared" si="469"/>
        <v>56</v>
      </c>
      <c r="R1853" s="4">
        <f t="shared" si="470"/>
        <v>12</v>
      </c>
      <c r="S1853" s="102">
        <f t="shared" si="471"/>
        <v>45</v>
      </c>
      <c r="U1853" s="101">
        <f t="shared" si="472"/>
        <v>71</v>
      </c>
      <c r="V1853" s="4">
        <f t="shared" si="473"/>
        <v>46</v>
      </c>
      <c r="W1853" s="4">
        <f t="shared" si="474"/>
        <v>39</v>
      </c>
      <c r="X1853" s="4">
        <f t="shared" si="475"/>
        <v>46</v>
      </c>
      <c r="Y1853" s="4">
        <f t="shared" si="476"/>
        <v>78</v>
      </c>
      <c r="Z1853" s="4">
        <f t="shared" si="477"/>
        <v>9</v>
      </c>
      <c r="AA1853" s="102">
        <f t="shared" si="478"/>
        <v>71</v>
      </c>
      <c r="AC1853" s="100">
        <f t="shared" si="479"/>
        <v>0.98542430833609496</v>
      </c>
    </row>
    <row r="1854" spans="4:29" x14ac:dyDescent="0.35">
      <c r="D1854">
        <f t="shared" si="480"/>
        <v>1850</v>
      </c>
      <c r="E1854" s="101">
        <v>5</v>
      </c>
      <c r="F1854" s="4">
        <v>6</v>
      </c>
      <c r="G1854" s="4">
        <v>2</v>
      </c>
      <c r="H1854" s="4">
        <v>3</v>
      </c>
      <c r="I1854" s="4">
        <v>4</v>
      </c>
      <c r="J1854" s="4">
        <v>4</v>
      </c>
      <c r="K1854" s="102">
        <v>4</v>
      </c>
      <c r="M1854" s="101">
        <f t="shared" si="465"/>
        <v>30</v>
      </c>
      <c r="N1854" s="4">
        <f t="shared" si="466"/>
        <v>45</v>
      </c>
      <c r="O1854" s="4">
        <f t="shared" si="467"/>
        <v>56</v>
      </c>
      <c r="P1854" s="4">
        <f t="shared" si="468"/>
        <v>23</v>
      </c>
      <c r="Q1854" s="4">
        <f t="shared" si="469"/>
        <v>12</v>
      </c>
      <c r="R1854" s="4">
        <f t="shared" si="470"/>
        <v>12</v>
      </c>
      <c r="S1854" s="102">
        <f t="shared" si="471"/>
        <v>12</v>
      </c>
      <c r="U1854" s="101">
        <f t="shared" si="472"/>
        <v>39</v>
      </c>
      <c r="V1854" s="4">
        <f t="shared" si="473"/>
        <v>71</v>
      </c>
      <c r="W1854" s="4">
        <f t="shared" si="474"/>
        <v>78</v>
      </c>
      <c r="X1854" s="4">
        <f t="shared" si="475"/>
        <v>39</v>
      </c>
      <c r="Y1854" s="4">
        <f t="shared" si="476"/>
        <v>9</v>
      </c>
      <c r="Z1854" s="4">
        <f t="shared" si="477"/>
        <v>9</v>
      </c>
      <c r="AA1854" s="102">
        <f t="shared" si="478"/>
        <v>9</v>
      </c>
      <c r="AC1854" s="100">
        <f t="shared" si="479"/>
        <v>0.98317541146557941</v>
      </c>
    </row>
    <row r="1855" spans="4:29" x14ac:dyDescent="0.35">
      <c r="D1855">
        <f t="shared" si="480"/>
        <v>1851</v>
      </c>
      <c r="E1855" s="101">
        <v>1</v>
      </c>
      <c r="F1855" s="4">
        <v>1</v>
      </c>
      <c r="G1855" s="4">
        <v>1</v>
      </c>
      <c r="H1855" s="4">
        <v>5</v>
      </c>
      <c r="I1855" s="4">
        <v>6</v>
      </c>
      <c r="J1855" s="4">
        <v>6</v>
      </c>
      <c r="K1855" s="102">
        <v>4</v>
      </c>
      <c r="M1855" s="101">
        <f t="shared" si="465"/>
        <v>34</v>
      </c>
      <c r="N1855" s="4">
        <f t="shared" si="466"/>
        <v>34</v>
      </c>
      <c r="O1855" s="4">
        <f t="shared" si="467"/>
        <v>34</v>
      </c>
      <c r="P1855" s="4">
        <f t="shared" si="468"/>
        <v>30</v>
      </c>
      <c r="Q1855" s="4">
        <f t="shared" si="469"/>
        <v>45</v>
      </c>
      <c r="R1855" s="4">
        <f t="shared" si="470"/>
        <v>45</v>
      </c>
      <c r="S1855" s="102">
        <f t="shared" si="471"/>
        <v>12</v>
      </c>
      <c r="U1855" s="101">
        <f t="shared" si="472"/>
        <v>46</v>
      </c>
      <c r="V1855" s="4">
        <f t="shared" si="473"/>
        <v>46</v>
      </c>
      <c r="W1855" s="4">
        <f t="shared" si="474"/>
        <v>46</v>
      </c>
      <c r="X1855" s="4">
        <f t="shared" si="475"/>
        <v>39</v>
      </c>
      <c r="Y1855" s="4">
        <f t="shared" si="476"/>
        <v>71</v>
      </c>
      <c r="Z1855" s="4">
        <f t="shared" si="477"/>
        <v>71</v>
      </c>
      <c r="AA1855" s="102">
        <f t="shared" si="478"/>
        <v>9</v>
      </c>
      <c r="AC1855" s="100">
        <f t="shared" si="479"/>
        <v>0.99426390608473914</v>
      </c>
    </row>
    <row r="1856" spans="4:29" x14ac:dyDescent="0.35">
      <c r="D1856">
        <f t="shared" si="480"/>
        <v>1852</v>
      </c>
      <c r="E1856" s="101">
        <v>6</v>
      </c>
      <c r="F1856" s="4">
        <v>6</v>
      </c>
      <c r="G1856" s="4">
        <v>3</v>
      </c>
      <c r="H1856" s="4">
        <v>5</v>
      </c>
      <c r="I1856" s="4">
        <v>5</v>
      </c>
      <c r="J1856" s="4">
        <v>4</v>
      </c>
      <c r="K1856" s="102">
        <v>4</v>
      </c>
      <c r="M1856" s="101">
        <f t="shared" si="465"/>
        <v>45</v>
      </c>
      <c r="N1856" s="4">
        <f t="shared" si="466"/>
        <v>45</v>
      </c>
      <c r="O1856" s="4">
        <f t="shared" si="467"/>
        <v>23</v>
      </c>
      <c r="P1856" s="4">
        <f t="shared" si="468"/>
        <v>30</v>
      </c>
      <c r="Q1856" s="4">
        <f t="shared" si="469"/>
        <v>30</v>
      </c>
      <c r="R1856" s="4">
        <f t="shared" si="470"/>
        <v>12</v>
      </c>
      <c r="S1856" s="102">
        <f t="shared" si="471"/>
        <v>12</v>
      </c>
      <c r="U1856" s="101">
        <f t="shared" si="472"/>
        <v>71</v>
      </c>
      <c r="V1856" s="4">
        <f t="shared" si="473"/>
        <v>71</v>
      </c>
      <c r="W1856" s="4">
        <f t="shared" si="474"/>
        <v>39</v>
      </c>
      <c r="X1856" s="4">
        <f t="shared" si="475"/>
        <v>39</v>
      </c>
      <c r="Y1856" s="4">
        <f t="shared" si="476"/>
        <v>39</v>
      </c>
      <c r="Z1856" s="4">
        <f t="shared" si="477"/>
        <v>9</v>
      </c>
      <c r="AA1856" s="102">
        <f t="shared" si="478"/>
        <v>9</v>
      </c>
      <c r="AC1856" s="100">
        <f t="shared" si="479"/>
        <v>0.98527621464022319</v>
      </c>
    </row>
    <row r="1857" spans="4:29" x14ac:dyDescent="0.35">
      <c r="D1857">
        <f t="shared" si="480"/>
        <v>1853</v>
      </c>
      <c r="E1857" s="101">
        <v>7</v>
      </c>
      <c r="F1857" s="4">
        <v>7</v>
      </c>
      <c r="G1857" s="4">
        <v>5</v>
      </c>
      <c r="H1857" s="4">
        <v>7</v>
      </c>
      <c r="I1857" s="4">
        <v>7</v>
      </c>
      <c r="J1857" s="4">
        <v>5</v>
      </c>
      <c r="K1857" s="102">
        <v>2</v>
      </c>
      <c r="M1857" s="101">
        <f t="shared" si="465"/>
        <v>29</v>
      </c>
      <c r="N1857" s="4">
        <f t="shared" si="466"/>
        <v>29</v>
      </c>
      <c r="O1857" s="4">
        <f t="shared" si="467"/>
        <v>30</v>
      </c>
      <c r="P1857" s="4">
        <f t="shared" si="468"/>
        <v>29</v>
      </c>
      <c r="Q1857" s="4">
        <f t="shared" si="469"/>
        <v>29</v>
      </c>
      <c r="R1857" s="4">
        <f t="shared" si="470"/>
        <v>30</v>
      </c>
      <c r="S1857" s="102">
        <f t="shared" si="471"/>
        <v>56</v>
      </c>
      <c r="U1857" s="101">
        <f t="shared" si="472"/>
        <v>41</v>
      </c>
      <c r="V1857" s="4">
        <f t="shared" si="473"/>
        <v>41</v>
      </c>
      <c r="W1857" s="4">
        <f t="shared" si="474"/>
        <v>39</v>
      </c>
      <c r="X1857" s="4">
        <f t="shared" si="475"/>
        <v>41</v>
      </c>
      <c r="Y1857" s="4">
        <f t="shared" si="476"/>
        <v>41</v>
      </c>
      <c r="Z1857" s="4">
        <f t="shared" si="477"/>
        <v>39</v>
      </c>
      <c r="AA1857" s="102">
        <f t="shared" si="478"/>
        <v>78</v>
      </c>
      <c r="AC1857" s="100">
        <f t="shared" si="479"/>
        <v>0.99363760271760293</v>
      </c>
    </row>
    <row r="1858" spans="4:29" x14ac:dyDescent="0.35">
      <c r="D1858">
        <f t="shared" si="480"/>
        <v>1854</v>
      </c>
      <c r="E1858" s="101">
        <v>1</v>
      </c>
      <c r="F1858" s="4">
        <v>6</v>
      </c>
      <c r="G1858" s="4">
        <v>4</v>
      </c>
      <c r="H1858" s="4">
        <v>5</v>
      </c>
      <c r="I1858" s="4">
        <v>1</v>
      </c>
      <c r="J1858" s="4">
        <v>7</v>
      </c>
      <c r="K1858" s="102">
        <v>1</v>
      </c>
      <c r="M1858" s="101">
        <f t="shared" si="465"/>
        <v>34</v>
      </c>
      <c r="N1858" s="4">
        <f t="shared" si="466"/>
        <v>45</v>
      </c>
      <c r="O1858" s="4">
        <f t="shared" si="467"/>
        <v>12</v>
      </c>
      <c r="P1858" s="4">
        <f t="shared" si="468"/>
        <v>30</v>
      </c>
      <c r="Q1858" s="4">
        <f t="shared" si="469"/>
        <v>34</v>
      </c>
      <c r="R1858" s="4">
        <f t="shared" si="470"/>
        <v>29</v>
      </c>
      <c r="S1858" s="102">
        <f t="shared" si="471"/>
        <v>34</v>
      </c>
      <c r="U1858" s="101">
        <f t="shared" si="472"/>
        <v>46</v>
      </c>
      <c r="V1858" s="4">
        <f t="shared" si="473"/>
        <v>71</v>
      </c>
      <c r="W1858" s="4">
        <f t="shared" si="474"/>
        <v>9</v>
      </c>
      <c r="X1858" s="4">
        <f t="shared" si="475"/>
        <v>39</v>
      </c>
      <c r="Y1858" s="4">
        <f t="shared" si="476"/>
        <v>46</v>
      </c>
      <c r="Z1858" s="4">
        <f t="shared" si="477"/>
        <v>41</v>
      </c>
      <c r="AA1858" s="102">
        <f t="shared" si="478"/>
        <v>46</v>
      </c>
      <c r="AC1858" s="100">
        <f t="shared" si="479"/>
        <v>0.99268119966678847</v>
      </c>
    </row>
    <row r="1859" spans="4:29" x14ac:dyDescent="0.35">
      <c r="D1859">
        <f t="shared" si="480"/>
        <v>1855</v>
      </c>
      <c r="E1859" s="101">
        <v>1</v>
      </c>
      <c r="F1859" s="4">
        <v>1</v>
      </c>
      <c r="G1859" s="4">
        <v>7</v>
      </c>
      <c r="H1859" s="4">
        <v>5</v>
      </c>
      <c r="I1859" s="4">
        <v>6</v>
      </c>
      <c r="J1859" s="4">
        <v>6</v>
      </c>
      <c r="K1859" s="102">
        <v>2</v>
      </c>
      <c r="M1859" s="101">
        <f t="shared" si="465"/>
        <v>34</v>
      </c>
      <c r="N1859" s="4">
        <f t="shared" si="466"/>
        <v>34</v>
      </c>
      <c r="O1859" s="4">
        <f t="shared" si="467"/>
        <v>29</v>
      </c>
      <c r="P1859" s="4">
        <f t="shared" si="468"/>
        <v>30</v>
      </c>
      <c r="Q1859" s="4">
        <f t="shared" si="469"/>
        <v>45</v>
      </c>
      <c r="R1859" s="4">
        <f t="shared" si="470"/>
        <v>45</v>
      </c>
      <c r="S1859" s="102">
        <f t="shared" si="471"/>
        <v>56</v>
      </c>
      <c r="U1859" s="101">
        <f t="shared" si="472"/>
        <v>46</v>
      </c>
      <c r="V1859" s="4">
        <f t="shared" si="473"/>
        <v>46</v>
      </c>
      <c r="W1859" s="4">
        <f t="shared" si="474"/>
        <v>41</v>
      </c>
      <c r="X1859" s="4">
        <f t="shared" si="475"/>
        <v>39</v>
      </c>
      <c r="Y1859" s="4">
        <f t="shared" si="476"/>
        <v>71</v>
      </c>
      <c r="Z1859" s="4">
        <f t="shared" si="477"/>
        <v>71</v>
      </c>
      <c r="AA1859" s="102">
        <f t="shared" si="478"/>
        <v>78</v>
      </c>
      <c r="AC1859" s="100">
        <f t="shared" si="479"/>
        <v>0.96888555416468625</v>
      </c>
    </row>
    <row r="1860" spans="4:29" x14ac:dyDescent="0.35">
      <c r="D1860">
        <f t="shared" si="480"/>
        <v>1856</v>
      </c>
      <c r="E1860" s="101">
        <v>6</v>
      </c>
      <c r="F1860" s="4">
        <v>4</v>
      </c>
      <c r="G1860" s="4">
        <v>3</v>
      </c>
      <c r="H1860" s="4">
        <v>3</v>
      </c>
      <c r="I1860" s="4">
        <v>3</v>
      </c>
      <c r="J1860" s="4">
        <v>2</v>
      </c>
      <c r="K1860" s="102">
        <v>4</v>
      </c>
      <c r="M1860" s="101">
        <f t="shared" si="465"/>
        <v>45</v>
      </c>
      <c r="N1860" s="4">
        <f t="shared" si="466"/>
        <v>12</v>
      </c>
      <c r="O1860" s="4">
        <f t="shared" si="467"/>
        <v>23</v>
      </c>
      <c r="P1860" s="4">
        <f t="shared" si="468"/>
        <v>23</v>
      </c>
      <c r="Q1860" s="4">
        <f t="shared" si="469"/>
        <v>23</v>
      </c>
      <c r="R1860" s="4">
        <f t="shared" si="470"/>
        <v>56</v>
      </c>
      <c r="S1860" s="102">
        <f t="shared" si="471"/>
        <v>12</v>
      </c>
      <c r="U1860" s="101">
        <f t="shared" si="472"/>
        <v>71</v>
      </c>
      <c r="V1860" s="4">
        <f t="shared" si="473"/>
        <v>9</v>
      </c>
      <c r="W1860" s="4">
        <f t="shared" si="474"/>
        <v>39</v>
      </c>
      <c r="X1860" s="4">
        <f t="shared" si="475"/>
        <v>39</v>
      </c>
      <c r="Y1860" s="4">
        <f t="shared" si="476"/>
        <v>39</v>
      </c>
      <c r="Z1860" s="4">
        <f t="shared" si="477"/>
        <v>78</v>
      </c>
      <c r="AA1860" s="102">
        <f t="shared" si="478"/>
        <v>9</v>
      </c>
      <c r="AC1860" s="100">
        <f t="shared" si="479"/>
        <v>0.96988798242072072</v>
      </c>
    </row>
    <row r="1861" spans="4:29" x14ac:dyDescent="0.35">
      <c r="D1861">
        <f t="shared" si="480"/>
        <v>1857</v>
      </c>
      <c r="E1861" s="101">
        <v>1</v>
      </c>
      <c r="F1861" s="4">
        <v>7</v>
      </c>
      <c r="G1861" s="4">
        <v>3</v>
      </c>
      <c r="H1861" s="4">
        <v>6</v>
      </c>
      <c r="I1861" s="4">
        <v>1</v>
      </c>
      <c r="J1861" s="4">
        <v>4</v>
      </c>
      <c r="K1861" s="102">
        <v>7</v>
      </c>
      <c r="M1861" s="101">
        <f t="shared" si="465"/>
        <v>34</v>
      </c>
      <c r="N1861" s="4">
        <f t="shared" si="466"/>
        <v>29</v>
      </c>
      <c r="O1861" s="4">
        <f t="shared" si="467"/>
        <v>23</v>
      </c>
      <c r="P1861" s="4">
        <f t="shared" si="468"/>
        <v>45</v>
      </c>
      <c r="Q1861" s="4">
        <f t="shared" si="469"/>
        <v>34</v>
      </c>
      <c r="R1861" s="4">
        <f t="shared" si="470"/>
        <v>12</v>
      </c>
      <c r="S1861" s="102">
        <f t="shared" si="471"/>
        <v>29</v>
      </c>
      <c r="U1861" s="101">
        <f t="shared" si="472"/>
        <v>46</v>
      </c>
      <c r="V1861" s="4">
        <f t="shared" si="473"/>
        <v>41</v>
      </c>
      <c r="W1861" s="4">
        <f t="shared" si="474"/>
        <v>39</v>
      </c>
      <c r="X1861" s="4">
        <f t="shared" si="475"/>
        <v>71</v>
      </c>
      <c r="Y1861" s="4">
        <f t="shared" si="476"/>
        <v>46</v>
      </c>
      <c r="Z1861" s="4">
        <f t="shared" si="477"/>
        <v>9</v>
      </c>
      <c r="AA1861" s="102">
        <f t="shared" si="478"/>
        <v>41</v>
      </c>
      <c r="AC1861" s="100">
        <f t="shared" si="479"/>
        <v>0.97203229021936843</v>
      </c>
    </row>
    <row r="1862" spans="4:29" x14ac:dyDescent="0.35">
      <c r="D1862">
        <f t="shared" si="480"/>
        <v>1858</v>
      </c>
      <c r="E1862" s="101">
        <v>5</v>
      </c>
      <c r="F1862" s="4">
        <v>3</v>
      </c>
      <c r="G1862" s="4">
        <v>4</v>
      </c>
      <c r="H1862" s="4">
        <v>3</v>
      </c>
      <c r="I1862" s="4">
        <v>4</v>
      </c>
      <c r="J1862" s="4">
        <v>1</v>
      </c>
      <c r="K1862" s="102">
        <v>5</v>
      </c>
      <c r="M1862" s="101">
        <f t="shared" ref="M1862:M1925" si="481">INDEX($A$5:$A$11,E1862)</f>
        <v>30</v>
      </c>
      <c r="N1862" s="4">
        <f t="shared" ref="N1862:N1925" si="482">INDEX($A$5:$A$11,F1862)</f>
        <v>23</v>
      </c>
      <c r="O1862" s="4">
        <f t="shared" ref="O1862:O1925" si="483">INDEX($A$5:$A$11,G1862)</f>
        <v>12</v>
      </c>
      <c r="P1862" s="4">
        <f t="shared" ref="P1862:P1925" si="484">INDEX($A$5:$A$11,H1862)</f>
        <v>23</v>
      </c>
      <c r="Q1862" s="4">
        <f t="shared" ref="Q1862:Q1925" si="485">INDEX($A$5:$A$11,I1862)</f>
        <v>12</v>
      </c>
      <c r="R1862" s="4">
        <f t="shared" ref="R1862:R1925" si="486">INDEX($A$5:$A$11,J1862)</f>
        <v>34</v>
      </c>
      <c r="S1862" s="102">
        <f t="shared" ref="S1862:S1925" si="487">INDEX($A$5:$A$11,K1862)</f>
        <v>30</v>
      </c>
      <c r="U1862" s="101">
        <f t="shared" ref="U1862:U1925" si="488">INDEX($B$5:$B$11,E1862)</f>
        <v>39</v>
      </c>
      <c r="V1862" s="4">
        <f t="shared" ref="V1862:V1925" si="489">INDEX($B$5:$B$11,F1862)</f>
        <v>39</v>
      </c>
      <c r="W1862" s="4">
        <f t="shared" ref="W1862:W1925" si="490">INDEX($B$5:$B$11,G1862)</f>
        <v>9</v>
      </c>
      <c r="X1862" s="4">
        <f t="shared" ref="X1862:X1925" si="491">INDEX($B$5:$B$11,H1862)</f>
        <v>39</v>
      </c>
      <c r="Y1862" s="4">
        <f t="shared" ref="Y1862:Y1925" si="492">INDEX($B$5:$B$11,I1862)</f>
        <v>9</v>
      </c>
      <c r="Z1862" s="4">
        <f t="shared" ref="Z1862:Z1925" si="493">INDEX($B$5:$B$11,J1862)</f>
        <v>46</v>
      </c>
      <c r="AA1862" s="102">
        <f t="shared" ref="AA1862:AA1925" si="494">INDEX($B$5:$B$11,K1862)</f>
        <v>39</v>
      </c>
      <c r="AC1862" s="100">
        <f t="shared" ref="AC1862:AC1925" si="495">CORREL(M1862:S1862,U1862:AA1862)</f>
        <v>0.93124694950680198</v>
      </c>
    </row>
    <row r="1863" spans="4:29" x14ac:dyDescent="0.35">
      <c r="D1863">
        <f t="shared" ref="D1863:D1926" si="496">D1862+1</f>
        <v>1859</v>
      </c>
      <c r="E1863" s="101">
        <v>3</v>
      </c>
      <c r="F1863" s="4">
        <v>3</v>
      </c>
      <c r="G1863" s="4">
        <v>5</v>
      </c>
      <c r="H1863" s="4">
        <v>1</v>
      </c>
      <c r="I1863" s="4">
        <v>3</v>
      </c>
      <c r="J1863" s="4">
        <v>3</v>
      </c>
      <c r="K1863" s="102">
        <v>2</v>
      </c>
      <c r="M1863" s="101">
        <f t="shared" si="481"/>
        <v>23</v>
      </c>
      <c r="N1863" s="4">
        <f t="shared" si="482"/>
        <v>23</v>
      </c>
      <c r="O1863" s="4">
        <f t="shared" si="483"/>
        <v>30</v>
      </c>
      <c r="P1863" s="4">
        <f t="shared" si="484"/>
        <v>34</v>
      </c>
      <c r="Q1863" s="4">
        <f t="shared" si="485"/>
        <v>23</v>
      </c>
      <c r="R1863" s="4">
        <f t="shared" si="486"/>
        <v>23</v>
      </c>
      <c r="S1863" s="102">
        <f t="shared" si="487"/>
        <v>56</v>
      </c>
      <c r="U1863" s="101">
        <f t="shared" si="488"/>
        <v>39</v>
      </c>
      <c r="V1863" s="4">
        <f t="shared" si="489"/>
        <v>39</v>
      </c>
      <c r="W1863" s="4">
        <f t="shared" si="490"/>
        <v>39</v>
      </c>
      <c r="X1863" s="4">
        <f t="shared" si="491"/>
        <v>46</v>
      </c>
      <c r="Y1863" s="4">
        <f t="shared" si="492"/>
        <v>39</v>
      </c>
      <c r="Z1863" s="4">
        <f t="shared" si="493"/>
        <v>39</v>
      </c>
      <c r="AA1863" s="102">
        <f t="shared" si="494"/>
        <v>78</v>
      </c>
      <c r="AC1863" s="100">
        <f t="shared" si="495"/>
        <v>0.97001328287306332</v>
      </c>
    </row>
    <row r="1864" spans="4:29" x14ac:dyDescent="0.35">
      <c r="D1864">
        <f t="shared" si="496"/>
        <v>1860</v>
      </c>
      <c r="E1864" s="101">
        <v>5</v>
      </c>
      <c r="F1864" s="4">
        <v>7</v>
      </c>
      <c r="G1864" s="4">
        <v>5</v>
      </c>
      <c r="H1864" s="4">
        <v>1</v>
      </c>
      <c r="I1864" s="4">
        <v>4</v>
      </c>
      <c r="J1864" s="4">
        <v>4</v>
      </c>
      <c r="K1864" s="102">
        <v>4</v>
      </c>
      <c r="M1864" s="101">
        <f t="shared" si="481"/>
        <v>30</v>
      </c>
      <c r="N1864" s="4">
        <f t="shared" si="482"/>
        <v>29</v>
      </c>
      <c r="O1864" s="4">
        <f t="shared" si="483"/>
        <v>30</v>
      </c>
      <c r="P1864" s="4">
        <f t="shared" si="484"/>
        <v>34</v>
      </c>
      <c r="Q1864" s="4">
        <f t="shared" si="485"/>
        <v>12</v>
      </c>
      <c r="R1864" s="4">
        <f t="shared" si="486"/>
        <v>12</v>
      </c>
      <c r="S1864" s="102">
        <f t="shared" si="487"/>
        <v>12</v>
      </c>
      <c r="U1864" s="101">
        <f t="shared" si="488"/>
        <v>39</v>
      </c>
      <c r="V1864" s="4">
        <f t="shared" si="489"/>
        <v>41</v>
      </c>
      <c r="W1864" s="4">
        <f t="shared" si="490"/>
        <v>39</v>
      </c>
      <c r="X1864" s="4">
        <f t="shared" si="491"/>
        <v>46</v>
      </c>
      <c r="Y1864" s="4">
        <f t="shared" si="492"/>
        <v>9</v>
      </c>
      <c r="Z1864" s="4">
        <f t="shared" si="493"/>
        <v>9</v>
      </c>
      <c r="AA1864" s="102">
        <f t="shared" si="494"/>
        <v>9</v>
      </c>
      <c r="AC1864" s="100">
        <f t="shared" si="495"/>
        <v>0.99721326234206775</v>
      </c>
    </row>
    <row r="1865" spans="4:29" x14ac:dyDescent="0.35">
      <c r="D1865">
        <f t="shared" si="496"/>
        <v>1861</v>
      </c>
      <c r="E1865" s="101">
        <v>3</v>
      </c>
      <c r="F1865" s="4">
        <v>4</v>
      </c>
      <c r="G1865" s="4">
        <v>5</v>
      </c>
      <c r="H1865" s="4">
        <v>4</v>
      </c>
      <c r="I1865" s="4">
        <v>7</v>
      </c>
      <c r="J1865" s="4">
        <v>5</v>
      </c>
      <c r="K1865" s="102">
        <v>6</v>
      </c>
      <c r="M1865" s="101">
        <f t="shared" si="481"/>
        <v>23</v>
      </c>
      <c r="N1865" s="4">
        <f t="shared" si="482"/>
        <v>12</v>
      </c>
      <c r="O1865" s="4">
        <f t="shared" si="483"/>
        <v>30</v>
      </c>
      <c r="P1865" s="4">
        <f t="shared" si="484"/>
        <v>12</v>
      </c>
      <c r="Q1865" s="4">
        <f t="shared" si="485"/>
        <v>29</v>
      </c>
      <c r="R1865" s="4">
        <f t="shared" si="486"/>
        <v>30</v>
      </c>
      <c r="S1865" s="102">
        <f t="shared" si="487"/>
        <v>45</v>
      </c>
      <c r="U1865" s="101">
        <f t="shared" si="488"/>
        <v>39</v>
      </c>
      <c r="V1865" s="4">
        <f t="shared" si="489"/>
        <v>9</v>
      </c>
      <c r="W1865" s="4">
        <f t="shared" si="490"/>
        <v>39</v>
      </c>
      <c r="X1865" s="4">
        <f t="shared" si="491"/>
        <v>9</v>
      </c>
      <c r="Y1865" s="4">
        <f t="shared" si="492"/>
        <v>41</v>
      </c>
      <c r="Z1865" s="4">
        <f t="shared" si="493"/>
        <v>39</v>
      </c>
      <c r="AA1865" s="102">
        <f t="shared" si="494"/>
        <v>71</v>
      </c>
      <c r="AC1865" s="100">
        <f t="shared" si="495"/>
        <v>0.97935356222467762</v>
      </c>
    </row>
    <row r="1866" spans="4:29" x14ac:dyDescent="0.35">
      <c r="D1866">
        <f t="shared" si="496"/>
        <v>1862</v>
      </c>
      <c r="E1866" s="101">
        <v>6</v>
      </c>
      <c r="F1866" s="4">
        <v>5</v>
      </c>
      <c r="G1866" s="4">
        <v>3</v>
      </c>
      <c r="H1866" s="4">
        <v>5</v>
      </c>
      <c r="I1866" s="4">
        <v>4</v>
      </c>
      <c r="J1866" s="4">
        <v>5</v>
      </c>
      <c r="K1866" s="102">
        <v>2</v>
      </c>
      <c r="M1866" s="101">
        <f t="shared" si="481"/>
        <v>45</v>
      </c>
      <c r="N1866" s="4">
        <f t="shared" si="482"/>
        <v>30</v>
      </c>
      <c r="O1866" s="4">
        <f t="shared" si="483"/>
        <v>23</v>
      </c>
      <c r="P1866" s="4">
        <f t="shared" si="484"/>
        <v>30</v>
      </c>
      <c r="Q1866" s="4">
        <f t="shared" si="485"/>
        <v>12</v>
      </c>
      <c r="R1866" s="4">
        <f t="shared" si="486"/>
        <v>30</v>
      </c>
      <c r="S1866" s="102">
        <f t="shared" si="487"/>
        <v>56</v>
      </c>
      <c r="U1866" s="101">
        <f t="shared" si="488"/>
        <v>71</v>
      </c>
      <c r="V1866" s="4">
        <f t="shared" si="489"/>
        <v>39</v>
      </c>
      <c r="W1866" s="4">
        <f t="shared" si="490"/>
        <v>39</v>
      </c>
      <c r="X1866" s="4">
        <f t="shared" si="491"/>
        <v>39</v>
      </c>
      <c r="Y1866" s="4">
        <f t="shared" si="492"/>
        <v>9</v>
      </c>
      <c r="Z1866" s="4">
        <f t="shared" si="493"/>
        <v>39</v>
      </c>
      <c r="AA1866" s="102">
        <f t="shared" si="494"/>
        <v>78</v>
      </c>
      <c r="AC1866" s="100">
        <f t="shared" si="495"/>
        <v>0.9743192399207431</v>
      </c>
    </row>
    <row r="1867" spans="4:29" x14ac:dyDescent="0.35">
      <c r="D1867">
        <f t="shared" si="496"/>
        <v>1863</v>
      </c>
      <c r="E1867" s="101">
        <v>5</v>
      </c>
      <c r="F1867" s="4">
        <v>3</v>
      </c>
      <c r="G1867" s="4">
        <v>7</v>
      </c>
      <c r="H1867" s="4">
        <v>3</v>
      </c>
      <c r="I1867" s="4">
        <v>5</v>
      </c>
      <c r="J1867" s="4">
        <v>7</v>
      </c>
      <c r="K1867" s="102">
        <v>4</v>
      </c>
      <c r="M1867" s="101">
        <f t="shared" si="481"/>
        <v>30</v>
      </c>
      <c r="N1867" s="4">
        <f t="shared" si="482"/>
        <v>23</v>
      </c>
      <c r="O1867" s="4">
        <f t="shared" si="483"/>
        <v>29</v>
      </c>
      <c r="P1867" s="4">
        <f t="shared" si="484"/>
        <v>23</v>
      </c>
      <c r="Q1867" s="4">
        <f t="shared" si="485"/>
        <v>30</v>
      </c>
      <c r="R1867" s="4">
        <f t="shared" si="486"/>
        <v>29</v>
      </c>
      <c r="S1867" s="102">
        <f t="shared" si="487"/>
        <v>12</v>
      </c>
      <c r="U1867" s="101">
        <f t="shared" si="488"/>
        <v>39</v>
      </c>
      <c r="V1867" s="4">
        <f t="shared" si="489"/>
        <v>39</v>
      </c>
      <c r="W1867" s="4">
        <f t="shared" si="490"/>
        <v>41</v>
      </c>
      <c r="X1867" s="4">
        <f t="shared" si="491"/>
        <v>39</v>
      </c>
      <c r="Y1867" s="4">
        <f t="shared" si="492"/>
        <v>39</v>
      </c>
      <c r="Z1867" s="4">
        <f t="shared" si="493"/>
        <v>41</v>
      </c>
      <c r="AA1867" s="102">
        <f t="shared" si="494"/>
        <v>9</v>
      </c>
      <c r="AC1867" s="100">
        <f t="shared" si="495"/>
        <v>0.8939760468148491</v>
      </c>
    </row>
    <row r="1868" spans="4:29" x14ac:dyDescent="0.35">
      <c r="D1868">
        <f t="shared" si="496"/>
        <v>1864</v>
      </c>
      <c r="E1868" s="101">
        <v>7</v>
      </c>
      <c r="F1868" s="4">
        <v>4</v>
      </c>
      <c r="G1868" s="4">
        <v>7</v>
      </c>
      <c r="H1868" s="4">
        <v>7</v>
      </c>
      <c r="I1868" s="4">
        <v>5</v>
      </c>
      <c r="J1868" s="4">
        <v>6</v>
      </c>
      <c r="K1868" s="102">
        <v>6</v>
      </c>
      <c r="M1868" s="101">
        <f t="shared" si="481"/>
        <v>29</v>
      </c>
      <c r="N1868" s="4">
        <f t="shared" si="482"/>
        <v>12</v>
      </c>
      <c r="O1868" s="4">
        <f t="shared" si="483"/>
        <v>29</v>
      </c>
      <c r="P1868" s="4">
        <f t="shared" si="484"/>
        <v>29</v>
      </c>
      <c r="Q1868" s="4">
        <f t="shared" si="485"/>
        <v>30</v>
      </c>
      <c r="R1868" s="4">
        <f t="shared" si="486"/>
        <v>45</v>
      </c>
      <c r="S1868" s="102">
        <f t="shared" si="487"/>
        <v>45</v>
      </c>
      <c r="U1868" s="101">
        <f t="shared" si="488"/>
        <v>41</v>
      </c>
      <c r="V1868" s="4">
        <f t="shared" si="489"/>
        <v>9</v>
      </c>
      <c r="W1868" s="4">
        <f t="shared" si="490"/>
        <v>41</v>
      </c>
      <c r="X1868" s="4">
        <f t="shared" si="491"/>
        <v>41</v>
      </c>
      <c r="Y1868" s="4">
        <f t="shared" si="492"/>
        <v>39</v>
      </c>
      <c r="Z1868" s="4">
        <f t="shared" si="493"/>
        <v>71</v>
      </c>
      <c r="AA1868" s="102">
        <f t="shared" si="494"/>
        <v>71</v>
      </c>
      <c r="AC1868" s="100">
        <f t="shared" si="495"/>
        <v>0.99767724683952597</v>
      </c>
    </row>
    <row r="1869" spans="4:29" x14ac:dyDescent="0.35">
      <c r="D1869">
        <f t="shared" si="496"/>
        <v>1865</v>
      </c>
      <c r="E1869" s="101">
        <v>6</v>
      </c>
      <c r="F1869" s="4">
        <v>3</v>
      </c>
      <c r="G1869" s="4">
        <v>4</v>
      </c>
      <c r="H1869" s="4">
        <v>3</v>
      </c>
      <c r="I1869" s="4">
        <v>3</v>
      </c>
      <c r="J1869" s="4">
        <v>6</v>
      </c>
      <c r="K1869" s="102">
        <v>3</v>
      </c>
      <c r="M1869" s="101">
        <f t="shared" si="481"/>
        <v>45</v>
      </c>
      <c r="N1869" s="4">
        <f t="shared" si="482"/>
        <v>23</v>
      </c>
      <c r="O1869" s="4">
        <f t="shared" si="483"/>
        <v>12</v>
      </c>
      <c r="P1869" s="4">
        <f t="shared" si="484"/>
        <v>23</v>
      </c>
      <c r="Q1869" s="4">
        <f t="shared" si="485"/>
        <v>23</v>
      </c>
      <c r="R1869" s="4">
        <f t="shared" si="486"/>
        <v>45</v>
      </c>
      <c r="S1869" s="102">
        <f t="shared" si="487"/>
        <v>23</v>
      </c>
      <c r="U1869" s="101">
        <f t="shared" si="488"/>
        <v>71</v>
      </c>
      <c r="V1869" s="4">
        <f t="shared" si="489"/>
        <v>39</v>
      </c>
      <c r="W1869" s="4">
        <f t="shared" si="490"/>
        <v>9</v>
      </c>
      <c r="X1869" s="4">
        <f t="shared" si="491"/>
        <v>39</v>
      </c>
      <c r="Y1869" s="4">
        <f t="shared" si="492"/>
        <v>39</v>
      </c>
      <c r="Z1869" s="4">
        <f t="shared" si="493"/>
        <v>71</v>
      </c>
      <c r="AA1869" s="102">
        <f t="shared" si="494"/>
        <v>39</v>
      </c>
      <c r="AC1869" s="100">
        <f t="shared" si="495"/>
        <v>0.97890907942381766</v>
      </c>
    </row>
    <row r="1870" spans="4:29" x14ac:dyDescent="0.35">
      <c r="D1870">
        <f t="shared" si="496"/>
        <v>1866</v>
      </c>
      <c r="E1870" s="101">
        <v>2</v>
      </c>
      <c r="F1870" s="4">
        <v>6</v>
      </c>
      <c r="G1870" s="4">
        <v>6</v>
      </c>
      <c r="H1870" s="4">
        <v>6</v>
      </c>
      <c r="I1870" s="4">
        <v>3</v>
      </c>
      <c r="J1870" s="4">
        <v>5</v>
      </c>
      <c r="K1870" s="102">
        <v>3</v>
      </c>
      <c r="M1870" s="101">
        <f t="shared" si="481"/>
        <v>56</v>
      </c>
      <c r="N1870" s="4">
        <f t="shared" si="482"/>
        <v>45</v>
      </c>
      <c r="O1870" s="4">
        <f t="shared" si="483"/>
        <v>45</v>
      </c>
      <c r="P1870" s="4">
        <f t="shared" si="484"/>
        <v>45</v>
      </c>
      <c r="Q1870" s="4">
        <f t="shared" si="485"/>
        <v>23</v>
      </c>
      <c r="R1870" s="4">
        <f t="shared" si="486"/>
        <v>30</v>
      </c>
      <c r="S1870" s="102">
        <f t="shared" si="487"/>
        <v>23</v>
      </c>
      <c r="U1870" s="101">
        <f t="shared" si="488"/>
        <v>78</v>
      </c>
      <c r="V1870" s="4">
        <f t="shared" si="489"/>
        <v>71</v>
      </c>
      <c r="W1870" s="4">
        <f t="shared" si="490"/>
        <v>71</v>
      </c>
      <c r="X1870" s="4">
        <f t="shared" si="491"/>
        <v>71</v>
      </c>
      <c r="Y1870" s="4">
        <f t="shared" si="492"/>
        <v>39</v>
      </c>
      <c r="Z1870" s="4">
        <f t="shared" si="493"/>
        <v>39</v>
      </c>
      <c r="AA1870" s="102">
        <f t="shared" si="494"/>
        <v>39</v>
      </c>
      <c r="AC1870" s="100">
        <f t="shared" si="495"/>
        <v>0.96782517688668457</v>
      </c>
    </row>
    <row r="1871" spans="4:29" x14ac:dyDescent="0.35">
      <c r="D1871">
        <f t="shared" si="496"/>
        <v>1867</v>
      </c>
      <c r="E1871" s="101">
        <v>6</v>
      </c>
      <c r="F1871" s="4">
        <v>7</v>
      </c>
      <c r="G1871" s="4">
        <v>7</v>
      </c>
      <c r="H1871" s="4">
        <v>6</v>
      </c>
      <c r="I1871" s="4">
        <v>5</v>
      </c>
      <c r="J1871" s="4">
        <v>2</v>
      </c>
      <c r="K1871" s="102">
        <v>6</v>
      </c>
      <c r="M1871" s="101">
        <f t="shared" si="481"/>
        <v>45</v>
      </c>
      <c r="N1871" s="4">
        <f t="shared" si="482"/>
        <v>29</v>
      </c>
      <c r="O1871" s="4">
        <f t="shared" si="483"/>
        <v>29</v>
      </c>
      <c r="P1871" s="4">
        <f t="shared" si="484"/>
        <v>45</v>
      </c>
      <c r="Q1871" s="4">
        <f t="shared" si="485"/>
        <v>30</v>
      </c>
      <c r="R1871" s="4">
        <f t="shared" si="486"/>
        <v>56</v>
      </c>
      <c r="S1871" s="102">
        <f t="shared" si="487"/>
        <v>45</v>
      </c>
      <c r="U1871" s="101">
        <f t="shared" si="488"/>
        <v>71</v>
      </c>
      <c r="V1871" s="4">
        <f t="shared" si="489"/>
        <v>41</v>
      </c>
      <c r="W1871" s="4">
        <f t="shared" si="490"/>
        <v>41</v>
      </c>
      <c r="X1871" s="4">
        <f t="shared" si="491"/>
        <v>71</v>
      </c>
      <c r="Y1871" s="4">
        <f t="shared" si="492"/>
        <v>39</v>
      </c>
      <c r="Z1871" s="4">
        <f t="shared" si="493"/>
        <v>78</v>
      </c>
      <c r="AA1871" s="102">
        <f t="shared" si="494"/>
        <v>71</v>
      </c>
      <c r="AC1871" s="100">
        <f t="shared" si="495"/>
        <v>0.97027497035587984</v>
      </c>
    </row>
    <row r="1872" spans="4:29" x14ac:dyDescent="0.35">
      <c r="D1872">
        <f t="shared" si="496"/>
        <v>1868</v>
      </c>
      <c r="E1872" s="101">
        <v>5</v>
      </c>
      <c r="F1872" s="4">
        <v>7</v>
      </c>
      <c r="G1872" s="4">
        <v>4</v>
      </c>
      <c r="H1872" s="4">
        <v>7</v>
      </c>
      <c r="I1872" s="4">
        <v>1</v>
      </c>
      <c r="J1872" s="4">
        <v>2</v>
      </c>
      <c r="K1872" s="102">
        <v>3</v>
      </c>
      <c r="M1872" s="101">
        <f t="shared" si="481"/>
        <v>30</v>
      </c>
      <c r="N1872" s="4">
        <f t="shared" si="482"/>
        <v>29</v>
      </c>
      <c r="O1872" s="4">
        <f t="shared" si="483"/>
        <v>12</v>
      </c>
      <c r="P1872" s="4">
        <f t="shared" si="484"/>
        <v>29</v>
      </c>
      <c r="Q1872" s="4">
        <f t="shared" si="485"/>
        <v>34</v>
      </c>
      <c r="R1872" s="4">
        <f t="shared" si="486"/>
        <v>56</v>
      </c>
      <c r="S1872" s="102">
        <f t="shared" si="487"/>
        <v>23</v>
      </c>
      <c r="U1872" s="101">
        <f t="shared" si="488"/>
        <v>39</v>
      </c>
      <c r="V1872" s="4">
        <f t="shared" si="489"/>
        <v>41</v>
      </c>
      <c r="W1872" s="4">
        <f t="shared" si="490"/>
        <v>9</v>
      </c>
      <c r="X1872" s="4">
        <f t="shared" si="491"/>
        <v>41</v>
      </c>
      <c r="Y1872" s="4">
        <f t="shared" si="492"/>
        <v>46</v>
      </c>
      <c r="Z1872" s="4">
        <f t="shared" si="493"/>
        <v>78</v>
      </c>
      <c r="AA1872" s="102">
        <f t="shared" si="494"/>
        <v>39</v>
      </c>
      <c r="AC1872" s="100">
        <f t="shared" si="495"/>
        <v>0.97709452528133567</v>
      </c>
    </row>
    <row r="1873" spans="4:29" x14ac:dyDescent="0.35">
      <c r="D1873">
        <f t="shared" si="496"/>
        <v>1869</v>
      </c>
      <c r="E1873" s="101">
        <v>4</v>
      </c>
      <c r="F1873" s="4">
        <v>2</v>
      </c>
      <c r="G1873" s="4">
        <v>3</v>
      </c>
      <c r="H1873" s="4">
        <v>3</v>
      </c>
      <c r="I1873" s="4">
        <v>2</v>
      </c>
      <c r="J1873" s="4">
        <v>2</v>
      </c>
      <c r="K1873" s="102">
        <v>5</v>
      </c>
      <c r="M1873" s="101">
        <f t="shared" si="481"/>
        <v>12</v>
      </c>
      <c r="N1873" s="4">
        <f t="shared" si="482"/>
        <v>56</v>
      </c>
      <c r="O1873" s="4">
        <f t="shared" si="483"/>
        <v>23</v>
      </c>
      <c r="P1873" s="4">
        <f t="shared" si="484"/>
        <v>23</v>
      </c>
      <c r="Q1873" s="4">
        <f t="shared" si="485"/>
        <v>56</v>
      </c>
      <c r="R1873" s="4">
        <f t="shared" si="486"/>
        <v>56</v>
      </c>
      <c r="S1873" s="102">
        <f t="shared" si="487"/>
        <v>30</v>
      </c>
      <c r="U1873" s="101">
        <f t="shared" si="488"/>
        <v>9</v>
      </c>
      <c r="V1873" s="4">
        <f t="shared" si="489"/>
        <v>78</v>
      </c>
      <c r="W1873" s="4">
        <f t="shared" si="490"/>
        <v>39</v>
      </c>
      <c r="X1873" s="4">
        <f t="shared" si="491"/>
        <v>39</v>
      </c>
      <c r="Y1873" s="4">
        <f t="shared" si="492"/>
        <v>78</v>
      </c>
      <c r="Z1873" s="4">
        <f t="shared" si="493"/>
        <v>78</v>
      </c>
      <c r="AA1873" s="102">
        <f t="shared" si="494"/>
        <v>39</v>
      </c>
      <c r="AC1873" s="100">
        <f t="shared" si="495"/>
        <v>0.98129014410911386</v>
      </c>
    </row>
    <row r="1874" spans="4:29" x14ac:dyDescent="0.35">
      <c r="D1874">
        <f t="shared" si="496"/>
        <v>1870</v>
      </c>
      <c r="E1874" s="101">
        <v>7</v>
      </c>
      <c r="F1874" s="4">
        <v>7</v>
      </c>
      <c r="G1874" s="4">
        <v>4</v>
      </c>
      <c r="H1874" s="4">
        <v>5</v>
      </c>
      <c r="I1874" s="4">
        <v>2</v>
      </c>
      <c r="J1874" s="4">
        <v>4</v>
      </c>
      <c r="K1874" s="102">
        <v>6</v>
      </c>
      <c r="M1874" s="101">
        <f t="shared" si="481"/>
        <v>29</v>
      </c>
      <c r="N1874" s="4">
        <f t="shared" si="482"/>
        <v>29</v>
      </c>
      <c r="O1874" s="4">
        <f t="shared" si="483"/>
        <v>12</v>
      </c>
      <c r="P1874" s="4">
        <f t="shared" si="484"/>
        <v>30</v>
      </c>
      <c r="Q1874" s="4">
        <f t="shared" si="485"/>
        <v>56</v>
      </c>
      <c r="R1874" s="4">
        <f t="shared" si="486"/>
        <v>12</v>
      </c>
      <c r="S1874" s="102">
        <f t="shared" si="487"/>
        <v>45</v>
      </c>
      <c r="U1874" s="101">
        <f t="shared" si="488"/>
        <v>41</v>
      </c>
      <c r="V1874" s="4">
        <f t="shared" si="489"/>
        <v>41</v>
      </c>
      <c r="W1874" s="4">
        <f t="shared" si="490"/>
        <v>9</v>
      </c>
      <c r="X1874" s="4">
        <f t="shared" si="491"/>
        <v>39</v>
      </c>
      <c r="Y1874" s="4">
        <f t="shared" si="492"/>
        <v>78</v>
      </c>
      <c r="Z1874" s="4">
        <f t="shared" si="493"/>
        <v>9</v>
      </c>
      <c r="AA1874" s="102">
        <f t="shared" si="494"/>
        <v>71</v>
      </c>
      <c r="AC1874" s="100">
        <f t="shared" si="495"/>
        <v>0.99068286286054319</v>
      </c>
    </row>
    <row r="1875" spans="4:29" x14ac:dyDescent="0.35">
      <c r="D1875">
        <f t="shared" si="496"/>
        <v>1871</v>
      </c>
      <c r="E1875" s="101">
        <v>7</v>
      </c>
      <c r="F1875" s="4">
        <v>2</v>
      </c>
      <c r="G1875" s="4">
        <v>7</v>
      </c>
      <c r="H1875" s="4">
        <v>4</v>
      </c>
      <c r="I1875" s="4">
        <v>5</v>
      </c>
      <c r="J1875" s="4">
        <v>7</v>
      </c>
      <c r="K1875" s="102">
        <v>7</v>
      </c>
      <c r="M1875" s="101">
        <f t="shared" si="481"/>
        <v>29</v>
      </c>
      <c r="N1875" s="4">
        <f t="shared" si="482"/>
        <v>56</v>
      </c>
      <c r="O1875" s="4">
        <f t="shared" si="483"/>
        <v>29</v>
      </c>
      <c r="P1875" s="4">
        <f t="shared" si="484"/>
        <v>12</v>
      </c>
      <c r="Q1875" s="4">
        <f t="shared" si="485"/>
        <v>30</v>
      </c>
      <c r="R1875" s="4">
        <f t="shared" si="486"/>
        <v>29</v>
      </c>
      <c r="S1875" s="102">
        <f t="shared" si="487"/>
        <v>29</v>
      </c>
      <c r="U1875" s="101">
        <f t="shared" si="488"/>
        <v>41</v>
      </c>
      <c r="V1875" s="4">
        <f t="shared" si="489"/>
        <v>78</v>
      </c>
      <c r="W1875" s="4">
        <f t="shared" si="490"/>
        <v>41</v>
      </c>
      <c r="X1875" s="4">
        <f t="shared" si="491"/>
        <v>9</v>
      </c>
      <c r="Y1875" s="4">
        <f t="shared" si="492"/>
        <v>39</v>
      </c>
      <c r="Z1875" s="4">
        <f t="shared" si="493"/>
        <v>41</v>
      </c>
      <c r="AA1875" s="102">
        <f t="shared" si="494"/>
        <v>41</v>
      </c>
      <c r="AC1875" s="100">
        <f t="shared" si="495"/>
        <v>0.99170510105064724</v>
      </c>
    </row>
    <row r="1876" spans="4:29" x14ac:dyDescent="0.35">
      <c r="D1876">
        <f t="shared" si="496"/>
        <v>1872</v>
      </c>
      <c r="E1876" s="101">
        <v>7</v>
      </c>
      <c r="F1876" s="4">
        <v>5</v>
      </c>
      <c r="G1876" s="4">
        <v>4</v>
      </c>
      <c r="H1876" s="4">
        <v>7</v>
      </c>
      <c r="I1876" s="4">
        <v>4</v>
      </c>
      <c r="J1876" s="4">
        <v>2</v>
      </c>
      <c r="K1876" s="102">
        <v>7</v>
      </c>
      <c r="M1876" s="101">
        <f t="shared" si="481"/>
        <v>29</v>
      </c>
      <c r="N1876" s="4">
        <f t="shared" si="482"/>
        <v>30</v>
      </c>
      <c r="O1876" s="4">
        <f t="shared" si="483"/>
        <v>12</v>
      </c>
      <c r="P1876" s="4">
        <f t="shared" si="484"/>
        <v>29</v>
      </c>
      <c r="Q1876" s="4">
        <f t="shared" si="485"/>
        <v>12</v>
      </c>
      <c r="R1876" s="4">
        <f t="shared" si="486"/>
        <v>56</v>
      </c>
      <c r="S1876" s="102">
        <f t="shared" si="487"/>
        <v>29</v>
      </c>
      <c r="U1876" s="101">
        <f t="shared" si="488"/>
        <v>41</v>
      </c>
      <c r="V1876" s="4">
        <f t="shared" si="489"/>
        <v>39</v>
      </c>
      <c r="W1876" s="4">
        <f t="shared" si="490"/>
        <v>9</v>
      </c>
      <c r="X1876" s="4">
        <f t="shared" si="491"/>
        <v>41</v>
      </c>
      <c r="Y1876" s="4">
        <f t="shared" si="492"/>
        <v>9</v>
      </c>
      <c r="Z1876" s="4">
        <f t="shared" si="493"/>
        <v>78</v>
      </c>
      <c r="AA1876" s="102">
        <f t="shared" si="494"/>
        <v>41</v>
      </c>
      <c r="AC1876" s="100">
        <f t="shared" si="495"/>
        <v>0.99342611664580549</v>
      </c>
    </row>
    <row r="1877" spans="4:29" x14ac:dyDescent="0.35">
      <c r="D1877">
        <f t="shared" si="496"/>
        <v>1873</v>
      </c>
      <c r="E1877" s="101">
        <v>2</v>
      </c>
      <c r="F1877" s="4">
        <v>4</v>
      </c>
      <c r="G1877" s="4">
        <v>4</v>
      </c>
      <c r="H1877" s="4">
        <v>2</v>
      </c>
      <c r="I1877" s="4">
        <v>2</v>
      </c>
      <c r="J1877" s="4">
        <v>1</v>
      </c>
      <c r="K1877" s="102">
        <v>5</v>
      </c>
      <c r="M1877" s="101">
        <f t="shared" si="481"/>
        <v>56</v>
      </c>
      <c r="N1877" s="4">
        <f t="shared" si="482"/>
        <v>12</v>
      </c>
      <c r="O1877" s="4">
        <f t="shared" si="483"/>
        <v>12</v>
      </c>
      <c r="P1877" s="4">
        <f t="shared" si="484"/>
        <v>56</v>
      </c>
      <c r="Q1877" s="4">
        <f t="shared" si="485"/>
        <v>56</v>
      </c>
      <c r="R1877" s="4">
        <f t="shared" si="486"/>
        <v>34</v>
      </c>
      <c r="S1877" s="102">
        <f t="shared" si="487"/>
        <v>30</v>
      </c>
      <c r="U1877" s="101">
        <f t="shared" si="488"/>
        <v>78</v>
      </c>
      <c r="V1877" s="4">
        <f t="shared" si="489"/>
        <v>9</v>
      </c>
      <c r="W1877" s="4">
        <f t="shared" si="490"/>
        <v>9</v>
      </c>
      <c r="X1877" s="4">
        <f t="shared" si="491"/>
        <v>78</v>
      </c>
      <c r="Y1877" s="4">
        <f t="shared" si="492"/>
        <v>78</v>
      </c>
      <c r="Z1877" s="4">
        <f t="shared" si="493"/>
        <v>46</v>
      </c>
      <c r="AA1877" s="102">
        <f t="shared" si="494"/>
        <v>39</v>
      </c>
      <c r="AC1877" s="100">
        <f t="shared" si="495"/>
        <v>0.99942939450970969</v>
      </c>
    </row>
    <row r="1878" spans="4:29" x14ac:dyDescent="0.35">
      <c r="D1878">
        <f t="shared" si="496"/>
        <v>1874</v>
      </c>
      <c r="E1878" s="101">
        <v>1</v>
      </c>
      <c r="F1878" s="4">
        <v>2</v>
      </c>
      <c r="G1878" s="4">
        <v>2</v>
      </c>
      <c r="H1878" s="4">
        <v>6</v>
      </c>
      <c r="I1878" s="4">
        <v>4</v>
      </c>
      <c r="J1878" s="4">
        <v>3</v>
      </c>
      <c r="K1878" s="102">
        <v>4</v>
      </c>
      <c r="M1878" s="101">
        <f t="shared" si="481"/>
        <v>34</v>
      </c>
      <c r="N1878" s="4">
        <f t="shared" si="482"/>
        <v>56</v>
      </c>
      <c r="O1878" s="4">
        <f t="shared" si="483"/>
        <v>56</v>
      </c>
      <c r="P1878" s="4">
        <f t="shared" si="484"/>
        <v>45</v>
      </c>
      <c r="Q1878" s="4">
        <f t="shared" si="485"/>
        <v>12</v>
      </c>
      <c r="R1878" s="4">
        <f t="shared" si="486"/>
        <v>23</v>
      </c>
      <c r="S1878" s="102">
        <f t="shared" si="487"/>
        <v>12</v>
      </c>
      <c r="U1878" s="101">
        <f t="shared" si="488"/>
        <v>46</v>
      </c>
      <c r="V1878" s="4">
        <f t="shared" si="489"/>
        <v>78</v>
      </c>
      <c r="W1878" s="4">
        <f t="shared" si="490"/>
        <v>78</v>
      </c>
      <c r="X1878" s="4">
        <f t="shared" si="491"/>
        <v>71</v>
      </c>
      <c r="Y1878" s="4">
        <f t="shared" si="492"/>
        <v>9</v>
      </c>
      <c r="Z1878" s="4">
        <f t="shared" si="493"/>
        <v>39</v>
      </c>
      <c r="AA1878" s="102">
        <f t="shared" si="494"/>
        <v>9</v>
      </c>
      <c r="AC1878" s="100">
        <f t="shared" si="495"/>
        <v>0.98329099951932075</v>
      </c>
    </row>
    <row r="1879" spans="4:29" x14ac:dyDescent="0.35">
      <c r="D1879">
        <f t="shared" si="496"/>
        <v>1875</v>
      </c>
      <c r="E1879" s="101">
        <v>1</v>
      </c>
      <c r="F1879" s="4">
        <v>2</v>
      </c>
      <c r="G1879" s="4">
        <v>5</v>
      </c>
      <c r="H1879" s="4">
        <v>2</v>
      </c>
      <c r="I1879" s="4">
        <v>7</v>
      </c>
      <c r="J1879" s="4">
        <v>7</v>
      </c>
      <c r="K1879" s="102">
        <v>1</v>
      </c>
      <c r="M1879" s="101">
        <f t="shared" si="481"/>
        <v>34</v>
      </c>
      <c r="N1879" s="4">
        <f t="shared" si="482"/>
        <v>56</v>
      </c>
      <c r="O1879" s="4">
        <f t="shared" si="483"/>
        <v>30</v>
      </c>
      <c r="P1879" s="4">
        <f t="shared" si="484"/>
        <v>56</v>
      </c>
      <c r="Q1879" s="4">
        <f t="shared" si="485"/>
        <v>29</v>
      </c>
      <c r="R1879" s="4">
        <f t="shared" si="486"/>
        <v>29</v>
      </c>
      <c r="S1879" s="102">
        <f t="shared" si="487"/>
        <v>34</v>
      </c>
      <c r="U1879" s="101">
        <f t="shared" si="488"/>
        <v>46</v>
      </c>
      <c r="V1879" s="4">
        <f t="shared" si="489"/>
        <v>78</v>
      </c>
      <c r="W1879" s="4">
        <f t="shared" si="490"/>
        <v>39</v>
      </c>
      <c r="X1879" s="4">
        <f t="shared" si="491"/>
        <v>78</v>
      </c>
      <c r="Y1879" s="4">
        <f t="shared" si="492"/>
        <v>41</v>
      </c>
      <c r="Z1879" s="4">
        <f t="shared" si="493"/>
        <v>41</v>
      </c>
      <c r="AA1879" s="102">
        <f t="shared" si="494"/>
        <v>46</v>
      </c>
      <c r="AC1879" s="100">
        <f t="shared" si="495"/>
        <v>0.99755343450250533</v>
      </c>
    </row>
    <row r="1880" spans="4:29" x14ac:dyDescent="0.35">
      <c r="D1880">
        <f t="shared" si="496"/>
        <v>1876</v>
      </c>
      <c r="E1880" s="101">
        <v>4</v>
      </c>
      <c r="F1880" s="4">
        <v>6</v>
      </c>
      <c r="G1880" s="4">
        <v>3</v>
      </c>
      <c r="H1880" s="4">
        <v>1</v>
      </c>
      <c r="I1880" s="4">
        <v>6</v>
      </c>
      <c r="J1880" s="4">
        <v>7</v>
      </c>
      <c r="K1880" s="102">
        <v>3</v>
      </c>
      <c r="M1880" s="101">
        <f t="shared" si="481"/>
        <v>12</v>
      </c>
      <c r="N1880" s="4">
        <f t="shared" si="482"/>
        <v>45</v>
      </c>
      <c r="O1880" s="4">
        <f t="shared" si="483"/>
        <v>23</v>
      </c>
      <c r="P1880" s="4">
        <f t="shared" si="484"/>
        <v>34</v>
      </c>
      <c r="Q1880" s="4">
        <f t="shared" si="485"/>
        <v>45</v>
      </c>
      <c r="R1880" s="4">
        <f t="shared" si="486"/>
        <v>29</v>
      </c>
      <c r="S1880" s="102">
        <f t="shared" si="487"/>
        <v>23</v>
      </c>
      <c r="U1880" s="101">
        <f t="shared" si="488"/>
        <v>9</v>
      </c>
      <c r="V1880" s="4">
        <f t="shared" si="489"/>
        <v>71</v>
      </c>
      <c r="W1880" s="4">
        <f t="shared" si="490"/>
        <v>39</v>
      </c>
      <c r="X1880" s="4">
        <f t="shared" si="491"/>
        <v>46</v>
      </c>
      <c r="Y1880" s="4">
        <f t="shared" si="492"/>
        <v>71</v>
      </c>
      <c r="Z1880" s="4">
        <f t="shared" si="493"/>
        <v>41</v>
      </c>
      <c r="AA1880" s="102">
        <f t="shared" si="494"/>
        <v>39</v>
      </c>
      <c r="AC1880" s="100">
        <f t="shared" si="495"/>
        <v>0.97445260522504473</v>
      </c>
    </row>
    <row r="1881" spans="4:29" x14ac:dyDescent="0.35">
      <c r="D1881">
        <f t="shared" si="496"/>
        <v>1877</v>
      </c>
      <c r="E1881" s="101">
        <v>3</v>
      </c>
      <c r="F1881" s="4">
        <v>6</v>
      </c>
      <c r="G1881" s="4">
        <v>5</v>
      </c>
      <c r="H1881" s="4">
        <v>7</v>
      </c>
      <c r="I1881" s="4">
        <v>7</v>
      </c>
      <c r="J1881" s="4">
        <v>3</v>
      </c>
      <c r="K1881" s="102">
        <v>5</v>
      </c>
      <c r="M1881" s="101">
        <f t="shared" si="481"/>
        <v>23</v>
      </c>
      <c r="N1881" s="4">
        <f t="shared" si="482"/>
        <v>45</v>
      </c>
      <c r="O1881" s="4">
        <f t="shared" si="483"/>
        <v>30</v>
      </c>
      <c r="P1881" s="4">
        <f t="shared" si="484"/>
        <v>29</v>
      </c>
      <c r="Q1881" s="4">
        <f t="shared" si="485"/>
        <v>29</v>
      </c>
      <c r="R1881" s="4">
        <f t="shared" si="486"/>
        <v>23</v>
      </c>
      <c r="S1881" s="102">
        <f t="shared" si="487"/>
        <v>30</v>
      </c>
      <c r="U1881" s="101">
        <f t="shared" si="488"/>
        <v>39</v>
      </c>
      <c r="V1881" s="4">
        <f t="shared" si="489"/>
        <v>71</v>
      </c>
      <c r="W1881" s="4">
        <f t="shared" si="490"/>
        <v>39</v>
      </c>
      <c r="X1881" s="4">
        <f t="shared" si="491"/>
        <v>41</v>
      </c>
      <c r="Y1881" s="4">
        <f t="shared" si="492"/>
        <v>41</v>
      </c>
      <c r="Z1881" s="4">
        <f t="shared" si="493"/>
        <v>39</v>
      </c>
      <c r="AA1881" s="102">
        <f t="shared" si="494"/>
        <v>39</v>
      </c>
      <c r="AC1881" s="100">
        <f t="shared" si="495"/>
        <v>0.91732399796940445</v>
      </c>
    </row>
    <row r="1882" spans="4:29" x14ac:dyDescent="0.35">
      <c r="D1882">
        <f t="shared" si="496"/>
        <v>1878</v>
      </c>
      <c r="E1882" s="101">
        <v>4</v>
      </c>
      <c r="F1882" s="4">
        <v>1</v>
      </c>
      <c r="G1882" s="4">
        <v>5</v>
      </c>
      <c r="H1882" s="4">
        <v>4</v>
      </c>
      <c r="I1882" s="4">
        <v>6</v>
      </c>
      <c r="J1882" s="4">
        <v>5</v>
      </c>
      <c r="K1882" s="102">
        <v>4</v>
      </c>
      <c r="M1882" s="101">
        <f t="shared" si="481"/>
        <v>12</v>
      </c>
      <c r="N1882" s="4">
        <f t="shared" si="482"/>
        <v>34</v>
      </c>
      <c r="O1882" s="4">
        <f t="shared" si="483"/>
        <v>30</v>
      </c>
      <c r="P1882" s="4">
        <f t="shared" si="484"/>
        <v>12</v>
      </c>
      <c r="Q1882" s="4">
        <f t="shared" si="485"/>
        <v>45</v>
      </c>
      <c r="R1882" s="4">
        <f t="shared" si="486"/>
        <v>30</v>
      </c>
      <c r="S1882" s="102">
        <f t="shared" si="487"/>
        <v>12</v>
      </c>
      <c r="U1882" s="101">
        <f t="shared" si="488"/>
        <v>9</v>
      </c>
      <c r="V1882" s="4">
        <f t="shared" si="489"/>
        <v>46</v>
      </c>
      <c r="W1882" s="4">
        <f t="shared" si="490"/>
        <v>39</v>
      </c>
      <c r="X1882" s="4">
        <f t="shared" si="491"/>
        <v>9</v>
      </c>
      <c r="Y1882" s="4">
        <f t="shared" si="492"/>
        <v>71</v>
      </c>
      <c r="Z1882" s="4">
        <f t="shared" si="493"/>
        <v>39</v>
      </c>
      <c r="AA1882" s="102">
        <f t="shared" si="494"/>
        <v>9</v>
      </c>
      <c r="AC1882" s="100">
        <f t="shared" si="495"/>
        <v>0.99680090341751615</v>
      </c>
    </row>
    <row r="1883" spans="4:29" x14ac:dyDescent="0.35">
      <c r="D1883">
        <f t="shared" si="496"/>
        <v>1879</v>
      </c>
      <c r="E1883" s="101">
        <v>7</v>
      </c>
      <c r="F1883" s="4">
        <v>7</v>
      </c>
      <c r="G1883" s="4">
        <v>2</v>
      </c>
      <c r="H1883" s="4">
        <v>5</v>
      </c>
      <c r="I1883" s="4">
        <v>6</v>
      </c>
      <c r="J1883" s="4">
        <v>4</v>
      </c>
      <c r="K1883" s="102">
        <v>6</v>
      </c>
      <c r="M1883" s="101">
        <f t="shared" si="481"/>
        <v>29</v>
      </c>
      <c r="N1883" s="4">
        <f t="shared" si="482"/>
        <v>29</v>
      </c>
      <c r="O1883" s="4">
        <f t="shared" si="483"/>
        <v>56</v>
      </c>
      <c r="P1883" s="4">
        <f t="shared" si="484"/>
        <v>30</v>
      </c>
      <c r="Q1883" s="4">
        <f t="shared" si="485"/>
        <v>45</v>
      </c>
      <c r="R1883" s="4">
        <f t="shared" si="486"/>
        <v>12</v>
      </c>
      <c r="S1883" s="102">
        <f t="shared" si="487"/>
        <v>45</v>
      </c>
      <c r="U1883" s="101">
        <f t="shared" si="488"/>
        <v>41</v>
      </c>
      <c r="V1883" s="4">
        <f t="shared" si="489"/>
        <v>41</v>
      </c>
      <c r="W1883" s="4">
        <f t="shared" si="490"/>
        <v>78</v>
      </c>
      <c r="X1883" s="4">
        <f t="shared" si="491"/>
        <v>39</v>
      </c>
      <c r="Y1883" s="4">
        <f t="shared" si="492"/>
        <v>71</v>
      </c>
      <c r="Z1883" s="4">
        <f t="shared" si="493"/>
        <v>9</v>
      </c>
      <c r="AA1883" s="102">
        <f t="shared" si="494"/>
        <v>71</v>
      </c>
      <c r="AC1883" s="100">
        <f t="shared" si="495"/>
        <v>0.98579780824485597</v>
      </c>
    </row>
    <row r="1884" spans="4:29" x14ac:dyDescent="0.35">
      <c r="D1884">
        <f t="shared" si="496"/>
        <v>1880</v>
      </c>
      <c r="E1884" s="101">
        <v>6</v>
      </c>
      <c r="F1884" s="4">
        <v>1</v>
      </c>
      <c r="G1884" s="4">
        <v>5</v>
      </c>
      <c r="H1884" s="4">
        <v>3</v>
      </c>
      <c r="I1884" s="4">
        <v>1</v>
      </c>
      <c r="J1884" s="4">
        <v>6</v>
      </c>
      <c r="K1884" s="102">
        <v>3</v>
      </c>
      <c r="M1884" s="101">
        <f t="shared" si="481"/>
        <v>45</v>
      </c>
      <c r="N1884" s="4">
        <f t="shared" si="482"/>
        <v>34</v>
      </c>
      <c r="O1884" s="4">
        <f t="shared" si="483"/>
        <v>30</v>
      </c>
      <c r="P1884" s="4">
        <f t="shared" si="484"/>
        <v>23</v>
      </c>
      <c r="Q1884" s="4">
        <f t="shared" si="485"/>
        <v>34</v>
      </c>
      <c r="R1884" s="4">
        <f t="shared" si="486"/>
        <v>45</v>
      </c>
      <c r="S1884" s="102">
        <f t="shared" si="487"/>
        <v>23</v>
      </c>
      <c r="U1884" s="101">
        <f t="shared" si="488"/>
        <v>71</v>
      </c>
      <c r="V1884" s="4">
        <f t="shared" si="489"/>
        <v>46</v>
      </c>
      <c r="W1884" s="4">
        <f t="shared" si="490"/>
        <v>39</v>
      </c>
      <c r="X1884" s="4">
        <f t="shared" si="491"/>
        <v>39</v>
      </c>
      <c r="Y1884" s="4">
        <f t="shared" si="492"/>
        <v>46</v>
      </c>
      <c r="Z1884" s="4">
        <f t="shared" si="493"/>
        <v>71</v>
      </c>
      <c r="AA1884" s="102">
        <f t="shared" si="494"/>
        <v>39</v>
      </c>
      <c r="AC1884" s="100">
        <f t="shared" si="495"/>
        <v>0.93901393801479005</v>
      </c>
    </row>
    <row r="1885" spans="4:29" x14ac:dyDescent="0.35">
      <c r="D1885">
        <f t="shared" si="496"/>
        <v>1881</v>
      </c>
      <c r="E1885" s="101">
        <v>7</v>
      </c>
      <c r="F1885" s="4">
        <v>6</v>
      </c>
      <c r="G1885" s="4">
        <v>2</v>
      </c>
      <c r="H1885" s="4">
        <v>1</v>
      </c>
      <c r="I1885" s="4">
        <v>7</v>
      </c>
      <c r="J1885" s="4">
        <v>2</v>
      </c>
      <c r="K1885" s="102">
        <v>3</v>
      </c>
      <c r="M1885" s="101">
        <f t="shared" si="481"/>
        <v>29</v>
      </c>
      <c r="N1885" s="4">
        <f t="shared" si="482"/>
        <v>45</v>
      </c>
      <c r="O1885" s="4">
        <f t="shared" si="483"/>
        <v>56</v>
      </c>
      <c r="P1885" s="4">
        <f t="shared" si="484"/>
        <v>34</v>
      </c>
      <c r="Q1885" s="4">
        <f t="shared" si="485"/>
        <v>29</v>
      </c>
      <c r="R1885" s="4">
        <f t="shared" si="486"/>
        <v>56</v>
      </c>
      <c r="S1885" s="102">
        <f t="shared" si="487"/>
        <v>23</v>
      </c>
      <c r="U1885" s="101">
        <f t="shared" si="488"/>
        <v>41</v>
      </c>
      <c r="V1885" s="4">
        <f t="shared" si="489"/>
        <v>71</v>
      </c>
      <c r="W1885" s="4">
        <f t="shared" si="490"/>
        <v>78</v>
      </c>
      <c r="X1885" s="4">
        <f t="shared" si="491"/>
        <v>46</v>
      </c>
      <c r="Y1885" s="4">
        <f t="shared" si="492"/>
        <v>41</v>
      </c>
      <c r="Z1885" s="4">
        <f t="shared" si="493"/>
        <v>78</v>
      </c>
      <c r="AA1885" s="102">
        <f t="shared" si="494"/>
        <v>39</v>
      </c>
      <c r="AC1885" s="100">
        <f t="shared" si="495"/>
        <v>0.97917052167505492</v>
      </c>
    </row>
    <row r="1886" spans="4:29" x14ac:dyDescent="0.35">
      <c r="D1886">
        <f t="shared" si="496"/>
        <v>1882</v>
      </c>
      <c r="E1886" s="101">
        <v>4</v>
      </c>
      <c r="F1886" s="4">
        <v>1</v>
      </c>
      <c r="G1886" s="4">
        <v>3</v>
      </c>
      <c r="H1886" s="4">
        <v>2</v>
      </c>
      <c r="I1886" s="4">
        <v>7</v>
      </c>
      <c r="J1886" s="4">
        <v>1</v>
      </c>
      <c r="K1886" s="102">
        <v>2</v>
      </c>
      <c r="M1886" s="101">
        <f t="shared" si="481"/>
        <v>12</v>
      </c>
      <c r="N1886" s="4">
        <f t="shared" si="482"/>
        <v>34</v>
      </c>
      <c r="O1886" s="4">
        <f t="shared" si="483"/>
        <v>23</v>
      </c>
      <c r="P1886" s="4">
        <f t="shared" si="484"/>
        <v>56</v>
      </c>
      <c r="Q1886" s="4">
        <f t="shared" si="485"/>
        <v>29</v>
      </c>
      <c r="R1886" s="4">
        <f t="shared" si="486"/>
        <v>34</v>
      </c>
      <c r="S1886" s="102">
        <f t="shared" si="487"/>
        <v>56</v>
      </c>
      <c r="U1886" s="101">
        <f t="shared" si="488"/>
        <v>9</v>
      </c>
      <c r="V1886" s="4">
        <f t="shared" si="489"/>
        <v>46</v>
      </c>
      <c r="W1886" s="4">
        <f t="shared" si="490"/>
        <v>39</v>
      </c>
      <c r="X1886" s="4">
        <f t="shared" si="491"/>
        <v>78</v>
      </c>
      <c r="Y1886" s="4">
        <f t="shared" si="492"/>
        <v>41</v>
      </c>
      <c r="Z1886" s="4">
        <f t="shared" si="493"/>
        <v>46</v>
      </c>
      <c r="AA1886" s="102">
        <f t="shared" si="494"/>
        <v>78</v>
      </c>
      <c r="AC1886" s="100">
        <f t="shared" si="495"/>
        <v>0.98462773488502897</v>
      </c>
    </row>
    <row r="1887" spans="4:29" x14ac:dyDescent="0.35">
      <c r="D1887">
        <f t="shared" si="496"/>
        <v>1883</v>
      </c>
      <c r="E1887" s="101">
        <v>6</v>
      </c>
      <c r="F1887" s="4">
        <v>7</v>
      </c>
      <c r="G1887" s="4">
        <v>7</v>
      </c>
      <c r="H1887" s="4">
        <v>3</v>
      </c>
      <c r="I1887" s="4">
        <v>5</v>
      </c>
      <c r="J1887" s="4">
        <v>5</v>
      </c>
      <c r="K1887" s="102">
        <v>6</v>
      </c>
      <c r="M1887" s="101">
        <f t="shared" si="481"/>
        <v>45</v>
      </c>
      <c r="N1887" s="4">
        <f t="shared" si="482"/>
        <v>29</v>
      </c>
      <c r="O1887" s="4">
        <f t="shared" si="483"/>
        <v>29</v>
      </c>
      <c r="P1887" s="4">
        <f t="shared" si="484"/>
        <v>23</v>
      </c>
      <c r="Q1887" s="4">
        <f t="shared" si="485"/>
        <v>30</v>
      </c>
      <c r="R1887" s="4">
        <f t="shared" si="486"/>
        <v>30</v>
      </c>
      <c r="S1887" s="102">
        <f t="shared" si="487"/>
        <v>45</v>
      </c>
      <c r="U1887" s="101">
        <f t="shared" si="488"/>
        <v>71</v>
      </c>
      <c r="V1887" s="4">
        <f t="shared" si="489"/>
        <v>41</v>
      </c>
      <c r="W1887" s="4">
        <f t="shared" si="490"/>
        <v>41</v>
      </c>
      <c r="X1887" s="4">
        <f t="shared" si="491"/>
        <v>39</v>
      </c>
      <c r="Y1887" s="4">
        <f t="shared" si="492"/>
        <v>39</v>
      </c>
      <c r="Z1887" s="4">
        <f t="shared" si="493"/>
        <v>39</v>
      </c>
      <c r="AA1887" s="102">
        <f t="shared" si="494"/>
        <v>71</v>
      </c>
      <c r="AC1887" s="100">
        <f t="shared" si="495"/>
        <v>0.96189347758749455</v>
      </c>
    </row>
    <row r="1888" spans="4:29" x14ac:dyDescent="0.35">
      <c r="D1888">
        <f t="shared" si="496"/>
        <v>1884</v>
      </c>
      <c r="E1888" s="101">
        <v>1</v>
      </c>
      <c r="F1888" s="4">
        <v>1</v>
      </c>
      <c r="G1888" s="4">
        <v>2</v>
      </c>
      <c r="H1888" s="4">
        <v>4</v>
      </c>
      <c r="I1888" s="4">
        <v>4</v>
      </c>
      <c r="J1888" s="4">
        <v>2</v>
      </c>
      <c r="K1888" s="102">
        <v>2</v>
      </c>
      <c r="M1888" s="101">
        <f t="shared" si="481"/>
        <v>34</v>
      </c>
      <c r="N1888" s="4">
        <f t="shared" si="482"/>
        <v>34</v>
      </c>
      <c r="O1888" s="4">
        <f t="shared" si="483"/>
        <v>56</v>
      </c>
      <c r="P1888" s="4">
        <f t="shared" si="484"/>
        <v>12</v>
      </c>
      <c r="Q1888" s="4">
        <f t="shared" si="485"/>
        <v>12</v>
      </c>
      <c r="R1888" s="4">
        <f t="shared" si="486"/>
        <v>56</v>
      </c>
      <c r="S1888" s="102">
        <f t="shared" si="487"/>
        <v>56</v>
      </c>
      <c r="U1888" s="101">
        <f t="shared" si="488"/>
        <v>46</v>
      </c>
      <c r="V1888" s="4">
        <f t="shared" si="489"/>
        <v>46</v>
      </c>
      <c r="W1888" s="4">
        <f t="shared" si="490"/>
        <v>78</v>
      </c>
      <c r="X1888" s="4">
        <f t="shared" si="491"/>
        <v>9</v>
      </c>
      <c r="Y1888" s="4">
        <f t="shared" si="492"/>
        <v>9</v>
      </c>
      <c r="Z1888" s="4">
        <f t="shared" si="493"/>
        <v>78</v>
      </c>
      <c r="AA1888" s="102">
        <f t="shared" si="494"/>
        <v>78</v>
      </c>
      <c r="AC1888" s="100">
        <f t="shared" si="495"/>
        <v>0.99923121912140545</v>
      </c>
    </row>
    <row r="1889" spans="4:29" x14ac:dyDescent="0.35">
      <c r="D1889">
        <f t="shared" si="496"/>
        <v>1885</v>
      </c>
      <c r="E1889" s="101">
        <v>5</v>
      </c>
      <c r="F1889" s="4">
        <v>1</v>
      </c>
      <c r="G1889" s="4">
        <v>7</v>
      </c>
      <c r="H1889" s="4">
        <v>3</v>
      </c>
      <c r="I1889" s="4">
        <v>4</v>
      </c>
      <c r="J1889" s="4">
        <v>7</v>
      </c>
      <c r="K1889" s="102">
        <v>1</v>
      </c>
      <c r="M1889" s="101">
        <f t="shared" si="481"/>
        <v>30</v>
      </c>
      <c r="N1889" s="4">
        <f t="shared" si="482"/>
        <v>34</v>
      </c>
      <c r="O1889" s="4">
        <f t="shared" si="483"/>
        <v>29</v>
      </c>
      <c r="P1889" s="4">
        <f t="shared" si="484"/>
        <v>23</v>
      </c>
      <c r="Q1889" s="4">
        <f t="shared" si="485"/>
        <v>12</v>
      </c>
      <c r="R1889" s="4">
        <f t="shared" si="486"/>
        <v>29</v>
      </c>
      <c r="S1889" s="102">
        <f t="shared" si="487"/>
        <v>34</v>
      </c>
      <c r="U1889" s="101">
        <f t="shared" si="488"/>
        <v>39</v>
      </c>
      <c r="V1889" s="4">
        <f t="shared" si="489"/>
        <v>46</v>
      </c>
      <c r="W1889" s="4">
        <f t="shared" si="490"/>
        <v>41</v>
      </c>
      <c r="X1889" s="4">
        <f t="shared" si="491"/>
        <v>39</v>
      </c>
      <c r="Y1889" s="4">
        <f t="shared" si="492"/>
        <v>9</v>
      </c>
      <c r="Z1889" s="4">
        <f t="shared" si="493"/>
        <v>41</v>
      </c>
      <c r="AA1889" s="102">
        <f t="shared" si="494"/>
        <v>46</v>
      </c>
      <c r="AC1889" s="100">
        <f t="shared" si="495"/>
        <v>0.94527005481025994</v>
      </c>
    </row>
    <row r="1890" spans="4:29" x14ac:dyDescent="0.35">
      <c r="D1890">
        <f t="shared" si="496"/>
        <v>1886</v>
      </c>
      <c r="E1890" s="101">
        <v>4</v>
      </c>
      <c r="F1890" s="4">
        <v>2</v>
      </c>
      <c r="G1890" s="4">
        <v>5</v>
      </c>
      <c r="H1890" s="4">
        <v>6</v>
      </c>
      <c r="I1890" s="4">
        <v>2</v>
      </c>
      <c r="J1890" s="4">
        <v>3</v>
      </c>
      <c r="K1890" s="102">
        <v>6</v>
      </c>
      <c r="M1890" s="101">
        <f t="shared" si="481"/>
        <v>12</v>
      </c>
      <c r="N1890" s="4">
        <f t="shared" si="482"/>
        <v>56</v>
      </c>
      <c r="O1890" s="4">
        <f t="shared" si="483"/>
        <v>30</v>
      </c>
      <c r="P1890" s="4">
        <f t="shared" si="484"/>
        <v>45</v>
      </c>
      <c r="Q1890" s="4">
        <f t="shared" si="485"/>
        <v>56</v>
      </c>
      <c r="R1890" s="4">
        <f t="shared" si="486"/>
        <v>23</v>
      </c>
      <c r="S1890" s="102">
        <f t="shared" si="487"/>
        <v>45</v>
      </c>
      <c r="U1890" s="101">
        <f t="shared" si="488"/>
        <v>9</v>
      </c>
      <c r="V1890" s="4">
        <f t="shared" si="489"/>
        <v>78</v>
      </c>
      <c r="W1890" s="4">
        <f t="shared" si="490"/>
        <v>39</v>
      </c>
      <c r="X1890" s="4">
        <f t="shared" si="491"/>
        <v>71</v>
      </c>
      <c r="Y1890" s="4">
        <f t="shared" si="492"/>
        <v>78</v>
      </c>
      <c r="Z1890" s="4">
        <f t="shared" si="493"/>
        <v>39</v>
      </c>
      <c r="AA1890" s="102">
        <f t="shared" si="494"/>
        <v>71</v>
      </c>
      <c r="AC1890" s="100">
        <f t="shared" si="495"/>
        <v>0.97613446930182435</v>
      </c>
    </row>
    <row r="1891" spans="4:29" x14ac:dyDescent="0.35">
      <c r="D1891">
        <f t="shared" si="496"/>
        <v>1887</v>
      </c>
      <c r="E1891" s="101">
        <v>7</v>
      </c>
      <c r="F1891" s="4">
        <v>4</v>
      </c>
      <c r="G1891" s="4">
        <v>5</v>
      </c>
      <c r="H1891" s="4">
        <v>4</v>
      </c>
      <c r="I1891" s="4">
        <v>6</v>
      </c>
      <c r="J1891" s="4">
        <v>1</v>
      </c>
      <c r="K1891" s="102">
        <v>4</v>
      </c>
      <c r="M1891" s="101">
        <f t="shared" si="481"/>
        <v>29</v>
      </c>
      <c r="N1891" s="4">
        <f t="shared" si="482"/>
        <v>12</v>
      </c>
      <c r="O1891" s="4">
        <f t="shared" si="483"/>
        <v>30</v>
      </c>
      <c r="P1891" s="4">
        <f t="shared" si="484"/>
        <v>12</v>
      </c>
      <c r="Q1891" s="4">
        <f t="shared" si="485"/>
        <v>45</v>
      </c>
      <c r="R1891" s="4">
        <f t="shared" si="486"/>
        <v>34</v>
      </c>
      <c r="S1891" s="102">
        <f t="shared" si="487"/>
        <v>12</v>
      </c>
      <c r="U1891" s="101">
        <f t="shared" si="488"/>
        <v>41</v>
      </c>
      <c r="V1891" s="4">
        <f t="shared" si="489"/>
        <v>9</v>
      </c>
      <c r="W1891" s="4">
        <f t="shared" si="490"/>
        <v>39</v>
      </c>
      <c r="X1891" s="4">
        <f t="shared" si="491"/>
        <v>9</v>
      </c>
      <c r="Y1891" s="4">
        <f t="shared" si="492"/>
        <v>71</v>
      </c>
      <c r="Z1891" s="4">
        <f t="shared" si="493"/>
        <v>46</v>
      </c>
      <c r="AA1891" s="102">
        <f t="shared" si="494"/>
        <v>9</v>
      </c>
      <c r="AC1891" s="100">
        <f t="shared" si="495"/>
        <v>0.99699252603067701</v>
      </c>
    </row>
    <row r="1892" spans="4:29" x14ac:dyDescent="0.35">
      <c r="D1892">
        <f t="shared" si="496"/>
        <v>1888</v>
      </c>
      <c r="E1892" s="101">
        <v>1</v>
      </c>
      <c r="F1892" s="4">
        <v>7</v>
      </c>
      <c r="G1892" s="4">
        <v>6</v>
      </c>
      <c r="H1892" s="4">
        <v>2</v>
      </c>
      <c r="I1892" s="4">
        <v>1</v>
      </c>
      <c r="J1892" s="4">
        <v>6</v>
      </c>
      <c r="K1892" s="102">
        <v>5</v>
      </c>
      <c r="M1892" s="101">
        <f t="shared" si="481"/>
        <v>34</v>
      </c>
      <c r="N1892" s="4">
        <f t="shared" si="482"/>
        <v>29</v>
      </c>
      <c r="O1892" s="4">
        <f t="shared" si="483"/>
        <v>45</v>
      </c>
      <c r="P1892" s="4">
        <f t="shared" si="484"/>
        <v>56</v>
      </c>
      <c r="Q1892" s="4">
        <f t="shared" si="485"/>
        <v>34</v>
      </c>
      <c r="R1892" s="4">
        <f t="shared" si="486"/>
        <v>45</v>
      </c>
      <c r="S1892" s="102">
        <f t="shared" si="487"/>
        <v>30</v>
      </c>
      <c r="U1892" s="101">
        <f t="shared" si="488"/>
        <v>46</v>
      </c>
      <c r="V1892" s="4">
        <f t="shared" si="489"/>
        <v>41</v>
      </c>
      <c r="W1892" s="4">
        <f t="shared" si="490"/>
        <v>71</v>
      </c>
      <c r="X1892" s="4">
        <f t="shared" si="491"/>
        <v>78</v>
      </c>
      <c r="Y1892" s="4">
        <f t="shared" si="492"/>
        <v>46</v>
      </c>
      <c r="Z1892" s="4">
        <f t="shared" si="493"/>
        <v>71</v>
      </c>
      <c r="AA1892" s="102">
        <f t="shared" si="494"/>
        <v>39</v>
      </c>
      <c r="AC1892" s="100">
        <f t="shared" si="495"/>
        <v>0.96888555416468625</v>
      </c>
    </row>
    <row r="1893" spans="4:29" x14ac:dyDescent="0.35">
      <c r="D1893">
        <f t="shared" si="496"/>
        <v>1889</v>
      </c>
      <c r="E1893" s="101">
        <v>7</v>
      </c>
      <c r="F1893" s="4">
        <v>5</v>
      </c>
      <c r="G1893" s="4">
        <v>7</v>
      </c>
      <c r="H1893" s="4">
        <v>4</v>
      </c>
      <c r="I1893" s="4">
        <v>2</v>
      </c>
      <c r="J1893" s="4">
        <v>2</v>
      </c>
      <c r="K1893" s="102">
        <v>2</v>
      </c>
      <c r="M1893" s="101">
        <f t="shared" si="481"/>
        <v>29</v>
      </c>
      <c r="N1893" s="4">
        <f t="shared" si="482"/>
        <v>30</v>
      </c>
      <c r="O1893" s="4">
        <f t="shared" si="483"/>
        <v>29</v>
      </c>
      <c r="P1893" s="4">
        <f t="shared" si="484"/>
        <v>12</v>
      </c>
      <c r="Q1893" s="4">
        <f t="shared" si="485"/>
        <v>56</v>
      </c>
      <c r="R1893" s="4">
        <f t="shared" si="486"/>
        <v>56</v>
      </c>
      <c r="S1893" s="102">
        <f t="shared" si="487"/>
        <v>56</v>
      </c>
      <c r="U1893" s="101">
        <f t="shared" si="488"/>
        <v>41</v>
      </c>
      <c r="V1893" s="4">
        <f t="shared" si="489"/>
        <v>39</v>
      </c>
      <c r="W1893" s="4">
        <f t="shared" si="490"/>
        <v>41</v>
      </c>
      <c r="X1893" s="4">
        <f t="shared" si="491"/>
        <v>9</v>
      </c>
      <c r="Y1893" s="4">
        <f t="shared" si="492"/>
        <v>78</v>
      </c>
      <c r="Z1893" s="4">
        <f t="shared" si="493"/>
        <v>78</v>
      </c>
      <c r="AA1893" s="102">
        <f t="shared" si="494"/>
        <v>78</v>
      </c>
      <c r="AC1893" s="100">
        <f t="shared" si="495"/>
        <v>0.99636562175186838</v>
      </c>
    </row>
    <row r="1894" spans="4:29" x14ac:dyDescent="0.35">
      <c r="D1894">
        <f t="shared" si="496"/>
        <v>1890</v>
      </c>
      <c r="E1894" s="101">
        <v>4</v>
      </c>
      <c r="F1894" s="4">
        <v>5</v>
      </c>
      <c r="G1894" s="4">
        <v>3</v>
      </c>
      <c r="H1894" s="4">
        <v>1</v>
      </c>
      <c r="I1894" s="4">
        <v>2</v>
      </c>
      <c r="J1894" s="4">
        <v>7</v>
      </c>
      <c r="K1894" s="102">
        <v>5</v>
      </c>
      <c r="M1894" s="101">
        <f t="shared" si="481"/>
        <v>12</v>
      </c>
      <c r="N1894" s="4">
        <f t="shared" si="482"/>
        <v>30</v>
      </c>
      <c r="O1894" s="4">
        <f t="shared" si="483"/>
        <v>23</v>
      </c>
      <c r="P1894" s="4">
        <f t="shared" si="484"/>
        <v>34</v>
      </c>
      <c r="Q1894" s="4">
        <f t="shared" si="485"/>
        <v>56</v>
      </c>
      <c r="R1894" s="4">
        <f t="shared" si="486"/>
        <v>29</v>
      </c>
      <c r="S1894" s="102">
        <f t="shared" si="487"/>
        <v>30</v>
      </c>
      <c r="U1894" s="101">
        <f t="shared" si="488"/>
        <v>9</v>
      </c>
      <c r="V1894" s="4">
        <f t="shared" si="489"/>
        <v>39</v>
      </c>
      <c r="W1894" s="4">
        <f t="shared" si="490"/>
        <v>39</v>
      </c>
      <c r="X1894" s="4">
        <f t="shared" si="491"/>
        <v>46</v>
      </c>
      <c r="Y1894" s="4">
        <f t="shared" si="492"/>
        <v>78</v>
      </c>
      <c r="Z1894" s="4">
        <f t="shared" si="493"/>
        <v>41</v>
      </c>
      <c r="AA1894" s="102">
        <f t="shared" si="494"/>
        <v>39</v>
      </c>
      <c r="AC1894" s="100">
        <f t="shared" si="495"/>
        <v>0.97680827001719772</v>
      </c>
    </row>
    <row r="1895" spans="4:29" x14ac:dyDescent="0.35">
      <c r="D1895">
        <f t="shared" si="496"/>
        <v>1891</v>
      </c>
      <c r="E1895" s="101">
        <v>3</v>
      </c>
      <c r="F1895" s="4">
        <v>7</v>
      </c>
      <c r="G1895" s="4">
        <v>4</v>
      </c>
      <c r="H1895" s="4">
        <v>6</v>
      </c>
      <c r="I1895" s="4">
        <v>2</v>
      </c>
      <c r="J1895" s="4">
        <v>3</v>
      </c>
      <c r="K1895" s="102">
        <v>6</v>
      </c>
      <c r="M1895" s="101">
        <f t="shared" si="481"/>
        <v>23</v>
      </c>
      <c r="N1895" s="4">
        <f t="shared" si="482"/>
        <v>29</v>
      </c>
      <c r="O1895" s="4">
        <f t="shared" si="483"/>
        <v>12</v>
      </c>
      <c r="P1895" s="4">
        <f t="shared" si="484"/>
        <v>45</v>
      </c>
      <c r="Q1895" s="4">
        <f t="shared" si="485"/>
        <v>56</v>
      </c>
      <c r="R1895" s="4">
        <f t="shared" si="486"/>
        <v>23</v>
      </c>
      <c r="S1895" s="102">
        <f t="shared" si="487"/>
        <v>45</v>
      </c>
      <c r="U1895" s="101">
        <f t="shared" si="488"/>
        <v>39</v>
      </c>
      <c r="V1895" s="4">
        <f t="shared" si="489"/>
        <v>41</v>
      </c>
      <c r="W1895" s="4">
        <f t="shared" si="490"/>
        <v>9</v>
      </c>
      <c r="X1895" s="4">
        <f t="shared" si="491"/>
        <v>71</v>
      </c>
      <c r="Y1895" s="4">
        <f t="shared" si="492"/>
        <v>78</v>
      </c>
      <c r="Z1895" s="4">
        <f t="shared" si="493"/>
        <v>39</v>
      </c>
      <c r="AA1895" s="102">
        <f t="shared" si="494"/>
        <v>71</v>
      </c>
      <c r="AC1895" s="100">
        <f t="shared" si="495"/>
        <v>0.97434777213046153</v>
      </c>
    </row>
    <row r="1896" spans="4:29" x14ac:dyDescent="0.35">
      <c r="D1896">
        <f t="shared" si="496"/>
        <v>1892</v>
      </c>
      <c r="E1896" s="101">
        <v>7</v>
      </c>
      <c r="F1896" s="4">
        <v>1</v>
      </c>
      <c r="G1896" s="4">
        <v>6</v>
      </c>
      <c r="H1896" s="4">
        <v>2</v>
      </c>
      <c r="I1896" s="4">
        <v>2</v>
      </c>
      <c r="J1896" s="4">
        <v>1</v>
      </c>
      <c r="K1896" s="102">
        <v>1</v>
      </c>
      <c r="M1896" s="101">
        <f t="shared" si="481"/>
        <v>29</v>
      </c>
      <c r="N1896" s="4">
        <f t="shared" si="482"/>
        <v>34</v>
      </c>
      <c r="O1896" s="4">
        <f t="shared" si="483"/>
        <v>45</v>
      </c>
      <c r="P1896" s="4">
        <f t="shared" si="484"/>
        <v>56</v>
      </c>
      <c r="Q1896" s="4">
        <f t="shared" si="485"/>
        <v>56</v>
      </c>
      <c r="R1896" s="4">
        <f t="shared" si="486"/>
        <v>34</v>
      </c>
      <c r="S1896" s="102">
        <f t="shared" si="487"/>
        <v>34</v>
      </c>
      <c r="U1896" s="101">
        <f t="shared" si="488"/>
        <v>41</v>
      </c>
      <c r="V1896" s="4">
        <f t="shared" si="489"/>
        <v>46</v>
      </c>
      <c r="W1896" s="4">
        <f t="shared" si="490"/>
        <v>71</v>
      </c>
      <c r="X1896" s="4">
        <f t="shared" si="491"/>
        <v>78</v>
      </c>
      <c r="Y1896" s="4">
        <f t="shared" si="492"/>
        <v>78</v>
      </c>
      <c r="Z1896" s="4">
        <f t="shared" si="493"/>
        <v>46</v>
      </c>
      <c r="AA1896" s="102">
        <f t="shared" si="494"/>
        <v>46</v>
      </c>
      <c r="AC1896" s="100">
        <f t="shared" si="495"/>
        <v>0.97969175056087621</v>
      </c>
    </row>
    <row r="1897" spans="4:29" x14ac:dyDescent="0.35">
      <c r="D1897">
        <f t="shared" si="496"/>
        <v>1893</v>
      </c>
      <c r="E1897" s="101">
        <v>3</v>
      </c>
      <c r="F1897" s="4">
        <v>3</v>
      </c>
      <c r="G1897" s="4">
        <v>5</v>
      </c>
      <c r="H1897" s="4">
        <v>4</v>
      </c>
      <c r="I1897" s="4">
        <v>4</v>
      </c>
      <c r="J1897" s="4">
        <v>1</v>
      </c>
      <c r="K1897" s="102">
        <v>1</v>
      </c>
      <c r="M1897" s="101">
        <f t="shared" si="481"/>
        <v>23</v>
      </c>
      <c r="N1897" s="4">
        <f t="shared" si="482"/>
        <v>23</v>
      </c>
      <c r="O1897" s="4">
        <f t="shared" si="483"/>
        <v>30</v>
      </c>
      <c r="P1897" s="4">
        <f t="shared" si="484"/>
        <v>12</v>
      </c>
      <c r="Q1897" s="4">
        <f t="shared" si="485"/>
        <v>12</v>
      </c>
      <c r="R1897" s="4">
        <f t="shared" si="486"/>
        <v>34</v>
      </c>
      <c r="S1897" s="102">
        <f t="shared" si="487"/>
        <v>34</v>
      </c>
      <c r="U1897" s="101">
        <f t="shared" si="488"/>
        <v>39</v>
      </c>
      <c r="V1897" s="4">
        <f t="shared" si="489"/>
        <v>39</v>
      </c>
      <c r="W1897" s="4">
        <f t="shared" si="490"/>
        <v>39</v>
      </c>
      <c r="X1897" s="4">
        <f t="shared" si="491"/>
        <v>9</v>
      </c>
      <c r="Y1897" s="4">
        <f t="shared" si="492"/>
        <v>9</v>
      </c>
      <c r="Z1897" s="4">
        <f t="shared" si="493"/>
        <v>46</v>
      </c>
      <c r="AA1897" s="102">
        <f t="shared" si="494"/>
        <v>46</v>
      </c>
      <c r="AC1897" s="100">
        <f t="shared" si="495"/>
        <v>0.93870258238032134</v>
      </c>
    </row>
    <row r="1898" spans="4:29" x14ac:dyDescent="0.35">
      <c r="D1898">
        <f t="shared" si="496"/>
        <v>1894</v>
      </c>
      <c r="E1898" s="101">
        <v>1</v>
      </c>
      <c r="F1898" s="4">
        <v>1</v>
      </c>
      <c r="G1898" s="4">
        <v>6</v>
      </c>
      <c r="H1898" s="4">
        <v>4</v>
      </c>
      <c r="I1898" s="4">
        <v>5</v>
      </c>
      <c r="J1898" s="4">
        <v>7</v>
      </c>
      <c r="K1898" s="102">
        <v>6</v>
      </c>
      <c r="M1898" s="101">
        <f t="shared" si="481"/>
        <v>34</v>
      </c>
      <c r="N1898" s="4">
        <f t="shared" si="482"/>
        <v>34</v>
      </c>
      <c r="O1898" s="4">
        <f t="shared" si="483"/>
        <v>45</v>
      </c>
      <c r="P1898" s="4">
        <f t="shared" si="484"/>
        <v>12</v>
      </c>
      <c r="Q1898" s="4">
        <f t="shared" si="485"/>
        <v>30</v>
      </c>
      <c r="R1898" s="4">
        <f t="shared" si="486"/>
        <v>29</v>
      </c>
      <c r="S1898" s="102">
        <f t="shared" si="487"/>
        <v>45</v>
      </c>
      <c r="U1898" s="101">
        <f t="shared" si="488"/>
        <v>46</v>
      </c>
      <c r="V1898" s="4">
        <f t="shared" si="489"/>
        <v>46</v>
      </c>
      <c r="W1898" s="4">
        <f t="shared" si="490"/>
        <v>71</v>
      </c>
      <c r="X1898" s="4">
        <f t="shared" si="491"/>
        <v>9</v>
      </c>
      <c r="Y1898" s="4">
        <f t="shared" si="492"/>
        <v>39</v>
      </c>
      <c r="Z1898" s="4">
        <f t="shared" si="493"/>
        <v>41</v>
      </c>
      <c r="AA1898" s="102">
        <f t="shared" si="494"/>
        <v>71</v>
      </c>
      <c r="AC1898" s="100">
        <f t="shared" si="495"/>
        <v>0.99439828810830155</v>
      </c>
    </row>
    <row r="1899" spans="4:29" x14ac:dyDescent="0.35">
      <c r="D1899">
        <f t="shared" si="496"/>
        <v>1895</v>
      </c>
      <c r="E1899" s="101">
        <v>5</v>
      </c>
      <c r="F1899" s="4">
        <v>7</v>
      </c>
      <c r="G1899" s="4">
        <v>4</v>
      </c>
      <c r="H1899" s="4">
        <v>5</v>
      </c>
      <c r="I1899" s="4">
        <v>5</v>
      </c>
      <c r="J1899" s="4">
        <v>1</v>
      </c>
      <c r="K1899" s="102">
        <v>6</v>
      </c>
      <c r="M1899" s="101">
        <f t="shared" si="481"/>
        <v>30</v>
      </c>
      <c r="N1899" s="4">
        <f t="shared" si="482"/>
        <v>29</v>
      </c>
      <c r="O1899" s="4">
        <f t="shared" si="483"/>
        <v>12</v>
      </c>
      <c r="P1899" s="4">
        <f t="shared" si="484"/>
        <v>30</v>
      </c>
      <c r="Q1899" s="4">
        <f t="shared" si="485"/>
        <v>30</v>
      </c>
      <c r="R1899" s="4">
        <f t="shared" si="486"/>
        <v>34</v>
      </c>
      <c r="S1899" s="102">
        <f t="shared" si="487"/>
        <v>45</v>
      </c>
      <c r="U1899" s="101">
        <f t="shared" si="488"/>
        <v>39</v>
      </c>
      <c r="V1899" s="4">
        <f t="shared" si="489"/>
        <v>41</v>
      </c>
      <c r="W1899" s="4">
        <f t="shared" si="490"/>
        <v>9</v>
      </c>
      <c r="X1899" s="4">
        <f t="shared" si="491"/>
        <v>39</v>
      </c>
      <c r="Y1899" s="4">
        <f t="shared" si="492"/>
        <v>39</v>
      </c>
      <c r="Z1899" s="4">
        <f t="shared" si="493"/>
        <v>46</v>
      </c>
      <c r="AA1899" s="102">
        <f t="shared" si="494"/>
        <v>71</v>
      </c>
      <c r="AC1899" s="100">
        <f t="shared" si="495"/>
        <v>0.99317799725783462</v>
      </c>
    </row>
    <row r="1900" spans="4:29" x14ac:dyDescent="0.35">
      <c r="D1900">
        <f t="shared" si="496"/>
        <v>1896</v>
      </c>
      <c r="E1900" s="101">
        <v>1</v>
      </c>
      <c r="F1900" s="4">
        <v>6</v>
      </c>
      <c r="G1900" s="4">
        <v>4</v>
      </c>
      <c r="H1900" s="4">
        <v>3</v>
      </c>
      <c r="I1900" s="4">
        <v>1</v>
      </c>
      <c r="J1900" s="4">
        <v>1</v>
      </c>
      <c r="K1900" s="102">
        <v>1</v>
      </c>
      <c r="M1900" s="101">
        <f t="shared" si="481"/>
        <v>34</v>
      </c>
      <c r="N1900" s="4">
        <f t="shared" si="482"/>
        <v>45</v>
      </c>
      <c r="O1900" s="4">
        <f t="shared" si="483"/>
        <v>12</v>
      </c>
      <c r="P1900" s="4">
        <f t="shared" si="484"/>
        <v>23</v>
      </c>
      <c r="Q1900" s="4">
        <f t="shared" si="485"/>
        <v>34</v>
      </c>
      <c r="R1900" s="4">
        <f t="shared" si="486"/>
        <v>34</v>
      </c>
      <c r="S1900" s="102">
        <f t="shared" si="487"/>
        <v>34</v>
      </c>
      <c r="U1900" s="101">
        <f t="shared" si="488"/>
        <v>46</v>
      </c>
      <c r="V1900" s="4">
        <f t="shared" si="489"/>
        <v>71</v>
      </c>
      <c r="W1900" s="4">
        <f t="shared" si="490"/>
        <v>9</v>
      </c>
      <c r="X1900" s="4">
        <f t="shared" si="491"/>
        <v>39</v>
      </c>
      <c r="Y1900" s="4">
        <f t="shared" si="492"/>
        <v>46</v>
      </c>
      <c r="Z1900" s="4">
        <f t="shared" si="493"/>
        <v>46</v>
      </c>
      <c r="AA1900" s="102">
        <f t="shared" si="494"/>
        <v>46</v>
      </c>
      <c r="AC1900" s="100">
        <f t="shared" si="495"/>
        <v>0.96727391026972542</v>
      </c>
    </row>
    <row r="1901" spans="4:29" x14ac:dyDescent="0.35">
      <c r="D1901">
        <f t="shared" si="496"/>
        <v>1897</v>
      </c>
      <c r="E1901" s="101">
        <v>1</v>
      </c>
      <c r="F1901" s="4">
        <v>7</v>
      </c>
      <c r="G1901" s="4">
        <v>6</v>
      </c>
      <c r="H1901" s="4">
        <v>5</v>
      </c>
      <c r="I1901" s="4">
        <v>2</v>
      </c>
      <c r="J1901" s="4">
        <v>7</v>
      </c>
      <c r="K1901" s="102">
        <v>6</v>
      </c>
      <c r="M1901" s="101">
        <f t="shared" si="481"/>
        <v>34</v>
      </c>
      <c r="N1901" s="4">
        <f t="shared" si="482"/>
        <v>29</v>
      </c>
      <c r="O1901" s="4">
        <f t="shared" si="483"/>
        <v>45</v>
      </c>
      <c r="P1901" s="4">
        <f t="shared" si="484"/>
        <v>30</v>
      </c>
      <c r="Q1901" s="4">
        <f t="shared" si="485"/>
        <v>56</v>
      </c>
      <c r="R1901" s="4">
        <f t="shared" si="486"/>
        <v>29</v>
      </c>
      <c r="S1901" s="102">
        <f t="shared" si="487"/>
        <v>45</v>
      </c>
      <c r="U1901" s="101">
        <f t="shared" si="488"/>
        <v>46</v>
      </c>
      <c r="V1901" s="4">
        <f t="shared" si="489"/>
        <v>41</v>
      </c>
      <c r="W1901" s="4">
        <f t="shared" si="490"/>
        <v>71</v>
      </c>
      <c r="X1901" s="4">
        <f t="shared" si="491"/>
        <v>39</v>
      </c>
      <c r="Y1901" s="4">
        <f t="shared" si="492"/>
        <v>78</v>
      </c>
      <c r="Z1901" s="4">
        <f t="shared" si="493"/>
        <v>41</v>
      </c>
      <c r="AA1901" s="102">
        <f t="shared" si="494"/>
        <v>71</v>
      </c>
      <c r="AC1901" s="100">
        <f t="shared" si="495"/>
        <v>0.97228030801569976</v>
      </c>
    </row>
    <row r="1902" spans="4:29" x14ac:dyDescent="0.35">
      <c r="D1902">
        <f t="shared" si="496"/>
        <v>1898</v>
      </c>
      <c r="E1902" s="101">
        <v>2</v>
      </c>
      <c r="F1902" s="4">
        <v>5</v>
      </c>
      <c r="G1902" s="4">
        <v>1</v>
      </c>
      <c r="H1902" s="4">
        <v>3</v>
      </c>
      <c r="I1902" s="4">
        <v>5</v>
      </c>
      <c r="J1902" s="4">
        <v>4</v>
      </c>
      <c r="K1902" s="102">
        <v>6</v>
      </c>
      <c r="M1902" s="101">
        <f t="shared" si="481"/>
        <v>56</v>
      </c>
      <c r="N1902" s="4">
        <f t="shared" si="482"/>
        <v>30</v>
      </c>
      <c r="O1902" s="4">
        <f t="shared" si="483"/>
        <v>34</v>
      </c>
      <c r="P1902" s="4">
        <f t="shared" si="484"/>
        <v>23</v>
      </c>
      <c r="Q1902" s="4">
        <f t="shared" si="485"/>
        <v>30</v>
      </c>
      <c r="R1902" s="4">
        <f t="shared" si="486"/>
        <v>12</v>
      </c>
      <c r="S1902" s="102">
        <f t="shared" si="487"/>
        <v>45</v>
      </c>
      <c r="U1902" s="101">
        <f t="shared" si="488"/>
        <v>78</v>
      </c>
      <c r="V1902" s="4">
        <f t="shared" si="489"/>
        <v>39</v>
      </c>
      <c r="W1902" s="4">
        <f t="shared" si="490"/>
        <v>46</v>
      </c>
      <c r="X1902" s="4">
        <f t="shared" si="491"/>
        <v>39</v>
      </c>
      <c r="Y1902" s="4">
        <f t="shared" si="492"/>
        <v>39</v>
      </c>
      <c r="Z1902" s="4">
        <f t="shared" si="493"/>
        <v>9</v>
      </c>
      <c r="AA1902" s="102">
        <f t="shared" si="494"/>
        <v>71</v>
      </c>
      <c r="AC1902" s="100">
        <f t="shared" si="495"/>
        <v>0.97446236210462167</v>
      </c>
    </row>
    <row r="1903" spans="4:29" x14ac:dyDescent="0.35">
      <c r="D1903">
        <f t="shared" si="496"/>
        <v>1899</v>
      </c>
      <c r="E1903" s="101">
        <v>3</v>
      </c>
      <c r="F1903" s="4">
        <v>7</v>
      </c>
      <c r="G1903" s="4">
        <v>2</v>
      </c>
      <c r="H1903" s="4">
        <v>3</v>
      </c>
      <c r="I1903" s="4">
        <v>2</v>
      </c>
      <c r="J1903" s="4">
        <v>2</v>
      </c>
      <c r="K1903" s="102">
        <v>3</v>
      </c>
      <c r="M1903" s="101">
        <f t="shared" si="481"/>
        <v>23</v>
      </c>
      <c r="N1903" s="4">
        <f t="shared" si="482"/>
        <v>29</v>
      </c>
      <c r="O1903" s="4">
        <f t="shared" si="483"/>
        <v>56</v>
      </c>
      <c r="P1903" s="4">
        <f t="shared" si="484"/>
        <v>23</v>
      </c>
      <c r="Q1903" s="4">
        <f t="shared" si="485"/>
        <v>56</v>
      </c>
      <c r="R1903" s="4">
        <f t="shared" si="486"/>
        <v>56</v>
      </c>
      <c r="S1903" s="102">
        <f t="shared" si="487"/>
        <v>23</v>
      </c>
      <c r="U1903" s="101">
        <f t="shared" si="488"/>
        <v>39</v>
      </c>
      <c r="V1903" s="4">
        <f t="shared" si="489"/>
        <v>41</v>
      </c>
      <c r="W1903" s="4">
        <f t="shared" si="490"/>
        <v>78</v>
      </c>
      <c r="X1903" s="4">
        <f t="shared" si="491"/>
        <v>39</v>
      </c>
      <c r="Y1903" s="4">
        <f t="shared" si="492"/>
        <v>78</v>
      </c>
      <c r="Z1903" s="4">
        <f t="shared" si="493"/>
        <v>78</v>
      </c>
      <c r="AA1903" s="102">
        <f t="shared" si="494"/>
        <v>39</v>
      </c>
      <c r="AC1903" s="100">
        <f t="shared" si="495"/>
        <v>0.99586408862799536</v>
      </c>
    </row>
    <row r="1904" spans="4:29" x14ac:dyDescent="0.35">
      <c r="D1904">
        <f t="shared" si="496"/>
        <v>1900</v>
      </c>
      <c r="E1904" s="101">
        <v>3</v>
      </c>
      <c r="F1904" s="4">
        <v>5</v>
      </c>
      <c r="G1904" s="4">
        <v>5</v>
      </c>
      <c r="H1904" s="4">
        <v>4</v>
      </c>
      <c r="I1904" s="4">
        <v>4</v>
      </c>
      <c r="J1904" s="4">
        <v>2</v>
      </c>
      <c r="K1904" s="102">
        <v>5</v>
      </c>
      <c r="M1904" s="101">
        <f t="shared" si="481"/>
        <v>23</v>
      </c>
      <c r="N1904" s="4">
        <f t="shared" si="482"/>
        <v>30</v>
      </c>
      <c r="O1904" s="4">
        <f t="shared" si="483"/>
        <v>30</v>
      </c>
      <c r="P1904" s="4">
        <f t="shared" si="484"/>
        <v>12</v>
      </c>
      <c r="Q1904" s="4">
        <f t="shared" si="485"/>
        <v>12</v>
      </c>
      <c r="R1904" s="4">
        <f t="shared" si="486"/>
        <v>56</v>
      </c>
      <c r="S1904" s="102">
        <f t="shared" si="487"/>
        <v>30</v>
      </c>
      <c r="U1904" s="101">
        <f t="shared" si="488"/>
        <v>39</v>
      </c>
      <c r="V1904" s="4">
        <f t="shared" si="489"/>
        <v>39</v>
      </c>
      <c r="W1904" s="4">
        <f t="shared" si="490"/>
        <v>39</v>
      </c>
      <c r="X1904" s="4">
        <f t="shared" si="491"/>
        <v>9</v>
      </c>
      <c r="Y1904" s="4">
        <f t="shared" si="492"/>
        <v>9</v>
      </c>
      <c r="Z1904" s="4">
        <f t="shared" si="493"/>
        <v>78</v>
      </c>
      <c r="AA1904" s="102">
        <f t="shared" si="494"/>
        <v>39</v>
      </c>
      <c r="AC1904" s="100">
        <f t="shared" si="495"/>
        <v>0.98081544781789809</v>
      </c>
    </row>
    <row r="1905" spans="4:29" x14ac:dyDescent="0.35">
      <c r="D1905">
        <f t="shared" si="496"/>
        <v>1901</v>
      </c>
      <c r="E1905" s="101">
        <v>7</v>
      </c>
      <c r="F1905" s="4">
        <v>2</v>
      </c>
      <c r="G1905" s="4">
        <v>7</v>
      </c>
      <c r="H1905" s="4">
        <v>4</v>
      </c>
      <c r="I1905" s="4">
        <v>2</v>
      </c>
      <c r="J1905" s="4">
        <v>4</v>
      </c>
      <c r="K1905" s="102">
        <v>3</v>
      </c>
      <c r="M1905" s="101">
        <f t="shared" si="481"/>
        <v>29</v>
      </c>
      <c r="N1905" s="4">
        <f t="shared" si="482"/>
        <v>56</v>
      </c>
      <c r="O1905" s="4">
        <f t="shared" si="483"/>
        <v>29</v>
      </c>
      <c r="P1905" s="4">
        <f t="shared" si="484"/>
        <v>12</v>
      </c>
      <c r="Q1905" s="4">
        <f t="shared" si="485"/>
        <v>56</v>
      </c>
      <c r="R1905" s="4">
        <f t="shared" si="486"/>
        <v>12</v>
      </c>
      <c r="S1905" s="102">
        <f t="shared" si="487"/>
        <v>23</v>
      </c>
      <c r="U1905" s="101">
        <f t="shared" si="488"/>
        <v>41</v>
      </c>
      <c r="V1905" s="4">
        <f t="shared" si="489"/>
        <v>78</v>
      </c>
      <c r="W1905" s="4">
        <f t="shared" si="490"/>
        <v>41</v>
      </c>
      <c r="X1905" s="4">
        <f t="shared" si="491"/>
        <v>9</v>
      </c>
      <c r="Y1905" s="4">
        <f t="shared" si="492"/>
        <v>78</v>
      </c>
      <c r="Z1905" s="4">
        <f t="shared" si="493"/>
        <v>9</v>
      </c>
      <c r="AA1905" s="102">
        <f t="shared" si="494"/>
        <v>39</v>
      </c>
      <c r="AC1905" s="100">
        <f t="shared" si="495"/>
        <v>0.9859146166869136</v>
      </c>
    </row>
    <row r="1906" spans="4:29" x14ac:dyDescent="0.35">
      <c r="D1906">
        <f t="shared" si="496"/>
        <v>1902</v>
      </c>
      <c r="E1906" s="101">
        <v>1</v>
      </c>
      <c r="F1906" s="4">
        <v>2</v>
      </c>
      <c r="G1906" s="4">
        <v>3</v>
      </c>
      <c r="H1906" s="4">
        <v>3</v>
      </c>
      <c r="I1906" s="4">
        <v>7</v>
      </c>
      <c r="J1906" s="4">
        <v>5</v>
      </c>
      <c r="K1906" s="102">
        <v>3</v>
      </c>
      <c r="M1906" s="101">
        <f t="shared" si="481"/>
        <v>34</v>
      </c>
      <c r="N1906" s="4">
        <f t="shared" si="482"/>
        <v>56</v>
      </c>
      <c r="O1906" s="4">
        <f t="shared" si="483"/>
        <v>23</v>
      </c>
      <c r="P1906" s="4">
        <f t="shared" si="484"/>
        <v>23</v>
      </c>
      <c r="Q1906" s="4">
        <f t="shared" si="485"/>
        <v>29</v>
      </c>
      <c r="R1906" s="4">
        <f t="shared" si="486"/>
        <v>30</v>
      </c>
      <c r="S1906" s="102">
        <f t="shared" si="487"/>
        <v>23</v>
      </c>
      <c r="U1906" s="101">
        <f t="shared" si="488"/>
        <v>46</v>
      </c>
      <c r="V1906" s="4">
        <f t="shared" si="489"/>
        <v>78</v>
      </c>
      <c r="W1906" s="4">
        <f t="shared" si="490"/>
        <v>39</v>
      </c>
      <c r="X1906" s="4">
        <f t="shared" si="491"/>
        <v>39</v>
      </c>
      <c r="Y1906" s="4">
        <f t="shared" si="492"/>
        <v>41</v>
      </c>
      <c r="Z1906" s="4">
        <f t="shared" si="493"/>
        <v>39</v>
      </c>
      <c r="AA1906" s="102">
        <f t="shared" si="494"/>
        <v>39</v>
      </c>
      <c r="AC1906" s="100">
        <f t="shared" si="495"/>
        <v>0.96867095100954803</v>
      </c>
    </row>
    <row r="1907" spans="4:29" x14ac:dyDescent="0.35">
      <c r="D1907">
        <f t="shared" si="496"/>
        <v>1903</v>
      </c>
      <c r="E1907" s="101">
        <v>7</v>
      </c>
      <c r="F1907" s="4">
        <v>3</v>
      </c>
      <c r="G1907" s="4">
        <v>2</v>
      </c>
      <c r="H1907" s="4">
        <v>2</v>
      </c>
      <c r="I1907" s="4">
        <v>6</v>
      </c>
      <c r="J1907" s="4">
        <v>3</v>
      </c>
      <c r="K1907" s="102">
        <v>4</v>
      </c>
      <c r="M1907" s="101">
        <f t="shared" si="481"/>
        <v>29</v>
      </c>
      <c r="N1907" s="4">
        <f t="shared" si="482"/>
        <v>23</v>
      </c>
      <c r="O1907" s="4">
        <f t="shared" si="483"/>
        <v>56</v>
      </c>
      <c r="P1907" s="4">
        <f t="shared" si="484"/>
        <v>56</v>
      </c>
      <c r="Q1907" s="4">
        <f t="shared" si="485"/>
        <v>45</v>
      </c>
      <c r="R1907" s="4">
        <f t="shared" si="486"/>
        <v>23</v>
      </c>
      <c r="S1907" s="102">
        <f t="shared" si="487"/>
        <v>12</v>
      </c>
      <c r="U1907" s="101">
        <f t="shared" si="488"/>
        <v>41</v>
      </c>
      <c r="V1907" s="4">
        <f t="shared" si="489"/>
        <v>39</v>
      </c>
      <c r="W1907" s="4">
        <f t="shared" si="490"/>
        <v>78</v>
      </c>
      <c r="X1907" s="4">
        <f t="shared" si="491"/>
        <v>78</v>
      </c>
      <c r="Y1907" s="4">
        <f t="shared" si="492"/>
        <v>71</v>
      </c>
      <c r="Z1907" s="4">
        <f t="shared" si="493"/>
        <v>39</v>
      </c>
      <c r="AA1907" s="102">
        <f t="shared" si="494"/>
        <v>9</v>
      </c>
      <c r="AC1907" s="100">
        <f t="shared" si="495"/>
        <v>0.97617740212525639</v>
      </c>
    </row>
    <row r="1908" spans="4:29" x14ac:dyDescent="0.35">
      <c r="D1908">
        <f t="shared" si="496"/>
        <v>1904</v>
      </c>
      <c r="E1908" s="101">
        <v>3</v>
      </c>
      <c r="F1908" s="4">
        <v>7</v>
      </c>
      <c r="G1908" s="4">
        <v>3</v>
      </c>
      <c r="H1908" s="4">
        <v>5</v>
      </c>
      <c r="I1908" s="4">
        <v>5</v>
      </c>
      <c r="J1908" s="4">
        <v>1</v>
      </c>
      <c r="K1908" s="102">
        <v>3</v>
      </c>
      <c r="M1908" s="101">
        <f t="shared" si="481"/>
        <v>23</v>
      </c>
      <c r="N1908" s="4">
        <f t="shared" si="482"/>
        <v>29</v>
      </c>
      <c r="O1908" s="4">
        <f t="shared" si="483"/>
        <v>23</v>
      </c>
      <c r="P1908" s="4">
        <f t="shared" si="484"/>
        <v>30</v>
      </c>
      <c r="Q1908" s="4">
        <f t="shared" si="485"/>
        <v>30</v>
      </c>
      <c r="R1908" s="4">
        <f t="shared" si="486"/>
        <v>34</v>
      </c>
      <c r="S1908" s="102">
        <f t="shared" si="487"/>
        <v>23</v>
      </c>
      <c r="U1908" s="101">
        <f t="shared" si="488"/>
        <v>39</v>
      </c>
      <c r="V1908" s="4">
        <f t="shared" si="489"/>
        <v>41</v>
      </c>
      <c r="W1908" s="4">
        <f t="shared" si="490"/>
        <v>39</v>
      </c>
      <c r="X1908" s="4">
        <f t="shared" si="491"/>
        <v>39</v>
      </c>
      <c r="Y1908" s="4">
        <f t="shared" si="492"/>
        <v>39</v>
      </c>
      <c r="Z1908" s="4">
        <f t="shared" si="493"/>
        <v>46</v>
      </c>
      <c r="AA1908" s="102">
        <f t="shared" si="494"/>
        <v>39</v>
      </c>
      <c r="AC1908" s="100">
        <f t="shared" si="495"/>
        <v>0.70371342738419929</v>
      </c>
    </row>
    <row r="1909" spans="4:29" x14ac:dyDescent="0.35">
      <c r="D1909">
        <f t="shared" si="496"/>
        <v>1905</v>
      </c>
      <c r="E1909" s="101">
        <v>2</v>
      </c>
      <c r="F1909" s="4">
        <v>5</v>
      </c>
      <c r="G1909" s="4">
        <v>3</v>
      </c>
      <c r="H1909" s="4">
        <v>2</v>
      </c>
      <c r="I1909" s="4">
        <v>5</v>
      </c>
      <c r="J1909" s="4">
        <v>4</v>
      </c>
      <c r="K1909" s="102">
        <v>1</v>
      </c>
      <c r="M1909" s="101">
        <f t="shared" si="481"/>
        <v>56</v>
      </c>
      <c r="N1909" s="4">
        <f t="shared" si="482"/>
        <v>30</v>
      </c>
      <c r="O1909" s="4">
        <f t="shared" si="483"/>
        <v>23</v>
      </c>
      <c r="P1909" s="4">
        <f t="shared" si="484"/>
        <v>56</v>
      </c>
      <c r="Q1909" s="4">
        <f t="shared" si="485"/>
        <v>30</v>
      </c>
      <c r="R1909" s="4">
        <f t="shared" si="486"/>
        <v>12</v>
      </c>
      <c r="S1909" s="102">
        <f t="shared" si="487"/>
        <v>34</v>
      </c>
      <c r="U1909" s="101">
        <f t="shared" si="488"/>
        <v>78</v>
      </c>
      <c r="V1909" s="4">
        <f t="shared" si="489"/>
        <v>39</v>
      </c>
      <c r="W1909" s="4">
        <f t="shared" si="490"/>
        <v>39</v>
      </c>
      <c r="X1909" s="4">
        <f t="shared" si="491"/>
        <v>78</v>
      </c>
      <c r="Y1909" s="4">
        <f t="shared" si="492"/>
        <v>39</v>
      </c>
      <c r="Z1909" s="4">
        <f t="shared" si="493"/>
        <v>9</v>
      </c>
      <c r="AA1909" s="102">
        <f t="shared" si="494"/>
        <v>46</v>
      </c>
      <c r="AC1909" s="100">
        <f t="shared" si="495"/>
        <v>0.98468578611408153</v>
      </c>
    </row>
    <row r="1910" spans="4:29" x14ac:dyDescent="0.35">
      <c r="D1910">
        <f t="shared" si="496"/>
        <v>1906</v>
      </c>
      <c r="E1910" s="101">
        <v>7</v>
      </c>
      <c r="F1910" s="4">
        <v>3</v>
      </c>
      <c r="G1910" s="4">
        <v>1</v>
      </c>
      <c r="H1910" s="4">
        <v>1</v>
      </c>
      <c r="I1910" s="4">
        <v>4</v>
      </c>
      <c r="J1910" s="4">
        <v>7</v>
      </c>
      <c r="K1910" s="102">
        <v>2</v>
      </c>
      <c r="M1910" s="101">
        <f t="shared" si="481"/>
        <v>29</v>
      </c>
      <c r="N1910" s="4">
        <f t="shared" si="482"/>
        <v>23</v>
      </c>
      <c r="O1910" s="4">
        <f t="shared" si="483"/>
        <v>34</v>
      </c>
      <c r="P1910" s="4">
        <f t="shared" si="484"/>
        <v>34</v>
      </c>
      <c r="Q1910" s="4">
        <f t="shared" si="485"/>
        <v>12</v>
      </c>
      <c r="R1910" s="4">
        <f t="shared" si="486"/>
        <v>29</v>
      </c>
      <c r="S1910" s="102">
        <f t="shared" si="487"/>
        <v>56</v>
      </c>
      <c r="U1910" s="101">
        <f t="shared" si="488"/>
        <v>41</v>
      </c>
      <c r="V1910" s="4">
        <f t="shared" si="489"/>
        <v>39</v>
      </c>
      <c r="W1910" s="4">
        <f t="shared" si="490"/>
        <v>46</v>
      </c>
      <c r="X1910" s="4">
        <f t="shared" si="491"/>
        <v>46</v>
      </c>
      <c r="Y1910" s="4">
        <f t="shared" si="492"/>
        <v>9</v>
      </c>
      <c r="Z1910" s="4">
        <f t="shared" si="493"/>
        <v>41</v>
      </c>
      <c r="AA1910" s="102">
        <f t="shared" si="494"/>
        <v>78</v>
      </c>
      <c r="AC1910" s="100">
        <f t="shared" si="495"/>
        <v>0.97793973035462389</v>
      </c>
    </row>
    <row r="1911" spans="4:29" x14ac:dyDescent="0.35">
      <c r="D1911">
        <f t="shared" si="496"/>
        <v>1907</v>
      </c>
      <c r="E1911" s="101">
        <v>7</v>
      </c>
      <c r="F1911" s="4">
        <v>3</v>
      </c>
      <c r="G1911" s="4">
        <v>7</v>
      </c>
      <c r="H1911" s="4">
        <v>6</v>
      </c>
      <c r="I1911" s="4">
        <v>4</v>
      </c>
      <c r="J1911" s="4">
        <v>2</v>
      </c>
      <c r="K1911" s="102">
        <v>7</v>
      </c>
      <c r="M1911" s="101">
        <f t="shared" si="481"/>
        <v>29</v>
      </c>
      <c r="N1911" s="4">
        <f t="shared" si="482"/>
        <v>23</v>
      </c>
      <c r="O1911" s="4">
        <f t="shared" si="483"/>
        <v>29</v>
      </c>
      <c r="P1911" s="4">
        <f t="shared" si="484"/>
        <v>45</v>
      </c>
      <c r="Q1911" s="4">
        <f t="shared" si="485"/>
        <v>12</v>
      </c>
      <c r="R1911" s="4">
        <f t="shared" si="486"/>
        <v>56</v>
      </c>
      <c r="S1911" s="102">
        <f t="shared" si="487"/>
        <v>29</v>
      </c>
      <c r="U1911" s="101">
        <f t="shared" si="488"/>
        <v>41</v>
      </c>
      <c r="V1911" s="4">
        <f t="shared" si="489"/>
        <v>39</v>
      </c>
      <c r="W1911" s="4">
        <f t="shared" si="490"/>
        <v>41</v>
      </c>
      <c r="X1911" s="4">
        <f t="shared" si="491"/>
        <v>71</v>
      </c>
      <c r="Y1911" s="4">
        <f t="shared" si="492"/>
        <v>9</v>
      </c>
      <c r="Z1911" s="4">
        <f t="shared" si="493"/>
        <v>78</v>
      </c>
      <c r="AA1911" s="102">
        <f t="shared" si="494"/>
        <v>41</v>
      </c>
      <c r="AC1911" s="100">
        <f t="shared" si="495"/>
        <v>0.97824408678476094</v>
      </c>
    </row>
    <row r="1912" spans="4:29" x14ac:dyDescent="0.35">
      <c r="D1912">
        <f t="shared" si="496"/>
        <v>1908</v>
      </c>
      <c r="E1912" s="101">
        <v>4</v>
      </c>
      <c r="F1912" s="4">
        <v>4</v>
      </c>
      <c r="G1912" s="4">
        <v>1</v>
      </c>
      <c r="H1912" s="4">
        <v>1</v>
      </c>
      <c r="I1912" s="4">
        <v>4</v>
      </c>
      <c r="J1912" s="4">
        <v>1</v>
      </c>
      <c r="K1912" s="102">
        <v>7</v>
      </c>
      <c r="M1912" s="101">
        <f t="shared" si="481"/>
        <v>12</v>
      </c>
      <c r="N1912" s="4">
        <f t="shared" si="482"/>
        <v>12</v>
      </c>
      <c r="O1912" s="4">
        <f t="shared" si="483"/>
        <v>34</v>
      </c>
      <c r="P1912" s="4">
        <f t="shared" si="484"/>
        <v>34</v>
      </c>
      <c r="Q1912" s="4">
        <f t="shared" si="485"/>
        <v>12</v>
      </c>
      <c r="R1912" s="4">
        <f t="shared" si="486"/>
        <v>34</v>
      </c>
      <c r="S1912" s="102">
        <f t="shared" si="487"/>
        <v>29</v>
      </c>
      <c r="U1912" s="101">
        <f t="shared" si="488"/>
        <v>9</v>
      </c>
      <c r="V1912" s="4">
        <f t="shared" si="489"/>
        <v>9</v>
      </c>
      <c r="W1912" s="4">
        <f t="shared" si="490"/>
        <v>46</v>
      </c>
      <c r="X1912" s="4">
        <f t="shared" si="491"/>
        <v>46</v>
      </c>
      <c r="Y1912" s="4">
        <f t="shared" si="492"/>
        <v>9</v>
      </c>
      <c r="Z1912" s="4">
        <f t="shared" si="493"/>
        <v>46</v>
      </c>
      <c r="AA1912" s="102">
        <f t="shared" si="494"/>
        <v>41</v>
      </c>
      <c r="AC1912" s="100">
        <f t="shared" si="495"/>
        <v>0.99783550178226899</v>
      </c>
    </row>
    <row r="1913" spans="4:29" x14ac:dyDescent="0.35">
      <c r="D1913">
        <f t="shared" si="496"/>
        <v>1909</v>
      </c>
      <c r="E1913" s="101">
        <v>4</v>
      </c>
      <c r="F1913" s="4">
        <v>3</v>
      </c>
      <c r="G1913" s="4">
        <v>6</v>
      </c>
      <c r="H1913" s="4">
        <v>7</v>
      </c>
      <c r="I1913" s="4">
        <v>3</v>
      </c>
      <c r="J1913" s="4">
        <v>2</v>
      </c>
      <c r="K1913" s="102">
        <v>3</v>
      </c>
      <c r="M1913" s="101">
        <f t="shared" si="481"/>
        <v>12</v>
      </c>
      <c r="N1913" s="4">
        <f t="shared" si="482"/>
        <v>23</v>
      </c>
      <c r="O1913" s="4">
        <f t="shared" si="483"/>
        <v>45</v>
      </c>
      <c r="P1913" s="4">
        <f t="shared" si="484"/>
        <v>29</v>
      </c>
      <c r="Q1913" s="4">
        <f t="shared" si="485"/>
        <v>23</v>
      </c>
      <c r="R1913" s="4">
        <f t="shared" si="486"/>
        <v>56</v>
      </c>
      <c r="S1913" s="102">
        <f t="shared" si="487"/>
        <v>23</v>
      </c>
      <c r="U1913" s="101">
        <f t="shared" si="488"/>
        <v>9</v>
      </c>
      <c r="V1913" s="4">
        <f t="shared" si="489"/>
        <v>39</v>
      </c>
      <c r="W1913" s="4">
        <f t="shared" si="490"/>
        <v>71</v>
      </c>
      <c r="X1913" s="4">
        <f t="shared" si="491"/>
        <v>41</v>
      </c>
      <c r="Y1913" s="4">
        <f t="shared" si="492"/>
        <v>39</v>
      </c>
      <c r="Z1913" s="4">
        <f t="shared" si="493"/>
        <v>78</v>
      </c>
      <c r="AA1913" s="102">
        <f t="shared" si="494"/>
        <v>39</v>
      </c>
      <c r="AC1913" s="100">
        <f t="shared" si="495"/>
        <v>0.9688380007119809</v>
      </c>
    </row>
    <row r="1914" spans="4:29" x14ac:dyDescent="0.35">
      <c r="D1914">
        <f t="shared" si="496"/>
        <v>1910</v>
      </c>
      <c r="E1914" s="101">
        <v>4</v>
      </c>
      <c r="F1914" s="4">
        <v>1</v>
      </c>
      <c r="G1914" s="4">
        <v>7</v>
      </c>
      <c r="H1914" s="4">
        <v>7</v>
      </c>
      <c r="I1914" s="4">
        <v>6</v>
      </c>
      <c r="J1914" s="4">
        <v>6</v>
      </c>
      <c r="K1914" s="102">
        <v>2</v>
      </c>
      <c r="M1914" s="101">
        <f t="shared" si="481"/>
        <v>12</v>
      </c>
      <c r="N1914" s="4">
        <f t="shared" si="482"/>
        <v>34</v>
      </c>
      <c r="O1914" s="4">
        <f t="shared" si="483"/>
        <v>29</v>
      </c>
      <c r="P1914" s="4">
        <f t="shared" si="484"/>
        <v>29</v>
      </c>
      <c r="Q1914" s="4">
        <f t="shared" si="485"/>
        <v>45</v>
      </c>
      <c r="R1914" s="4">
        <f t="shared" si="486"/>
        <v>45</v>
      </c>
      <c r="S1914" s="102">
        <f t="shared" si="487"/>
        <v>56</v>
      </c>
      <c r="U1914" s="101">
        <f t="shared" si="488"/>
        <v>9</v>
      </c>
      <c r="V1914" s="4">
        <f t="shared" si="489"/>
        <v>46</v>
      </c>
      <c r="W1914" s="4">
        <f t="shared" si="490"/>
        <v>41</v>
      </c>
      <c r="X1914" s="4">
        <f t="shared" si="491"/>
        <v>41</v>
      </c>
      <c r="Y1914" s="4">
        <f t="shared" si="492"/>
        <v>71</v>
      </c>
      <c r="Z1914" s="4">
        <f t="shared" si="493"/>
        <v>71</v>
      </c>
      <c r="AA1914" s="102">
        <f t="shared" si="494"/>
        <v>78</v>
      </c>
      <c r="AC1914" s="100">
        <f t="shared" si="495"/>
        <v>0.98556824300359647</v>
      </c>
    </row>
    <row r="1915" spans="4:29" x14ac:dyDescent="0.35">
      <c r="D1915">
        <f t="shared" si="496"/>
        <v>1911</v>
      </c>
      <c r="E1915" s="101">
        <v>5</v>
      </c>
      <c r="F1915" s="4">
        <v>2</v>
      </c>
      <c r="G1915" s="4">
        <v>1</v>
      </c>
      <c r="H1915" s="4">
        <v>1</v>
      </c>
      <c r="I1915" s="4">
        <v>3</v>
      </c>
      <c r="J1915" s="4">
        <v>6</v>
      </c>
      <c r="K1915" s="102">
        <v>2</v>
      </c>
      <c r="M1915" s="101">
        <f t="shared" si="481"/>
        <v>30</v>
      </c>
      <c r="N1915" s="4">
        <f t="shared" si="482"/>
        <v>56</v>
      </c>
      <c r="O1915" s="4">
        <f t="shared" si="483"/>
        <v>34</v>
      </c>
      <c r="P1915" s="4">
        <f t="shared" si="484"/>
        <v>34</v>
      </c>
      <c r="Q1915" s="4">
        <f t="shared" si="485"/>
        <v>23</v>
      </c>
      <c r="R1915" s="4">
        <f t="shared" si="486"/>
        <v>45</v>
      </c>
      <c r="S1915" s="102">
        <f t="shared" si="487"/>
        <v>56</v>
      </c>
      <c r="U1915" s="101">
        <f t="shared" si="488"/>
        <v>39</v>
      </c>
      <c r="V1915" s="4">
        <f t="shared" si="489"/>
        <v>78</v>
      </c>
      <c r="W1915" s="4">
        <f t="shared" si="490"/>
        <v>46</v>
      </c>
      <c r="X1915" s="4">
        <f t="shared" si="491"/>
        <v>46</v>
      </c>
      <c r="Y1915" s="4">
        <f t="shared" si="492"/>
        <v>39</v>
      </c>
      <c r="Z1915" s="4">
        <f t="shared" si="493"/>
        <v>71</v>
      </c>
      <c r="AA1915" s="102">
        <f t="shared" si="494"/>
        <v>78</v>
      </c>
      <c r="AC1915" s="100">
        <f t="shared" si="495"/>
        <v>0.97043400022235349</v>
      </c>
    </row>
    <row r="1916" spans="4:29" x14ac:dyDescent="0.35">
      <c r="D1916">
        <f t="shared" si="496"/>
        <v>1912</v>
      </c>
      <c r="E1916" s="101">
        <v>2</v>
      </c>
      <c r="F1916" s="4">
        <v>2</v>
      </c>
      <c r="G1916" s="4">
        <v>5</v>
      </c>
      <c r="H1916" s="4">
        <v>4</v>
      </c>
      <c r="I1916" s="4">
        <v>7</v>
      </c>
      <c r="J1916" s="4">
        <v>2</v>
      </c>
      <c r="K1916" s="102">
        <v>6</v>
      </c>
      <c r="M1916" s="101">
        <f t="shared" si="481"/>
        <v>56</v>
      </c>
      <c r="N1916" s="4">
        <f t="shared" si="482"/>
        <v>56</v>
      </c>
      <c r="O1916" s="4">
        <f t="shared" si="483"/>
        <v>30</v>
      </c>
      <c r="P1916" s="4">
        <f t="shared" si="484"/>
        <v>12</v>
      </c>
      <c r="Q1916" s="4">
        <f t="shared" si="485"/>
        <v>29</v>
      </c>
      <c r="R1916" s="4">
        <f t="shared" si="486"/>
        <v>56</v>
      </c>
      <c r="S1916" s="102">
        <f t="shared" si="487"/>
        <v>45</v>
      </c>
      <c r="U1916" s="101">
        <f t="shared" si="488"/>
        <v>78</v>
      </c>
      <c r="V1916" s="4">
        <f t="shared" si="489"/>
        <v>78</v>
      </c>
      <c r="W1916" s="4">
        <f t="shared" si="490"/>
        <v>39</v>
      </c>
      <c r="X1916" s="4">
        <f t="shared" si="491"/>
        <v>9</v>
      </c>
      <c r="Y1916" s="4">
        <f t="shared" si="492"/>
        <v>41</v>
      </c>
      <c r="Z1916" s="4">
        <f t="shared" si="493"/>
        <v>78</v>
      </c>
      <c r="AA1916" s="102">
        <f t="shared" si="494"/>
        <v>71</v>
      </c>
      <c r="AC1916" s="100">
        <f t="shared" si="495"/>
        <v>0.98937726106300572</v>
      </c>
    </row>
    <row r="1917" spans="4:29" x14ac:dyDescent="0.35">
      <c r="D1917">
        <f t="shared" si="496"/>
        <v>1913</v>
      </c>
      <c r="E1917" s="101">
        <v>2</v>
      </c>
      <c r="F1917" s="4">
        <v>5</v>
      </c>
      <c r="G1917" s="4">
        <v>3</v>
      </c>
      <c r="H1917" s="4">
        <v>7</v>
      </c>
      <c r="I1917" s="4">
        <v>1</v>
      </c>
      <c r="J1917" s="4">
        <v>6</v>
      </c>
      <c r="K1917" s="102">
        <v>3</v>
      </c>
      <c r="M1917" s="101">
        <f t="shared" si="481"/>
        <v>56</v>
      </c>
      <c r="N1917" s="4">
        <f t="shared" si="482"/>
        <v>30</v>
      </c>
      <c r="O1917" s="4">
        <f t="shared" si="483"/>
        <v>23</v>
      </c>
      <c r="P1917" s="4">
        <f t="shared" si="484"/>
        <v>29</v>
      </c>
      <c r="Q1917" s="4">
        <f t="shared" si="485"/>
        <v>34</v>
      </c>
      <c r="R1917" s="4">
        <f t="shared" si="486"/>
        <v>45</v>
      </c>
      <c r="S1917" s="102">
        <f t="shared" si="487"/>
        <v>23</v>
      </c>
      <c r="U1917" s="101">
        <f t="shared" si="488"/>
        <v>78</v>
      </c>
      <c r="V1917" s="4">
        <f t="shared" si="489"/>
        <v>39</v>
      </c>
      <c r="W1917" s="4">
        <f t="shared" si="490"/>
        <v>39</v>
      </c>
      <c r="X1917" s="4">
        <f t="shared" si="491"/>
        <v>41</v>
      </c>
      <c r="Y1917" s="4">
        <f t="shared" si="492"/>
        <v>46</v>
      </c>
      <c r="Z1917" s="4">
        <f t="shared" si="493"/>
        <v>71</v>
      </c>
      <c r="AA1917" s="102">
        <f t="shared" si="494"/>
        <v>39</v>
      </c>
      <c r="AC1917" s="100">
        <f t="shared" si="495"/>
        <v>0.96300439634993651</v>
      </c>
    </row>
    <row r="1918" spans="4:29" x14ac:dyDescent="0.35">
      <c r="D1918">
        <f t="shared" si="496"/>
        <v>1914</v>
      </c>
      <c r="E1918" s="101">
        <v>2</v>
      </c>
      <c r="F1918" s="4">
        <v>5</v>
      </c>
      <c r="G1918" s="4">
        <v>7</v>
      </c>
      <c r="H1918" s="4">
        <v>1</v>
      </c>
      <c r="I1918" s="4">
        <v>3</v>
      </c>
      <c r="J1918" s="4">
        <v>7</v>
      </c>
      <c r="K1918" s="102">
        <v>7</v>
      </c>
      <c r="M1918" s="101">
        <f t="shared" si="481"/>
        <v>56</v>
      </c>
      <c r="N1918" s="4">
        <f t="shared" si="482"/>
        <v>30</v>
      </c>
      <c r="O1918" s="4">
        <f t="shared" si="483"/>
        <v>29</v>
      </c>
      <c r="P1918" s="4">
        <f t="shared" si="484"/>
        <v>34</v>
      </c>
      <c r="Q1918" s="4">
        <f t="shared" si="485"/>
        <v>23</v>
      </c>
      <c r="R1918" s="4">
        <f t="shared" si="486"/>
        <v>29</v>
      </c>
      <c r="S1918" s="102">
        <f t="shared" si="487"/>
        <v>29</v>
      </c>
      <c r="U1918" s="101">
        <f t="shared" si="488"/>
        <v>78</v>
      </c>
      <c r="V1918" s="4">
        <f t="shared" si="489"/>
        <v>39</v>
      </c>
      <c r="W1918" s="4">
        <f t="shared" si="490"/>
        <v>41</v>
      </c>
      <c r="X1918" s="4">
        <f t="shared" si="491"/>
        <v>46</v>
      </c>
      <c r="Y1918" s="4">
        <f t="shared" si="492"/>
        <v>39</v>
      </c>
      <c r="Z1918" s="4">
        <f t="shared" si="493"/>
        <v>41</v>
      </c>
      <c r="AA1918" s="102">
        <f t="shared" si="494"/>
        <v>41</v>
      </c>
      <c r="AC1918" s="100">
        <f t="shared" si="495"/>
        <v>0.97923400981579378</v>
      </c>
    </row>
    <row r="1919" spans="4:29" x14ac:dyDescent="0.35">
      <c r="D1919">
        <f t="shared" si="496"/>
        <v>1915</v>
      </c>
      <c r="E1919" s="101">
        <v>3</v>
      </c>
      <c r="F1919" s="4">
        <v>2</v>
      </c>
      <c r="G1919" s="4">
        <v>6</v>
      </c>
      <c r="H1919" s="4">
        <v>7</v>
      </c>
      <c r="I1919" s="4">
        <v>7</v>
      </c>
      <c r="J1919" s="4">
        <v>6</v>
      </c>
      <c r="K1919" s="102">
        <v>4</v>
      </c>
      <c r="M1919" s="101">
        <f t="shared" si="481"/>
        <v>23</v>
      </c>
      <c r="N1919" s="4">
        <f t="shared" si="482"/>
        <v>56</v>
      </c>
      <c r="O1919" s="4">
        <f t="shared" si="483"/>
        <v>45</v>
      </c>
      <c r="P1919" s="4">
        <f t="shared" si="484"/>
        <v>29</v>
      </c>
      <c r="Q1919" s="4">
        <f t="shared" si="485"/>
        <v>29</v>
      </c>
      <c r="R1919" s="4">
        <f t="shared" si="486"/>
        <v>45</v>
      </c>
      <c r="S1919" s="102">
        <f t="shared" si="487"/>
        <v>12</v>
      </c>
      <c r="U1919" s="101">
        <f t="shared" si="488"/>
        <v>39</v>
      </c>
      <c r="V1919" s="4">
        <f t="shared" si="489"/>
        <v>78</v>
      </c>
      <c r="W1919" s="4">
        <f t="shared" si="490"/>
        <v>71</v>
      </c>
      <c r="X1919" s="4">
        <f t="shared" si="491"/>
        <v>41</v>
      </c>
      <c r="Y1919" s="4">
        <f t="shared" si="492"/>
        <v>41</v>
      </c>
      <c r="Z1919" s="4">
        <f t="shared" si="493"/>
        <v>71</v>
      </c>
      <c r="AA1919" s="102">
        <f t="shared" si="494"/>
        <v>9</v>
      </c>
      <c r="AC1919" s="100">
        <f t="shared" si="495"/>
        <v>0.97862135760878088</v>
      </c>
    </row>
    <row r="1920" spans="4:29" x14ac:dyDescent="0.35">
      <c r="D1920">
        <f t="shared" si="496"/>
        <v>1916</v>
      </c>
      <c r="E1920" s="101">
        <v>2</v>
      </c>
      <c r="F1920" s="4">
        <v>2</v>
      </c>
      <c r="G1920" s="4">
        <v>6</v>
      </c>
      <c r="H1920" s="4">
        <v>7</v>
      </c>
      <c r="I1920" s="4">
        <v>4</v>
      </c>
      <c r="J1920" s="4">
        <v>1</v>
      </c>
      <c r="K1920" s="102">
        <v>1</v>
      </c>
      <c r="M1920" s="101">
        <f t="shared" si="481"/>
        <v>56</v>
      </c>
      <c r="N1920" s="4">
        <f t="shared" si="482"/>
        <v>56</v>
      </c>
      <c r="O1920" s="4">
        <f t="shared" si="483"/>
        <v>45</v>
      </c>
      <c r="P1920" s="4">
        <f t="shared" si="484"/>
        <v>29</v>
      </c>
      <c r="Q1920" s="4">
        <f t="shared" si="485"/>
        <v>12</v>
      </c>
      <c r="R1920" s="4">
        <f t="shared" si="486"/>
        <v>34</v>
      </c>
      <c r="S1920" s="102">
        <f t="shared" si="487"/>
        <v>34</v>
      </c>
      <c r="U1920" s="101">
        <f t="shared" si="488"/>
        <v>78</v>
      </c>
      <c r="V1920" s="4">
        <f t="shared" si="489"/>
        <v>78</v>
      </c>
      <c r="W1920" s="4">
        <f t="shared" si="490"/>
        <v>71</v>
      </c>
      <c r="X1920" s="4">
        <f t="shared" si="491"/>
        <v>41</v>
      </c>
      <c r="Y1920" s="4">
        <f t="shared" si="492"/>
        <v>9</v>
      </c>
      <c r="Z1920" s="4">
        <f t="shared" si="493"/>
        <v>46</v>
      </c>
      <c r="AA1920" s="102">
        <f t="shared" si="494"/>
        <v>46</v>
      </c>
      <c r="AC1920" s="100">
        <f t="shared" si="495"/>
        <v>0.98853740275842938</v>
      </c>
    </row>
    <row r="1921" spans="4:29" x14ac:dyDescent="0.35">
      <c r="D1921">
        <f t="shared" si="496"/>
        <v>1917</v>
      </c>
      <c r="E1921" s="101">
        <v>4</v>
      </c>
      <c r="F1921" s="4">
        <v>4</v>
      </c>
      <c r="G1921" s="4">
        <v>2</v>
      </c>
      <c r="H1921" s="4">
        <v>4</v>
      </c>
      <c r="I1921" s="4">
        <v>4</v>
      </c>
      <c r="J1921" s="4">
        <v>7</v>
      </c>
      <c r="K1921" s="102">
        <v>6</v>
      </c>
      <c r="M1921" s="101">
        <f t="shared" si="481"/>
        <v>12</v>
      </c>
      <c r="N1921" s="4">
        <f t="shared" si="482"/>
        <v>12</v>
      </c>
      <c r="O1921" s="4">
        <f t="shared" si="483"/>
        <v>56</v>
      </c>
      <c r="P1921" s="4">
        <f t="shared" si="484"/>
        <v>12</v>
      </c>
      <c r="Q1921" s="4">
        <f t="shared" si="485"/>
        <v>12</v>
      </c>
      <c r="R1921" s="4">
        <f t="shared" si="486"/>
        <v>29</v>
      </c>
      <c r="S1921" s="102">
        <f t="shared" si="487"/>
        <v>45</v>
      </c>
      <c r="U1921" s="101">
        <f t="shared" si="488"/>
        <v>9</v>
      </c>
      <c r="V1921" s="4">
        <f t="shared" si="489"/>
        <v>9</v>
      </c>
      <c r="W1921" s="4">
        <f t="shared" si="490"/>
        <v>78</v>
      </c>
      <c r="X1921" s="4">
        <f t="shared" si="491"/>
        <v>9</v>
      </c>
      <c r="Y1921" s="4">
        <f t="shared" si="492"/>
        <v>9</v>
      </c>
      <c r="Z1921" s="4">
        <f t="shared" si="493"/>
        <v>41</v>
      </c>
      <c r="AA1921" s="102">
        <f t="shared" si="494"/>
        <v>71</v>
      </c>
      <c r="AC1921" s="100">
        <f t="shared" si="495"/>
        <v>0.99352133945247167</v>
      </c>
    </row>
    <row r="1922" spans="4:29" x14ac:dyDescent="0.35">
      <c r="D1922">
        <f t="shared" si="496"/>
        <v>1918</v>
      </c>
      <c r="E1922" s="101">
        <v>6</v>
      </c>
      <c r="F1922" s="4">
        <v>4</v>
      </c>
      <c r="G1922" s="4">
        <v>1</v>
      </c>
      <c r="H1922" s="4">
        <v>3</v>
      </c>
      <c r="I1922" s="4">
        <v>3</v>
      </c>
      <c r="J1922" s="4">
        <v>7</v>
      </c>
      <c r="K1922" s="102">
        <v>3</v>
      </c>
      <c r="M1922" s="101">
        <f t="shared" si="481"/>
        <v>45</v>
      </c>
      <c r="N1922" s="4">
        <f t="shared" si="482"/>
        <v>12</v>
      </c>
      <c r="O1922" s="4">
        <f t="shared" si="483"/>
        <v>34</v>
      </c>
      <c r="P1922" s="4">
        <f t="shared" si="484"/>
        <v>23</v>
      </c>
      <c r="Q1922" s="4">
        <f t="shared" si="485"/>
        <v>23</v>
      </c>
      <c r="R1922" s="4">
        <f t="shared" si="486"/>
        <v>29</v>
      </c>
      <c r="S1922" s="102">
        <f t="shared" si="487"/>
        <v>23</v>
      </c>
      <c r="U1922" s="101">
        <f t="shared" si="488"/>
        <v>71</v>
      </c>
      <c r="V1922" s="4">
        <f t="shared" si="489"/>
        <v>9</v>
      </c>
      <c r="W1922" s="4">
        <f t="shared" si="490"/>
        <v>46</v>
      </c>
      <c r="X1922" s="4">
        <f t="shared" si="491"/>
        <v>39</v>
      </c>
      <c r="Y1922" s="4">
        <f t="shared" si="492"/>
        <v>39</v>
      </c>
      <c r="Z1922" s="4">
        <f t="shared" si="493"/>
        <v>41</v>
      </c>
      <c r="AA1922" s="102">
        <f t="shared" si="494"/>
        <v>39</v>
      </c>
      <c r="AC1922" s="100">
        <f t="shared" si="495"/>
        <v>0.95602310225053666</v>
      </c>
    </row>
    <row r="1923" spans="4:29" x14ac:dyDescent="0.35">
      <c r="D1923">
        <f t="shared" si="496"/>
        <v>1919</v>
      </c>
      <c r="E1923" s="101">
        <v>2</v>
      </c>
      <c r="F1923" s="4">
        <v>3</v>
      </c>
      <c r="G1923" s="4">
        <v>4</v>
      </c>
      <c r="H1923" s="4">
        <v>1</v>
      </c>
      <c r="I1923" s="4">
        <v>6</v>
      </c>
      <c r="J1923" s="4">
        <v>3</v>
      </c>
      <c r="K1923" s="102">
        <v>5</v>
      </c>
      <c r="M1923" s="101">
        <f t="shared" si="481"/>
        <v>56</v>
      </c>
      <c r="N1923" s="4">
        <f t="shared" si="482"/>
        <v>23</v>
      </c>
      <c r="O1923" s="4">
        <f t="shared" si="483"/>
        <v>12</v>
      </c>
      <c r="P1923" s="4">
        <f t="shared" si="484"/>
        <v>34</v>
      </c>
      <c r="Q1923" s="4">
        <f t="shared" si="485"/>
        <v>45</v>
      </c>
      <c r="R1923" s="4">
        <f t="shared" si="486"/>
        <v>23</v>
      </c>
      <c r="S1923" s="102">
        <f t="shared" si="487"/>
        <v>30</v>
      </c>
      <c r="U1923" s="101">
        <f t="shared" si="488"/>
        <v>78</v>
      </c>
      <c r="V1923" s="4">
        <f t="shared" si="489"/>
        <v>39</v>
      </c>
      <c r="W1923" s="4">
        <f t="shared" si="490"/>
        <v>9</v>
      </c>
      <c r="X1923" s="4">
        <f t="shared" si="491"/>
        <v>46</v>
      </c>
      <c r="Y1923" s="4">
        <f t="shared" si="492"/>
        <v>71</v>
      </c>
      <c r="Z1923" s="4">
        <f t="shared" si="493"/>
        <v>39</v>
      </c>
      <c r="AA1923" s="102">
        <f t="shared" si="494"/>
        <v>39</v>
      </c>
      <c r="AC1923" s="100">
        <f t="shared" si="495"/>
        <v>0.96711762463595619</v>
      </c>
    </row>
    <row r="1924" spans="4:29" x14ac:dyDescent="0.35">
      <c r="D1924">
        <f t="shared" si="496"/>
        <v>1920</v>
      </c>
      <c r="E1924" s="101">
        <v>6</v>
      </c>
      <c r="F1924" s="4">
        <v>3</v>
      </c>
      <c r="G1924" s="4">
        <v>1</v>
      </c>
      <c r="H1924" s="4">
        <v>1</v>
      </c>
      <c r="I1924" s="4">
        <v>4</v>
      </c>
      <c r="J1924" s="4">
        <v>1</v>
      </c>
      <c r="K1924" s="102">
        <v>2</v>
      </c>
      <c r="M1924" s="101">
        <f t="shared" si="481"/>
        <v>45</v>
      </c>
      <c r="N1924" s="4">
        <f t="shared" si="482"/>
        <v>23</v>
      </c>
      <c r="O1924" s="4">
        <f t="shared" si="483"/>
        <v>34</v>
      </c>
      <c r="P1924" s="4">
        <f t="shared" si="484"/>
        <v>34</v>
      </c>
      <c r="Q1924" s="4">
        <f t="shared" si="485"/>
        <v>12</v>
      </c>
      <c r="R1924" s="4">
        <f t="shared" si="486"/>
        <v>34</v>
      </c>
      <c r="S1924" s="102">
        <f t="shared" si="487"/>
        <v>56</v>
      </c>
      <c r="U1924" s="101">
        <f t="shared" si="488"/>
        <v>71</v>
      </c>
      <c r="V1924" s="4">
        <f t="shared" si="489"/>
        <v>39</v>
      </c>
      <c r="W1924" s="4">
        <f t="shared" si="490"/>
        <v>46</v>
      </c>
      <c r="X1924" s="4">
        <f t="shared" si="491"/>
        <v>46</v>
      </c>
      <c r="Y1924" s="4">
        <f t="shared" si="492"/>
        <v>9</v>
      </c>
      <c r="Z1924" s="4">
        <f t="shared" si="493"/>
        <v>46</v>
      </c>
      <c r="AA1924" s="102">
        <f t="shared" si="494"/>
        <v>78</v>
      </c>
      <c r="AC1924" s="100">
        <f t="shared" si="495"/>
        <v>0.97455900704675791</v>
      </c>
    </row>
    <row r="1925" spans="4:29" x14ac:dyDescent="0.35">
      <c r="D1925">
        <f t="shared" si="496"/>
        <v>1921</v>
      </c>
      <c r="E1925" s="101">
        <v>7</v>
      </c>
      <c r="F1925" s="4">
        <v>3</v>
      </c>
      <c r="G1925" s="4">
        <v>2</v>
      </c>
      <c r="H1925" s="4">
        <v>5</v>
      </c>
      <c r="I1925" s="4">
        <v>6</v>
      </c>
      <c r="J1925" s="4">
        <v>6</v>
      </c>
      <c r="K1925" s="102">
        <v>7</v>
      </c>
      <c r="M1925" s="101">
        <f t="shared" si="481"/>
        <v>29</v>
      </c>
      <c r="N1925" s="4">
        <f t="shared" si="482"/>
        <v>23</v>
      </c>
      <c r="O1925" s="4">
        <f t="shared" si="483"/>
        <v>56</v>
      </c>
      <c r="P1925" s="4">
        <f t="shared" si="484"/>
        <v>30</v>
      </c>
      <c r="Q1925" s="4">
        <f t="shared" si="485"/>
        <v>45</v>
      </c>
      <c r="R1925" s="4">
        <f t="shared" si="486"/>
        <v>45</v>
      </c>
      <c r="S1925" s="102">
        <f t="shared" si="487"/>
        <v>29</v>
      </c>
      <c r="U1925" s="101">
        <f t="shared" si="488"/>
        <v>41</v>
      </c>
      <c r="V1925" s="4">
        <f t="shared" si="489"/>
        <v>39</v>
      </c>
      <c r="W1925" s="4">
        <f t="shared" si="490"/>
        <v>78</v>
      </c>
      <c r="X1925" s="4">
        <f t="shared" si="491"/>
        <v>39</v>
      </c>
      <c r="Y1925" s="4">
        <f t="shared" si="492"/>
        <v>71</v>
      </c>
      <c r="Z1925" s="4">
        <f t="shared" si="493"/>
        <v>71</v>
      </c>
      <c r="AA1925" s="102">
        <f t="shared" si="494"/>
        <v>41</v>
      </c>
      <c r="AC1925" s="100">
        <f t="shared" si="495"/>
        <v>0.96779928272117277</v>
      </c>
    </row>
    <row r="1926" spans="4:29" x14ac:dyDescent="0.35">
      <c r="D1926">
        <f t="shared" si="496"/>
        <v>1922</v>
      </c>
      <c r="E1926" s="101">
        <v>2</v>
      </c>
      <c r="F1926" s="4">
        <v>5</v>
      </c>
      <c r="G1926" s="4">
        <v>2</v>
      </c>
      <c r="H1926" s="4">
        <v>1</v>
      </c>
      <c r="I1926" s="4">
        <v>2</v>
      </c>
      <c r="J1926" s="4">
        <v>1</v>
      </c>
      <c r="K1926" s="102">
        <v>2</v>
      </c>
      <c r="M1926" s="101">
        <f t="shared" ref="M1926:M1989" si="497">INDEX($A$5:$A$11,E1926)</f>
        <v>56</v>
      </c>
      <c r="N1926" s="4">
        <f t="shared" ref="N1926:N1989" si="498">INDEX($A$5:$A$11,F1926)</f>
        <v>30</v>
      </c>
      <c r="O1926" s="4">
        <f t="shared" ref="O1926:O1989" si="499">INDEX($A$5:$A$11,G1926)</f>
        <v>56</v>
      </c>
      <c r="P1926" s="4">
        <f t="shared" ref="P1926:P1989" si="500">INDEX($A$5:$A$11,H1926)</f>
        <v>34</v>
      </c>
      <c r="Q1926" s="4">
        <f t="shared" ref="Q1926:Q1989" si="501">INDEX($A$5:$A$11,I1926)</f>
        <v>56</v>
      </c>
      <c r="R1926" s="4">
        <f t="shared" ref="R1926:R1989" si="502">INDEX($A$5:$A$11,J1926)</f>
        <v>34</v>
      </c>
      <c r="S1926" s="102">
        <f t="shared" ref="S1926:S1989" si="503">INDEX($A$5:$A$11,K1926)</f>
        <v>56</v>
      </c>
      <c r="U1926" s="101">
        <f t="shared" ref="U1926:U1989" si="504">INDEX($B$5:$B$11,E1926)</f>
        <v>78</v>
      </c>
      <c r="V1926" s="4">
        <f t="shared" ref="V1926:V1989" si="505">INDEX($B$5:$B$11,F1926)</f>
        <v>39</v>
      </c>
      <c r="W1926" s="4">
        <f t="shared" ref="W1926:W1989" si="506">INDEX($B$5:$B$11,G1926)</f>
        <v>78</v>
      </c>
      <c r="X1926" s="4">
        <f t="shared" ref="X1926:X1989" si="507">INDEX($B$5:$B$11,H1926)</f>
        <v>46</v>
      </c>
      <c r="Y1926" s="4">
        <f t="shared" ref="Y1926:Y1989" si="508">INDEX($B$5:$B$11,I1926)</f>
        <v>78</v>
      </c>
      <c r="Z1926" s="4">
        <f t="shared" ref="Z1926:Z1989" si="509">INDEX($B$5:$B$11,J1926)</f>
        <v>46</v>
      </c>
      <c r="AA1926" s="102">
        <f t="shared" ref="AA1926:AA1989" si="510">INDEX($B$5:$B$11,K1926)</f>
        <v>78</v>
      </c>
      <c r="AC1926" s="100">
        <f t="shared" ref="AC1926:AC1989" si="511">CORREL(M1926:S1926,U1926:AA1926)</f>
        <v>0.99980070319732395</v>
      </c>
    </row>
    <row r="1927" spans="4:29" x14ac:dyDescent="0.35">
      <c r="D1927">
        <f t="shared" ref="D1927:D1990" si="512">D1926+1</f>
        <v>1923</v>
      </c>
      <c r="E1927" s="101">
        <v>5</v>
      </c>
      <c r="F1927" s="4">
        <v>4</v>
      </c>
      <c r="G1927" s="4">
        <v>5</v>
      </c>
      <c r="H1927" s="4">
        <v>6</v>
      </c>
      <c r="I1927" s="4">
        <v>7</v>
      </c>
      <c r="J1927" s="4">
        <v>5</v>
      </c>
      <c r="K1927" s="102">
        <v>2</v>
      </c>
      <c r="M1927" s="101">
        <f t="shared" si="497"/>
        <v>30</v>
      </c>
      <c r="N1927" s="4">
        <f t="shared" si="498"/>
        <v>12</v>
      </c>
      <c r="O1927" s="4">
        <f t="shared" si="499"/>
        <v>30</v>
      </c>
      <c r="P1927" s="4">
        <f t="shared" si="500"/>
        <v>45</v>
      </c>
      <c r="Q1927" s="4">
        <f t="shared" si="501"/>
        <v>29</v>
      </c>
      <c r="R1927" s="4">
        <f t="shared" si="502"/>
        <v>30</v>
      </c>
      <c r="S1927" s="102">
        <f t="shared" si="503"/>
        <v>56</v>
      </c>
      <c r="U1927" s="101">
        <f t="shared" si="504"/>
        <v>39</v>
      </c>
      <c r="V1927" s="4">
        <f t="shared" si="505"/>
        <v>9</v>
      </c>
      <c r="W1927" s="4">
        <f t="shared" si="506"/>
        <v>39</v>
      </c>
      <c r="X1927" s="4">
        <f t="shared" si="507"/>
        <v>71</v>
      </c>
      <c r="Y1927" s="4">
        <f t="shared" si="508"/>
        <v>41</v>
      </c>
      <c r="Z1927" s="4">
        <f t="shared" si="509"/>
        <v>39</v>
      </c>
      <c r="AA1927" s="102">
        <f t="shared" si="510"/>
        <v>78</v>
      </c>
      <c r="AC1927" s="100">
        <f t="shared" si="511"/>
        <v>0.98821121818789959</v>
      </c>
    </row>
    <row r="1928" spans="4:29" x14ac:dyDescent="0.35">
      <c r="D1928">
        <f t="shared" si="512"/>
        <v>1924</v>
      </c>
      <c r="E1928" s="101">
        <v>5</v>
      </c>
      <c r="F1928" s="4">
        <v>7</v>
      </c>
      <c r="G1928" s="4">
        <v>6</v>
      </c>
      <c r="H1928" s="4">
        <v>1</v>
      </c>
      <c r="I1928" s="4">
        <v>5</v>
      </c>
      <c r="J1928" s="4">
        <v>6</v>
      </c>
      <c r="K1928" s="102">
        <v>4</v>
      </c>
      <c r="M1928" s="101">
        <f t="shared" si="497"/>
        <v>30</v>
      </c>
      <c r="N1928" s="4">
        <f t="shared" si="498"/>
        <v>29</v>
      </c>
      <c r="O1928" s="4">
        <f t="shared" si="499"/>
        <v>45</v>
      </c>
      <c r="P1928" s="4">
        <f t="shared" si="500"/>
        <v>34</v>
      </c>
      <c r="Q1928" s="4">
        <f t="shared" si="501"/>
        <v>30</v>
      </c>
      <c r="R1928" s="4">
        <f t="shared" si="502"/>
        <v>45</v>
      </c>
      <c r="S1928" s="102">
        <f t="shared" si="503"/>
        <v>12</v>
      </c>
      <c r="U1928" s="101">
        <f t="shared" si="504"/>
        <v>39</v>
      </c>
      <c r="V1928" s="4">
        <f t="shared" si="505"/>
        <v>41</v>
      </c>
      <c r="W1928" s="4">
        <f t="shared" si="506"/>
        <v>71</v>
      </c>
      <c r="X1928" s="4">
        <f t="shared" si="507"/>
        <v>46</v>
      </c>
      <c r="Y1928" s="4">
        <f t="shared" si="508"/>
        <v>39</v>
      </c>
      <c r="Z1928" s="4">
        <f t="shared" si="509"/>
        <v>71</v>
      </c>
      <c r="AA1928" s="102">
        <f t="shared" si="510"/>
        <v>9</v>
      </c>
      <c r="AC1928" s="100">
        <f t="shared" si="511"/>
        <v>0.99494667847113982</v>
      </c>
    </row>
    <row r="1929" spans="4:29" x14ac:dyDescent="0.35">
      <c r="D1929">
        <f t="shared" si="512"/>
        <v>1925</v>
      </c>
      <c r="E1929" s="101">
        <v>1</v>
      </c>
      <c r="F1929" s="4">
        <v>7</v>
      </c>
      <c r="G1929" s="4">
        <v>4</v>
      </c>
      <c r="H1929" s="4">
        <v>5</v>
      </c>
      <c r="I1929" s="4">
        <v>4</v>
      </c>
      <c r="J1929" s="4">
        <v>4</v>
      </c>
      <c r="K1929" s="102">
        <v>2</v>
      </c>
      <c r="M1929" s="101">
        <f t="shared" si="497"/>
        <v>34</v>
      </c>
      <c r="N1929" s="4">
        <f t="shared" si="498"/>
        <v>29</v>
      </c>
      <c r="O1929" s="4">
        <f t="shared" si="499"/>
        <v>12</v>
      </c>
      <c r="P1929" s="4">
        <f t="shared" si="500"/>
        <v>30</v>
      </c>
      <c r="Q1929" s="4">
        <f t="shared" si="501"/>
        <v>12</v>
      </c>
      <c r="R1929" s="4">
        <f t="shared" si="502"/>
        <v>12</v>
      </c>
      <c r="S1929" s="102">
        <f t="shared" si="503"/>
        <v>56</v>
      </c>
      <c r="U1929" s="101">
        <f t="shared" si="504"/>
        <v>46</v>
      </c>
      <c r="V1929" s="4">
        <f t="shared" si="505"/>
        <v>41</v>
      </c>
      <c r="W1929" s="4">
        <f t="shared" si="506"/>
        <v>9</v>
      </c>
      <c r="X1929" s="4">
        <f t="shared" si="507"/>
        <v>39</v>
      </c>
      <c r="Y1929" s="4">
        <f t="shared" si="508"/>
        <v>9</v>
      </c>
      <c r="Z1929" s="4">
        <f t="shared" si="509"/>
        <v>9</v>
      </c>
      <c r="AA1929" s="102">
        <f t="shared" si="510"/>
        <v>78</v>
      </c>
      <c r="AC1929" s="100">
        <f t="shared" si="511"/>
        <v>0.99704314549410178</v>
      </c>
    </row>
    <row r="1930" spans="4:29" x14ac:dyDescent="0.35">
      <c r="D1930">
        <f t="shared" si="512"/>
        <v>1926</v>
      </c>
      <c r="E1930" s="101">
        <v>2</v>
      </c>
      <c r="F1930" s="4">
        <v>2</v>
      </c>
      <c r="G1930" s="4">
        <v>1</v>
      </c>
      <c r="H1930" s="4">
        <v>6</v>
      </c>
      <c r="I1930" s="4">
        <v>5</v>
      </c>
      <c r="J1930" s="4">
        <v>2</v>
      </c>
      <c r="K1930" s="102">
        <v>1</v>
      </c>
      <c r="M1930" s="101">
        <f t="shared" si="497"/>
        <v>56</v>
      </c>
      <c r="N1930" s="4">
        <f t="shared" si="498"/>
        <v>56</v>
      </c>
      <c r="O1930" s="4">
        <f t="shared" si="499"/>
        <v>34</v>
      </c>
      <c r="P1930" s="4">
        <f t="shared" si="500"/>
        <v>45</v>
      </c>
      <c r="Q1930" s="4">
        <f t="shared" si="501"/>
        <v>30</v>
      </c>
      <c r="R1930" s="4">
        <f t="shared" si="502"/>
        <v>56</v>
      </c>
      <c r="S1930" s="102">
        <f t="shared" si="503"/>
        <v>34</v>
      </c>
      <c r="U1930" s="101">
        <f t="shared" si="504"/>
        <v>78</v>
      </c>
      <c r="V1930" s="4">
        <f t="shared" si="505"/>
        <v>78</v>
      </c>
      <c r="W1930" s="4">
        <f t="shared" si="506"/>
        <v>46</v>
      </c>
      <c r="X1930" s="4">
        <f t="shared" si="507"/>
        <v>71</v>
      </c>
      <c r="Y1930" s="4">
        <f t="shared" si="508"/>
        <v>39</v>
      </c>
      <c r="Z1930" s="4">
        <f t="shared" si="509"/>
        <v>78</v>
      </c>
      <c r="AA1930" s="102">
        <f t="shared" si="510"/>
        <v>46</v>
      </c>
      <c r="AC1930" s="100">
        <f t="shared" si="511"/>
        <v>0.9804729305159271</v>
      </c>
    </row>
    <row r="1931" spans="4:29" x14ac:dyDescent="0.35">
      <c r="D1931">
        <f t="shared" si="512"/>
        <v>1927</v>
      </c>
      <c r="E1931" s="101">
        <v>1</v>
      </c>
      <c r="F1931" s="4">
        <v>5</v>
      </c>
      <c r="G1931" s="4">
        <v>4</v>
      </c>
      <c r="H1931" s="4">
        <v>6</v>
      </c>
      <c r="I1931" s="4">
        <v>4</v>
      </c>
      <c r="J1931" s="4">
        <v>7</v>
      </c>
      <c r="K1931" s="102">
        <v>3</v>
      </c>
      <c r="M1931" s="101">
        <f t="shared" si="497"/>
        <v>34</v>
      </c>
      <c r="N1931" s="4">
        <f t="shared" si="498"/>
        <v>30</v>
      </c>
      <c r="O1931" s="4">
        <f t="shared" si="499"/>
        <v>12</v>
      </c>
      <c r="P1931" s="4">
        <f t="shared" si="500"/>
        <v>45</v>
      </c>
      <c r="Q1931" s="4">
        <f t="shared" si="501"/>
        <v>12</v>
      </c>
      <c r="R1931" s="4">
        <f t="shared" si="502"/>
        <v>29</v>
      </c>
      <c r="S1931" s="102">
        <f t="shared" si="503"/>
        <v>23</v>
      </c>
      <c r="U1931" s="101">
        <f t="shared" si="504"/>
        <v>46</v>
      </c>
      <c r="V1931" s="4">
        <f t="shared" si="505"/>
        <v>39</v>
      </c>
      <c r="W1931" s="4">
        <f t="shared" si="506"/>
        <v>9</v>
      </c>
      <c r="X1931" s="4">
        <f t="shared" si="507"/>
        <v>71</v>
      </c>
      <c r="Y1931" s="4">
        <f t="shared" si="508"/>
        <v>9</v>
      </c>
      <c r="Z1931" s="4">
        <f t="shared" si="509"/>
        <v>41</v>
      </c>
      <c r="AA1931" s="102">
        <f t="shared" si="510"/>
        <v>39</v>
      </c>
      <c r="AC1931" s="100">
        <f t="shared" si="511"/>
        <v>0.97979228258216389</v>
      </c>
    </row>
    <row r="1932" spans="4:29" x14ac:dyDescent="0.35">
      <c r="D1932">
        <f t="shared" si="512"/>
        <v>1928</v>
      </c>
      <c r="E1932" s="101">
        <v>4</v>
      </c>
      <c r="F1932" s="4">
        <v>6</v>
      </c>
      <c r="G1932" s="4">
        <v>1</v>
      </c>
      <c r="H1932" s="4">
        <v>1</v>
      </c>
      <c r="I1932" s="4">
        <v>4</v>
      </c>
      <c r="J1932" s="4">
        <v>3</v>
      </c>
      <c r="K1932" s="102">
        <v>3</v>
      </c>
      <c r="M1932" s="101">
        <f t="shared" si="497"/>
        <v>12</v>
      </c>
      <c r="N1932" s="4">
        <f t="shared" si="498"/>
        <v>45</v>
      </c>
      <c r="O1932" s="4">
        <f t="shared" si="499"/>
        <v>34</v>
      </c>
      <c r="P1932" s="4">
        <f t="shared" si="500"/>
        <v>34</v>
      </c>
      <c r="Q1932" s="4">
        <f t="shared" si="501"/>
        <v>12</v>
      </c>
      <c r="R1932" s="4">
        <f t="shared" si="502"/>
        <v>23</v>
      </c>
      <c r="S1932" s="102">
        <f t="shared" si="503"/>
        <v>23</v>
      </c>
      <c r="U1932" s="101">
        <f t="shared" si="504"/>
        <v>9</v>
      </c>
      <c r="V1932" s="4">
        <f t="shared" si="505"/>
        <v>71</v>
      </c>
      <c r="W1932" s="4">
        <f t="shared" si="506"/>
        <v>46</v>
      </c>
      <c r="X1932" s="4">
        <f t="shared" si="507"/>
        <v>46</v>
      </c>
      <c r="Y1932" s="4">
        <f t="shared" si="508"/>
        <v>9</v>
      </c>
      <c r="Z1932" s="4">
        <f t="shared" si="509"/>
        <v>39</v>
      </c>
      <c r="AA1932" s="102">
        <f t="shared" si="510"/>
        <v>39</v>
      </c>
      <c r="AC1932" s="100">
        <f t="shared" si="511"/>
        <v>0.96847057294024919</v>
      </c>
    </row>
    <row r="1933" spans="4:29" x14ac:dyDescent="0.35">
      <c r="D1933">
        <f t="shared" si="512"/>
        <v>1929</v>
      </c>
      <c r="E1933" s="101">
        <v>2</v>
      </c>
      <c r="F1933" s="4">
        <v>3</v>
      </c>
      <c r="G1933" s="4">
        <v>6</v>
      </c>
      <c r="H1933" s="4">
        <v>5</v>
      </c>
      <c r="I1933" s="4">
        <v>3</v>
      </c>
      <c r="J1933" s="4">
        <v>4</v>
      </c>
      <c r="K1933" s="102">
        <v>2</v>
      </c>
      <c r="M1933" s="101">
        <f t="shared" si="497"/>
        <v>56</v>
      </c>
      <c r="N1933" s="4">
        <f t="shared" si="498"/>
        <v>23</v>
      </c>
      <c r="O1933" s="4">
        <f t="shared" si="499"/>
        <v>45</v>
      </c>
      <c r="P1933" s="4">
        <f t="shared" si="500"/>
        <v>30</v>
      </c>
      <c r="Q1933" s="4">
        <f t="shared" si="501"/>
        <v>23</v>
      </c>
      <c r="R1933" s="4">
        <f t="shared" si="502"/>
        <v>12</v>
      </c>
      <c r="S1933" s="102">
        <f t="shared" si="503"/>
        <v>56</v>
      </c>
      <c r="U1933" s="101">
        <f t="shared" si="504"/>
        <v>78</v>
      </c>
      <c r="V1933" s="4">
        <f t="shared" si="505"/>
        <v>39</v>
      </c>
      <c r="W1933" s="4">
        <f t="shared" si="506"/>
        <v>71</v>
      </c>
      <c r="X1933" s="4">
        <f t="shared" si="507"/>
        <v>39</v>
      </c>
      <c r="Y1933" s="4">
        <f t="shared" si="508"/>
        <v>39</v>
      </c>
      <c r="Z1933" s="4">
        <f t="shared" si="509"/>
        <v>9</v>
      </c>
      <c r="AA1933" s="102">
        <f t="shared" si="510"/>
        <v>78</v>
      </c>
      <c r="AC1933" s="100">
        <f t="shared" si="511"/>
        <v>0.97406100508527049</v>
      </c>
    </row>
    <row r="1934" spans="4:29" x14ac:dyDescent="0.35">
      <c r="D1934">
        <f t="shared" si="512"/>
        <v>1930</v>
      </c>
      <c r="E1934" s="101">
        <v>4</v>
      </c>
      <c r="F1934" s="4">
        <v>6</v>
      </c>
      <c r="G1934" s="4">
        <v>1</v>
      </c>
      <c r="H1934" s="4">
        <v>1</v>
      </c>
      <c r="I1934" s="4">
        <v>6</v>
      </c>
      <c r="J1934" s="4">
        <v>5</v>
      </c>
      <c r="K1934" s="102">
        <v>4</v>
      </c>
      <c r="M1934" s="101">
        <f t="shared" si="497"/>
        <v>12</v>
      </c>
      <c r="N1934" s="4">
        <f t="shared" si="498"/>
        <v>45</v>
      </c>
      <c r="O1934" s="4">
        <f t="shared" si="499"/>
        <v>34</v>
      </c>
      <c r="P1934" s="4">
        <f t="shared" si="500"/>
        <v>34</v>
      </c>
      <c r="Q1934" s="4">
        <f t="shared" si="501"/>
        <v>45</v>
      </c>
      <c r="R1934" s="4">
        <f t="shared" si="502"/>
        <v>30</v>
      </c>
      <c r="S1934" s="102">
        <f t="shared" si="503"/>
        <v>12</v>
      </c>
      <c r="U1934" s="101">
        <f t="shared" si="504"/>
        <v>9</v>
      </c>
      <c r="V1934" s="4">
        <f t="shared" si="505"/>
        <v>71</v>
      </c>
      <c r="W1934" s="4">
        <f t="shared" si="506"/>
        <v>46</v>
      </c>
      <c r="X1934" s="4">
        <f t="shared" si="507"/>
        <v>46</v>
      </c>
      <c r="Y1934" s="4">
        <f t="shared" si="508"/>
        <v>71</v>
      </c>
      <c r="Z1934" s="4">
        <f t="shared" si="509"/>
        <v>39</v>
      </c>
      <c r="AA1934" s="102">
        <f t="shared" si="510"/>
        <v>9</v>
      </c>
      <c r="AC1934" s="100">
        <f t="shared" si="511"/>
        <v>0.99627350568066642</v>
      </c>
    </row>
    <row r="1935" spans="4:29" x14ac:dyDescent="0.35">
      <c r="D1935">
        <f t="shared" si="512"/>
        <v>1931</v>
      </c>
      <c r="E1935" s="101">
        <v>2</v>
      </c>
      <c r="F1935" s="4">
        <v>3</v>
      </c>
      <c r="G1935" s="4">
        <v>6</v>
      </c>
      <c r="H1935" s="4">
        <v>2</v>
      </c>
      <c r="I1935" s="4">
        <v>7</v>
      </c>
      <c r="J1935" s="4">
        <v>6</v>
      </c>
      <c r="K1935" s="102">
        <v>2</v>
      </c>
      <c r="M1935" s="101">
        <f t="shared" si="497"/>
        <v>56</v>
      </c>
      <c r="N1935" s="4">
        <f t="shared" si="498"/>
        <v>23</v>
      </c>
      <c r="O1935" s="4">
        <f t="shared" si="499"/>
        <v>45</v>
      </c>
      <c r="P1935" s="4">
        <f t="shared" si="500"/>
        <v>56</v>
      </c>
      <c r="Q1935" s="4">
        <f t="shared" si="501"/>
        <v>29</v>
      </c>
      <c r="R1935" s="4">
        <f t="shared" si="502"/>
        <v>45</v>
      </c>
      <c r="S1935" s="102">
        <f t="shared" si="503"/>
        <v>56</v>
      </c>
      <c r="U1935" s="101">
        <f t="shared" si="504"/>
        <v>78</v>
      </c>
      <c r="V1935" s="4">
        <f t="shared" si="505"/>
        <v>39</v>
      </c>
      <c r="W1935" s="4">
        <f t="shared" si="506"/>
        <v>71</v>
      </c>
      <c r="X1935" s="4">
        <f t="shared" si="507"/>
        <v>78</v>
      </c>
      <c r="Y1935" s="4">
        <f t="shared" si="508"/>
        <v>41</v>
      </c>
      <c r="Z1935" s="4">
        <f t="shared" si="509"/>
        <v>71</v>
      </c>
      <c r="AA1935" s="102">
        <f t="shared" si="510"/>
        <v>78</v>
      </c>
      <c r="AC1935" s="100">
        <f t="shared" si="511"/>
        <v>0.9767039753659239</v>
      </c>
    </row>
    <row r="1936" spans="4:29" x14ac:dyDescent="0.35">
      <c r="D1936">
        <f t="shared" si="512"/>
        <v>1932</v>
      </c>
      <c r="E1936" s="101">
        <v>5</v>
      </c>
      <c r="F1936" s="4">
        <v>6</v>
      </c>
      <c r="G1936" s="4">
        <v>1</v>
      </c>
      <c r="H1936" s="4">
        <v>1</v>
      </c>
      <c r="I1936" s="4">
        <v>5</v>
      </c>
      <c r="J1936" s="4">
        <v>6</v>
      </c>
      <c r="K1936" s="102">
        <v>7</v>
      </c>
      <c r="M1936" s="101">
        <f t="shared" si="497"/>
        <v>30</v>
      </c>
      <c r="N1936" s="4">
        <f t="shared" si="498"/>
        <v>45</v>
      </c>
      <c r="O1936" s="4">
        <f t="shared" si="499"/>
        <v>34</v>
      </c>
      <c r="P1936" s="4">
        <f t="shared" si="500"/>
        <v>34</v>
      </c>
      <c r="Q1936" s="4">
        <f t="shared" si="501"/>
        <v>30</v>
      </c>
      <c r="R1936" s="4">
        <f t="shared" si="502"/>
        <v>45</v>
      </c>
      <c r="S1936" s="102">
        <f t="shared" si="503"/>
        <v>29</v>
      </c>
      <c r="U1936" s="101">
        <f t="shared" si="504"/>
        <v>39</v>
      </c>
      <c r="V1936" s="4">
        <f t="shared" si="505"/>
        <v>71</v>
      </c>
      <c r="W1936" s="4">
        <f t="shared" si="506"/>
        <v>46</v>
      </c>
      <c r="X1936" s="4">
        <f t="shared" si="507"/>
        <v>46</v>
      </c>
      <c r="Y1936" s="4">
        <f t="shared" si="508"/>
        <v>39</v>
      </c>
      <c r="Z1936" s="4">
        <f t="shared" si="509"/>
        <v>71</v>
      </c>
      <c r="AA1936" s="102">
        <f t="shared" si="510"/>
        <v>41</v>
      </c>
      <c r="AC1936" s="100">
        <f t="shared" si="511"/>
        <v>0.99190126562840808</v>
      </c>
    </row>
    <row r="1937" spans="4:29" x14ac:dyDescent="0.35">
      <c r="D1937">
        <f t="shared" si="512"/>
        <v>1933</v>
      </c>
      <c r="E1937" s="101">
        <v>6</v>
      </c>
      <c r="F1937" s="4">
        <v>2</v>
      </c>
      <c r="G1937" s="4">
        <v>1</v>
      </c>
      <c r="H1937" s="4">
        <v>4</v>
      </c>
      <c r="I1937" s="4">
        <v>3</v>
      </c>
      <c r="J1937" s="4">
        <v>3</v>
      </c>
      <c r="K1937" s="102">
        <v>5</v>
      </c>
      <c r="M1937" s="101">
        <f t="shared" si="497"/>
        <v>45</v>
      </c>
      <c r="N1937" s="4">
        <f t="shared" si="498"/>
        <v>56</v>
      </c>
      <c r="O1937" s="4">
        <f t="shared" si="499"/>
        <v>34</v>
      </c>
      <c r="P1937" s="4">
        <f t="shared" si="500"/>
        <v>12</v>
      </c>
      <c r="Q1937" s="4">
        <f t="shared" si="501"/>
        <v>23</v>
      </c>
      <c r="R1937" s="4">
        <f t="shared" si="502"/>
        <v>23</v>
      </c>
      <c r="S1937" s="102">
        <f t="shared" si="503"/>
        <v>30</v>
      </c>
      <c r="U1937" s="101">
        <f t="shared" si="504"/>
        <v>71</v>
      </c>
      <c r="V1937" s="4">
        <f t="shared" si="505"/>
        <v>78</v>
      </c>
      <c r="W1937" s="4">
        <f t="shared" si="506"/>
        <v>46</v>
      </c>
      <c r="X1937" s="4">
        <f t="shared" si="507"/>
        <v>9</v>
      </c>
      <c r="Y1937" s="4">
        <f t="shared" si="508"/>
        <v>39</v>
      </c>
      <c r="Z1937" s="4">
        <f t="shared" si="509"/>
        <v>39</v>
      </c>
      <c r="AA1937" s="102">
        <f t="shared" si="510"/>
        <v>39</v>
      </c>
      <c r="AC1937" s="100">
        <f t="shared" si="511"/>
        <v>0.96711762463595619</v>
      </c>
    </row>
    <row r="1938" spans="4:29" x14ac:dyDescent="0.35">
      <c r="D1938">
        <f t="shared" si="512"/>
        <v>1934</v>
      </c>
      <c r="E1938" s="101">
        <v>4</v>
      </c>
      <c r="F1938" s="4">
        <v>4</v>
      </c>
      <c r="G1938" s="4">
        <v>7</v>
      </c>
      <c r="H1938" s="4">
        <v>5</v>
      </c>
      <c r="I1938" s="4">
        <v>3</v>
      </c>
      <c r="J1938" s="4">
        <v>4</v>
      </c>
      <c r="K1938" s="102">
        <v>4</v>
      </c>
      <c r="M1938" s="101">
        <f t="shared" si="497"/>
        <v>12</v>
      </c>
      <c r="N1938" s="4">
        <f t="shared" si="498"/>
        <v>12</v>
      </c>
      <c r="O1938" s="4">
        <f t="shared" si="499"/>
        <v>29</v>
      </c>
      <c r="P1938" s="4">
        <f t="shared" si="500"/>
        <v>30</v>
      </c>
      <c r="Q1938" s="4">
        <f t="shared" si="501"/>
        <v>23</v>
      </c>
      <c r="R1938" s="4">
        <f t="shared" si="502"/>
        <v>12</v>
      </c>
      <c r="S1938" s="102">
        <f t="shared" si="503"/>
        <v>12</v>
      </c>
      <c r="U1938" s="101">
        <f t="shared" si="504"/>
        <v>9</v>
      </c>
      <c r="V1938" s="4">
        <f t="shared" si="505"/>
        <v>9</v>
      </c>
      <c r="W1938" s="4">
        <f t="shared" si="506"/>
        <v>41</v>
      </c>
      <c r="X1938" s="4">
        <f t="shared" si="507"/>
        <v>39</v>
      </c>
      <c r="Y1938" s="4">
        <f t="shared" si="508"/>
        <v>39</v>
      </c>
      <c r="Z1938" s="4">
        <f t="shared" si="509"/>
        <v>9</v>
      </c>
      <c r="AA1938" s="102">
        <f t="shared" si="510"/>
        <v>9</v>
      </c>
      <c r="AC1938" s="100">
        <f t="shared" si="511"/>
        <v>0.96942288040051217</v>
      </c>
    </row>
    <row r="1939" spans="4:29" x14ac:dyDescent="0.35">
      <c r="D1939">
        <f t="shared" si="512"/>
        <v>1935</v>
      </c>
      <c r="E1939" s="101">
        <v>3</v>
      </c>
      <c r="F1939" s="4">
        <v>7</v>
      </c>
      <c r="G1939" s="4">
        <v>1</v>
      </c>
      <c r="H1939" s="4">
        <v>6</v>
      </c>
      <c r="I1939" s="4">
        <v>1</v>
      </c>
      <c r="J1939" s="4">
        <v>5</v>
      </c>
      <c r="K1939" s="102">
        <v>7</v>
      </c>
      <c r="M1939" s="101">
        <f t="shared" si="497"/>
        <v>23</v>
      </c>
      <c r="N1939" s="4">
        <f t="shared" si="498"/>
        <v>29</v>
      </c>
      <c r="O1939" s="4">
        <f t="shared" si="499"/>
        <v>34</v>
      </c>
      <c r="P1939" s="4">
        <f t="shared" si="500"/>
        <v>45</v>
      </c>
      <c r="Q1939" s="4">
        <f t="shared" si="501"/>
        <v>34</v>
      </c>
      <c r="R1939" s="4">
        <f t="shared" si="502"/>
        <v>30</v>
      </c>
      <c r="S1939" s="102">
        <f t="shared" si="503"/>
        <v>29</v>
      </c>
      <c r="U1939" s="101">
        <f t="shared" si="504"/>
        <v>39</v>
      </c>
      <c r="V1939" s="4">
        <f t="shared" si="505"/>
        <v>41</v>
      </c>
      <c r="W1939" s="4">
        <f t="shared" si="506"/>
        <v>46</v>
      </c>
      <c r="X1939" s="4">
        <f t="shared" si="507"/>
        <v>71</v>
      </c>
      <c r="Y1939" s="4">
        <f t="shared" si="508"/>
        <v>46</v>
      </c>
      <c r="Z1939" s="4">
        <f t="shared" si="509"/>
        <v>39</v>
      </c>
      <c r="AA1939" s="102">
        <f t="shared" si="510"/>
        <v>41</v>
      </c>
      <c r="AC1939" s="100">
        <f t="shared" si="511"/>
        <v>0.92865653364747114</v>
      </c>
    </row>
    <row r="1940" spans="4:29" x14ac:dyDescent="0.35">
      <c r="D1940">
        <f t="shared" si="512"/>
        <v>1936</v>
      </c>
      <c r="E1940" s="101">
        <v>4</v>
      </c>
      <c r="F1940" s="4">
        <v>3</v>
      </c>
      <c r="G1940" s="4">
        <v>3</v>
      </c>
      <c r="H1940" s="4">
        <v>5</v>
      </c>
      <c r="I1940" s="4">
        <v>7</v>
      </c>
      <c r="J1940" s="4">
        <v>6</v>
      </c>
      <c r="K1940" s="102">
        <v>4</v>
      </c>
      <c r="M1940" s="101">
        <f t="shared" si="497"/>
        <v>12</v>
      </c>
      <c r="N1940" s="4">
        <f t="shared" si="498"/>
        <v>23</v>
      </c>
      <c r="O1940" s="4">
        <f t="shared" si="499"/>
        <v>23</v>
      </c>
      <c r="P1940" s="4">
        <f t="shared" si="500"/>
        <v>30</v>
      </c>
      <c r="Q1940" s="4">
        <f t="shared" si="501"/>
        <v>29</v>
      </c>
      <c r="R1940" s="4">
        <f t="shared" si="502"/>
        <v>45</v>
      </c>
      <c r="S1940" s="102">
        <f t="shared" si="503"/>
        <v>12</v>
      </c>
      <c r="U1940" s="101">
        <f t="shared" si="504"/>
        <v>9</v>
      </c>
      <c r="V1940" s="4">
        <f t="shared" si="505"/>
        <v>39</v>
      </c>
      <c r="W1940" s="4">
        <f t="shared" si="506"/>
        <v>39</v>
      </c>
      <c r="X1940" s="4">
        <f t="shared" si="507"/>
        <v>39</v>
      </c>
      <c r="Y1940" s="4">
        <f t="shared" si="508"/>
        <v>41</v>
      </c>
      <c r="Z1940" s="4">
        <f t="shared" si="509"/>
        <v>71</v>
      </c>
      <c r="AA1940" s="102">
        <f t="shared" si="510"/>
        <v>9</v>
      </c>
      <c r="AC1940" s="100">
        <f t="shared" si="511"/>
        <v>0.97152559925885829</v>
      </c>
    </row>
    <row r="1941" spans="4:29" x14ac:dyDescent="0.35">
      <c r="D1941">
        <f t="shared" si="512"/>
        <v>1937</v>
      </c>
      <c r="E1941" s="101">
        <v>5</v>
      </c>
      <c r="F1941" s="4">
        <v>5</v>
      </c>
      <c r="G1941" s="4">
        <v>1</v>
      </c>
      <c r="H1941" s="4">
        <v>4</v>
      </c>
      <c r="I1941" s="4">
        <v>4</v>
      </c>
      <c r="J1941" s="4">
        <v>6</v>
      </c>
      <c r="K1941" s="102">
        <v>6</v>
      </c>
      <c r="M1941" s="101">
        <f t="shared" si="497"/>
        <v>30</v>
      </c>
      <c r="N1941" s="4">
        <f t="shared" si="498"/>
        <v>30</v>
      </c>
      <c r="O1941" s="4">
        <f t="shared" si="499"/>
        <v>34</v>
      </c>
      <c r="P1941" s="4">
        <f t="shared" si="500"/>
        <v>12</v>
      </c>
      <c r="Q1941" s="4">
        <f t="shared" si="501"/>
        <v>12</v>
      </c>
      <c r="R1941" s="4">
        <f t="shared" si="502"/>
        <v>45</v>
      </c>
      <c r="S1941" s="102">
        <f t="shared" si="503"/>
        <v>45</v>
      </c>
      <c r="U1941" s="101">
        <f t="shared" si="504"/>
        <v>39</v>
      </c>
      <c r="V1941" s="4">
        <f t="shared" si="505"/>
        <v>39</v>
      </c>
      <c r="W1941" s="4">
        <f t="shared" si="506"/>
        <v>46</v>
      </c>
      <c r="X1941" s="4">
        <f t="shared" si="507"/>
        <v>9</v>
      </c>
      <c r="Y1941" s="4">
        <f t="shared" si="508"/>
        <v>9</v>
      </c>
      <c r="Z1941" s="4">
        <f t="shared" si="509"/>
        <v>71</v>
      </c>
      <c r="AA1941" s="102">
        <f t="shared" si="510"/>
        <v>71</v>
      </c>
      <c r="AC1941" s="100">
        <f t="shared" si="511"/>
        <v>0.99650389992140465</v>
      </c>
    </row>
    <row r="1942" spans="4:29" x14ac:dyDescent="0.35">
      <c r="D1942">
        <f t="shared" si="512"/>
        <v>1938</v>
      </c>
      <c r="E1942" s="101">
        <v>7</v>
      </c>
      <c r="F1942" s="4">
        <v>5</v>
      </c>
      <c r="G1942" s="4">
        <v>7</v>
      </c>
      <c r="H1942" s="4">
        <v>4</v>
      </c>
      <c r="I1942" s="4">
        <v>3</v>
      </c>
      <c r="J1942" s="4">
        <v>7</v>
      </c>
      <c r="K1942" s="102">
        <v>7</v>
      </c>
      <c r="M1942" s="101">
        <f t="shared" si="497"/>
        <v>29</v>
      </c>
      <c r="N1942" s="4">
        <f t="shared" si="498"/>
        <v>30</v>
      </c>
      <c r="O1942" s="4">
        <f t="shared" si="499"/>
        <v>29</v>
      </c>
      <c r="P1942" s="4">
        <f t="shared" si="500"/>
        <v>12</v>
      </c>
      <c r="Q1942" s="4">
        <f t="shared" si="501"/>
        <v>23</v>
      </c>
      <c r="R1942" s="4">
        <f t="shared" si="502"/>
        <v>29</v>
      </c>
      <c r="S1942" s="102">
        <f t="shared" si="503"/>
        <v>29</v>
      </c>
      <c r="U1942" s="101">
        <f t="shared" si="504"/>
        <v>41</v>
      </c>
      <c r="V1942" s="4">
        <f t="shared" si="505"/>
        <v>39</v>
      </c>
      <c r="W1942" s="4">
        <f t="shared" si="506"/>
        <v>41</v>
      </c>
      <c r="X1942" s="4">
        <f t="shared" si="507"/>
        <v>9</v>
      </c>
      <c r="Y1942" s="4">
        <f t="shared" si="508"/>
        <v>39</v>
      </c>
      <c r="Z1942" s="4">
        <f t="shared" si="509"/>
        <v>41</v>
      </c>
      <c r="AA1942" s="102">
        <f t="shared" si="510"/>
        <v>41</v>
      </c>
      <c r="AC1942" s="100">
        <f t="shared" si="511"/>
        <v>0.94525064100303169</v>
      </c>
    </row>
    <row r="1943" spans="4:29" x14ac:dyDescent="0.35">
      <c r="D1943">
        <f t="shared" si="512"/>
        <v>1939</v>
      </c>
      <c r="E1943" s="101">
        <v>4</v>
      </c>
      <c r="F1943" s="4">
        <v>7</v>
      </c>
      <c r="G1943" s="4">
        <v>7</v>
      </c>
      <c r="H1943" s="4">
        <v>6</v>
      </c>
      <c r="I1943" s="4">
        <v>2</v>
      </c>
      <c r="J1943" s="4">
        <v>7</v>
      </c>
      <c r="K1943" s="102">
        <v>7</v>
      </c>
      <c r="M1943" s="101">
        <f t="shared" si="497"/>
        <v>12</v>
      </c>
      <c r="N1943" s="4">
        <f t="shared" si="498"/>
        <v>29</v>
      </c>
      <c r="O1943" s="4">
        <f t="shared" si="499"/>
        <v>29</v>
      </c>
      <c r="P1943" s="4">
        <f t="shared" si="500"/>
        <v>45</v>
      </c>
      <c r="Q1943" s="4">
        <f t="shared" si="501"/>
        <v>56</v>
      </c>
      <c r="R1943" s="4">
        <f t="shared" si="502"/>
        <v>29</v>
      </c>
      <c r="S1943" s="102">
        <f t="shared" si="503"/>
        <v>29</v>
      </c>
      <c r="U1943" s="101">
        <f t="shared" si="504"/>
        <v>9</v>
      </c>
      <c r="V1943" s="4">
        <f t="shared" si="505"/>
        <v>41</v>
      </c>
      <c r="W1943" s="4">
        <f t="shared" si="506"/>
        <v>41</v>
      </c>
      <c r="X1943" s="4">
        <f t="shared" si="507"/>
        <v>71</v>
      </c>
      <c r="Y1943" s="4">
        <f t="shared" si="508"/>
        <v>78</v>
      </c>
      <c r="Z1943" s="4">
        <f t="shared" si="509"/>
        <v>41</v>
      </c>
      <c r="AA1943" s="102">
        <f t="shared" si="510"/>
        <v>41</v>
      </c>
      <c r="AC1943" s="100">
        <f t="shared" si="511"/>
        <v>0.98797344905521423</v>
      </c>
    </row>
    <row r="1944" spans="4:29" x14ac:dyDescent="0.35">
      <c r="D1944">
        <f t="shared" si="512"/>
        <v>1940</v>
      </c>
      <c r="E1944" s="101">
        <v>6</v>
      </c>
      <c r="F1944" s="4">
        <v>3</v>
      </c>
      <c r="G1944" s="4">
        <v>3</v>
      </c>
      <c r="H1944" s="4">
        <v>3</v>
      </c>
      <c r="I1944" s="4">
        <v>3</v>
      </c>
      <c r="J1944" s="4">
        <v>6</v>
      </c>
      <c r="K1944" s="102">
        <v>3</v>
      </c>
      <c r="M1944" s="101">
        <f t="shared" si="497"/>
        <v>45</v>
      </c>
      <c r="N1944" s="4">
        <f t="shared" si="498"/>
        <v>23</v>
      </c>
      <c r="O1944" s="4">
        <f t="shared" si="499"/>
        <v>23</v>
      </c>
      <c r="P1944" s="4">
        <f t="shared" si="500"/>
        <v>23</v>
      </c>
      <c r="Q1944" s="4">
        <f t="shared" si="501"/>
        <v>23</v>
      </c>
      <c r="R1944" s="4">
        <f t="shared" si="502"/>
        <v>45</v>
      </c>
      <c r="S1944" s="102">
        <f t="shared" si="503"/>
        <v>23</v>
      </c>
      <c r="U1944" s="101">
        <f t="shared" si="504"/>
        <v>71</v>
      </c>
      <c r="V1944" s="4">
        <f t="shared" si="505"/>
        <v>39</v>
      </c>
      <c r="W1944" s="4">
        <f t="shared" si="506"/>
        <v>39</v>
      </c>
      <c r="X1944" s="4">
        <f t="shared" si="507"/>
        <v>39</v>
      </c>
      <c r="Y1944" s="4">
        <f t="shared" si="508"/>
        <v>39</v>
      </c>
      <c r="Z1944" s="4">
        <f t="shared" si="509"/>
        <v>71</v>
      </c>
      <c r="AA1944" s="102">
        <f t="shared" si="510"/>
        <v>39</v>
      </c>
      <c r="AC1944" s="100">
        <f t="shared" si="511"/>
        <v>0.99999999999999978</v>
      </c>
    </row>
    <row r="1945" spans="4:29" x14ac:dyDescent="0.35">
      <c r="D1945">
        <f t="shared" si="512"/>
        <v>1941</v>
      </c>
      <c r="E1945" s="101">
        <v>7</v>
      </c>
      <c r="F1945" s="4">
        <v>5</v>
      </c>
      <c r="G1945" s="4">
        <v>7</v>
      </c>
      <c r="H1945" s="4">
        <v>3</v>
      </c>
      <c r="I1945" s="4">
        <v>1</v>
      </c>
      <c r="J1945" s="4">
        <v>5</v>
      </c>
      <c r="K1945" s="102">
        <v>1</v>
      </c>
      <c r="M1945" s="101">
        <f t="shared" si="497"/>
        <v>29</v>
      </c>
      <c r="N1945" s="4">
        <f t="shared" si="498"/>
        <v>30</v>
      </c>
      <c r="O1945" s="4">
        <f t="shared" si="499"/>
        <v>29</v>
      </c>
      <c r="P1945" s="4">
        <f t="shared" si="500"/>
        <v>23</v>
      </c>
      <c r="Q1945" s="4">
        <f t="shared" si="501"/>
        <v>34</v>
      </c>
      <c r="R1945" s="4">
        <f t="shared" si="502"/>
        <v>30</v>
      </c>
      <c r="S1945" s="102">
        <f t="shared" si="503"/>
        <v>34</v>
      </c>
      <c r="U1945" s="101">
        <f t="shared" si="504"/>
        <v>41</v>
      </c>
      <c r="V1945" s="4">
        <f t="shared" si="505"/>
        <v>39</v>
      </c>
      <c r="W1945" s="4">
        <f t="shared" si="506"/>
        <v>41</v>
      </c>
      <c r="X1945" s="4">
        <f t="shared" si="507"/>
        <v>39</v>
      </c>
      <c r="Y1945" s="4">
        <f t="shared" si="508"/>
        <v>46</v>
      </c>
      <c r="Z1945" s="4">
        <f t="shared" si="509"/>
        <v>39</v>
      </c>
      <c r="AA1945" s="102">
        <f t="shared" si="510"/>
        <v>46</v>
      </c>
      <c r="AC1945" s="100">
        <f t="shared" si="511"/>
        <v>0.77582045388769982</v>
      </c>
    </row>
    <row r="1946" spans="4:29" x14ac:dyDescent="0.35">
      <c r="D1946">
        <f t="shared" si="512"/>
        <v>1942</v>
      </c>
      <c r="E1946" s="101">
        <v>2</v>
      </c>
      <c r="F1946" s="4">
        <v>2</v>
      </c>
      <c r="G1946" s="4">
        <v>7</v>
      </c>
      <c r="H1946" s="4">
        <v>4</v>
      </c>
      <c r="I1946" s="4">
        <v>6</v>
      </c>
      <c r="J1946" s="4">
        <v>4</v>
      </c>
      <c r="K1946" s="102">
        <v>3</v>
      </c>
      <c r="M1946" s="101">
        <f t="shared" si="497"/>
        <v>56</v>
      </c>
      <c r="N1946" s="4">
        <f t="shared" si="498"/>
        <v>56</v>
      </c>
      <c r="O1946" s="4">
        <f t="shared" si="499"/>
        <v>29</v>
      </c>
      <c r="P1946" s="4">
        <f t="shared" si="500"/>
        <v>12</v>
      </c>
      <c r="Q1946" s="4">
        <f t="shared" si="501"/>
        <v>45</v>
      </c>
      <c r="R1946" s="4">
        <f t="shared" si="502"/>
        <v>12</v>
      </c>
      <c r="S1946" s="102">
        <f t="shared" si="503"/>
        <v>23</v>
      </c>
      <c r="U1946" s="101">
        <f t="shared" si="504"/>
        <v>78</v>
      </c>
      <c r="V1946" s="4">
        <f t="shared" si="505"/>
        <v>78</v>
      </c>
      <c r="W1946" s="4">
        <f t="shared" si="506"/>
        <v>41</v>
      </c>
      <c r="X1946" s="4">
        <f t="shared" si="507"/>
        <v>9</v>
      </c>
      <c r="Y1946" s="4">
        <f t="shared" si="508"/>
        <v>71</v>
      </c>
      <c r="Z1946" s="4">
        <f t="shared" si="509"/>
        <v>9</v>
      </c>
      <c r="AA1946" s="102">
        <f t="shared" si="510"/>
        <v>39</v>
      </c>
      <c r="AC1946" s="100">
        <f t="shared" si="511"/>
        <v>0.98336904783197432</v>
      </c>
    </row>
    <row r="1947" spans="4:29" x14ac:dyDescent="0.35">
      <c r="D1947">
        <f t="shared" si="512"/>
        <v>1943</v>
      </c>
      <c r="E1947" s="101">
        <v>1</v>
      </c>
      <c r="F1947" s="4">
        <v>3</v>
      </c>
      <c r="G1947" s="4">
        <v>5</v>
      </c>
      <c r="H1947" s="4">
        <v>4</v>
      </c>
      <c r="I1947" s="4">
        <v>1</v>
      </c>
      <c r="J1947" s="4">
        <v>7</v>
      </c>
      <c r="K1947" s="102">
        <v>4</v>
      </c>
      <c r="M1947" s="101">
        <f t="shared" si="497"/>
        <v>34</v>
      </c>
      <c r="N1947" s="4">
        <f t="shared" si="498"/>
        <v>23</v>
      </c>
      <c r="O1947" s="4">
        <f t="shared" si="499"/>
        <v>30</v>
      </c>
      <c r="P1947" s="4">
        <f t="shared" si="500"/>
        <v>12</v>
      </c>
      <c r="Q1947" s="4">
        <f t="shared" si="501"/>
        <v>34</v>
      </c>
      <c r="R1947" s="4">
        <f t="shared" si="502"/>
        <v>29</v>
      </c>
      <c r="S1947" s="102">
        <f t="shared" si="503"/>
        <v>12</v>
      </c>
      <c r="U1947" s="101">
        <f t="shared" si="504"/>
        <v>46</v>
      </c>
      <c r="V1947" s="4">
        <f t="shared" si="505"/>
        <v>39</v>
      </c>
      <c r="W1947" s="4">
        <f t="shared" si="506"/>
        <v>39</v>
      </c>
      <c r="X1947" s="4">
        <f t="shared" si="507"/>
        <v>9</v>
      </c>
      <c r="Y1947" s="4">
        <f t="shared" si="508"/>
        <v>46</v>
      </c>
      <c r="Z1947" s="4">
        <f t="shared" si="509"/>
        <v>41</v>
      </c>
      <c r="AA1947" s="102">
        <f t="shared" si="510"/>
        <v>9</v>
      </c>
      <c r="AC1947" s="100">
        <f t="shared" si="511"/>
        <v>0.96454812563253112</v>
      </c>
    </row>
    <row r="1948" spans="4:29" x14ac:dyDescent="0.35">
      <c r="D1948">
        <f t="shared" si="512"/>
        <v>1944</v>
      </c>
      <c r="E1948" s="101">
        <v>4</v>
      </c>
      <c r="F1948" s="4">
        <v>2</v>
      </c>
      <c r="G1948" s="4">
        <v>4</v>
      </c>
      <c r="H1948" s="4">
        <v>7</v>
      </c>
      <c r="I1948" s="4">
        <v>2</v>
      </c>
      <c r="J1948" s="4">
        <v>4</v>
      </c>
      <c r="K1948" s="102">
        <v>2</v>
      </c>
      <c r="M1948" s="101">
        <f t="shared" si="497"/>
        <v>12</v>
      </c>
      <c r="N1948" s="4">
        <f t="shared" si="498"/>
        <v>56</v>
      </c>
      <c r="O1948" s="4">
        <f t="shared" si="499"/>
        <v>12</v>
      </c>
      <c r="P1948" s="4">
        <f t="shared" si="500"/>
        <v>29</v>
      </c>
      <c r="Q1948" s="4">
        <f t="shared" si="501"/>
        <v>56</v>
      </c>
      <c r="R1948" s="4">
        <f t="shared" si="502"/>
        <v>12</v>
      </c>
      <c r="S1948" s="102">
        <f t="shared" si="503"/>
        <v>56</v>
      </c>
      <c r="U1948" s="101">
        <f t="shared" si="504"/>
        <v>9</v>
      </c>
      <c r="V1948" s="4">
        <f t="shared" si="505"/>
        <v>78</v>
      </c>
      <c r="W1948" s="4">
        <f t="shared" si="506"/>
        <v>9</v>
      </c>
      <c r="X1948" s="4">
        <f t="shared" si="507"/>
        <v>41</v>
      </c>
      <c r="Y1948" s="4">
        <f t="shared" si="508"/>
        <v>78</v>
      </c>
      <c r="Z1948" s="4">
        <f t="shared" si="509"/>
        <v>9</v>
      </c>
      <c r="AA1948" s="102">
        <f t="shared" si="510"/>
        <v>78</v>
      </c>
      <c r="AC1948" s="100">
        <f t="shared" si="511"/>
        <v>0.99830052495544774</v>
      </c>
    </row>
    <row r="1949" spans="4:29" x14ac:dyDescent="0.35">
      <c r="D1949">
        <f t="shared" si="512"/>
        <v>1945</v>
      </c>
      <c r="E1949" s="101">
        <v>4</v>
      </c>
      <c r="F1949" s="4">
        <v>7</v>
      </c>
      <c r="G1949" s="4">
        <v>6</v>
      </c>
      <c r="H1949" s="4">
        <v>6</v>
      </c>
      <c r="I1949" s="4">
        <v>7</v>
      </c>
      <c r="J1949" s="4">
        <v>4</v>
      </c>
      <c r="K1949" s="102">
        <v>5</v>
      </c>
      <c r="M1949" s="101">
        <f t="shared" si="497"/>
        <v>12</v>
      </c>
      <c r="N1949" s="4">
        <f t="shared" si="498"/>
        <v>29</v>
      </c>
      <c r="O1949" s="4">
        <f t="shared" si="499"/>
        <v>45</v>
      </c>
      <c r="P1949" s="4">
        <f t="shared" si="500"/>
        <v>45</v>
      </c>
      <c r="Q1949" s="4">
        <f t="shared" si="501"/>
        <v>29</v>
      </c>
      <c r="R1949" s="4">
        <f t="shared" si="502"/>
        <v>12</v>
      </c>
      <c r="S1949" s="102">
        <f t="shared" si="503"/>
        <v>30</v>
      </c>
      <c r="U1949" s="101">
        <f t="shared" si="504"/>
        <v>9</v>
      </c>
      <c r="V1949" s="4">
        <f t="shared" si="505"/>
        <v>41</v>
      </c>
      <c r="W1949" s="4">
        <f t="shared" si="506"/>
        <v>71</v>
      </c>
      <c r="X1949" s="4">
        <f t="shared" si="507"/>
        <v>71</v>
      </c>
      <c r="Y1949" s="4">
        <f t="shared" si="508"/>
        <v>41</v>
      </c>
      <c r="Z1949" s="4">
        <f t="shared" si="509"/>
        <v>9</v>
      </c>
      <c r="AA1949" s="102">
        <f t="shared" si="510"/>
        <v>39</v>
      </c>
      <c r="AC1949" s="100">
        <f t="shared" si="511"/>
        <v>0.9983588693778368</v>
      </c>
    </row>
    <row r="1950" spans="4:29" x14ac:dyDescent="0.35">
      <c r="D1950">
        <f t="shared" si="512"/>
        <v>1946</v>
      </c>
      <c r="E1950" s="101">
        <v>2</v>
      </c>
      <c r="F1950" s="4">
        <v>5</v>
      </c>
      <c r="G1950" s="4">
        <v>1</v>
      </c>
      <c r="H1950" s="4">
        <v>6</v>
      </c>
      <c r="I1950" s="4">
        <v>7</v>
      </c>
      <c r="J1950" s="4">
        <v>5</v>
      </c>
      <c r="K1950" s="102">
        <v>3</v>
      </c>
      <c r="M1950" s="101">
        <f t="shared" si="497"/>
        <v>56</v>
      </c>
      <c r="N1950" s="4">
        <f t="shared" si="498"/>
        <v>30</v>
      </c>
      <c r="O1950" s="4">
        <f t="shared" si="499"/>
        <v>34</v>
      </c>
      <c r="P1950" s="4">
        <f t="shared" si="500"/>
        <v>45</v>
      </c>
      <c r="Q1950" s="4">
        <f t="shared" si="501"/>
        <v>29</v>
      </c>
      <c r="R1950" s="4">
        <f t="shared" si="502"/>
        <v>30</v>
      </c>
      <c r="S1950" s="102">
        <f t="shared" si="503"/>
        <v>23</v>
      </c>
      <c r="U1950" s="101">
        <f t="shared" si="504"/>
        <v>78</v>
      </c>
      <c r="V1950" s="4">
        <f t="shared" si="505"/>
        <v>39</v>
      </c>
      <c r="W1950" s="4">
        <f t="shared" si="506"/>
        <v>46</v>
      </c>
      <c r="X1950" s="4">
        <f t="shared" si="507"/>
        <v>71</v>
      </c>
      <c r="Y1950" s="4">
        <f t="shared" si="508"/>
        <v>41</v>
      </c>
      <c r="Z1950" s="4">
        <f t="shared" si="509"/>
        <v>39</v>
      </c>
      <c r="AA1950" s="102">
        <f t="shared" si="510"/>
        <v>39</v>
      </c>
      <c r="AC1950" s="100">
        <f t="shared" si="511"/>
        <v>0.96267816560012387</v>
      </c>
    </row>
    <row r="1951" spans="4:29" x14ac:dyDescent="0.35">
      <c r="D1951">
        <f t="shared" si="512"/>
        <v>1947</v>
      </c>
      <c r="E1951" s="101">
        <v>2</v>
      </c>
      <c r="F1951" s="4">
        <v>4</v>
      </c>
      <c r="G1951" s="4">
        <v>2</v>
      </c>
      <c r="H1951" s="4">
        <v>4</v>
      </c>
      <c r="I1951" s="4">
        <v>1</v>
      </c>
      <c r="J1951" s="4">
        <v>3</v>
      </c>
      <c r="K1951" s="102">
        <v>4</v>
      </c>
      <c r="M1951" s="101">
        <f t="shared" si="497"/>
        <v>56</v>
      </c>
      <c r="N1951" s="4">
        <f t="shared" si="498"/>
        <v>12</v>
      </c>
      <c r="O1951" s="4">
        <f t="shared" si="499"/>
        <v>56</v>
      </c>
      <c r="P1951" s="4">
        <f t="shared" si="500"/>
        <v>12</v>
      </c>
      <c r="Q1951" s="4">
        <f t="shared" si="501"/>
        <v>34</v>
      </c>
      <c r="R1951" s="4">
        <f t="shared" si="502"/>
        <v>23</v>
      </c>
      <c r="S1951" s="102">
        <f t="shared" si="503"/>
        <v>12</v>
      </c>
      <c r="U1951" s="101">
        <f t="shared" si="504"/>
        <v>78</v>
      </c>
      <c r="V1951" s="4">
        <f t="shared" si="505"/>
        <v>9</v>
      </c>
      <c r="W1951" s="4">
        <f t="shared" si="506"/>
        <v>78</v>
      </c>
      <c r="X1951" s="4">
        <f t="shared" si="507"/>
        <v>9</v>
      </c>
      <c r="Y1951" s="4">
        <f t="shared" si="508"/>
        <v>46</v>
      </c>
      <c r="Z1951" s="4">
        <f t="shared" si="509"/>
        <v>39</v>
      </c>
      <c r="AA1951" s="102">
        <f t="shared" si="510"/>
        <v>9</v>
      </c>
      <c r="AC1951" s="100">
        <f t="shared" si="511"/>
        <v>0.98838768864140669</v>
      </c>
    </row>
    <row r="1952" spans="4:29" x14ac:dyDescent="0.35">
      <c r="D1952">
        <f t="shared" si="512"/>
        <v>1948</v>
      </c>
      <c r="E1952" s="101">
        <v>2</v>
      </c>
      <c r="F1952" s="4">
        <v>4</v>
      </c>
      <c r="G1952" s="4">
        <v>5</v>
      </c>
      <c r="H1952" s="4">
        <v>1</v>
      </c>
      <c r="I1952" s="4">
        <v>3</v>
      </c>
      <c r="J1952" s="4">
        <v>5</v>
      </c>
      <c r="K1952" s="102">
        <v>1</v>
      </c>
      <c r="M1952" s="101">
        <f t="shared" si="497"/>
        <v>56</v>
      </c>
      <c r="N1952" s="4">
        <f t="shared" si="498"/>
        <v>12</v>
      </c>
      <c r="O1952" s="4">
        <f t="shared" si="499"/>
        <v>30</v>
      </c>
      <c r="P1952" s="4">
        <f t="shared" si="500"/>
        <v>34</v>
      </c>
      <c r="Q1952" s="4">
        <f t="shared" si="501"/>
        <v>23</v>
      </c>
      <c r="R1952" s="4">
        <f t="shared" si="502"/>
        <v>30</v>
      </c>
      <c r="S1952" s="102">
        <f t="shared" si="503"/>
        <v>34</v>
      </c>
      <c r="U1952" s="101">
        <f t="shared" si="504"/>
        <v>78</v>
      </c>
      <c r="V1952" s="4">
        <f t="shared" si="505"/>
        <v>9</v>
      </c>
      <c r="W1952" s="4">
        <f t="shared" si="506"/>
        <v>39</v>
      </c>
      <c r="X1952" s="4">
        <f t="shared" si="507"/>
        <v>46</v>
      </c>
      <c r="Y1952" s="4">
        <f t="shared" si="508"/>
        <v>39</v>
      </c>
      <c r="Z1952" s="4">
        <f t="shared" si="509"/>
        <v>39</v>
      </c>
      <c r="AA1952" s="102">
        <f t="shared" si="510"/>
        <v>46</v>
      </c>
      <c r="AC1952" s="100">
        <f t="shared" si="511"/>
        <v>0.97768546135792911</v>
      </c>
    </row>
    <row r="1953" spans="4:29" x14ac:dyDescent="0.35">
      <c r="D1953">
        <f t="shared" si="512"/>
        <v>1949</v>
      </c>
      <c r="E1953" s="101">
        <v>4</v>
      </c>
      <c r="F1953" s="4">
        <v>3</v>
      </c>
      <c r="G1953" s="4">
        <v>1</v>
      </c>
      <c r="H1953" s="4">
        <v>7</v>
      </c>
      <c r="I1953" s="4">
        <v>3</v>
      </c>
      <c r="J1953" s="4">
        <v>5</v>
      </c>
      <c r="K1953" s="102">
        <v>4</v>
      </c>
      <c r="M1953" s="101">
        <f t="shared" si="497"/>
        <v>12</v>
      </c>
      <c r="N1953" s="4">
        <f t="shared" si="498"/>
        <v>23</v>
      </c>
      <c r="O1953" s="4">
        <f t="shared" si="499"/>
        <v>34</v>
      </c>
      <c r="P1953" s="4">
        <f t="shared" si="500"/>
        <v>29</v>
      </c>
      <c r="Q1953" s="4">
        <f t="shared" si="501"/>
        <v>23</v>
      </c>
      <c r="R1953" s="4">
        <f t="shared" si="502"/>
        <v>30</v>
      </c>
      <c r="S1953" s="102">
        <f t="shared" si="503"/>
        <v>12</v>
      </c>
      <c r="U1953" s="101">
        <f t="shared" si="504"/>
        <v>9</v>
      </c>
      <c r="V1953" s="4">
        <f t="shared" si="505"/>
        <v>39</v>
      </c>
      <c r="W1953" s="4">
        <f t="shared" si="506"/>
        <v>46</v>
      </c>
      <c r="X1953" s="4">
        <f t="shared" si="507"/>
        <v>41</v>
      </c>
      <c r="Y1953" s="4">
        <f t="shared" si="508"/>
        <v>39</v>
      </c>
      <c r="Z1953" s="4">
        <f t="shared" si="509"/>
        <v>39</v>
      </c>
      <c r="AA1953" s="102">
        <f t="shared" si="510"/>
        <v>9</v>
      </c>
      <c r="AC1953" s="100">
        <f t="shared" si="511"/>
        <v>0.93788038849024824</v>
      </c>
    </row>
    <row r="1954" spans="4:29" x14ac:dyDescent="0.35">
      <c r="D1954">
        <f t="shared" si="512"/>
        <v>1950</v>
      </c>
      <c r="E1954" s="101">
        <v>6</v>
      </c>
      <c r="F1954" s="4">
        <v>2</v>
      </c>
      <c r="G1954" s="4">
        <v>4</v>
      </c>
      <c r="H1954" s="4">
        <v>2</v>
      </c>
      <c r="I1954" s="4">
        <v>1</v>
      </c>
      <c r="J1954" s="4">
        <v>3</v>
      </c>
      <c r="K1954" s="102">
        <v>4</v>
      </c>
      <c r="M1954" s="101">
        <f t="shared" si="497"/>
        <v>45</v>
      </c>
      <c r="N1954" s="4">
        <f t="shared" si="498"/>
        <v>56</v>
      </c>
      <c r="O1954" s="4">
        <f t="shared" si="499"/>
        <v>12</v>
      </c>
      <c r="P1954" s="4">
        <f t="shared" si="500"/>
        <v>56</v>
      </c>
      <c r="Q1954" s="4">
        <f t="shared" si="501"/>
        <v>34</v>
      </c>
      <c r="R1954" s="4">
        <f t="shared" si="502"/>
        <v>23</v>
      </c>
      <c r="S1954" s="102">
        <f t="shared" si="503"/>
        <v>12</v>
      </c>
      <c r="U1954" s="101">
        <f t="shared" si="504"/>
        <v>71</v>
      </c>
      <c r="V1954" s="4">
        <f t="shared" si="505"/>
        <v>78</v>
      </c>
      <c r="W1954" s="4">
        <f t="shared" si="506"/>
        <v>9</v>
      </c>
      <c r="X1954" s="4">
        <f t="shared" si="507"/>
        <v>78</v>
      </c>
      <c r="Y1954" s="4">
        <f t="shared" si="508"/>
        <v>46</v>
      </c>
      <c r="Z1954" s="4">
        <f t="shared" si="509"/>
        <v>39</v>
      </c>
      <c r="AA1954" s="102">
        <f t="shared" si="510"/>
        <v>9</v>
      </c>
      <c r="AC1954" s="100">
        <f t="shared" si="511"/>
        <v>0.98329099951932075</v>
      </c>
    </row>
    <row r="1955" spans="4:29" x14ac:dyDescent="0.35">
      <c r="D1955">
        <f t="shared" si="512"/>
        <v>1951</v>
      </c>
      <c r="E1955" s="101">
        <v>3</v>
      </c>
      <c r="F1955" s="4">
        <v>2</v>
      </c>
      <c r="G1955" s="4">
        <v>4</v>
      </c>
      <c r="H1955" s="4">
        <v>3</v>
      </c>
      <c r="I1955" s="4">
        <v>6</v>
      </c>
      <c r="J1955" s="4">
        <v>4</v>
      </c>
      <c r="K1955" s="102">
        <v>4</v>
      </c>
      <c r="M1955" s="101">
        <f t="shared" si="497"/>
        <v>23</v>
      </c>
      <c r="N1955" s="4">
        <f t="shared" si="498"/>
        <v>56</v>
      </c>
      <c r="O1955" s="4">
        <f t="shared" si="499"/>
        <v>12</v>
      </c>
      <c r="P1955" s="4">
        <f t="shared" si="500"/>
        <v>23</v>
      </c>
      <c r="Q1955" s="4">
        <f t="shared" si="501"/>
        <v>45</v>
      </c>
      <c r="R1955" s="4">
        <f t="shared" si="502"/>
        <v>12</v>
      </c>
      <c r="S1955" s="102">
        <f t="shared" si="503"/>
        <v>12</v>
      </c>
      <c r="U1955" s="101">
        <f t="shared" si="504"/>
        <v>39</v>
      </c>
      <c r="V1955" s="4">
        <f t="shared" si="505"/>
        <v>78</v>
      </c>
      <c r="W1955" s="4">
        <f t="shared" si="506"/>
        <v>9</v>
      </c>
      <c r="X1955" s="4">
        <f t="shared" si="507"/>
        <v>39</v>
      </c>
      <c r="Y1955" s="4">
        <f t="shared" si="508"/>
        <v>71</v>
      </c>
      <c r="Z1955" s="4">
        <f t="shared" si="509"/>
        <v>9</v>
      </c>
      <c r="AA1955" s="102">
        <f t="shared" si="510"/>
        <v>9</v>
      </c>
      <c r="AC1955" s="100">
        <f t="shared" si="511"/>
        <v>0.97654664019965176</v>
      </c>
    </row>
    <row r="1956" spans="4:29" x14ac:dyDescent="0.35">
      <c r="D1956">
        <f t="shared" si="512"/>
        <v>1952</v>
      </c>
      <c r="E1956" s="101">
        <v>3</v>
      </c>
      <c r="F1956" s="4">
        <v>1</v>
      </c>
      <c r="G1956" s="4">
        <v>1</v>
      </c>
      <c r="H1956" s="4">
        <v>1</v>
      </c>
      <c r="I1956" s="4">
        <v>2</v>
      </c>
      <c r="J1956" s="4">
        <v>1</v>
      </c>
      <c r="K1956" s="102">
        <v>3</v>
      </c>
      <c r="M1956" s="101">
        <f t="shared" si="497"/>
        <v>23</v>
      </c>
      <c r="N1956" s="4">
        <f t="shared" si="498"/>
        <v>34</v>
      </c>
      <c r="O1956" s="4">
        <f t="shared" si="499"/>
        <v>34</v>
      </c>
      <c r="P1956" s="4">
        <f t="shared" si="500"/>
        <v>34</v>
      </c>
      <c r="Q1956" s="4">
        <f t="shared" si="501"/>
        <v>56</v>
      </c>
      <c r="R1956" s="4">
        <f t="shared" si="502"/>
        <v>34</v>
      </c>
      <c r="S1956" s="102">
        <f t="shared" si="503"/>
        <v>23</v>
      </c>
      <c r="U1956" s="101">
        <f t="shared" si="504"/>
        <v>39</v>
      </c>
      <c r="V1956" s="4">
        <f t="shared" si="505"/>
        <v>46</v>
      </c>
      <c r="W1956" s="4">
        <f t="shared" si="506"/>
        <v>46</v>
      </c>
      <c r="X1956" s="4">
        <f t="shared" si="507"/>
        <v>46</v>
      </c>
      <c r="Y1956" s="4">
        <f t="shared" si="508"/>
        <v>78</v>
      </c>
      <c r="Z1956" s="4">
        <f t="shared" si="509"/>
        <v>46</v>
      </c>
      <c r="AA1956" s="102">
        <f t="shared" si="510"/>
        <v>39</v>
      </c>
      <c r="AC1956" s="100">
        <f t="shared" si="511"/>
        <v>0.97089107631686111</v>
      </c>
    </row>
    <row r="1957" spans="4:29" x14ac:dyDescent="0.35">
      <c r="D1957">
        <f t="shared" si="512"/>
        <v>1953</v>
      </c>
      <c r="E1957" s="101">
        <v>7</v>
      </c>
      <c r="F1957" s="4">
        <v>5</v>
      </c>
      <c r="G1957" s="4">
        <v>1</v>
      </c>
      <c r="H1957" s="4">
        <v>2</v>
      </c>
      <c r="I1957" s="4">
        <v>6</v>
      </c>
      <c r="J1957" s="4">
        <v>5</v>
      </c>
      <c r="K1957" s="102">
        <v>3</v>
      </c>
      <c r="M1957" s="101">
        <f t="shared" si="497"/>
        <v>29</v>
      </c>
      <c r="N1957" s="4">
        <f t="shared" si="498"/>
        <v>30</v>
      </c>
      <c r="O1957" s="4">
        <f t="shared" si="499"/>
        <v>34</v>
      </c>
      <c r="P1957" s="4">
        <f t="shared" si="500"/>
        <v>56</v>
      </c>
      <c r="Q1957" s="4">
        <f t="shared" si="501"/>
        <v>45</v>
      </c>
      <c r="R1957" s="4">
        <f t="shared" si="502"/>
        <v>30</v>
      </c>
      <c r="S1957" s="102">
        <f t="shared" si="503"/>
        <v>23</v>
      </c>
      <c r="U1957" s="101">
        <f t="shared" si="504"/>
        <v>41</v>
      </c>
      <c r="V1957" s="4">
        <f t="shared" si="505"/>
        <v>39</v>
      </c>
      <c r="W1957" s="4">
        <f t="shared" si="506"/>
        <v>46</v>
      </c>
      <c r="X1957" s="4">
        <f t="shared" si="507"/>
        <v>78</v>
      </c>
      <c r="Y1957" s="4">
        <f t="shared" si="508"/>
        <v>71</v>
      </c>
      <c r="Z1957" s="4">
        <f t="shared" si="509"/>
        <v>39</v>
      </c>
      <c r="AA1957" s="102">
        <f t="shared" si="510"/>
        <v>39</v>
      </c>
      <c r="AC1957" s="100">
        <f t="shared" si="511"/>
        <v>0.96267816560012409</v>
      </c>
    </row>
    <row r="1958" spans="4:29" x14ac:dyDescent="0.35">
      <c r="D1958">
        <f t="shared" si="512"/>
        <v>1954</v>
      </c>
      <c r="E1958" s="101">
        <v>2</v>
      </c>
      <c r="F1958" s="4">
        <v>2</v>
      </c>
      <c r="G1958" s="4">
        <v>5</v>
      </c>
      <c r="H1958" s="4">
        <v>2</v>
      </c>
      <c r="I1958" s="4">
        <v>5</v>
      </c>
      <c r="J1958" s="4">
        <v>2</v>
      </c>
      <c r="K1958" s="102">
        <v>7</v>
      </c>
      <c r="M1958" s="101">
        <f t="shared" si="497"/>
        <v>56</v>
      </c>
      <c r="N1958" s="4">
        <f t="shared" si="498"/>
        <v>56</v>
      </c>
      <c r="O1958" s="4">
        <f t="shared" si="499"/>
        <v>30</v>
      </c>
      <c r="P1958" s="4">
        <f t="shared" si="500"/>
        <v>56</v>
      </c>
      <c r="Q1958" s="4">
        <f t="shared" si="501"/>
        <v>30</v>
      </c>
      <c r="R1958" s="4">
        <f t="shared" si="502"/>
        <v>56</v>
      </c>
      <c r="S1958" s="102">
        <f t="shared" si="503"/>
        <v>29</v>
      </c>
      <c r="U1958" s="101">
        <f t="shared" si="504"/>
        <v>78</v>
      </c>
      <c r="V1958" s="4">
        <f t="shared" si="505"/>
        <v>78</v>
      </c>
      <c r="W1958" s="4">
        <f t="shared" si="506"/>
        <v>39</v>
      </c>
      <c r="X1958" s="4">
        <f t="shared" si="507"/>
        <v>78</v>
      </c>
      <c r="Y1958" s="4">
        <f t="shared" si="508"/>
        <v>39</v>
      </c>
      <c r="Z1958" s="4">
        <f t="shared" si="509"/>
        <v>78</v>
      </c>
      <c r="AA1958" s="102">
        <f t="shared" si="510"/>
        <v>41</v>
      </c>
      <c r="AC1958" s="100">
        <f t="shared" si="511"/>
        <v>0.99842110416561236</v>
      </c>
    </row>
    <row r="1959" spans="4:29" x14ac:dyDescent="0.35">
      <c r="D1959">
        <f t="shared" si="512"/>
        <v>1955</v>
      </c>
      <c r="E1959" s="101">
        <v>6</v>
      </c>
      <c r="F1959" s="4">
        <v>5</v>
      </c>
      <c r="G1959" s="4">
        <v>1</v>
      </c>
      <c r="H1959" s="4">
        <v>1</v>
      </c>
      <c r="I1959" s="4">
        <v>7</v>
      </c>
      <c r="J1959" s="4">
        <v>4</v>
      </c>
      <c r="K1959" s="102">
        <v>6</v>
      </c>
      <c r="M1959" s="101">
        <f t="shared" si="497"/>
        <v>45</v>
      </c>
      <c r="N1959" s="4">
        <f t="shared" si="498"/>
        <v>30</v>
      </c>
      <c r="O1959" s="4">
        <f t="shared" si="499"/>
        <v>34</v>
      </c>
      <c r="P1959" s="4">
        <f t="shared" si="500"/>
        <v>34</v>
      </c>
      <c r="Q1959" s="4">
        <f t="shared" si="501"/>
        <v>29</v>
      </c>
      <c r="R1959" s="4">
        <f t="shared" si="502"/>
        <v>12</v>
      </c>
      <c r="S1959" s="102">
        <f t="shared" si="503"/>
        <v>45</v>
      </c>
      <c r="U1959" s="101">
        <f t="shared" si="504"/>
        <v>71</v>
      </c>
      <c r="V1959" s="4">
        <f t="shared" si="505"/>
        <v>39</v>
      </c>
      <c r="W1959" s="4">
        <f t="shared" si="506"/>
        <v>46</v>
      </c>
      <c r="X1959" s="4">
        <f t="shared" si="507"/>
        <v>46</v>
      </c>
      <c r="Y1959" s="4">
        <f t="shared" si="508"/>
        <v>41</v>
      </c>
      <c r="Z1959" s="4">
        <f t="shared" si="509"/>
        <v>9</v>
      </c>
      <c r="AA1959" s="102">
        <f t="shared" si="510"/>
        <v>71</v>
      </c>
      <c r="AC1959" s="100">
        <f t="shared" si="511"/>
        <v>0.994398288108302</v>
      </c>
    </row>
    <row r="1960" spans="4:29" x14ac:dyDescent="0.35">
      <c r="D1960">
        <f t="shared" si="512"/>
        <v>1956</v>
      </c>
      <c r="E1960" s="101">
        <v>1</v>
      </c>
      <c r="F1960" s="4">
        <v>3</v>
      </c>
      <c r="G1960" s="4">
        <v>1</v>
      </c>
      <c r="H1960" s="4">
        <v>3</v>
      </c>
      <c r="I1960" s="4">
        <v>6</v>
      </c>
      <c r="J1960" s="4">
        <v>5</v>
      </c>
      <c r="K1960" s="102">
        <v>7</v>
      </c>
      <c r="M1960" s="101">
        <f t="shared" si="497"/>
        <v>34</v>
      </c>
      <c r="N1960" s="4">
        <f t="shared" si="498"/>
        <v>23</v>
      </c>
      <c r="O1960" s="4">
        <f t="shared" si="499"/>
        <v>34</v>
      </c>
      <c r="P1960" s="4">
        <f t="shared" si="500"/>
        <v>23</v>
      </c>
      <c r="Q1960" s="4">
        <f t="shared" si="501"/>
        <v>45</v>
      </c>
      <c r="R1960" s="4">
        <f t="shared" si="502"/>
        <v>30</v>
      </c>
      <c r="S1960" s="102">
        <f t="shared" si="503"/>
        <v>29</v>
      </c>
      <c r="U1960" s="101">
        <f t="shared" si="504"/>
        <v>46</v>
      </c>
      <c r="V1960" s="4">
        <f t="shared" si="505"/>
        <v>39</v>
      </c>
      <c r="W1960" s="4">
        <f t="shared" si="506"/>
        <v>46</v>
      </c>
      <c r="X1960" s="4">
        <f t="shared" si="507"/>
        <v>39</v>
      </c>
      <c r="Y1960" s="4">
        <f t="shared" si="508"/>
        <v>71</v>
      </c>
      <c r="Z1960" s="4">
        <f t="shared" si="509"/>
        <v>39</v>
      </c>
      <c r="AA1960" s="102">
        <f t="shared" si="510"/>
        <v>41</v>
      </c>
      <c r="AC1960" s="100">
        <f t="shared" si="511"/>
        <v>0.91137993333661271</v>
      </c>
    </row>
    <row r="1961" spans="4:29" x14ac:dyDescent="0.35">
      <c r="D1961">
        <f t="shared" si="512"/>
        <v>1957</v>
      </c>
      <c r="E1961" s="101">
        <v>5</v>
      </c>
      <c r="F1961" s="4">
        <v>2</v>
      </c>
      <c r="G1961" s="4">
        <v>5</v>
      </c>
      <c r="H1961" s="4">
        <v>5</v>
      </c>
      <c r="I1961" s="4">
        <v>2</v>
      </c>
      <c r="J1961" s="4">
        <v>6</v>
      </c>
      <c r="K1961" s="102">
        <v>2</v>
      </c>
      <c r="M1961" s="101">
        <f t="shared" si="497"/>
        <v>30</v>
      </c>
      <c r="N1961" s="4">
        <f t="shared" si="498"/>
        <v>56</v>
      </c>
      <c r="O1961" s="4">
        <f t="shared" si="499"/>
        <v>30</v>
      </c>
      <c r="P1961" s="4">
        <f t="shared" si="500"/>
        <v>30</v>
      </c>
      <c r="Q1961" s="4">
        <f t="shared" si="501"/>
        <v>56</v>
      </c>
      <c r="R1961" s="4">
        <f t="shared" si="502"/>
        <v>45</v>
      </c>
      <c r="S1961" s="102">
        <f t="shared" si="503"/>
        <v>56</v>
      </c>
      <c r="U1961" s="101">
        <f t="shared" si="504"/>
        <v>39</v>
      </c>
      <c r="V1961" s="4">
        <f t="shared" si="505"/>
        <v>78</v>
      </c>
      <c r="W1961" s="4">
        <f t="shared" si="506"/>
        <v>39</v>
      </c>
      <c r="X1961" s="4">
        <f t="shared" si="507"/>
        <v>39</v>
      </c>
      <c r="Y1961" s="4">
        <f t="shared" si="508"/>
        <v>78</v>
      </c>
      <c r="Z1961" s="4">
        <f t="shared" si="509"/>
        <v>71</v>
      </c>
      <c r="AA1961" s="102">
        <f t="shared" si="510"/>
        <v>78</v>
      </c>
      <c r="AC1961" s="100">
        <f t="shared" si="511"/>
        <v>0.98391141044828445</v>
      </c>
    </row>
    <row r="1962" spans="4:29" x14ac:dyDescent="0.35">
      <c r="D1962">
        <f t="shared" si="512"/>
        <v>1958</v>
      </c>
      <c r="E1962" s="101">
        <v>4</v>
      </c>
      <c r="F1962" s="4">
        <v>2</v>
      </c>
      <c r="G1962" s="4">
        <v>7</v>
      </c>
      <c r="H1962" s="4">
        <v>3</v>
      </c>
      <c r="I1962" s="4">
        <v>3</v>
      </c>
      <c r="J1962" s="4">
        <v>2</v>
      </c>
      <c r="K1962" s="102">
        <v>5</v>
      </c>
      <c r="M1962" s="101">
        <f t="shared" si="497"/>
        <v>12</v>
      </c>
      <c r="N1962" s="4">
        <f t="shared" si="498"/>
        <v>56</v>
      </c>
      <c r="O1962" s="4">
        <f t="shared" si="499"/>
        <v>29</v>
      </c>
      <c r="P1962" s="4">
        <f t="shared" si="500"/>
        <v>23</v>
      </c>
      <c r="Q1962" s="4">
        <f t="shared" si="501"/>
        <v>23</v>
      </c>
      <c r="R1962" s="4">
        <f t="shared" si="502"/>
        <v>56</v>
      </c>
      <c r="S1962" s="102">
        <f t="shared" si="503"/>
        <v>30</v>
      </c>
      <c r="U1962" s="101">
        <f t="shared" si="504"/>
        <v>9</v>
      </c>
      <c r="V1962" s="4">
        <f t="shared" si="505"/>
        <v>78</v>
      </c>
      <c r="W1962" s="4">
        <f t="shared" si="506"/>
        <v>41</v>
      </c>
      <c r="X1962" s="4">
        <f t="shared" si="507"/>
        <v>39</v>
      </c>
      <c r="Y1962" s="4">
        <f t="shared" si="508"/>
        <v>39</v>
      </c>
      <c r="Z1962" s="4">
        <f t="shared" si="509"/>
        <v>78</v>
      </c>
      <c r="AA1962" s="102">
        <f t="shared" si="510"/>
        <v>39</v>
      </c>
      <c r="AC1962" s="100">
        <f t="shared" si="511"/>
        <v>0.97719807806897718</v>
      </c>
    </row>
    <row r="1963" spans="4:29" x14ac:dyDescent="0.35">
      <c r="D1963">
        <f t="shared" si="512"/>
        <v>1959</v>
      </c>
      <c r="E1963" s="101">
        <v>4</v>
      </c>
      <c r="F1963" s="4">
        <v>5</v>
      </c>
      <c r="G1963" s="4">
        <v>1</v>
      </c>
      <c r="H1963" s="4">
        <v>1</v>
      </c>
      <c r="I1963" s="4">
        <v>7</v>
      </c>
      <c r="J1963" s="4">
        <v>3</v>
      </c>
      <c r="K1963" s="102">
        <v>6</v>
      </c>
      <c r="M1963" s="101">
        <f t="shared" si="497"/>
        <v>12</v>
      </c>
      <c r="N1963" s="4">
        <f t="shared" si="498"/>
        <v>30</v>
      </c>
      <c r="O1963" s="4">
        <f t="shared" si="499"/>
        <v>34</v>
      </c>
      <c r="P1963" s="4">
        <f t="shared" si="500"/>
        <v>34</v>
      </c>
      <c r="Q1963" s="4">
        <f t="shared" si="501"/>
        <v>29</v>
      </c>
      <c r="R1963" s="4">
        <f t="shared" si="502"/>
        <v>23</v>
      </c>
      <c r="S1963" s="102">
        <f t="shared" si="503"/>
        <v>45</v>
      </c>
      <c r="U1963" s="101">
        <f t="shared" si="504"/>
        <v>9</v>
      </c>
      <c r="V1963" s="4">
        <f t="shared" si="505"/>
        <v>39</v>
      </c>
      <c r="W1963" s="4">
        <f t="shared" si="506"/>
        <v>46</v>
      </c>
      <c r="X1963" s="4">
        <f t="shared" si="507"/>
        <v>46</v>
      </c>
      <c r="Y1963" s="4">
        <f t="shared" si="508"/>
        <v>41</v>
      </c>
      <c r="Z1963" s="4">
        <f t="shared" si="509"/>
        <v>39</v>
      </c>
      <c r="AA1963" s="102">
        <f t="shared" si="510"/>
        <v>71</v>
      </c>
      <c r="AC1963" s="100">
        <f t="shared" si="511"/>
        <v>0.96881205442947571</v>
      </c>
    </row>
    <row r="1964" spans="4:29" x14ac:dyDescent="0.35">
      <c r="D1964">
        <f t="shared" si="512"/>
        <v>1960</v>
      </c>
      <c r="E1964" s="101">
        <v>5</v>
      </c>
      <c r="F1964" s="4">
        <v>5</v>
      </c>
      <c r="G1964" s="4">
        <v>2</v>
      </c>
      <c r="H1964" s="4">
        <v>2</v>
      </c>
      <c r="I1964" s="4">
        <v>1</v>
      </c>
      <c r="J1964" s="4">
        <v>7</v>
      </c>
      <c r="K1964" s="102">
        <v>4</v>
      </c>
      <c r="M1964" s="101">
        <f t="shared" si="497"/>
        <v>30</v>
      </c>
      <c r="N1964" s="4">
        <f t="shared" si="498"/>
        <v>30</v>
      </c>
      <c r="O1964" s="4">
        <f t="shared" si="499"/>
        <v>56</v>
      </c>
      <c r="P1964" s="4">
        <f t="shared" si="500"/>
        <v>56</v>
      </c>
      <c r="Q1964" s="4">
        <f t="shared" si="501"/>
        <v>34</v>
      </c>
      <c r="R1964" s="4">
        <f t="shared" si="502"/>
        <v>29</v>
      </c>
      <c r="S1964" s="102">
        <f t="shared" si="503"/>
        <v>12</v>
      </c>
      <c r="U1964" s="101">
        <f t="shared" si="504"/>
        <v>39</v>
      </c>
      <c r="V1964" s="4">
        <f t="shared" si="505"/>
        <v>39</v>
      </c>
      <c r="W1964" s="4">
        <f t="shared" si="506"/>
        <v>78</v>
      </c>
      <c r="X1964" s="4">
        <f t="shared" si="507"/>
        <v>78</v>
      </c>
      <c r="Y1964" s="4">
        <f t="shared" si="508"/>
        <v>46</v>
      </c>
      <c r="Z1964" s="4">
        <f t="shared" si="509"/>
        <v>41</v>
      </c>
      <c r="AA1964" s="102">
        <f t="shared" si="510"/>
        <v>9</v>
      </c>
      <c r="AC1964" s="100">
        <f t="shared" si="511"/>
        <v>0.99709561446177808</v>
      </c>
    </row>
    <row r="1965" spans="4:29" x14ac:dyDescent="0.35">
      <c r="D1965">
        <f t="shared" si="512"/>
        <v>1961</v>
      </c>
      <c r="E1965" s="101">
        <v>5</v>
      </c>
      <c r="F1965" s="4">
        <v>2</v>
      </c>
      <c r="G1965" s="4">
        <v>6</v>
      </c>
      <c r="H1965" s="4">
        <v>4</v>
      </c>
      <c r="I1965" s="4">
        <v>3</v>
      </c>
      <c r="J1965" s="4">
        <v>4</v>
      </c>
      <c r="K1965" s="102">
        <v>1</v>
      </c>
      <c r="M1965" s="101">
        <f t="shared" si="497"/>
        <v>30</v>
      </c>
      <c r="N1965" s="4">
        <f t="shared" si="498"/>
        <v>56</v>
      </c>
      <c r="O1965" s="4">
        <f t="shared" si="499"/>
        <v>45</v>
      </c>
      <c r="P1965" s="4">
        <f t="shared" si="500"/>
        <v>12</v>
      </c>
      <c r="Q1965" s="4">
        <f t="shared" si="501"/>
        <v>23</v>
      </c>
      <c r="R1965" s="4">
        <f t="shared" si="502"/>
        <v>12</v>
      </c>
      <c r="S1965" s="102">
        <f t="shared" si="503"/>
        <v>34</v>
      </c>
      <c r="U1965" s="101">
        <f t="shared" si="504"/>
        <v>39</v>
      </c>
      <c r="V1965" s="4">
        <f t="shared" si="505"/>
        <v>78</v>
      </c>
      <c r="W1965" s="4">
        <f t="shared" si="506"/>
        <v>71</v>
      </c>
      <c r="X1965" s="4">
        <f t="shared" si="507"/>
        <v>9</v>
      </c>
      <c r="Y1965" s="4">
        <f t="shared" si="508"/>
        <v>39</v>
      </c>
      <c r="Z1965" s="4">
        <f t="shared" si="509"/>
        <v>9</v>
      </c>
      <c r="AA1965" s="102">
        <f t="shared" si="510"/>
        <v>46</v>
      </c>
      <c r="AC1965" s="100">
        <f t="shared" si="511"/>
        <v>0.98048891763588542</v>
      </c>
    </row>
    <row r="1966" spans="4:29" x14ac:dyDescent="0.35">
      <c r="D1966">
        <f t="shared" si="512"/>
        <v>1962</v>
      </c>
      <c r="E1966" s="101">
        <v>3</v>
      </c>
      <c r="F1966" s="4">
        <v>7</v>
      </c>
      <c r="G1966" s="4">
        <v>7</v>
      </c>
      <c r="H1966" s="4">
        <v>4</v>
      </c>
      <c r="I1966" s="4">
        <v>7</v>
      </c>
      <c r="J1966" s="4">
        <v>3</v>
      </c>
      <c r="K1966" s="102">
        <v>6</v>
      </c>
      <c r="M1966" s="101">
        <f t="shared" si="497"/>
        <v>23</v>
      </c>
      <c r="N1966" s="4">
        <f t="shared" si="498"/>
        <v>29</v>
      </c>
      <c r="O1966" s="4">
        <f t="shared" si="499"/>
        <v>29</v>
      </c>
      <c r="P1966" s="4">
        <f t="shared" si="500"/>
        <v>12</v>
      </c>
      <c r="Q1966" s="4">
        <f t="shared" si="501"/>
        <v>29</v>
      </c>
      <c r="R1966" s="4">
        <f t="shared" si="502"/>
        <v>23</v>
      </c>
      <c r="S1966" s="102">
        <f t="shared" si="503"/>
        <v>45</v>
      </c>
      <c r="U1966" s="101">
        <f t="shared" si="504"/>
        <v>39</v>
      </c>
      <c r="V1966" s="4">
        <f t="shared" si="505"/>
        <v>41</v>
      </c>
      <c r="W1966" s="4">
        <f t="shared" si="506"/>
        <v>41</v>
      </c>
      <c r="X1966" s="4">
        <f t="shared" si="507"/>
        <v>9</v>
      </c>
      <c r="Y1966" s="4">
        <f t="shared" si="508"/>
        <v>41</v>
      </c>
      <c r="Z1966" s="4">
        <f t="shared" si="509"/>
        <v>39</v>
      </c>
      <c r="AA1966" s="102">
        <f t="shared" si="510"/>
        <v>71</v>
      </c>
      <c r="AC1966" s="100">
        <f t="shared" si="511"/>
        <v>0.97010587984700725</v>
      </c>
    </row>
    <row r="1967" spans="4:29" x14ac:dyDescent="0.35">
      <c r="D1967">
        <f t="shared" si="512"/>
        <v>1963</v>
      </c>
      <c r="E1967" s="101">
        <v>2</v>
      </c>
      <c r="F1967" s="4">
        <v>4</v>
      </c>
      <c r="G1967" s="4">
        <v>5</v>
      </c>
      <c r="H1967" s="4">
        <v>5</v>
      </c>
      <c r="I1967" s="4">
        <v>3</v>
      </c>
      <c r="J1967" s="4">
        <v>4</v>
      </c>
      <c r="K1967" s="102">
        <v>5</v>
      </c>
      <c r="M1967" s="101">
        <f t="shared" si="497"/>
        <v>56</v>
      </c>
      <c r="N1967" s="4">
        <f t="shared" si="498"/>
        <v>12</v>
      </c>
      <c r="O1967" s="4">
        <f t="shared" si="499"/>
        <v>30</v>
      </c>
      <c r="P1967" s="4">
        <f t="shared" si="500"/>
        <v>30</v>
      </c>
      <c r="Q1967" s="4">
        <f t="shared" si="501"/>
        <v>23</v>
      </c>
      <c r="R1967" s="4">
        <f t="shared" si="502"/>
        <v>12</v>
      </c>
      <c r="S1967" s="102">
        <f t="shared" si="503"/>
        <v>30</v>
      </c>
      <c r="U1967" s="101">
        <f t="shared" si="504"/>
        <v>78</v>
      </c>
      <c r="V1967" s="4">
        <f t="shared" si="505"/>
        <v>9</v>
      </c>
      <c r="W1967" s="4">
        <f t="shared" si="506"/>
        <v>39</v>
      </c>
      <c r="X1967" s="4">
        <f t="shared" si="507"/>
        <v>39</v>
      </c>
      <c r="Y1967" s="4">
        <f t="shared" si="508"/>
        <v>39</v>
      </c>
      <c r="Z1967" s="4">
        <f t="shared" si="509"/>
        <v>9</v>
      </c>
      <c r="AA1967" s="102">
        <f t="shared" si="510"/>
        <v>39</v>
      </c>
      <c r="AC1967" s="100">
        <f t="shared" si="511"/>
        <v>0.98081544781789809</v>
      </c>
    </row>
    <row r="1968" spans="4:29" x14ac:dyDescent="0.35">
      <c r="D1968">
        <f t="shared" si="512"/>
        <v>1964</v>
      </c>
      <c r="E1968" s="101">
        <v>6</v>
      </c>
      <c r="F1968" s="4">
        <v>6</v>
      </c>
      <c r="G1968" s="4">
        <v>1</v>
      </c>
      <c r="H1968" s="4">
        <v>2</v>
      </c>
      <c r="I1968" s="4">
        <v>3</v>
      </c>
      <c r="J1968" s="4">
        <v>6</v>
      </c>
      <c r="K1968" s="102">
        <v>6</v>
      </c>
      <c r="M1968" s="101">
        <f t="shared" si="497"/>
        <v>45</v>
      </c>
      <c r="N1968" s="4">
        <f t="shared" si="498"/>
        <v>45</v>
      </c>
      <c r="O1968" s="4">
        <f t="shared" si="499"/>
        <v>34</v>
      </c>
      <c r="P1968" s="4">
        <f t="shared" si="500"/>
        <v>56</v>
      </c>
      <c r="Q1968" s="4">
        <f t="shared" si="501"/>
        <v>23</v>
      </c>
      <c r="R1968" s="4">
        <f t="shared" si="502"/>
        <v>45</v>
      </c>
      <c r="S1968" s="102">
        <f t="shared" si="503"/>
        <v>45</v>
      </c>
      <c r="U1968" s="101">
        <f t="shared" si="504"/>
        <v>71</v>
      </c>
      <c r="V1968" s="4">
        <f t="shared" si="505"/>
        <v>71</v>
      </c>
      <c r="W1968" s="4">
        <f t="shared" si="506"/>
        <v>46</v>
      </c>
      <c r="X1968" s="4">
        <f t="shared" si="507"/>
        <v>78</v>
      </c>
      <c r="Y1968" s="4">
        <f t="shared" si="508"/>
        <v>39</v>
      </c>
      <c r="Z1968" s="4">
        <f t="shared" si="509"/>
        <v>71</v>
      </c>
      <c r="AA1968" s="102">
        <f t="shared" si="510"/>
        <v>71</v>
      </c>
      <c r="AC1968" s="100">
        <f t="shared" si="511"/>
        <v>0.95777601163722337</v>
      </c>
    </row>
    <row r="1969" spans="4:29" x14ac:dyDescent="0.35">
      <c r="D1969">
        <f t="shared" si="512"/>
        <v>1965</v>
      </c>
      <c r="E1969" s="101">
        <v>2</v>
      </c>
      <c r="F1969" s="4">
        <v>3</v>
      </c>
      <c r="G1969" s="4">
        <v>6</v>
      </c>
      <c r="H1969" s="4">
        <v>7</v>
      </c>
      <c r="I1969" s="4">
        <v>2</v>
      </c>
      <c r="J1969" s="4">
        <v>2</v>
      </c>
      <c r="K1969" s="102">
        <v>3</v>
      </c>
      <c r="M1969" s="101">
        <f t="shared" si="497"/>
        <v>56</v>
      </c>
      <c r="N1969" s="4">
        <f t="shared" si="498"/>
        <v>23</v>
      </c>
      <c r="O1969" s="4">
        <f t="shared" si="499"/>
        <v>45</v>
      </c>
      <c r="P1969" s="4">
        <f t="shared" si="500"/>
        <v>29</v>
      </c>
      <c r="Q1969" s="4">
        <f t="shared" si="501"/>
        <v>56</v>
      </c>
      <c r="R1969" s="4">
        <f t="shared" si="502"/>
        <v>56</v>
      </c>
      <c r="S1969" s="102">
        <f t="shared" si="503"/>
        <v>23</v>
      </c>
      <c r="U1969" s="101">
        <f t="shared" si="504"/>
        <v>78</v>
      </c>
      <c r="V1969" s="4">
        <f t="shared" si="505"/>
        <v>39</v>
      </c>
      <c r="W1969" s="4">
        <f t="shared" si="506"/>
        <v>71</v>
      </c>
      <c r="X1969" s="4">
        <f t="shared" si="507"/>
        <v>41</v>
      </c>
      <c r="Y1969" s="4">
        <f t="shared" si="508"/>
        <v>78</v>
      </c>
      <c r="Z1969" s="4">
        <f t="shared" si="509"/>
        <v>78</v>
      </c>
      <c r="AA1969" s="102">
        <f t="shared" si="510"/>
        <v>39</v>
      </c>
      <c r="AC1969" s="100">
        <f t="shared" si="511"/>
        <v>0.98772709219308885</v>
      </c>
    </row>
    <row r="1970" spans="4:29" x14ac:dyDescent="0.35">
      <c r="D1970">
        <f t="shared" si="512"/>
        <v>1966</v>
      </c>
      <c r="E1970" s="101">
        <v>1</v>
      </c>
      <c r="F1970" s="4">
        <v>7</v>
      </c>
      <c r="G1970" s="4">
        <v>4</v>
      </c>
      <c r="H1970" s="4">
        <v>5</v>
      </c>
      <c r="I1970" s="4">
        <v>2</v>
      </c>
      <c r="J1970" s="4">
        <v>1</v>
      </c>
      <c r="K1970" s="102">
        <v>7</v>
      </c>
      <c r="M1970" s="101">
        <f t="shared" si="497"/>
        <v>34</v>
      </c>
      <c r="N1970" s="4">
        <f t="shared" si="498"/>
        <v>29</v>
      </c>
      <c r="O1970" s="4">
        <f t="shared" si="499"/>
        <v>12</v>
      </c>
      <c r="P1970" s="4">
        <f t="shared" si="500"/>
        <v>30</v>
      </c>
      <c r="Q1970" s="4">
        <f t="shared" si="501"/>
        <v>56</v>
      </c>
      <c r="R1970" s="4">
        <f t="shared" si="502"/>
        <v>34</v>
      </c>
      <c r="S1970" s="102">
        <f t="shared" si="503"/>
        <v>29</v>
      </c>
      <c r="U1970" s="101">
        <f t="shared" si="504"/>
        <v>46</v>
      </c>
      <c r="V1970" s="4">
        <f t="shared" si="505"/>
        <v>41</v>
      </c>
      <c r="W1970" s="4">
        <f t="shared" si="506"/>
        <v>9</v>
      </c>
      <c r="X1970" s="4">
        <f t="shared" si="507"/>
        <v>39</v>
      </c>
      <c r="Y1970" s="4">
        <f t="shared" si="508"/>
        <v>78</v>
      </c>
      <c r="Z1970" s="4">
        <f t="shared" si="509"/>
        <v>46</v>
      </c>
      <c r="AA1970" s="102">
        <f t="shared" si="510"/>
        <v>41</v>
      </c>
      <c r="AC1970" s="100">
        <f t="shared" si="511"/>
        <v>0.99409713603390548</v>
      </c>
    </row>
    <row r="1971" spans="4:29" x14ac:dyDescent="0.35">
      <c r="D1971">
        <f t="shared" si="512"/>
        <v>1967</v>
      </c>
      <c r="E1971" s="101">
        <v>2</v>
      </c>
      <c r="F1971" s="4">
        <v>3</v>
      </c>
      <c r="G1971" s="4">
        <v>5</v>
      </c>
      <c r="H1971" s="4">
        <v>2</v>
      </c>
      <c r="I1971" s="4">
        <v>4</v>
      </c>
      <c r="J1971" s="4">
        <v>5</v>
      </c>
      <c r="K1971" s="102">
        <v>2</v>
      </c>
      <c r="M1971" s="101">
        <f t="shared" si="497"/>
        <v>56</v>
      </c>
      <c r="N1971" s="4">
        <f t="shared" si="498"/>
        <v>23</v>
      </c>
      <c r="O1971" s="4">
        <f t="shared" si="499"/>
        <v>30</v>
      </c>
      <c r="P1971" s="4">
        <f t="shared" si="500"/>
        <v>56</v>
      </c>
      <c r="Q1971" s="4">
        <f t="shared" si="501"/>
        <v>12</v>
      </c>
      <c r="R1971" s="4">
        <f t="shared" si="502"/>
        <v>30</v>
      </c>
      <c r="S1971" s="102">
        <f t="shared" si="503"/>
        <v>56</v>
      </c>
      <c r="U1971" s="101">
        <f t="shared" si="504"/>
        <v>78</v>
      </c>
      <c r="V1971" s="4">
        <f t="shared" si="505"/>
        <v>39</v>
      </c>
      <c r="W1971" s="4">
        <f t="shared" si="506"/>
        <v>39</v>
      </c>
      <c r="X1971" s="4">
        <f t="shared" si="507"/>
        <v>78</v>
      </c>
      <c r="Y1971" s="4">
        <f t="shared" si="508"/>
        <v>9</v>
      </c>
      <c r="Z1971" s="4">
        <f t="shared" si="509"/>
        <v>39</v>
      </c>
      <c r="AA1971" s="102">
        <f t="shared" si="510"/>
        <v>78</v>
      </c>
      <c r="AC1971" s="100">
        <f t="shared" si="511"/>
        <v>0.98756402689703404</v>
      </c>
    </row>
    <row r="1972" spans="4:29" x14ac:dyDescent="0.35">
      <c r="D1972">
        <f t="shared" si="512"/>
        <v>1968</v>
      </c>
      <c r="E1972" s="101">
        <v>5</v>
      </c>
      <c r="F1972" s="4">
        <v>3</v>
      </c>
      <c r="G1972" s="4">
        <v>4</v>
      </c>
      <c r="H1972" s="4">
        <v>7</v>
      </c>
      <c r="I1972" s="4">
        <v>4</v>
      </c>
      <c r="J1972" s="4">
        <v>7</v>
      </c>
      <c r="K1972" s="102">
        <v>3</v>
      </c>
      <c r="M1972" s="101">
        <f t="shared" si="497"/>
        <v>30</v>
      </c>
      <c r="N1972" s="4">
        <f t="shared" si="498"/>
        <v>23</v>
      </c>
      <c r="O1972" s="4">
        <f t="shared" si="499"/>
        <v>12</v>
      </c>
      <c r="P1972" s="4">
        <f t="shared" si="500"/>
        <v>29</v>
      </c>
      <c r="Q1972" s="4">
        <f t="shared" si="501"/>
        <v>12</v>
      </c>
      <c r="R1972" s="4">
        <f t="shared" si="502"/>
        <v>29</v>
      </c>
      <c r="S1972" s="102">
        <f t="shared" si="503"/>
        <v>23</v>
      </c>
      <c r="U1972" s="101">
        <f t="shared" si="504"/>
        <v>39</v>
      </c>
      <c r="V1972" s="4">
        <f t="shared" si="505"/>
        <v>39</v>
      </c>
      <c r="W1972" s="4">
        <f t="shared" si="506"/>
        <v>9</v>
      </c>
      <c r="X1972" s="4">
        <f t="shared" si="507"/>
        <v>41</v>
      </c>
      <c r="Y1972" s="4">
        <f t="shared" si="508"/>
        <v>9</v>
      </c>
      <c r="Z1972" s="4">
        <f t="shared" si="509"/>
        <v>41</v>
      </c>
      <c r="AA1972" s="102">
        <f t="shared" si="510"/>
        <v>39</v>
      </c>
      <c r="AC1972" s="100">
        <f t="shared" si="511"/>
        <v>0.94100439254913493</v>
      </c>
    </row>
    <row r="1973" spans="4:29" x14ac:dyDescent="0.35">
      <c r="D1973">
        <f t="shared" si="512"/>
        <v>1969</v>
      </c>
      <c r="E1973" s="101">
        <v>5</v>
      </c>
      <c r="F1973" s="4">
        <v>4</v>
      </c>
      <c r="G1973" s="4">
        <v>7</v>
      </c>
      <c r="H1973" s="4">
        <v>3</v>
      </c>
      <c r="I1973" s="4">
        <v>2</v>
      </c>
      <c r="J1973" s="4">
        <v>7</v>
      </c>
      <c r="K1973" s="102">
        <v>6</v>
      </c>
      <c r="M1973" s="101">
        <f t="shared" si="497"/>
        <v>30</v>
      </c>
      <c r="N1973" s="4">
        <f t="shared" si="498"/>
        <v>12</v>
      </c>
      <c r="O1973" s="4">
        <f t="shared" si="499"/>
        <v>29</v>
      </c>
      <c r="P1973" s="4">
        <f t="shared" si="500"/>
        <v>23</v>
      </c>
      <c r="Q1973" s="4">
        <f t="shared" si="501"/>
        <v>56</v>
      </c>
      <c r="R1973" s="4">
        <f t="shared" si="502"/>
        <v>29</v>
      </c>
      <c r="S1973" s="102">
        <f t="shared" si="503"/>
        <v>45</v>
      </c>
      <c r="U1973" s="101">
        <f t="shared" si="504"/>
        <v>39</v>
      </c>
      <c r="V1973" s="4">
        <f t="shared" si="505"/>
        <v>9</v>
      </c>
      <c r="W1973" s="4">
        <f t="shared" si="506"/>
        <v>41</v>
      </c>
      <c r="X1973" s="4">
        <f t="shared" si="507"/>
        <v>39</v>
      </c>
      <c r="Y1973" s="4">
        <f t="shared" si="508"/>
        <v>78</v>
      </c>
      <c r="Z1973" s="4">
        <f t="shared" si="509"/>
        <v>41</v>
      </c>
      <c r="AA1973" s="102">
        <f t="shared" si="510"/>
        <v>71</v>
      </c>
      <c r="AC1973" s="100">
        <f t="shared" si="511"/>
        <v>0.97632814590635097</v>
      </c>
    </row>
    <row r="1974" spans="4:29" x14ac:dyDescent="0.35">
      <c r="D1974">
        <f t="shared" si="512"/>
        <v>1970</v>
      </c>
      <c r="E1974" s="101">
        <v>5</v>
      </c>
      <c r="F1974" s="4">
        <v>7</v>
      </c>
      <c r="G1974" s="4">
        <v>2</v>
      </c>
      <c r="H1974" s="4">
        <v>7</v>
      </c>
      <c r="I1974" s="4">
        <v>2</v>
      </c>
      <c r="J1974" s="4">
        <v>5</v>
      </c>
      <c r="K1974" s="102">
        <v>5</v>
      </c>
      <c r="M1974" s="101">
        <f t="shared" si="497"/>
        <v>30</v>
      </c>
      <c r="N1974" s="4">
        <f t="shared" si="498"/>
        <v>29</v>
      </c>
      <c r="O1974" s="4">
        <f t="shared" si="499"/>
        <v>56</v>
      </c>
      <c r="P1974" s="4">
        <f t="shared" si="500"/>
        <v>29</v>
      </c>
      <c r="Q1974" s="4">
        <f t="shared" si="501"/>
        <v>56</v>
      </c>
      <c r="R1974" s="4">
        <f t="shared" si="502"/>
        <v>30</v>
      </c>
      <c r="S1974" s="102">
        <f t="shared" si="503"/>
        <v>30</v>
      </c>
      <c r="U1974" s="101">
        <f t="shared" si="504"/>
        <v>39</v>
      </c>
      <c r="V1974" s="4">
        <f t="shared" si="505"/>
        <v>41</v>
      </c>
      <c r="W1974" s="4">
        <f t="shared" si="506"/>
        <v>78</v>
      </c>
      <c r="X1974" s="4">
        <f t="shared" si="507"/>
        <v>41</v>
      </c>
      <c r="Y1974" s="4">
        <f t="shared" si="508"/>
        <v>78</v>
      </c>
      <c r="Z1974" s="4">
        <f t="shared" si="509"/>
        <v>39</v>
      </c>
      <c r="AA1974" s="102">
        <f t="shared" si="510"/>
        <v>39</v>
      </c>
      <c r="AC1974" s="100">
        <f t="shared" si="511"/>
        <v>0.99658636222149999</v>
      </c>
    </row>
    <row r="1975" spans="4:29" x14ac:dyDescent="0.35">
      <c r="D1975">
        <f t="shared" si="512"/>
        <v>1971</v>
      </c>
      <c r="E1975" s="101">
        <v>6</v>
      </c>
      <c r="F1975" s="4">
        <v>3</v>
      </c>
      <c r="G1975" s="4">
        <v>4</v>
      </c>
      <c r="H1975" s="4">
        <v>2</v>
      </c>
      <c r="I1975" s="4">
        <v>4</v>
      </c>
      <c r="J1975" s="4">
        <v>1</v>
      </c>
      <c r="K1975" s="102">
        <v>1</v>
      </c>
      <c r="M1975" s="101">
        <f t="shared" si="497"/>
        <v>45</v>
      </c>
      <c r="N1975" s="4">
        <f t="shared" si="498"/>
        <v>23</v>
      </c>
      <c r="O1975" s="4">
        <f t="shared" si="499"/>
        <v>12</v>
      </c>
      <c r="P1975" s="4">
        <f t="shared" si="500"/>
        <v>56</v>
      </c>
      <c r="Q1975" s="4">
        <f t="shared" si="501"/>
        <v>12</v>
      </c>
      <c r="R1975" s="4">
        <f t="shared" si="502"/>
        <v>34</v>
      </c>
      <c r="S1975" s="102">
        <f t="shared" si="503"/>
        <v>34</v>
      </c>
      <c r="U1975" s="101">
        <f t="shared" si="504"/>
        <v>71</v>
      </c>
      <c r="V1975" s="4">
        <f t="shared" si="505"/>
        <v>39</v>
      </c>
      <c r="W1975" s="4">
        <f t="shared" si="506"/>
        <v>9</v>
      </c>
      <c r="X1975" s="4">
        <f t="shared" si="507"/>
        <v>78</v>
      </c>
      <c r="Y1975" s="4">
        <f t="shared" si="508"/>
        <v>9</v>
      </c>
      <c r="Z1975" s="4">
        <f t="shared" si="509"/>
        <v>46</v>
      </c>
      <c r="AA1975" s="102">
        <f t="shared" si="510"/>
        <v>46</v>
      </c>
      <c r="AC1975" s="100">
        <f t="shared" si="511"/>
        <v>0.98076549627803611</v>
      </c>
    </row>
    <row r="1976" spans="4:29" x14ac:dyDescent="0.35">
      <c r="D1976">
        <f t="shared" si="512"/>
        <v>1972</v>
      </c>
      <c r="E1976" s="101">
        <v>4</v>
      </c>
      <c r="F1976" s="4">
        <v>5</v>
      </c>
      <c r="G1976" s="4">
        <v>1</v>
      </c>
      <c r="H1976" s="4">
        <v>7</v>
      </c>
      <c r="I1976" s="4">
        <v>7</v>
      </c>
      <c r="J1976" s="4">
        <v>7</v>
      </c>
      <c r="K1976" s="102">
        <v>5</v>
      </c>
      <c r="M1976" s="101">
        <f t="shared" si="497"/>
        <v>12</v>
      </c>
      <c r="N1976" s="4">
        <f t="shared" si="498"/>
        <v>30</v>
      </c>
      <c r="O1976" s="4">
        <f t="shared" si="499"/>
        <v>34</v>
      </c>
      <c r="P1976" s="4">
        <f t="shared" si="500"/>
        <v>29</v>
      </c>
      <c r="Q1976" s="4">
        <f t="shared" si="501"/>
        <v>29</v>
      </c>
      <c r="R1976" s="4">
        <f t="shared" si="502"/>
        <v>29</v>
      </c>
      <c r="S1976" s="102">
        <f t="shared" si="503"/>
        <v>30</v>
      </c>
      <c r="U1976" s="101">
        <f t="shared" si="504"/>
        <v>9</v>
      </c>
      <c r="V1976" s="4">
        <f t="shared" si="505"/>
        <v>39</v>
      </c>
      <c r="W1976" s="4">
        <f t="shared" si="506"/>
        <v>46</v>
      </c>
      <c r="X1976" s="4">
        <f t="shared" si="507"/>
        <v>41</v>
      </c>
      <c r="Y1976" s="4">
        <f t="shared" si="508"/>
        <v>41</v>
      </c>
      <c r="Z1976" s="4">
        <f t="shared" si="509"/>
        <v>41</v>
      </c>
      <c r="AA1976" s="102">
        <f t="shared" si="510"/>
        <v>39</v>
      </c>
      <c r="AC1976" s="100">
        <f t="shared" si="511"/>
        <v>0.98849639442492176</v>
      </c>
    </row>
    <row r="1977" spans="4:29" x14ac:dyDescent="0.35">
      <c r="D1977">
        <f t="shared" si="512"/>
        <v>1973</v>
      </c>
      <c r="E1977" s="101">
        <v>7</v>
      </c>
      <c r="F1977" s="4">
        <v>5</v>
      </c>
      <c r="G1977" s="4">
        <v>1</v>
      </c>
      <c r="H1977" s="4">
        <v>2</v>
      </c>
      <c r="I1977" s="4">
        <v>5</v>
      </c>
      <c r="J1977" s="4">
        <v>2</v>
      </c>
      <c r="K1977" s="102">
        <v>5</v>
      </c>
      <c r="M1977" s="101">
        <f t="shared" si="497"/>
        <v>29</v>
      </c>
      <c r="N1977" s="4">
        <f t="shared" si="498"/>
        <v>30</v>
      </c>
      <c r="O1977" s="4">
        <f t="shared" si="499"/>
        <v>34</v>
      </c>
      <c r="P1977" s="4">
        <f t="shared" si="500"/>
        <v>56</v>
      </c>
      <c r="Q1977" s="4">
        <f t="shared" si="501"/>
        <v>30</v>
      </c>
      <c r="R1977" s="4">
        <f t="shared" si="502"/>
        <v>56</v>
      </c>
      <c r="S1977" s="102">
        <f t="shared" si="503"/>
        <v>30</v>
      </c>
      <c r="U1977" s="101">
        <f t="shared" si="504"/>
        <v>41</v>
      </c>
      <c r="V1977" s="4">
        <f t="shared" si="505"/>
        <v>39</v>
      </c>
      <c r="W1977" s="4">
        <f t="shared" si="506"/>
        <v>46</v>
      </c>
      <c r="X1977" s="4">
        <f t="shared" si="507"/>
        <v>78</v>
      </c>
      <c r="Y1977" s="4">
        <f t="shared" si="508"/>
        <v>39</v>
      </c>
      <c r="Z1977" s="4">
        <f t="shared" si="509"/>
        <v>78</v>
      </c>
      <c r="AA1977" s="102">
        <f t="shared" si="510"/>
        <v>39</v>
      </c>
      <c r="AC1977" s="100">
        <f t="shared" si="511"/>
        <v>0.99774783197238737</v>
      </c>
    </row>
    <row r="1978" spans="4:29" x14ac:dyDescent="0.35">
      <c r="D1978">
        <f t="shared" si="512"/>
        <v>1974</v>
      </c>
      <c r="E1978" s="101">
        <v>5</v>
      </c>
      <c r="F1978" s="4">
        <v>2</v>
      </c>
      <c r="G1978" s="4">
        <v>6</v>
      </c>
      <c r="H1978" s="4">
        <v>1</v>
      </c>
      <c r="I1978" s="4">
        <v>7</v>
      </c>
      <c r="J1978" s="4">
        <v>4</v>
      </c>
      <c r="K1978" s="102">
        <v>1</v>
      </c>
      <c r="M1978" s="101">
        <f t="shared" si="497"/>
        <v>30</v>
      </c>
      <c r="N1978" s="4">
        <f t="shared" si="498"/>
        <v>56</v>
      </c>
      <c r="O1978" s="4">
        <f t="shared" si="499"/>
        <v>45</v>
      </c>
      <c r="P1978" s="4">
        <f t="shared" si="500"/>
        <v>34</v>
      </c>
      <c r="Q1978" s="4">
        <f t="shared" si="501"/>
        <v>29</v>
      </c>
      <c r="R1978" s="4">
        <f t="shared" si="502"/>
        <v>12</v>
      </c>
      <c r="S1978" s="102">
        <f t="shared" si="503"/>
        <v>34</v>
      </c>
      <c r="U1978" s="101">
        <f t="shared" si="504"/>
        <v>39</v>
      </c>
      <c r="V1978" s="4">
        <f t="shared" si="505"/>
        <v>78</v>
      </c>
      <c r="W1978" s="4">
        <f t="shared" si="506"/>
        <v>71</v>
      </c>
      <c r="X1978" s="4">
        <f t="shared" si="507"/>
        <v>46</v>
      </c>
      <c r="Y1978" s="4">
        <f t="shared" si="508"/>
        <v>41</v>
      </c>
      <c r="Z1978" s="4">
        <f t="shared" si="509"/>
        <v>9</v>
      </c>
      <c r="AA1978" s="102">
        <f t="shared" si="510"/>
        <v>46</v>
      </c>
      <c r="AC1978" s="100">
        <f t="shared" si="511"/>
        <v>0.98806959558599994</v>
      </c>
    </row>
    <row r="1979" spans="4:29" x14ac:dyDescent="0.35">
      <c r="D1979">
        <f t="shared" si="512"/>
        <v>1975</v>
      </c>
      <c r="E1979" s="101">
        <v>6</v>
      </c>
      <c r="F1979" s="4">
        <v>2</v>
      </c>
      <c r="G1979" s="4">
        <v>2</v>
      </c>
      <c r="H1979" s="4">
        <v>7</v>
      </c>
      <c r="I1979" s="4">
        <v>5</v>
      </c>
      <c r="J1979" s="4">
        <v>5</v>
      </c>
      <c r="K1979" s="102">
        <v>5</v>
      </c>
      <c r="M1979" s="101">
        <f t="shared" si="497"/>
        <v>45</v>
      </c>
      <c r="N1979" s="4">
        <f t="shared" si="498"/>
        <v>56</v>
      </c>
      <c r="O1979" s="4">
        <f t="shared" si="499"/>
        <v>56</v>
      </c>
      <c r="P1979" s="4">
        <f t="shared" si="500"/>
        <v>29</v>
      </c>
      <c r="Q1979" s="4">
        <f t="shared" si="501"/>
        <v>30</v>
      </c>
      <c r="R1979" s="4">
        <f t="shared" si="502"/>
        <v>30</v>
      </c>
      <c r="S1979" s="102">
        <f t="shared" si="503"/>
        <v>30</v>
      </c>
      <c r="U1979" s="101">
        <f t="shared" si="504"/>
        <v>71</v>
      </c>
      <c r="V1979" s="4">
        <f t="shared" si="505"/>
        <v>78</v>
      </c>
      <c r="W1979" s="4">
        <f t="shared" si="506"/>
        <v>78</v>
      </c>
      <c r="X1979" s="4">
        <f t="shared" si="507"/>
        <v>41</v>
      </c>
      <c r="Y1979" s="4">
        <f t="shared" si="508"/>
        <v>39</v>
      </c>
      <c r="Z1979" s="4">
        <f t="shared" si="509"/>
        <v>39</v>
      </c>
      <c r="AA1979" s="102">
        <f t="shared" si="510"/>
        <v>39</v>
      </c>
      <c r="AC1979" s="100">
        <f t="shared" si="511"/>
        <v>0.98271391020843091</v>
      </c>
    </row>
    <row r="1980" spans="4:29" x14ac:dyDescent="0.35">
      <c r="D1980">
        <f t="shared" si="512"/>
        <v>1976</v>
      </c>
      <c r="E1980" s="101">
        <v>7</v>
      </c>
      <c r="F1980" s="4">
        <v>3</v>
      </c>
      <c r="G1980" s="4">
        <v>5</v>
      </c>
      <c r="H1980" s="4">
        <v>5</v>
      </c>
      <c r="I1980" s="4">
        <v>7</v>
      </c>
      <c r="J1980" s="4">
        <v>7</v>
      </c>
      <c r="K1980" s="102">
        <v>6</v>
      </c>
      <c r="M1980" s="101">
        <f t="shared" si="497"/>
        <v>29</v>
      </c>
      <c r="N1980" s="4">
        <f t="shared" si="498"/>
        <v>23</v>
      </c>
      <c r="O1980" s="4">
        <f t="shared" si="499"/>
        <v>30</v>
      </c>
      <c r="P1980" s="4">
        <f t="shared" si="500"/>
        <v>30</v>
      </c>
      <c r="Q1980" s="4">
        <f t="shared" si="501"/>
        <v>29</v>
      </c>
      <c r="R1980" s="4">
        <f t="shared" si="502"/>
        <v>29</v>
      </c>
      <c r="S1980" s="102">
        <f t="shared" si="503"/>
        <v>45</v>
      </c>
      <c r="U1980" s="101">
        <f t="shared" si="504"/>
        <v>41</v>
      </c>
      <c r="V1980" s="4">
        <f t="shared" si="505"/>
        <v>39</v>
      </c>
      <c r="W1980" s="4">
        <f t="shared" si="506"/>
        <v>39</v>
      </c>
      <c r="X1980" s="4">
        <f t="shared" si="507"/>
        <v>39</v>
      </c>
      <c r="Y1980" s="4">
        <f t="shared" si="508"/>
        <v>41</v>
      </c>
      <c r="Z1980" s="4">
        <f t="shared" si="509"/>
        <v>41</v>
      </c>
      <c r="AA1980" s="102">
        <f t="shared" si="510"/>
        <v>71</v>
      </c>
      <c r="AC1980" s="100">
        <f t="shared" si="511"/>
        <v>0.93817201437507358</v>
      </c>
    </row>
    <row r="1981" spans="4:29" x14ac:dyDescent="0.35">
      <c r="D1981">
        <f t="shared" si="512"/>
        <v>1977</v>
      </c>
      <c r="E1981" s="101">
        <v>3</v>
      </c>
      <c r="F1981" s="4">
        <v>3</v>
      </c>
      <c r="G1981" s="4">
        <v>7</v>
      </c>
      <c r="H1981" s="4">
        <v>2</v>
      </c>
      <c r="I1981" s="4">
        <v>2</v>
      </c>
      <c r="J1981" s="4">
        <v>3</v>
      </c>
      <c r="K1981" s="102">
        <v>2</v>
      </c>
      <c r="M1981" s="101">
        <f t="shared" si="497"/>
        <v>23</v>
      </c>
      <c r="N1981" s="4">
        <f t="shared" si="498"/>
        <v>23</v>
      </c>
      <c r="O1981" s="4">
        <f t="shared" si="499"/>
        <v>29</v>
      </c>
      <c r="P1981" s="4">
        <f t="shared" si="500"/>
        <v>56</v>
      </c>
      <c r="Q1981" s="4">
        <f t="shared" si="501"/>
        <v>56</v>
      </c>
      <c r="R1981" s="4">
        <f t="shared" si="502"/>
        <v>23</v>
      </c>
      <c r="S1981" s="102">
        <f t="shared" si="503"/>
        <v>56</v>
      </c>
      <c r="U1981" s="101">
        <f t="shared" si="504"/>
        <v>39</v>
      </c>
      <c r="V1981" s="4">
        <f t="shared" si="505"/>
        <v>39</v>
      </c>
      <c r="W1981" s="4">
        <f t="shared" si="506"/>
        <v>41</v>
      </c>
      <c r="X1981" s="4">
        <f t="shared" si="507"/>
        <v>78</v>
      </c>
      <c r="Y1981" s="4">
        <f t="shared" si="508"/>
        <v>78</v>
      </c>
      <c r="Z1981" s="4">
        <f t="shared" si="509"/>
        <v>39</v>
      </c>
      <c r="AA1981" s="102">
        <f t="shared" si="510"/>
        <v>78</v>
      </c>
      <c r="AC1981" s="100">
        <f t="shared" si="511"/>
        <v>0.99586408862799536</v>
      </c>
    </row>
    <row r="1982" spans="4:29" x14ac:dyDescent="0.35">
      <c r="D1982">
        <f t="shared" si="512"/>
        <v>1978</v>
      </c>
      <c r="E1982" s="101">
        <v>6</v>
      </c>
      <c r="F1982" s="4">
        <v>5</v>
      </c>
      <c r="G1982" s="4">
        <v>4</v>
      </c>
      <c r="H1982" s="4">
        <v>4</v>
      </c>
      <c r="I1982" s="4">
        <v>3</v>
      </c>
      <c r="J1982" s="4">
        <v>4</v>
      </c>
      <c r="K1982" s="102">
        <v>2</v>
      </c>
      <c r="M1982" s="101">
        <f t="shared" si="497"/>
        <v>45</v>
      </c>
      <c r="N1982" s="4">
        <f t="shared" si="498"/>
        <v>30</v>
      </c>
      <c r="O1982" s="4">
        <f t="shared" si="499"/>
        <v>12</v>
      </c>
      <c r="P1982" s="4">
        <f t="shared" si="500"/>
        <v>12</v>
      </c>
      <c r="Q1982" s="4">
        <f t="shared" si="501"/>
        <v>23</v>
      </c>
      <c r="R1982" s="4">
        <f t="shared" si="502"/>
        <v>12</v>
      </c>
      <c r="S1982" s="102">
        <f t="shared" si="503"/>
        <v>56</v>
      </c>
      <c r="U1982" s="101">
        <f t="shared" si="504"/>
        <v>71</v>
      </c>
      <c r="V1982" s="4">
        <f t="shared" si="505"/>
        <v>39</v>
      </c>
      <c r="W1982" s="4">
        <f t="shared" si="506"/>
        <v>9</v>
      </c>
      <c r="X1982" s="4">
        <f t="shared" si="507"/>
        <v>9</v>
      </c>
      <c r="Y1982" s="4">
        <f t="shared" si="508"/>
        <v>39</v>
      </c>
      <c r="Z1982" s="4">
        <f t="shared" si="509"/>
        <v>9</v>
      </c>
      <c r="AA1982" s="102">
        <f t="shared" si="510"/>
        <v>78</v>
      </c>
      <c r="AC1982" s="100">
        <f t="shared" si="511"/>
        <v>0.9831754114655793</v>
      </c>
    </row>
    <row r="1983" spans="4:29" x14ac:dyDescent="0.35">
      <c r="D1983">
        <f t="shared" si="512"/>
        <v>1979</v>
      </c>
      <c r="E1983" s="101">
        <v>6</v>
      </c>
      <c r="F1983" s="4">
        <v>5</v>
      </c>
      <c r="G1983" s="4">
        <v>2</v>
      </c>
      <c r="H1983" s="4">
        <v>5</v>
      </c>
      <c r="I1983" s="4">
        <v>2</v>
      </c>
      <c r="J1983" s="4">
        <v>2</v>
      </c>
      <c r="K1983" s="102">
        <v>1</v>
      </c>
      <c r="M1983" s="101">
        <f t="shared" si="497"/>
        <v>45</v>
      </c>
      <c r="N1983" s="4">
        <f t="shared" si="498"/>
        <v>30</v>
      </c>
      <c r="O1983" s="4">
        <f t="shared" si="499"/>
        <v>56</v>
      </c>
      <c r="P1983" s="4">
        <f t="shared" si="500"/>
        <v>30</v>
      </c>
      <c r="Q1983" s="4">
        <f t="shared" si="501"/>
        <v>56</v>
      </c>
      <c r="R1983" s="4">
        <f t="shared" si="502"/>
        <v>56</v>
      </c>
      <c r="S1983" s="102">
        <f t="shared" si="503"/>
        <v>34</v>
      </c>
      <c r="U1983" s="101">
        <f t="shared" si="504"/>
        <v>71</v>
      </c>
      <c r="V1983" s="4">
        <f t="shared" si="505"/>
        <v>39</v>
      </c>
      <c r="W1983" s="4">
        <f t="shared" si="506"/>
        <v>78</v>
      </c>
      <c r="X1983" s="4">
        <f t="shared" si="507"/>
        <v>39</v>
      </c>
      <c r="Y1983" s="4">
        <f t="shared" si="508"/>
        <v>78</v>
      </c>
      <c r="Z1983" s="4">
        <f t="shared" si="509"/>
        <v>78</v>
      </c>
      <c r="AA1983" s="102">
        <f t="shared" si="510"/>
        <v>46</v>
      </c>
      <c r="AC1983" s="100">
        <f t="shared" si="511"/>
        <v>0.98236324623229898</v>
      </c>
    </row>
    <row r="1984" spans="4:29" x14ac:dyDescent="0.35">
      <c r="D1984">
        <f t="shared" si="512"/>
        <v>1980</v>
      </c>
      <c r="E1984" s="101">
        <v>4</v>
      </c>
      <c r="F1984" s="4">
        <v>3</v>
      </c>
      <c r="G1984" s="4">
        <v>2</v>
      </c>
      <c r="H1984" s="4">
        <v>4</v>
      </c>
      <c r="I1984" s="4">
        <v>3</v>
      </c>
      <c r="J1984" s="4">
        <v>2</v>
      </c>
      <c r="K1984" s="102">
        <v>6</v>
      </c>
      <c r="M1984" s="101">
        <f t="shared" si="497"/>
        <v>12</v>
      </c>
      <c r="N1984" s="4">
        <f t="shared" si="498"/>
        <v>23</v>
      </c>
      <c r="O1984" s="4">
        <f t="shared" si="499"/>
        <v>56</v>
      </c>
      <c r="P1984" s="4">
        <f t="shared" si="500"/>
        <v>12</v>
      </c>
      <c r="Q1984" s="4">
        <f t="shared" si="501"/>
        <v>23</v>
      </c>
      <c r="R1984" s="4">
        <f t="shared" si="502"/>
        <v>56</v>
      </c>
      <c r="S1984" s="102">
        <f t="shared" si="503"/>
        <v>45</v>
      </c>
      <c r="U1984" s="101">
        <f t="shared" si="504"/>
        <v>9</v>
      </c>
      <c r="V1984" s="4">
        <f t="shared" si="505"/>
        <v>39</v>
      </c>
      <c r="W1984" s="4">
        <f t="shared" si="506"/>
        <v>78</v>
      </c>
      <c r="X1984" s="4">
        <f t="shared" si="507"/>
        <v>9</v>
      </c>
      <c r="Y1984" s="4">
        <f t="shared" si="508"/>
        <v>39</v>
      </c>
      <c r="Z1984" s="4">
        <f t="shared" si="509"/>
        <v>78</v>
      </c>
      <c r="AA1984" s="102">
        <f t="shared" si="510"/>
        <v>71</v>
      </c>
      <c r="AC1984" s="100">
        <f t="shared" si="511"/>
        <v>0.97777463625386063</v>
      </c>
    </row>
    <row r="1985" spans="4:29" x14ac:dyDescent="0.35">
      <c r="D1985">
        <f t="shared" si="512"/>
        <v>1981</v>
      </c>
      <c r="E1985" s="101">
        <v>1</v>
      </c>
      <c r="F1985" s="4">
        <v>4</v>
      </c>
      <c r="G1985" s="4">
        <v>6</v>
      </c>
      <c r="H1985" s="4">
        <v>2</v>
      </c>
      <c r="I1985" s="4">
        <v>4</v>
      </c>
      <c r="J1985" s="4">
        <v>5</v>
      </c>
      <c r="K1985" s="102">
        <v>5</v>
      </c>
      <c r="M1985" s="101">
        <f t="shared" si="497"/>
        <v>34</v>
      </c>
      <c r="N1985" s="4">
        <f t="shared" si="498"/>
        <v>12</v>
      </c>
      <c r="O1985" s="4">
        <f t="shared" si="499"/>
        <v>45</v>
      </c>
      <c r="P1985" s="4">
        <f t="shared" si="500"/>
        <v>56</v>
      </c>
      <c r="Q1985" s="4">
        <f t="shared" si="501"/>
        <v>12</v>
      </c>
      <c r="R1985" s="4">
        <f t="shared" si="502"/>
        <v>30</v>
      </c>
      <c r="S1985" s="102">
        <f t="shared" si="503"/>
        <v>30</v>
      </c>
      <c r="U1985" s="101">
        <f t="shared" si="504"/>
        <v>46</v>
      </c>
      <c r="V1985" s="4">
        <f t="shared" si="505"/>
        <v>9</v>
      </c>
      <c r="W1985" s="4">
        <f t="shared" si="506"/>
        <v>71</v>
      </c>
      <c r="X1985" s="4">
        <f t="shared" si="507"/>
        <v>78</v>
      </c>
      <c r="Y1985" s="4">
        <f t="shared" si="508"/>
        <v>9</v>
      </c>
      <c r="Z1985" s="4">
        <f t="shared" si="509"/>
        <v>39</v>
      </c>
      <c r="AA1985" s="102">
        <f t="shared" si="510"/>
        <v>39</v>
      </c>
      <c r="AC1985" s="100">
        <f t="shared" si="511"/>
        <v>0.99231862407383942</v>
      </c>
    </row>
    <row r="1986" spans="4:29" x14ac:dyDescent="0.35">
      <c r="D1986">
        <f t="shared" si="512"/>
        <v>1982</v>
      </c>
      <c r="E1986" s="101">
        <v>4</v>
      </c>
      <c r="F1986" s="4">
        <v>2</v>
      </c>
      <c r="G1986" s="4">
        <v>6</v>
      </c>
      <c r="H1986" s="4">
        <v>6</v>
      </c>
      <c r="I1986" s="4">
        <v>4</v>
      </c>
      <c r="J1986" s="4">
        <v>6</v>
      </c>
      <c r="K1986" s="102">
        <v>5</v>
      </c>
      <c r="M1986" s="101">
        <f t="shared" si="497"/>
        <v>12</v>
      </c>
      <c r="N1986" s="4">
        <f t="shared" si="498"/>
        <v>56</v>
      </c>
      <c r="O1986" s="4">
        <f t="shared" si="499"/>
        <v>45</v>
      </c>
      <c r="P1986" s="4">
        <f t="shared" si="500"/>
        <v>45</v>
      </c>
      <c r="Q1986" s="4">
        <f t="shared" si="501"/>
        <v>12</v>
      </c>
      <c r="R1986" s="4">
        <f t="shared" si="502"/>
        <v>45</v>
      </c>
      <c r="S1986" s="102">
        <f t="shared" si="503"/>
        <v>30</v>
      </c>
      <c r="U1986" s="101">
        <f t="shared" si="504"/>
        <v>9</v>
      </c>
      <c r="V1986" s="4">
        <f t="shared" si="505"/>
        <v>78</v>
      </c>
      <c r="W1986" s="4">
        <f t="shared" si="506"/>
        <v>71</v>
      </c>
      <c r="X1986" s="4">
        <f t="shared" si="507"/>
        <v>71</v>
      </c>
      <c r="Y1986" s="4">
        <f t="shared" si="508"/>
        <v>9</v>
      </c>
      <c r="Z1986" s="4">
        <f t="shared" si="509"/>
        <v>71</v>
      </c>
      <c r="AA1986" s="102">
        <f t="shared" si="510"/>
        <v>39</v>
      </c>
      <c r="AC1986" s="100">
        <f t="shared" si="511"/>
        <v>0.98935807693367595</v>
      </c>
    </row>
    <row r="1987" spans="4:29" x14ac:dyDescent="0.35">
      <c r="D1987">
        <f t="shared" si="512"/>
        <v>1983</v>
      </c>
      <c r="E1987" s="101">
        <v>6</v>
      </c>
      <c r="F1987" s="4">
        <v>3</v>
      </c>
      <c r="G1987" s="4">
        <v>7</v>
      </c>
      <c r="H1987" s="4">
        <v>3</v>
      </c>
      <c r="I1987" s="4">
        <v>5</v>
      </c>
      <c r="J1987" s="4">
        <v>4</v>
      </c>
      <c r="K1987" s="102">
        <v>2</v>
      </c>
      <c r="M1987" s="101">
        <f t="shared" si="497"/>
        <v>45</v>
      </c>
      <c r="N1987" s="4">
        <f t="shared" si="498"/>
        <v>23</v>
      </c>
      <c r="O1987" s="4">
        <f t="shared" si="499"/>
        <v>29</v>
      </c>
      <c r="P1987" s="4">
        <f t="shared" si="500"/>
        <v>23</v>
      </c>
      <c r="Q1987" s="4">
        <f t="shared" si="501"/>
        <v>30</v>
      </c>
      <c r="R1987" s="4">
        <f t="shared" si="502"/>
        <v>12</v>
      </c>
      <c r="S1987" s="102">
        <f t="shared" si="503"/>
        <v>56</v>
      </c>
      <c r="U1987" s="101">
        <f t="shared" si="504"/>
        <v>71</v>
      </c>
      <c r="V1987" s="4">
        <f t="shared" si="505"/>
        <v>39</v>
      </c>
      <c r="W1987" s="4">
        <f t="shared" si="506"/>
        <v>41</v>
      </c>
      <c r="X1987" s="4">
        <f t="shared" si="507"/>
        <v>39</v>
      </c>
      <c r="Y1987" s="4">
        <f t="shared" si="508"/>
        <v>39</v>
      </c>
      <c r="Z1987" s="4">
        <f t="shared" si="509"/>
        <v>9</v>
      </c>
      <c r="AA1987" s="102">
        <f t="shared" si="510"/>
        <v>78</v>
      </c>
      <c r="AC1987" s="100">
        <f t="shared" si="511"/>
        <v>0.96896293074172468</v>
      </c>
    </row>
    <row r="1988" spans="4:29" x14ac:dyDescent="0.35">
      <c r="D1988">
        <f t="shared" si="512"/>
        <v>1984</v>
      </c>
      <c r="E1988" s="101">
        <v>6</v>
      </c>
      <c r="F1988" s="4">
        <v>4</v>
      </c>
      <c r="G1988" s="4">
        <v>5</v>
      </c>
      <c r="H1988" s="4">
        <v>4</v>
      </c>
      <c r="I1988" s="4">
        <v>4</v>
      </c>
      <c r="J1988" s="4">
        <v>1</v>
      </c>
      <c r="K1988" s="102">
        <v>7</v>
      </c>
      <c r="M1988" s="101">
        <f t="shared" si="497"/>
        <v>45</v>
      </c>
      <c r="N1988" s="4">
        <f t="shared" si="498"/>
        <v>12</v>
      </c>
      <c r="O1988" s="4">
        <f t="shared" si="499"/>
        <v>30</v>
      </c>
      <c r="P1988" s="4">
        <f t="shared" si="500"/>
        <v>12</v>
      </c>
      <c r="Q1988" s="4">
        <f t="shared" si="501"/>
        <v>12</v>
      </c>
      <c r="R1988" s="4">
        <f t="shared" si="502"/>
        <v>34</v>
      </c>
      <c r="S1988" s="102">
        <f t="shared" si="503"/>
        <v>29</v>
      </c>
      <c r="U1988" s="101">
        <f t="shared" si="504"/>
        <v>71</v>
      </c>
      <c r="V1988" s="4">
        <f t="shared" si="505"/>
        <v>9</v>
      </c>
      <c r="W1988" s="4">
        <f t="shared" si="506"/>
        <v>39</v>
      </c>
      <c r="X1988" s="4">
        <f t="shared" si="507"/>
        <v>9</v>
      </c>
      <c r="Y1988" s="4">
        <f t="shared" si="508"/>
        <v>9</v>
      </c>
      <c r="Z1988" s="4">
        <f t="shared" si="509"/>
        <v>46</v>
      </c>
      <c r="AA1988" s="102">
        <f t="shared" si="510"/>
        <v>41</v>
      </c>
      <c r="AC1988" s="100">
        <f t="shared" si="511"/>
        <v>0.99699252603067701</v>
      </c>
    </row>
    <row r="1989" spans="4:29" x14ac:dyDescent="0.35">
      <c r="D1989">
        <f t="shared" si="512"/>
        <v>1985</v>
      </c>
      <c r="E1989" s="101">
        <v>1</v>
      </c>
      <c r="F1989" s="4">
        <v>3</v>
      </c>
      <c r="G1989" s="4">
        <v>5</v>
      </c>
      <c r="H1989" s="4">
        <v>5</v>
      </c>
      <c r="I1989" s="4">
        <v>3</v>
      </c>
      <c r="J1989" s="4">
        <v>5</v>
      </c>
      <c r="K1989" s="102">
        <v>4</v>
      </c>
      <c r="M1989" s="101">
        <f t="shared" si="497"/>
        <v>34</v>
      </c>
      <c r="N1989" s="4">
        <f t="shared" si="498"/>
        <v>23</v>
      </c>
      <c r="O1989" s="4">
        <f t="shared" si="499"/>
        <v>30</v>
      </c>
      <c r="P1989" s="4">
        <f t="shared" si="500"/>
        <v>30</v>
      </c>
      <c r="Q1989" s="4">
        <f t="shared" si="501"/>
        <v>23</v>
      </c>
      <c r="R1989" s="4">
        <f t="shared" si="502"/>
        <v>30</v>
      </c>
      <c r="S1989" s="102">
        <f t="shared" si="503"/>
        <v>12</v>
      </c>
      <c r="U1989" s="101">
        <f t="shared" si="504"/>
        <v>46</v>
      </c>
      <c r="V1989" s="4">
        <f t="shared" si="505"/>
        <v>39</v>
      </c>
      <c r="W1989" s="4">
        <f t="shared" si="506"/>
        <v>39</v>
      </c>
      <c r="X1989" s="4">
        <f t="shared" si="507"/>
        <v>39</v>
      </c>
      <c r="Y1989" s="4">
        <f t="shared" si="508"/>
        <v>39</v>
      </c>
      <c r="Z1989" s="4">
        <f t="shared" si="509"/>
        <v>39</v>
      </c>
      <c r="AA1989" s="102">
        <f t="shared" si="510"/>
        <v>9</v>
      </c>
      <c r="AC1989" s="100">
        <f t="shared" si="511"/>
        <v>0.89204025976971513</v>
      </c>
    </row>
    <row r="1990" spans="4:29" x14ac:dyDescent="0.35">
      <c r="D1990">
        <f t="shared" si="512"/>
        <v>1986</v>
      </c>
      <c r="E1990" s="101">
        <v>1</v>
      </c>
      <c r="F1990" s="4">
        <v>5</v>
      </c>
      <c r="G1990" s="4">
        <v>4</v>
      </c>
      <c r="H1990" s="4">
        <v>1</v>
      </c>
      <c r="I1990" s="4">
        <v>1</v>
      </c>
      <c r="J1990" s="4">
        <v>3</v>
      </c>
      <c r="K1990" s="102">
        <v>7</v>
      </c>
      <c r="M1990" s="101">
        <f t="shared" ref="M1990:M2004" si="513">INDEX($A$5:$A$11,E1990)</f>
        <v>34</v>
      </c>
      <c r="N1990" s="4">
        <f t="shared" ref="N1990:N2004" si="514">INDEX($A$5:$A$11,F1990)</f>
        <v>30</v>
      </c>
      <c r="O1990" s="4">
        <f t="shared" ref="O1990:O2004" si="515">INDEX($A$5:$A$11,G1990)</f>
        <v>12</v>
      </c>
      <c r="P1990" s="4">
        <f t="shared" ref="P1990:P2004" si="516">INDEX($A$5:$A$11,H1990)</f>
        <v>34</v>
      </c>
      <c r="Q1990" s="4">
        <f t="shared" ref="Q1990:Q2004" si="517">INDEX($A$5:$A$11,I1990)</f>
        <v>34</v>
      </c>
      <c r="R1990" s="4">
        <f t="shared" ref="R1990:R2004" si="518">INDEX($A$5:$A$11,J1990)</f>
        <v>23</v>
      </c>
      <c r="S1990" s="102">
        <f t="shared" ref="S1990:S2004" si="519">INDEX($A$5:$A$11,K1990)</f>
        <v>29</v>
      </c>
      <c r="U1990" s="101">
        <f t="shared" ref="U1990:U2004" si="520">INDEX($B$5:$B$11,E1990)</f>
        <v>46</v>
      </c>
      <c r="V1990" s="4">
        <f t="shared" ref="V1990:V2004" si="521">INDEX($B$5:$B$11,F1990)</f>
        <v>39</v>
      </c>
      <c r="W1990" s="4">
        <f t="shared" ref="W1990:W2004" si="522">INDEX($B$5:$B$11,G1990)</f>
        <v>9</v>
      </c>
      <c r="X1990" s="4">
        <f t="shared" ref="X1990:X2004" si="523">INDEX($B$5:$B$11,H1990)</f>
        <v>46</v>
      </c>
      <c r="Y1990" s="4">
        <f t="shared" ref="Y1990:Y2004" si="524">INDEX($B$5:$B$11,I1990)</f>
        <v>46</v>
      </c>
      <c r="Z1990" s="4">
        <f t="shared" ref="Z1990:Z2004" si="525">INDEX($B$5:$B$11,J1990)</f>
        <v>39</v>
      </c>
      <c r="AA1990" s="102">
        <f t="shared" ref="AA1990:AA2004" si="526">INDEX($B$5:$B$11,K1990)</f>
        <v>41</v>
      </c>
      <c r="AC1990" s="100">
        <f t="shared" ref="AC1990:AC2004" si="527">CORREL(M1990:S1990,U1990:AA1990)</f>
        <v>0.9479931932166632</v>
      </c>
    </row>
    <row r="1991" spans="4:29" x14ac:dyDescent="0.35">
      <c r="D1991">
        <f t="shared" ref="D1991:D2004" si="528">D1990+1</f>
        <v>1987</v>
      </c>
      <c r="E1991" s="101">
        <v>3</v>
      </c>
      <c r="F1991" s="4">
        <v>3</v>
      </c>
      <c r="G1991" s="4">
        <v>4</v>
      </c>
      <c r="H1991" s="4">
        <v>1</v>
      </c>
      <c r="I1991" s="4">
        <v>3</v>
      </c>
      <c r="J1991" s="4">
        <v>2</v>
      </c>
      <c r="K1991" s="102">
        <v>5</v>
      </c>
      <c r="M1991" s="101">
        <f t="shared" si="513"/>
        <v>23</v>
      </c>
      <c r="N1991" s="4">
        <f t="shared" si="514"/>
        <v>23</v>
      </c>
      <c r="O1991" s="4">
        <f t="shared" si="515"/>
        <v>12</v>
      </c>
      <c r="P1991" s="4">
        <f t="shared" si="516"/>
        <v>34</v>
      </c>
      <c r="Q1991" s="4">
        <f t="shared" si="517"/>
        <v>23</v>
      </c>
      <c r="R1991" s="4">
        <f t="shared" si="518"/>
        <v>56</v>
      </c>
      <c r="S1991" s="102">
        <f t="shared" si="519"/>
        <v>30</v>
      </c>
      <c r="U1991" s="101">
        <f t="shared" si="520"/>
        <v>39</v>
      </c>
      <c r="V1991" s="4">
        <f t="shared" si="521"/>
        <v>39</v>
      </c>
      <c r="W1991" s="4">
        <f t="shared" si="522"/>
        <v>9</v>
      </c>
      <c r="X1991" s="4">
        <f t="shared" si="523"/>
        <v>46</v>
      </c>
      <c r="Y1991" s="4">
        <f t="shared" si="524"/>
        <v>39</v>
      </c>
      <c r="Z1991" s="4">
        <f t="shared" si="525"/>
        <v>78</v>
      </c>
      <c r="AA1991" s="102">
        <f t="shared" si="526"/>
        <v>39</v>
      </c>
      <c r="AC1991" s="100">
        <f t="shared" si="527"/>
        <v>0.95739155719686353</v>
      </c>
    </row>
    <row r="1992" spans="4:29" x14ac:dyDescent="0.35">
      <c r="D1992">
        <f t="shared" si="528"/>
        <v>1988</v>
      </c>
      <c r="E1992" s="101">
        <v>6</v>
      </c>
      <c r="F1992" s="4">
        <v>2</v>
      </c>
      <c r="G1992" s="4">
        <v>7</v>
      </c>
      <c r="H1992" s="4">
        <v>6</v>
      </c>
      <c r="I1992" s="4">
        <v>4</v>
      </c>
      <c r="J1992" s="4">
        <v>4</v>
      </c>
      <c r="K1992" s="102">
        <v>4</v>
      </c>
      <c r="M1992" s="101">
        <f t="shared" si="513"/>
        <v>45</v>
      </c>
      <c r="N1992" s="4">
        <f t="shared" si="514"/>
        <v>56</v>
      </c>
      <c r="O1992" s="4">
        <f t="shared" si="515"/>
        <v>29</v>
      </c>
      <c r="P1992" s="4">
        <f t="shared" si="516"/>
        <v>45</v>
      </c>
      <c r="Q1992" s="4">
        <f t="shared" si="517"/>
        <v>12</v>
      </c>
      <c r="R1992" s="4">
        <f t="shared" si="518"/>
        <v>12</v>
      </c>
      <c r="S1992" s="102">
        <f t="shared" si="519"/>
        <v>12</v>
      </c>
      <c r="U1992" s="101">
        <f t="shared" si="520"/>
        <v>71</v>
      </c>
      <c r="V1992" s="4">
        <f t="shared" si="521"/>
        <v>78</v>
      </c>
      <c r="W1992" s="4">
        <f t="shared" si="522"/>
        <v>41</v>
      </c>
      <c r="X1992" s="4">
        <f t="shared" si="523"/>
        <v>71</v>
      </c>
      <c r="Y1992" s="4">
        <f t="shared" si="524"/>
        <v>9</v>
      </c>
      <c r="Z1992" s="4">
        <f t="shared" si="525"/>
        <v>9</v>
      </c>
      <c r="AA1992" s="102">
        <f t="shared" si="526"/>
        <v>9</v>
      </c>
      <c r="AC1992" s="100">
        <f t="shared" si="527"/>
        <v>0.9918902145767502</v>
      </c>
    </row>
    <row r="1993" spans="4:29" x14ac:dyDescent="0.35">
      <c r="D1993">
        <f t="shared" si="528"/>
        <v>1989</v>
      </c>
      <c r="E1993" s="101">
        <v>3</v>
      </c>
      <c r="F1993" s="4">
        <v>6</v>
      </c>
      <c r="G1993" s="4">
        <v>5</v>
      </c>
      <c r="H1993" s="4">
        <v>2</v>
      </c>
      <c r="I1993" s="4">
        <v>2</v>
      </c>
      <c r="J1993" s="4">
        <v>6</v>
      </c>
      <c r="K1993" s="102">
        <v>2</v>
      </c>
      <c r="M1993" s="101">
        <f t="shared" si="513"/>
        <v>23</v>
      </c>
      <c r="N1993" s="4">
        <f t="shared" si="514"/>
        <v>45</v>
      </c>
      <c r="O1993" s="4">
        <f t="shared" si="515"/>
        <v>30</v>
      </c>
      <c r="P1993" s="4">
        <f t="shared" si="516"/>
        <v>56</v>
      </c>
      <c r="Q1993" s="4">
        <f t="shared" si="517"/>
        <v>56</v>
      </c>
      <c r="R1993" s="4">
        <f t="shared" si="518"/>
        <v>45</v>
      </c>
      <c r="S1993" s="102">
        <f t="shared" si="519"/>
        <v>56</v>
      </c>
      <c r="U1993" s="101">
        <f t="shared" si="520"/>
        <v>39</v>
      </c>
      <c r="V1993" s="4">
        <f t="shared" si="521"/>
        <v>71</v>
      </c>
      <c r="W1993" s="4">
        <f t="shared" si="522"/>
        <v>39</v>
      </c>
      <c r="X1993" s="4">
        <f t="shared" si="523"/>
        <v>78</v>
      </c>
      <c r="Y1993" s="4">
        <f t="shared" si="524"/>
        <v>78</v>
      </c>
      <c r="Z1993" s="4">
        <f t="shared" si="525"/>
        <v>71</v>
      </c>
      <c r="AA1993" s="102">
        <f t="shared" si="526"/>
        <v>78</v>
      </c>
      <c r="AC1993" s="100">
        <f t="shared" si="527"/>
        <v>0.96747491644501626</v>
      </c>
    </row>
    <row r="1994" spans="4:29" x14ac:dyDescent="0.35">
      <c r="D1994">
        <f t="shared" si="528"/>
        <v>1990</v>
      </c>
      <c r="E1994" s="101">
        <v>4</v>
      </c>
      <c r="F1994" s="4">
        <v>2</v>
      </c>
      <c r="G1994" s="4">
        <v>4</v>
      </c>
      <c r="H1994" s="4">
        <v>3</v>
      </c>
      <c r="I1994" s="4">
        <v>5</v>
      </c>
      <c r="J1994" s="4">
        <v>1</v>
      </c>
      <c r="K1994" s="102">
        <v>2</v>
      </c>
      <c r="M1994" s="101">
        <f t="shared" si="513"/>
        <v>12</v>
      </c>
      <c r="N1994" s="4">
        <f t="shared" si="514"/>
        <v>56</v>
      </c>
      <c r="O1994" s="4">
        <f t="shared" si="515"/>
        <v>12</v>
      </c>
      <c r="P1994" s="4">
        <f t="shared" si="516"/>
        <v>23</v>
      </c>
      <c r="Q1994" s="4">
        <f t="shared" si="517"/>
        <v>30</v>
      </c>
      <c r="R1994" s="4">
        <f t="shared" si="518"/>
        <v>34</v>
      </c>
      <c r="S1994" s="102">
        <f t="shared" si="519"/>
        <v>56</v>
      </c>
      <c r="U1994" s="101">
        <f t="shared" si="520"/>
        <v>9</v>
      </c>
      <c r="V1994" s="4">
        <f t="shared" si="521"/>
        <v>78</v>
      </c>
      <c r="W1994" s="4">
        <f t="shared" si="522"/>
        <v>9</v>
      </c>
      <c r="X1994" s="4">
        <f t="shared" si="523"/>
        <v>39</v>
      </c>
      <c r="Y1994" s="4">
        <f t="shared" si="524"/>
        <v>39</v>
      </c>
      <c r="Z1994" s="4">
        <f t="shared" si="525"/>
        <v>46</v>
      </c>
      <c r="AA1994" s="102">
        <f t="shared" si="526"/>
        <v>78</v>
      </c>
      <c r="AC1994" s="100">
        <f t="shared" si="527"/>
        <v>0.98694688330003655</v>
      </c>
    </row>
    <row r="1995" spans="4:29" x14ac:dyDescent="0.35">
      <c r="D1995">
        <f t="shared" si="528"/>
        <v>1991</v>
      </c>
      <c r="E1995" s="101">
        <v>1</v>
      </c>
      <c r="F1995" s="4">
        <v>2</v>
      </c>
      <c r="G1995" s="4">
        <v>5</v>
      </c>
      <c r="H1995" s="4">
        <v>6</v>
      </c>
      <c r="I1995" s="4">
        <v>7</v>
      </c>
      <c r="J1995" s="4">
        <v>4</v>
      </c>
      <c r="K1995" s="102">
        <v>5</v>
      </c>
      <c r="M1995" s="101">
        <f t="shared" si="513"/>
        <v>34</v>
      </c>
      <c r="N1995" s="4">
        <f t="shared" si="514"/>
        <v>56</v>
      </c>
      <c r="O1995" s="4">
        <f t="shared" si="515"/>
        <v>30</v>
      </c>
      <c r="P1995" s="4">
        <f t="shared" si="516"/>
        <v>45</v>
      </c>
      <c r="Q1995" s="4">
        <f t="shared" si="517"/>
        <v>29</v>
      </c>
      <c r="R1995" s="4">
        <f t="shared" si="518"/>
        <v>12</v>
      </c>
      <c r="S1995" s="102">
        <f t="shared" si="519"/>
        <v>30</v>
      </c>
      <c r="U1995" s="101">
        <f t="shared" si="520"/>
        <v>46</v>
      </c>
      <c r="V1995" s="4">
        <f t="shared" si="521"/>
        <v>78</v>
      </c>
      <c r="W1995" s="4">
        <f t="shared" si="522"/>
        <v>39</v>
      </c>
      <c r="X1995" s="4">
        <f t="shared" si="523"/>
        <v>71</v>
      </c>
      <c r="Y1995" s="4">
        <f t="shared" si="524"/>
        <v>41</v>
      </c>
      <c r="Z1995" s="4">
        <f t="shared" si="525"/>
        <v>9</v>
      </c>
      <c r="AA1995" s="102">
        <f t="shared" si="526"/>
        <v>39</v>
      </c>
      <c r="AC1995" s="100">
        <f t="shared" si="527"/>
        <v>0.9881609722049397</v>
      </c>
    </row>
    <row r="1996" spans="4:29" x14ac:dyDescent="0.35">
      <c r="D1996">
        <f t="shared" si="528"/>
        <v>1992</v>
      </c>
      <c r="E1996" s="101">
        <v>5</v>
      </c>
      <c r="F1996" s="4">
        <v>4</v>
      </c>
      <c r="G1996" s="4">
        <v>2</v>
      </c>
      <c r="H1996" s="4">
        <v>7</v>
      </c>
      <c r="I1996" s="4">
        <v>1</v>
      </c>
      <c r="J1996" s="4">
        <v>5</v>
      </c>
      <c r="K1996" s="102">
        <v>7</v>
      </c>
      <c r="M1996" s="101">
        <f t="shared" si="513"/>
        <v>30</v>
      </c>
      <c r="N1996" s="4">
        <f t="shared" si="514"/>
        <v>12</v>
      </c>
      <c r="O1996" s="4">
        <f t="shared" si="515"/>
        <v>56</v>
      </c>
      <c r="P1996" s="4">
        <f t="shared" si="516"/>
        <v>29</v>
      </c>
      <c r="Q1996" s="4">
        <f t="shared" si="517"/>
        <v>34</v>
      </c>
      <c r="R1996" s="4">
        <f t="shared" si="518"/>
        <v>30</v>
      </c>
      <c r="S1996" s="102">
        <f t="shared" si="519"/>
        <v>29</v>
      </c>
      <c r="U1996" s="101">
        <f t="shared" si="520"/>
        <v>39</v>
      </c>
      <c r="V1996" s="4">
        <f t="shared" si="521"/>
        <v>9</v>
      </c>
      <c r="W1996" s="4">
        <f t="shared" si="522"/>
        <v>78</v>
      </c>
      <c r="X1996" s="4">
        <f t="shared" si="523"/>
        <v>41</v>
      </c>
      <c r="Y1996" s="4">
        <f t="shared" si="524"/>
        <v>46</v>
      </c>
      <c r="Z1996" s="4">
        <f t="shared" si="525"/>
        <v>39</v>
      </c>
      <c r="AA1996" s="102">
        <f t="shared" si="526"/>
        <v>41</v>
      </c>
      <c r="AC1996" s="100">
        <f t="shared" si="527"/>
        <v>0.99398979657724085</v>
      </c>
    </row>
    <row r="1997" spans="4:29" x14ac:dyDescent="0.35">
      <c r="D1997">
        <f t="shared" si="528"/>
        <v>1993</v>
      </c>
      <c r="E1997" s="101">
        <v>5</v>
      </c>
      <c r="F1997" s="4">
        <v>7</v>
      </c>
      <c r="G1997" s="4">
        <v>1</v>
      </c>
      <c r="H1997" s="4">
        <v>2</v>
      </c>
      <c r="I1997" s="4">
        <v>6</v>
      </c>
      <c r="J1997" s="4">
        <v>3</v>
      </c>
      <c r="K1997" s="102">
        <v>6</v>
      </c>
      <c r="M1997" s="101">
        <f t="shared" si="513"/>
        <v>30</v>
      </c>
      <c r="N1997" s="4">
        <f t="shared" si="514"/>
        <v>29</v>
      </c>
      <c r="O1997" s="4">
        <f t="shared" si="515"/>
        <v>34</v>
      </c>
      <c r="P1997" s="4">
        <f t="shared" si="516"/>
        <v>56</v>
      </c>
      <c r="Q1997" s="4">
        <f t="shared" si="517"/>
        <v>45</v>
      </c>
      <c r="R1997" s="4">
        <f t="shared" si="518"/>
        <v>23</v>
      </c>
      <c r="S1997" s="102">
        <f t="shared" si="519"/>
        <v>45</v>
      </c>
      <c r="U1997" s="101">
        <f t="shared" si="520"/>
        <v>39</v>
      </c>
      <c r="V1997" s="4">
        <f t="shared" si="521"/>
        <v>41</v>
      </c>
      <c r="W1997" s="4">
        <f t="shared" si="522"/>
        <v>46</v>
      </c>
      <c r="X1997" s="4">
        <f t="shared" si="523"/>
        <v>78</v>
      </c>
      <c r="Y1997" s="4">
        <f t="shared" si="524"/>
        <v>71</v>
      </c>
      <c r="Z1997" s="4">
        <f t="shared" si="525"/>
        <v>39</v>
      </c>
      <c r="AA1997" s="102">
        <f t="shared" si="526"/>
        <v>71</v>
      </c>
      <c r="AC1997" s="100">
        <f t="shared" si="527"/>
        <v>0.96189300371852338</v>
      </c>
    </row>
    <row r="1998" spans="4:29" x14ac:dyDescent="0.35">
      <c r="D1998">
        <f t="shared" si="528"/>
        <v>1994</v>
      </c>
      <c r="E1998" s="101">
        <v>3</v>
      </c>
      <c r="F1998" s="4">
        <v>5</v>
      </c>
      <c r="G1998" s="4">
        <v>6</v>
      </c>
      <c r="H1998" s="4">
        <v>5</v>
      </c>
      <c r="I1998" s="4">
        <v>6</v>
      </c>
      <c r="J1998" s="4">
        <v>1</v>
      </c>
      <c r="K1998" s="102">
        <v>4</v>
      </c>
      <c r="M1998" s="101">
        <f t="shared" si="513"/>
        <v>23</v>
      </c>
      <c r="N1998" s="4">
        <f t="shared" si="514"/>
        <v>30</v>
      </c>
      <c r="O1998" s="4">
        <f t="shared" si="515"/>
        <v>45</v>
      </c>
      <c r="P1998" s="4">
        <f t="shared" si="516"/>
        <v>30</v>
      </c>
      <c r="Q1998" s="4">
        <f t="shared" si="517"/>
        <v>45</v>
      </c>
      <c r="R1998" s="4">
        <f t="shared" si="518"/>
        <v>34</v>
      </c>
      <c r="S1998" s="102">
        <f t="shared" si="519"/>
        <v>12</v>
      </c>
      <c r="U1998" s="101">
        <f t="shared" si="520"/>
        <v>39</v>
      </c>
      <c r="V1998" s="4">
        <f t="shared" si="521"/>
        <v>39</v>
      </c>
      <c r="W1998" s="4">
        <f t="shared" si="522"/>
        <v>71</v>
      </c>
      <c r="X1998" s="4">
        <f t="shared" si="523"/>
        <v>39</v>
      </c>
      <c r="Y1998" s="4">
        <f t="shared" si="524"/>
        <v>71</v>
      </c>
      <c r="Z1998" s="4">
        <f t="shared" si="525"/>
        <v>46</v>
      </c>
      <c r="AA1998" s="102">
        <f t="shared" si="526"/>
        <v>9</v>
      </c>
      <c r="AC1998" s="100">
        <f t="shared" si="527"/>
        <v>0.97679572312387708</v>
      </c>
    </row>
    <row r="1999" spans="4:29" x14ac:dyDescent="0.35">
      <c r="D1999">
        <f t="shared" si="528"/>
        <v>1995</v>
      </c>
      <c r="E1999" s="101">
        <v>3</v>
      </c>
      <c r="F1999" s="4">
        <v>5</v>
      </c>
      <c r="G1999" s="4">
        <v>4</v>
      </c>
      <c r="H1999" s="4">
        <v>6</v>
      </c>
      <c r="I1999" s="4">
        <v>3</v>
      </c>
      <c r="J1999" s="4">
        <v>4</v>
      </c>
      <c r="K1999" s="102">
        <v>4</v>
      </c>
      <c r="M1999" s="101">
        <f t="shared" si="513"/>
        <v>23</v>
      </c>
      <c r="N1999" s="4">
        <f t="shared" si="514"/>
        <v>30</v>
      </c>
      <c r="O1999" s="4">
        <f t="shared" si="515"/>
        <v>12</v>
      </c>
      <c r="P1999" s="4">
        <f t="shared" si="516"/>
        <v>45</v>
      </c>
      <c r="Q1999" s="4">
        <f t="shared" si="517"/>
        <v>23</v>
      </c>
      <c r="R1999" s="4">
        <f t="shared" si="518"/>
        <v>12</v>
      </c>
      <c r="S1999" s="102">
        <f t="shared" si="519"/>
        <v>12</v>
      </c>
      <c r="U1999" s="101">
        <f t="shared" si="520"/>
        <v>39</v>
      </c>
      <c r="V1999" s="4">
        <f t="shared" si="521"/>
        <v>39</v>
      </c>
      <c r="W1999" s="4">
        <f t="shared" si="522"/>
        <v>9</v>
      </c>
      <c r="X1999" s="4">
        <f t="shared" si="523"/>
        <v>71</v>
      </c>
      <c r="Y1999" s="4">
        <f t="shared" si="524"/>
        <v>39</v>
      </c>
      <c r="Z1999" s="4">
        <f t="shared" si="525"/>
        <v>9</v>
      </c>
      <c r="AA1999" s="102">
        <f t="shared" si="526"/>
        <v>9</v>
      </c>
      <c r="AC1999" s="100">
        <f t="shared" si="527"/>
        <v>0.97550782975319317</v>
      </c>
    </row>
    <row r="2000" spans="4:29" x14ac:dyDescent="0.35">
      <c r="D2000">
        <f t="shared" si="528"/>
        <v>1996</v>
      </c>
      <c r="E2000" s="101">
        <v>7</v>
      </c>
      <c r="F2000" s="4">
        <v>3</v>
      </c>
      <c r="G2000" s="4">
        <v>7</v>
      </c>
      <c r="H2000" s="4">
        <v>3</v>
      </c>
      <c r="I2000" s="4">
        <v>4</v>
      </c>
      <c r="J2000" s="4">
        <v>2</v>
      </c>
      <c r="K2000" s="102">
        <v>3</v>
      </c>
      <c r="M2000" s="101">
        <f t="shared" si="513"/>
        <v>29</v>
      </c>
      <c r="N2000" s="4">
        <f t="shared" si="514"/>
        <v>23</v>
      </c>
      <c r="O2000" s="4">
        <f t="shared" si="515"/>
        <v>29</v>
      </c>
      <c r="P2000" s="4">
        <f t="shared" si="516"/>
        <v>23</v>
      </c>
      <c r="Q2000" s="4">
        <f t="shared" si="517"/>
        <v>12</v>
      </c>
      <c r="R2000" s="4">
        <f t="shared" si="518"/>
        <v>56</v>
      </c>
      <c r="S2000" s="102">
        <f t="shared" si="519"/>
        <v>23</v>
      </c>
      <c r="U2000" s="101">
        <f t="shared" si="520"/>
        <v>41</v>
      </c>
      <c r="V2000" s="4">
        <f t="shared" si="521"/>
        <v>39</v>
      </c>
      <c r="W2000" s="4">
        <f t="shared" si="522"/>
        <v>41</v>
      </c>
      <c r="X2000" s="4">
        <f t="shared" si="523"/>
        <v>39</v>
      </c>
      <c r="Y2000" s="4">
        <f t="shared" si="524"/>
        <v>9</v>
      </c>
      <c r="Z2000" s="4">
        <f t="shared" si="525"/>
        <v>78</v>
      </c>
      <c r="AA2000" s="102">
        <f t="shared" si="526"/>
        <v>39</v>
      </c>
      <c r="AC2000" s="100">
        <f t="shared" si="527"/>
        <v>0.96277371675179702</v>
      </c>
    </row>
    <row r="2001" spans="4:29" x14ac:dyDescent="0.35">
      <c r="D2001">
        <f t="shared" si="528"/>
        <v>1997</v>
      </c>
      <c r="E2001" s="101">
        <v>6</v>
      </c>
      <c r="F2001" s="4">
        <v>5</v>
      </c>
      <c r="G2001" s="4">
        <v>2</v>
      </c>
      <c r="H2001" s="4">
        <v>4</v>
      </c>
      <c r="I2001" s="4">
        <v>6</v>
      </c>
      <c r="J2001" s="4">
        <v>1</v>
      </c>
      <c r="K2001" s="102">
        <v>2</v>
      </c>
      <c r="M2001" s="101">
        <f t="shared" si="513"/>
        <v>45</v>
      </c>
      <c r="N2001" s="4">
        <f t="shared" si="514"/>
        <v>30</v>
      </c>
      <c r="O2001" s="4">
        <f t="shared" si="515"/>
        <v>56</v>
      </c>
      <c r="P2001" s="4">
        <f t="shared" si="516"/>
        <v>12</v>
      </c>
      <c r="Q2001" s="4">
        <f t="shared" si="517"/>
        <v>45</v>
      </c>
      <c r="R2001" s="4">
        <f t="shared" si="518"/>
        <v>34</v>
      </c>
      <c r="S2001" s="102">
        <f t="shared" si="519"/>
        <v>56</v>
      </c>
      <c r="U2001" s="101">
        <f t="shared" si="520"/>
        <v>71</v>
      </c>
      <c r="V2001" s="4">
        <f t="shared" si="521"/>
        <v>39</v>
      </c>
      <c r="W2001" s="4">
        <f t="shared" si="522"/>
        <v>78</v>
      </c>
      <c r="X2001" s="4">
        <f t="shared" si="523"/>
        <v>9</v>
      </c>
      <c r="Y2001" s="4">
        <f t="shared" si="524"/>
        <v>71</v>
      </c>
      <c r="Z2001" s="4">
        <f t="shared" si="525"/>
        <v>46</v>
      </c>
      <c r="AA2001" s="102">
        <f t="shared" si="526"/>
        <v>78</v>
      </c>
      <c r="AC2001" s="100">
        <f t="shared" si="527"/>
        <v>0.98395226878976616</v>
      </c>
    </row>
    <row r="2002" spans="4:29" x14ac:dyDescent="0.35">
      <c r="D2002">
        <f t="shared" si="528"/>
        <v>1998</v>
      </c>
      <c r="E2002" s="101">
        <v>6</v>
      </c>
      <c r="F2002" s="4">
        <v>2</v>
      </c>
      <c r="G2002" s="4">
        <v>3</v>
      </c>
      <c r="H2002" s="4">
        <v>6</v>
      </c>
      <c r="I2002" s="4">
        <v>3</v>
      </c>
      <c r="J2002" s="4">
        <v>1</v>
      </c>
      <c r="K2002" s="102">
        <v>5</v>
      </c>
      <c r="M2002" s="101">
        <f t="shared" si="513"/>
        <v>45</v>
      </c>
      <c r="N2002" s="4">
        <f t="shared" si="514"/>
        <v>56</v>
      </c>
      <c r="O2002" s="4">
        <f t="shared" si="515"/>
        <v>23</v>
      </c>
      <c r="P2002" s="4">
        <f t="shared" si="516"/>
        <v>45</v>
      </c>
      <c r="Q2002" s="4">
        <f t="shared" si="517"/>
        <v>23</v>
      </c>
      <c r="R2002" s="4">
        <f t="shared" si="518"/>
        <v>34</v>
      </c>
      <c r="S2002" s="102">
        <f t="shared" si="519"/>
        <v>30</v>
      </c>
      <c r="U2002" s="101">
        <f t="shared" si="520"/>
        <v>71</v>
      </c>
      <c r="V2002" s="4">
        <f t="shared" si="521"/>
        <v>78</v>
      </c>
      <c r="W2002" s="4">
        <f t="shared" si="522"/>
        <v>39</v>
      </c>
      <c r="X2002" s="4">
        <f t="shared" si="523"/>
        <v>71</v>
      </c>
      <c r="Y2002" s="4">
        <f t="shared" si="524"/>
        <v>39</v>
      </c>
      <c r="Z2002" s="4">
        <f t="shared" si="525"/>
        <v>46</v>
      </c>
      <c r="AA2002" s="102">
        <f t="shared" si="526"/>
        <v>39</v>
      </c>
      <c r="AC2002" s="100">
        <f t="shared" si="527"/>
        <v>0.96098928355518476</v>
      </c>
    </row>
    <row r="2003" spans="4:29" x14ac:dyDescent="0.35">
      <c r="D2003">
        <f t="shared" si="528"/>
        <v>1999</v>
      </c>
      <c r="E2003" s="101">
        <v>3</v>
      </c>
      <c r="F2003" s="4">
        <v>7</v>
      </c>
      <c r="G2003" s="4">
        <v>3</v>
      </c>
      <c r="H2003" s="4">
        <v>1</v>
      </c>
      <c r="I2003" s="4">
        <v>7</v>
      </c>
      <c r="J2003" s="4">
        <v>3</v>
      </c>
      <c r="K2003" s="102">
        <v>7</v>
      </c>
      <c r="M2003" s="101">
        <f t="shared" si="513"/>
        <v>23</v>
      </c>
      <c r="N2003" s="4">
        <f t="shared" si="514"/>
        <v>29</v>
      </c>
      <c r="O2003" s="4">
        <f t="shared" si="515"/>
        <v>23</v>
      </c>
      <c r="P2003" s="4">
        <f t="shared" si="516"/>
        <v>34</v>
      </c>
      <c r="Q2003" s="4">
        <f t="shared" si="517"/>
        <v>29</v>
      </c>
      <c r="R2003" s="4">
        <f t="shared" si="518"/>
        <v>23</v>
      </c>
      <c r="S2003" s="102">
        <f t="shared" si="519"/>
        <v>29</v>
      </c>
      <c r="U2003" s="101">
        <f t="shared" si="520"/>
        <v>39</v>
      </c>
      <c r="V2003" s="4">
        <f t="shared" si="521"/>
        <v>41</v>
      </c>
      <c r="W2003" s="4">
        <f t="shared" si="522"/>
        <v>39</v>
      </c>
      <c r="X2003" s="4">
        <f t="shared" si="523"/>
        <v>46</v>
      </c>
      <c r="Y2003" s="4">
        <f t="shared" si="524"/>
        <v>41</v>
      </c>
      <c r="Z2003" s="4">
        <f t="shared" si="525"/>
        <v>39</v>
      </c>
      <c r="AA2003" s="102">
        <f t="shared" si="526"/>
        <v>41</v>
      </c>
      <c r="AC2003" s="100">
        <f t="shared" si="527"/>
        <v>0.93371213352288573</v>
      </c>
    </row>
    <row r="2004" spans="4:29" x14ac:dyDescent="0.35">
      <c r="D2004">
        <f t="shared" si="528"/>
        <v>2000</v>
      </c>
      <c r="E2004" s="89">
        <v>3</v>
      </c>
      <c r="F2004" s="159">
        <v>3</v>
      </c>
      <c r="G2004" s="159">
        <v>3</v>
      </c>
      <c r="H2004" s="159">
        <v>3</v>
      </c>
      <c r="I2004" s="159">
        <v>7</v>
      </c>
      <c r="J2004" s="159">
        <v>4</v>
      </c>
      <c r="K2004" s="93">
        <v>4</v>
      </c>
      <c r="M2004" s="89">
        <f t="shared" si="513"/>
        <v>23</v>
      </c>
      <c r="N2004" s="159">
        <f t="shared" si="514"/>
        <v>23</v>
      </c>
      <c r="O2004" s="159">
        <f t="shared" si="515"/>
        <v>23</v>
      </c>
      <c r="P2004" s="159">
        <f t="shared" si="516"/>
        <v>23</v>
      </c>
      <c r="Q2004" s="159">
        <f t="shared" si="517"/>
        <v>29</v>
      </c>
      <c r="R2004" s="159">
        <f t="shared" si="518"/>
        <v>12</v>
      </c>
      <c r="S2004" s="93">
        <f t="shared" si="519"/>
        <v>12</v>
      </c>
      <c r="U2004" s="89">
        <f t="shared" si="520"/>
        <v>39</v>
      </c>
      <c r="V2004" s="159">
        <f t="shared" si="521"/>
        <v>39</v>
      </c>
      <c r="W2004" s="159">
        <f t="shared" si="522"/>
        <v>39</v>
      </c>
      <c r="X2004" s="159">
        <f t="shared" si="523"/>
        <v>39</v>
      </c>
      <c r="Y2004" s="159">
        <f t="shared" si="524"/>
        <v>41</v>
      </c>
      <c r="Z2004" s="159">
        <f t="shared" si="525"/>
        <v>9</v>
      </c>
      <c r="AA2004" s="93">
        <f t="shared" si="526"/>
        <v>9</v>
      </c>
      <c r="AC2004" s="94">
        <f t="shared" si="527"/>
        <v>0.95430974818551761</v>
      </c>
    </row>
  </sheetData>
  <mergeCells count="3">
    <mergeCell ref="E3:K3"/>
    <mergeCell ref="M3:S3"/>
    <mergeCell ref="U3:AA3"/>
  </mergeCells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04"/>
  <dimension ref="A1:AB96"/>
  <sheetViews>
    <sheetView workbookViewId="0"/>
  </sheetViews>
  <sheetFormatPr defaultRowHeight="14.5" x14ac:dyDescent="0.35"/>
  <sheetData>
    <row r="1" spans="1:28" x14ac:dyDescent="0.35">
      <c r="A1" s="1" t="s">
        <v>475</v>
      </c>
    </row>
    <row r="3" spans="1:28" x14ac:dyDescent="0.35">
      <c r="A3" s="72" t="s">
        <v>391</v>
      </c>
      <c r="B3" s="72" t="s">
        <v>239</v>
      </c>
      <c r="D3" t="s">
        <v>466</v>
      </c>
      <c r="R3" t="s">
        <v>467</v>
      </c>
      <c r="X3" t="s">
        <v>466</v>
      </c>
    </row>
    <row r="4" spans="1:28" ht="15" thickBot="1" x14ac:dyDescent="0.4">
      <c r="A4" s="231">
        <v>5</v>
      </c>
      <c r="B4" s="73">
        <v>80</v>
      </c>
    </row>
    <row r="5" spans="1:28" ht="15" thickTop="1" x14ac:dyDescent="0.35">
      <c r="A5" s="231">
        <v>23</v>
      </c>
      <c r="B5" s="231">
        <v>78</v>
      </c>
      <c r="D5" s="164" t="s">
        <v>461</v>
      </c>
      <c r="E5" s="164" t="s">
        <v>28</v>
      </c>
      <c r="F5" s="164" t="s">
        <v>352</v>
      </c>
      <c r="G5" s="164" t="s">
        <v>289</v>
      </c>
      <c r="H5" s="164" t="s">
        <v>462</v>
      </c>
      <c r="R5" s="164" t="s">
        <v>461</v>
      </c>
      <c r="S5" s="164" t="s">
        <v>28</v>
      </c>
      <c r="T5" s="164" t="s">
        <v>352</v>
      </c>
      <c r="U5" s="164" t="s">
        <v>289</v>
      </c>
      <c r="V5" s="164" t="s">
        <v>462</v>
      </c>
      <c r="X5" s="164" t="s">
        <v>461</v>
      </c>
      <c r="Y5" s="164" t="s">
        <v>28</v>
      </c>
      <c r="Z5" s="164" t="s">
        <v>352</v>
      </c>
      <c r="AA5" s="164" t="s">
        <v>289</v>
      </c>
      <c r="AB5" s="164" t="s">
        <v>462</v>
      </c>
    </row>
    <row r="6" spans="1:28" x14ac:dyDescent="0.35">
      <c r="A6" s="231">
        <v>25</v>
      </c>
      <c r="B6" s="231">
        <v>60</v>
      </c>
      <c r="D6">
        <v>-1</v>
      </c>
      <c r="E6">
        <v>0</v>
      </c>
      <c r="F6">
        <f>E6</f>
        <v>0</v>
      </c>
      <c r="G6">
        <f>E6/E$52</f>
        <v>0</v>
      </c>
      <c r="H6">
        <f>F6/E$52</f>
        <v>0</v>
      </c>
      <c r="R6">
        <v>-1</v>
      </c>
      <c r="S6">
        <v>0</v>
      </c>
      <c r="T6">
        <f>S6</f>
        <v>0</v>
      </c>
      <c r="U6">
        <f>S6/S$88</f>
        <v>0</v>
      </c>
      <c r="V6">
        <f>T6/S$88</f>
        <v>0</v>
      </c>
      <c r="X6">
        <v>-1</v>
      </c>
      <c r="Y6">
        <v>0</v>
      </c>
      <c r="Z6">
        <f>Y6</f>
        <v>0</v>
      </c>
      <c r="AA6">
        <f>Y6/Y$48</f>
        <v>0</v>
      </c>
      <c r="AB6">
        <f>Z6/Y$48</f>
        <v>0</v>
      </c>
    </row>
    <row r="7" spans="1:28" x14ac:dyDescent="0.35">
      <c r="A7" s="231">
        <v>48</v>
      </c>
      <c r="B7" s="231">
        <v>53</v>
      </c>
      <c r="D7">
        <f>D6+0.025</f>
        <v>-0.97499999999999998</v>
      </c>
      <c r="E7">
        <v>0</v>
      </c>
      <c r="F7">
        <f>F6+E7</f>
        <v>0</v>
      </c>
      <c r="G7">
        <f t="shared" ref="G7:G51" si="0">E7/E$52</f>
        <v>0</v>
      </c>
      <c r="H7">
        <f t="shared" ref="H7:H51" si="1">F7/E$52</f>
        <v>0</v>
      </c>
      <c r="R7">
        <f>R6+0.025</f>
        <v>-0.97499999999999998</v>
      </c>
      <c r="S7">
        <v>0</v>
      </c>
      <c r="T7">
        <f>T6+S7</f>
        <v>0</v>
      </c>
      <c r="U7">
        <f t="shared" ref="U7:U70" si="2">S7/S$88</f>
        <v>0</v>
      </c>
      <c r="V7">
        <f t="shared" ref="V7:V70" si="3">T7/S$88</f>
        <v>0</v>
      </c>
      <c r="X7">
        <f>X6+0.025</f>
        <v>-0.97499999999999998</v>
      </c>
      <c r="Y7">
        <v>0</v>
      </c>
      <c r="Z7">
        <f>Z6+Y7</f>
        <v>0</v>
      </c>
      <c r="AA7">
        <f t="shared" ref="AA7:AA47" si="4">Y7/Y$48</f>
        <v>0</v>
      </c>
      <c r="AB7">
        <f t="shared" ref="AB7:AB47" si="5">Z7/Y$48</f>
        <v>0</v>
      </c>
    </row>
    <row r="8" spans="1:28" x14ac:dyDescent="0.35">
      <c r="A8" s="74">
        <v>17</v>
      </c>
      <c r="B8" s="231">
        <v>85</v>
      </c>
      <c r="D8">
        <f t="shared" ref="D8:D50" si="6">D7+0.025</f>
        <v>-0.95</v>
      </c>
      <c r="E8">
        <v>6</v>
      </c>
      <c r="F8">
        <f t="shared" ref="F8:F51" si="7">F7+E8</f>
        <v>6</v>
      </c>
      <c r="G8">
        <f t="shared" si="0"/>
        <v>5.9999999999999995E-4</v>
      </c>
      <c r="H8">
        <f t="shared" si="1"/>
        <v>5.9999999999999995E-4</v>
      </c>
      <c r="R8">
        <f t="shared" ref="R8:R71" si="8">R7+0.025</f>
        <v>-0.95</v>
      </c>
      <c r="S8">
        <v>0</v>
      </c>
      <c r="T8">
        <f t="shared" ref="T8:T71" si="9">T7+S8</f>
        <v>0</v>
      </c>
      <c r="U8">
        <f t="shared" si="2"/>
        <v>0</v>
      </c>
      <c r="V8">
        <f t="shared" si="3"/>
        <v>0</v>
      </c>
      <c r="X8">
        <f t="shared" ref="X8:X46" si="10">X7+0.025</f>
        <v>-0.95</v>
      </c>
      <c r="Y8">
        <v>1</v>
      </c>
      <c r="Z8">
        <f t="shared" ref="Z8:Z47" si="11">Z7+Y8</f>
        <v>1</v>
      </c>
      <c r="AA8">
        <f t="shared" si="4"/>
        <v>5.0000000000000001E-4</v>
      </c>
      <c r="AB8">
        <f t="shared" si="5"/>
        <v>5.0000000000000001E-4</v>
      </c>
    </row>
    <row r="9" spans="1:28" x14ac:dyDescent="0.35">
      <c r="A9" s="74">
        <v>8</v>
      </c>
      <c r="B9" s="231">
        <v>84</v>
      </c>
      <c r="D9">
        <f t="shared" si="6"/>
        <v>-0.92499999999999993</v>
      </c>
      <c r="E9">
        <v>29</v>
      </c>
      <c r="F9">
        <f t="shared" si="7"/>
        <v>35</v>
      </c>
      <c r="G9">
        <f t="shared" si="0"/>
        <v>2.8999999999999998E-3</v>
      </c>
      <c r="H9">
        <f t="shared" si="1"/>
        <v>3.5000000000000001E-3</v>
      </c>
      <c r="R9">
        <f t="shared" si="8"/>
        <v>-0.92499999999999993</v>
      </c>
      <c r="S9">
        <v>0</v>
      </c>
      <c r="T9">
        <f t="shared" si="9"/>
        <v>0</v>
      </c>
      <c r="U9">
        <f t="shared" si="2"/>
        <v>0</v>
      </c>
      <c r="V9">
        <f t="shared" si="3"/>
        <v>0</v>
      </c>
      <c r="X9">
        <f t="shared" si="10"/>
        <v>-0.92499999999999993</v>
      </c>
      <c r="Y9">
        <v>4</v>
      </c>
      <c r="Z9">
        <f t="shared" si="11"/>
        <v>5</v>
      </c>
      <c r="AA9">
        <f t="shared" si="4"/>
        <v>2E-3</v>
      </c>
      <c r="AB9">
        <f t="shared" si="5"/>
        <v>2.5000000000000001E-3</v>
      </c>
    </row>
    <row r="10" spans="1:28" x14ac:dyDescent="0.35">
      <c r="A10" s="231">
        <v>4</v>
      </c>
      <c r="B10" s="231">
        <v>73</v>
      </c>
      <c r="D10">
        <f t="shared" si="6"/>
        <v>-0.89999999999999991</v>
      </c>
      <c r="E10">
        <v>103</v>
      </c>
      <c r="F10">
        <f t="shared" si="7"/>
        <v>138</v>
      </c>
      <c r="G10">
        <f t="shared" si="0"/>
        <v>1.03E-2</v>
      </c>
      <c r="H10">
        <f t="shared" si="1"/>
        <v>1.38E-2</v>
      </c>
      <c r="R10">
        <f t="shared" si="8"/>
        <v>-0.89999999999999991</v>
      </c>
      <c r="S10">
        <v>0</v>
      </c>
      <c r="T10">
        <f t="shared" si="9"/>
        <v>0</v>
      </c>
      <c r="U10">
        <f t="shared" si="2"/>
        <v>0</v>
      </c>
      <c r="V10">
        <f t="shared" si="3"/>
        <v>0</v>
      </c>
      <c r="X10">
        <f t="shared" si="10"/>
        <v>-0.89999999999999991</v>
      </c>
      <c r="Y10">
        <v>19</v>
      </c>
      <c r="Z10">
        <f t="shared" si="11"/>
        <v>24</v>
      </c>
      <c r="AA10">
        <f t="shared" si="4"/>
        <v>9.4999999999999998E-3</v>
      </c>
      <c r="AB10">
        <f t="shared" si="5"/>
        <v>1.2E-2</v>
      </c>
    </row>
    <row r="11" spans="1:28" x14ac:dyDescent="0.35">
      <c r="A11" s="231">
        <v>26</v>
      </c>
      <c r="B11" s="231">
        <v>79</v>
      </c>
      <c r="D11">
        <f t="shared" si="6"/>
        <v>-0.87499999999999989</v>
      </c>
      <c r="E11">
        <v>252</v>
      </c>
      <c r="F11">
        <f t="shared" si="7"/>
        <v>390</v>
      </c>
      <c r="G11">
        <f t="shared" si="0"/>
        <v>2.52E-2</v>
      </c>
      <c r="H11">
        <f t="shared" si="1"/>
        <v>3.9E-2</v>
      </c>
      <c r="R11">
        <f t="shared" si="8"/>
        <v>-0.87499999999999989</v>
      </c>
      <c r="S11">
        <v>0</v>
      </c>
      <c r="T11">
        <f t="shared" si="9"/>
        <v>0</v>
      </c>
      <c r="U11">
        <f t="shared" si="2"/>
        <v>0</v>
      </c>
      <c r="V11">
        <f t="shared" si="3"/>
        <v>0</v>
      </c>
      <c r="X11">
        <f t="shared" si="10"/>
        <v>-0.87499999999999989</v>
      </c>
      <c r="Y11">
        <v>47</v>
      </c>
      <c r="Z11">
        <f t="shared" si="11"/>
        <v>71</v>
      </c>
      <c r="AA11">
        <f t="shared" si="4"/>
        <v>2.35E-2</v>
      </c>
      <c r="AB11">
        <f t="shared" si="5"/>
        <v>3.5499999999999997E-2</v>
      </c>
    </row>
    <row r="12" spans="1:28" x14ac:dyDescent="0.35">
      <c r="A12" s="231">
        <v>11</v>
      </c>
      <c r="B12" s="231">
        <v>81</v>
      </c>
      <c r="D12">
        <f t="shared" si="6"/>
        <v>-0.84999999999999987</v>
      </c>
      <c r="E12">
        <v>402</v>
      </c>
      <c r="F12">
        <f t="shared" si="7"/>
        <v>792</v>
      </c>
      <c r="G12">
        <f t="shared" si="0"/>
        <v>4.02E-2</v>
      </c>
      <c r="H12">
        <f t="shared" si="1"/>
        <v>7.9200000000000007E-2</v>
      </c>
      <c r="R12">
        <f t="shared" si="8"/>
        <v>-0.84999999999999987</v>
      </c>
      <c r="S12">
        <v>0</v>
      </c>
      <c r="T12">
        <f t="shared" si="9"/>
        <v>0</v>
      </c>
      <c r="U12">
        <f t="shared" si="2"/>
        <v>0</v>
      </c>
      <c r="V12">
        <f t="shared" si="3"/>
        <v>0</v>
      </c>
      <c r="X12">
        <f t="shared" si="10"/>
        <v>-0.84999999999999987</v>
      </c>
      <c r="Y12">
        <v>96</v>
      </c>
      <c r="Z12">
        <f t="shared" si="11"/>
        <v>167</v>
      </c>
      <c r="AA12">
        <f t="shared" si="4"/>
        <v>4.8000000000000001E-2</v>
      </c>
      <c r="AB12">
        <f t="shared" si="5"/>
        <v>8.3500000000000005E-2</v>
      </c>
    </row>
    <row r="13" spans="1:28" x14ac:dyDescent="0.35">
      <c r="A13" s="231">
        <v>19</v>
      </c>
      <c r="B13" s="231">
        <v>75</v>
      </c>
      <c r="D13">
        <f t="shared" si="6"/>
        <v>-0.82499999999999984</v>
      </c>
      <c r="E13">
        <v>654</v>
      </c>
      <c r="F13">
        <f t="shared" si="7"/>
        <v>1446</v>
      </c>
      <c r="G13">
        <f t="shared" si="0"/>
        <v>6.54E-2</v>
      </c>
      <c r="H13">
        <f t="shared" si="1"/>
        <v>0.14460000000000001</v>
      </c>
      <c r="R13">
        <f t="shared" si="8"/>
        <v>-0.82499999999999984</v>
      </c>
      <c r="S13">
        <v>0</v>
      </c>
      <c r="T13">
        <f t="shared" si="9"/>
        <v>0</v>
      </c>
      <c r="U13">
        <f t="shared" si="2"/>
        <v>0</v>
      </c>
      <c r="V13">
        <f t="shared" si="3"/>
        <v>0</v>
      </c>
      <c r="X13">
        <f t="shared" si="10"/>
        <v>-0.82499999999999984</v>
      </c>
      <c r="Y13">
        <v>106</v>
      </c>
      <c r="Z13">
        <f t="shared" si="11"/>
        <v>273</v>
      </c>
      <c r="AA13">
        <f t="shared" si="4"/>
        <v>5.2999999999999999E-2</v>
      </c>
      <c r="AB13">
        <f t="shared" si="5"/>
        <v>0.13650000000000001</v>
      </c>
    </row>
    <row r="14" spans="1:28" x14ac:dyDescent="0.35">
      <c r="A14" s="231">
        <v>14</v>
      </c>
      <c r="B14" s="231">
        <v>68</v>
      </c>
      <c r="D14">
        <f t="shared" si="6"/>
        <v>-0.79999999999999982</v>
      </c>
      <c r="E14">
        <v>782</v>
      </c>
      <c r="F14">
        <f t="shared" si="7"/>
        <v>2228</v>
      </c>
      <c r="G14">
        <f t="shared" si="0"/>
        <v>7.8200000000000006E-2</v>
      </c>
      <c r="H14">
        <f t="shared" si="1"/>
        <v>0.2228</v>
      </c>
      <c r="R14">
        <f t="shared" si="8"/>
        <v>-0.79999999999999982</v>
      </c>
      <c r="S14">
        <v>1</v>
      </c>
      <c r="T14">
        <f t="shared" si="9"/>
        <v>1</v>
      </c>
      <c r="U14">
        <f t="shared" si="2"/>
        <v>1E-4</v>
      </c>
      <c r="V14">
        <f t="shared" si="3"/>
        <v>1E-4</v>
      </c>
      <c r="X14">
        <f t="shared" si="10"/>
        <v>-0.79999999999999982</v>
      </c>
      <c r="Y14">
        <v>160</v>
      </c>
      <c r="Z14">
        <f t="shared" si="11"/>
        <v>433</v>
      </c>
      <c r="AA14">
        <f t="shared" si="4"/>
        <v>0.08</v>
      </c>
      <c r="AB14">
        <f t="shared" si="5"/>
        <v>0.2165</v>
      </c>
    </row>
    <row r="15" spans="1:28" x14ac:dyDescent="0.35">
      <c r="A15" s="231">
        <v>35</v>
      </c>
      <c r="B15" s="231">
        <v>72</v>
      </c>
      <c r="D15">
        <f t="shared" si="6"/>
        <v>-0.7749999999999998</v>
      </c>
      <c r="E15">
        <v>822</v>
      </c>
      <c r="F15">
        <f t="shared" si="7"/>
        <v>3050</v>
      </c>
      <c r="G15">
        <f t="shared" si="0"/>
        <v>8.2199999999999995E-2</v>
      </c>
      <c r="H15">
        <f t="shared" si="1"/>
        <v>0.30499999999999999</v>
      </c>
      <c r="R15">
        <f t="shared" si="8"/>
        <v>-0.7749999999999998</v>
      </c>
      <c r="S15">
        <v>3</v>
      </c>
      <c r="T15">
        <f t="shared" si="9"/>
        <v>4</v>
      </c>
      <c r="U15">
        <f t="shared" si="2"/>
        <v>2.9999999999999997E-4</v>
      </c>
      <c r="V15">
        <f t="shared" si="3"/>
        <v>4.0000000000000002E-4</v>
      </c>
      <c r="X15">
        <f t="shared" si="10"/>
        <v>-0.7749999999999998</v>
      </c>
      <c r="Y15">
        <v>172</v>
      </c>
      <c r="Z15">
        <f t="shared" si="11"/>
        <v>605</v>
      </c>
      <c r="AA15">
        <f t="shared" si="4"/>
        <v>8.5999999999999993E-2</v>
      </c>
      <c r="AB15">
        <f t="shared" si="5"/>
        <v>0.30249999999999999</v>
      </c>
    </row>
    <row r="16" spans="1:28" x14ac:dyDescent="0.35">
      <c r="A16" s="231">
        <v>29</v>
      </c>
      <c r="B16" s="231">
        <v>58</v>
      </c>
      <c r="D16">
        <f t="shared" si="6"/>
        <v>-0.74999999999999978</v>
      </c>
      <c r="E16">
        <v>836</v>
      </c>
      <c r="F16">
        <f t="shared" si="7"/>
        <v>3886</v>
      </c>
      <c r="G16">
        <f t="shared" si="0"/>
        <v>8.3599999999999994E-2</v>
      </c>
      <c r="H16">
        <f t="shared" si="1"/>
        <v>0.3886</v>
      </c>
      <c r="R16">
        <f t="shared" si="8"/>
        <v>-0.74999999999999978</v>
      </c>
      <c r="S16">
        <v>6</v>
      </c>
      <c r="T16">
        <f t="shared" si="9"/>
        <v>10</v>
      </c>
      <c r="U16">
        <f t="shared" si="2"/>
        <v>5.9999999999999995E-4</v>
      </c>
      <c r="V16">
        <f t="shared" si="3"/>
        <v>1E-3</v>
      </c>
      <c r="X16">
        <f t="shared" si="10"/>
        <v>-0.74999999999999978</v>
      </c>
      <c r="Y16">
        <v>165</v>
      </c>
      <c r="Z16">
        <f t="shared" si="11"/>
        <v>770</v>
      </c>
      <c r="AA16">
        <f t="shared" si="4"/>
        <v>8.2500000000000004E-2</v>
      </c>
      <c r="AB16">
        <f t="shared" si="5"/>
        <v>0.38500000000000001</v>
      </c>
    </row>
    <row r="17" spans="1:28" x14ac:dyDescent="0.35">
      <c r="A17" s="231">
        <v>4</v>
      </c>
      <c r="B17" s="231">
        <v>92</v>
      </c>
      <c r="D17">
        <f t="shared" si="6"/>
        <v>-0.72499999999999976</v>
      </c>
      <c r="E17">
        <v>858</v>
      </c>
      <c r="F17">
        <f t="shared" si="7"/>
        <v>4744</v>
      </c>
      <c r="G17">
        <f t="shared" si="0"/>
        <v>8.5800000000000001E-2</v>
      </c>
      <c r="H17">
        <f t="shared" si="1"/>
        <v>0.47439999999999999</v>
      </c>
      <c r="R17">
        <f t="shared" si="8"/>
        <v>-0.72499999999999976</v>
      </c>
      <c r="S17">
        <v>2</v>
      </c>
      <c r="T17">
        <f t="shared" si="9"/>
        <v>12</v>
      </c>
      <c r="U17">
        <f t="shared" si="2"/>
        <v>2.0000000000000001E-4</v>
      </c>
      <c r="V17">
        <f t="shared" si="3"/>
        <v>1.1999999999999999E-3</v>
      </c>
      <c r="X17">
        <f t="shared" si="10"/>
        <v>-0.72499999999999976</v>
      </c>
      <c r="Y17">
        <v>169</v>
      </c>
      <c r="Z17">
        <f t="shared" si="11"/>
        <v>939</v>
      </c>
      <c r="AA17">
        <f t="shared" si="4"/>
        <v>8.4500000000000006E-2</v>
      </c>
      <c r="AB17">
        <f t="shared" si="5"/>
        <v>0.46949999999999997</v>
      </c>
    </row>
    <row r="18" spans="1:28" x14ac:dyDescent="0.35">
      <c r="A18" s="232">
        <v>23</v>
      </c>
      <c r="B18" s="232">
        <v>65</v>
      </c>
      <c r="D18">
        <f t="shared" si="6"/>
        <v>-0.69999999999999973</v>
      </c>
      <c r="E18">
        <v>761</v>
      </c>
      <c r="F18">
        <f t="shared" si="7"/>
        <v>5505</v>
      </c>
      <c r="G18">
        <f t="shared" si="0"/>
        <v>7.6100000000000001E-2</v>
      </c>
      <c r="H18">
        <f t="shared" si="1"/>
        <v>0.55049999999999999</v>
      </c>
      <c r="R18">
        <f t="shared" si="8"/>
        <v>-0.69999999999999973</v>
      </c>
      <c r="S18">
        <v>7</v>
      </c>
      <c r="T18">
        <f t="shared" si="9"/>
        <v>19</v>
      </c>
      <c r="U18">
        <f t="shared" si="2"/>
        <v>6.9999999999999999E-4</v>
      </c>
      <c r="V18">
        <f t="shared" si="3"/>
        <v>1.9E-3</v>
      </c>
      <c r="X18">
        <f t="shared" si="10"/>
        <v>-0.69999999999999973</v>
      </c>
      <c r="Y18">
        <v>174</v>
      </c>
      <c r="Z18">
        <f t="shared" si="11"/>
        <v>1113</v>
      </c>
      <c r="AA18">
        <f t="shared" si="4"/>
        <v>8.6999999999999994E-2</v>
      </c>
      <c r="AB18">
        <f t="shared" si="5"/>
        <v>0.55649999999999999</v>
      </c>
    </row>
    <row r="19" spans="1:28" x14ac:dyDescent="0.35">
      <c r="D19">
        <f t="shared" si="6"/>
        <v>-0.67499999999999971</v>
      </c>
      <c r="E19">
        <v>649</v>
      </c>
      <c r="F19">
        <f t="shared" si="7"/>
        <v>6154</v>
      </c>
      <c r="G19">
        <f t="shared" si="0"/>
        <v>6.4899999999999999E-2</v>
      </c>
      <c r="H19">
        <f t="shared" si="1"/>
        <v>0.61539999999999995</v>
      </c>
      <c r="R19">
        <f t="shared" si="8"/>
        <v>-0.67499999999999971</v>
      </c>
      <c r="S19">
        <v>11</v>
      </c>
      <c r="T19">
        <f t="shared" si="9"/>
        <v>30</v>
      </c>
      <c r="U19">
        <f t="shared" si="2"/>
        <v>1.1000000000000001E-3</v>
      </c>
      <c r="V19">
        <f t="shared" si="3"/>
        <v>3.0000000000000001E-3</v>
      </c>
      <c r="X19">
        <f t="shared" si="10"/>
        <v>-0.67499999999999971</v>
      </c>
      <c r="Y19">
        <v>137</v>
      </c>
      <c r="Z19">
        <f t="shared" si="11"/>
        <v>1250</v>
      </c>
      <c r="AA19">
        <f t="shared" si="4"/>
        <v>6.8500000000000005E-2</v>
      </c>
      <c r="AB19">
        <f t="shared" si="5"/>
        <v>0.625</v>
      </c>
    </row>
    <row r="20" spans="1:28" x14ac:dyDescent="0.35">
      <c r="D20">
        <f t="shared" si="6"/>
        <v>-0.64999999999999969</v>
      </c>
      <c r="E20">
        <v>638</v>
      </c>
      <c r="F20">
        <f t="shared" si="7"/>
        <v>6792</v>
      </c>
      <c r="G20">
        <f t="shared" si="0"/>
        <v>6.3799999999999996E-2</v>
      </c>
      <c r="H20">
        <f t="shared" si="1"/>
        <v>0.67920000000000003</v>
      </c>
      <c r="R20">
        <f t="shared" si="8"/>
        <v>-0.64999999999999969</v>
      </c>
      <c r="S20">
        <v>15</v>
      </c>
      <c r="T20">
        <f t="shared" si="9"/>
        <v>45</v>
      </c>
      <c r="U20">
        <f t="shared" si="2"/>
        <v>1.5E-3</v>
      </c>
      <c r="V20">
        <f t="shared" si="3"/>
        <v>4.4999999999999997E-3</v>
      </c>
      <c r="X20">
        <f t="shared" si="10"/>
        <v>-0.64999999999999969</v>
      </c>
      <c r="Y20">
        <v>100</v>
      </c>
      <c r="Z20">
        <f t="shared" si="11"/>
        <v>1350</v>
      </c>
      <c r="AA20">
        <f t="shared" si="4"/>
        <v>0.05</v>
      </c>
      <c r="AB20">
        <f t="shared" si="5"/>
        <v>0.67500000000000004</v>
      </c>
    </row>
    <row r="21" spans="1:28" x14ac:dyDescent="0.35">
      <c r="D21">
        <f t="shared" si="6"/>
        <v>-0.62499999999999967</v>
      </c>
      <c r="E21">
        <v>516</v>
      </c>
      <c r="F21">
        <f t="shared" si="7"/>
        <v>7308</v>
      </c>
      <c r="G21">
        <f t="shared" si="0"/>
        <v>5.16E-2</v>
      </c>
      <c r="H21">
        <f t="shared" si="1"/>
        <v>0.73080000000000001</v>
      </c>
      <c r="R21">
        <f t="shared" si="8"/>
        <v>-0.62499999999999967</v>
      </c>
      <c r="S21">
        <v>26</v>
      </c>
      <c r="T21">
        <f t="shared" si="9"/>
        <v>71</v>
      </c>
      <c r="U21">
        <f t="shared" si="2"/>
        <v>2.5999999999999999E-3</v>
      </c>
      <c r="V21">
        <f t="shared" si="3"/>
        <v>7.1000000000000004E-3</v>
      </c>
      <c r="X21">
        <f t="shared" si="10"/>
        <v>-0.62499999999999967</v>
      </c>
      <c r="Y21">
        <v>106</v>
      </c>
      <c r="Z21">
        <f t="shared" si="11"/>
        <v>1456</v>
      </c>
      <c r="AA21">
        <f t="shared" si="4"/>
        <v>5.2999999999999999E-2</v>
      </c>
      <c r="AB21">
        <f t="shared" si="5"/>
        <v>0.72799999999999998</v>
      </c>
    </row>
    <row r="22" spans="1:28" x14ac:dyDescent="0.35">
      <c r="D22">
        <f t="shared" si="6"/>
        <v>-0.59999999999999964</v>
      </c>
      <c r="E22">
        <v>459</v>
      </c>
      <c r="F22">
        <f t="shared" si="7"/>
        <v>7767</v>
      </c>
      <c r="G22">
        <f t="shared" si="0"/>
        <v>4.5900000000000003E-2</v>
      </c>
      <c r="H22">
        <f t="shared" si="1"/>
        <v>0.77669999999999995</v>
      </c>
      <c r="R22">
        <f t="shared" si="8"/>
        <v>-0.59999999999999964</v>
      </c>
      <c r="S22">
        <v>31</v>
      </c>
      <c r="T22">
        <f t="shared" si="9"/>
        <v>102</v>
      </c>
      <c r="U22">
        <f t="shared" si="2"/>
        <v>3.0999999999999999E-3</v>
      </c>
      <c r="V22">
        <f t="shared" si="3"/>
        <v>1.0200000000000001E-2</v>
      </c>
      <c r="X22">
        <f t="shared" si="10"/>
        <v>-0.59999999999999964</v>
      </c>
      <c r="Y22">
        <v>90</v>
      </c>
      <c r="Z22">
        <f t="shared" si="11"/>
        <v>1546</v>
      </c>
      <c r="AA22">
        <f t="shared" si="4"/>
        <v>4.4999999999999998E-2</v>
      </c>
      <c r="AB22">
        <f t="shared" si="5"/>
        <v>0.77300000000000002</v>
      </c>
    </row>
    <row r="23" spans="1:28" x14ac:dyDescent="0.35">
      <c r="D23">
        <f t="shared" si="6"/>
        <v>-0.57499999999999962</v>
      </c>
      <c r="E23">
        <v>399</v>
      </c>
      <c r="F23">
        <f t="shared" si="7"/>
        <v>8166</v>
      </c>
      <c r="G23">
        <f t="shared" si="0"/>
        <v>3.9899999999999998E-2</v>
      </c>
      <c r="H23">
        <f t="shared" si="1"/>
        <v>0.81659999999999999</v>
      </c>
      <c r="R23">
        <f t="shared" si="8"/>
        <v>-0.57499999999999962</v>
      </c>
      <c r="S23">
        <v>39</v>
      </c>
      <c r="T23">
        <f t="shared" si="9"/>
        <v>141</v>
      </c>
      <c r="U23">
        <f t="shared" si="2"/>
        <v>3.8999999999999998E-3</v>
      </c>
      <c r="V23">
        <f t="shared" si="3"/>
        <v>1.41E-2</v>
      </c>
      <c r="X23">
        <f t="shared" si="10"/>
        <v>-0.57499999999999962</v>
      </c>
      <c r="Y23">
        <v>79</v>
      </c>
      <c r="Z23">
        <f t="shared" si="11"/>
        <v>1625</v>
      </c>
      <c r="AA23">
        <f t="shared" si="4"/>
        <v>3.95E-2</v>
      </c>
      <c r="AB23">
        <f t="shared" si="5"/>
        <v>0.8125</v>
      </c>
    </row>
    <row r="24" spans="1:28" x14ac:dyDescent="0.35">
      <c r="D24">
        <f t="shared" si="6"/>
        <v>-0.5499999999999996</v>
      </c>
      <c r="E24">
        <v>344</v>
      </c>
      <c r="F24">
        <f t="shared" si="7"/>
        <v>8510</v>
      </c>
      <c r="G24">
        <f t="shared" si="0"/>
        <v>3.44E-2</v>
      </c>
      <c r="H24">
        <f t="shared" si="1"/>
        <v>0.85099999999999998</v>
      </c>
      <c r="R24">
        <f t="shared" si="8"/>
        <v>-0.5499999999999996</v>
      </c>
      <c r="S24">
        <v>48</v>
      </c>
      <c r="T24">
        <f t="shared" si="9"/>
        <v>189</v>
      </c>
      <c r="U24">
        <f t="shared" si="2"/>
        <v>4.7999999999999996E-3</v>
      </c>
      <c r="V24">
        <f t="shared" si="3"/>
        <v>1.89E-2</v>
      </c>
      <c r="X24">
        <f t="shared" si="10"/>
        <v>-0.5499999999999996</v>
      </c>
      <c r="Y24">
        <v>57</v>
      </c>
      <c r="Z24">
        <f t="shared" si="11"/>
        <v>1682</v>
      </c>
      <c r="AA24">
        <f t="shared" si="4"/>
        <v>2.8500000000000001E-2</v>
      </c>
      <c r="AB24">
        <f t="shared" si="5"/>
        <v>0.84099999999999997</v>
      </c>
    </row>
    <row r="25" spans="1:28" x14ac:dyDescent="0.35">
      <c r="D25">
        <f t="shared" si="6"/>
        <v>-0.52499999999999958</v>
      </c>
      <c r="E25">
        <v>245</v>
      </c>
      <c r="F25">
        <f t="shared" si="7"/>
        <v>8755</v>
      </c>
      <c r="G25">
        <f t="shared" si="0"/>
        <v>2.4500000000000001E-2</v>
      </c>
      <c r="H25">
        <f t="shared" si="1"/>
        <v>0.87549999999999994</v>
      </c>
      <c r="R25">
        <f t="shared" si="8"/>
        <v>-0.52499999999999958</v>
      </c>
      <c r="S25">
        <v>67</v>
      </c>
      <c r="T25">
        <f t="shared" si="9"/>
        <v>256</v>
      </c>
      <c r="U25">
        <f t="shared" si="2"/>
        <v>6.7000000000000002E-3</v>
      </c>
      <c r="V25">
        <f t="shared" si="3"/>
        <v>2.5600000000000001E-2</v>
      </c>
      <c r="X25">
        <f t="shared" si="10"/>
        <v>-0.52499999999999958</v>
      </c>
      <c r="Y25">
        <v>62</v>
      </c>
      <c r="Z25">
        <f t="shared" si="11"/>
        <v>1744</v>
      </c>
      <c r="AA25">
        <f t="shared" si="4"/>
        <v>3.1E-2</v>
      </c>
      <c r="AB25">
        <f t="shared" si="5"/>
        <v>0.872</v>
      </c>
    </row>
    <row r="26" spans="1:28" x14ac:dyDescent="0.35">
      <c r="D26">
        <f t="shared" si="6"/>
        <v>-0.49999999999999956</v>
      </c>
      <c r="E26">
        <v>212</v>
      </c>
      <c r="F26">
        <f t="shared" si="7"/>
        <v>8967</v>
      </c>
      <c r="G26">
        <f t="shared" si="0"/>
        <v>2.12E-2</v>
      </c>
      <c r="H26">
        <f t="shared" si="1"/>
        <v>0.89670000000000005</v>
      </c>
      <c r="R26">
        <f t="shared" si="8"/>
        <v>-0.49999999999999956</v>
      </c>
      <c r="S26">
        <v>74</v>
      </c>
      <c r="T26">
        <f t="shared" si="9"/>
        <v>330</v>
      </c>
      <c r="U26">
        <f t="shared" si="2"/>
        <v>7.4000000000000003E-3</v>
      </c>
      <c r="V26">
        <f t="shared" si="3"/>
        <v>3.3000000000000002E-2</v>
      </c>
      <c r="X26">
        <f t="shared" si="10"/>
        <v>-0.49999999999999956</v>
      </c>
      <c r="Y26">
        <v>43</v>
      </c>
      <c r="Z26">
        <f t="shared" si="11"/>
        <v>1787</v>
      </c>
      <c r="AA26">
        <f t="shared" si="4"/>
        <v>2.1499999999999998E-2</v>
      </c>
      <c r="AB26">
        <f t="shared" si="5"/>
        <v>0.89349999999999996</v>
      </c>
    </row>
    <row r="27" spans="1:28" x14ac:dyDescent="0.35">
      <c r="D27">
        <f t="shared" si="6"/>
        <v>-0.47499999999999953</v>
      </c>
      <c r="E27">
        <v>203</v>
      </c>
      <c r="F27">
        <f t="shared" si="7"/>
        <v>9170</v>
      </c>
      <c r="G27">
        <f t="shared" si="0"/>
        <v>2.0299999999999999E-2</v>
      </c>
      <c r="H27">
        <f t="shared" si="1"/>
        <v>0.91700000000000004</v>
      </c>
      <c r="R27">
        <f t="shared" si="8"/>
        <v>-0.47499999999999953</v>
      </c>
      <c r="S27">
        <v>94</v>
      </c>
      <c r="T27">
        <f t="shared" si="9"/>
        <v>424</v>
      </c>
      <c r="U27">
        <f t="shared" si="2"/>
        <v>9.4000000000000004E-3</v>
      </c>
      <c r="V27">
        <f t="shared" si="3"/>
        <v>4.24E-2</v>
      </c>
      <c r="X27">
        <f t="shared" si="10"/>
        <v>-0.47499999999999953</v>
      </c>
      <c r="Y27">
        <v>30</v>
      </c>
      <c r="Z27">
        <f t="shared" si="11"/>
        <v>1817</v>
      </c>
      <c r="AA27">
        <f t="shared" si="4"/>
        <v>1.4999999999999999E-2</v>
      </c>
      <c r="AB27">
        <f t="shared" si="5"/>
        <v>0.90849999999999997</v>
      </c>
    </row>
    <row r="28" spans="1:28" x14ac:dyDescent="0.35">
      <c r="D28">
        <f t="shared" si="6"/>
        <v>-0.44999999999999951</v>
      </c>
      <c r="E28">
        <v>144</v>
      </c>
      <c r="F28">
        <f t="shared" si="7"/>
        <v>9314</v>
      </c>
      <c r="G28">
        <f t="shared" si="0"/>
        <v>1.44E-2</v>
      </c>
      <c r="H28">
        <f t="shared" si="1"/>
        <v>0.93140000000000001</v>
      </c>
      <c r="R28">
        <f t="shared" si="8"/>
        <v>-0.44999999999999951</v>
      </c>
      <c r="S28">
        <v>85</v>
      </c>
      <c r="T28">
        <f t="shared" si="9"/>
        <v>509</v>
      </c>
      <c r="U28">
        <f t="shared" si="2"/>
        <v>8.5000000000000006E-3</v>
      </c>
      <c r="V28">
        <f t="shared" si="3"/>
        <v>5.0900000000000001E-2</v>
      </c>
      <c r="X28">
        <f t="shared" si="10"/>
        <v>-0.44999999999999951</v>
      </c>
      <c r="Y28">
        <v>40</v>
      </c>
      <c r="Z28">
        <f t="shared" si="11"/>
        <v>1857</v>
      </c>
      <c r="AA28">
        <f t="shared" si="4"/>
        <v>0.02</v>
      </c>
      <c r="AB28">
        <f t="shared" si="5"/>
        <v>0.92849999999999999</v>
      </c>
    </row>
    <row r="29" spans="1:28" x14ac:dyDescent="0.35">
      <c r="D29">
        <f t="shared" si="6"/>
        <v>-0.42499999999999949</v>
      </c>
      <c r="E29">
        <v>118</v>
      </c>
      <c r="F29">
        <f t="shared" si="7"/>
        <v>9432</v>
      </c>
      <c r="G29">
        <f t="shared" si="0"/>
        <v>1.18E-2</v>
      </c>
      <c r="H29">
        <f t="shared" si="1"/>
        <v>0.94320000000000004</v>
      </c>
      <c r="R29">
        <f t="shared" si="8"/>
        <v>-0.42499999999999949</v>
      </c>
      <c r="S29">
        <v>105</v>
      </c>
      <c r="T29">
        <f t="shared" si="9"/>
        <v>614</v>
      </c>
      <c r="U29">
        <f t="shared" si="2"/>
        <v>1.0500000000000001E-2</v>
      </c>
      <c r="V29">
        <f t="shared" si="3"/>
        <v>6.1400000000000003E-2</v>
      </c>
      <c r="X29">
        <f t="shared" si="10"/>
        <v>-0.42499999999999949</v>
      </c>
      <c r="Y29">
        <v>30</v>
      </c>
      <c r="Z29">
        <f t="shared" si="11"/>
        <v>1887</v>
      </c>
      <c r="AA29">
        <f t="shared" si="4"/>
        <v>1.4999999999999999E-2</v>
      </c>
      <c r="AB29">
        <f t="shared" si="5"/>
        <v>0.94350000000000001</v>
      </c>
    </row>
    <row r="30" spans="1:28" x14ac:dyDescent="0.35">
      <c r="D30">
        <f t="shared" si="6"/>
        <v>-0.39999999999999947</v>
      </c>
      <c r="E30">
        <v>126</v>
      </c>
      <c r="F30">
        <f t="shared" si="7"/>
        <v>9558</v>
      </c>
      <c r="G30">
        <f t="shared" si="0"/>
        <v>1.26E-2</v>
      </c>
      <c r="H30">
        <f t="shared" si="1"/>
        <v>0.95579999999999998</v>
      </c>
      <c r="R30">
        <f t="shared" si="8"/>
        <v>-0.39999999999999947</v>
      </c>
      <c r="S30">
        <v>133</v>
      </c>
      <c r="T30">
        <f t="shared" si="9"/>
        <v>747</v>
      </c>
      <c r="U30">
        <f t="shared" si="2"/>
        <v>1.3299999999999999E-2</v>
      </c>
      <c r="V30">
        <f t="shared" si="3"/>
        <v>7.4700000000000003E-2</v>
      </c>
      <c r="X30">
        <f t="shared" si="10"/>
        <v>-0.39999999999999947</v>
      </c>
      <c r="Y30">
        <v>21</v>
      </c>
      <c r="Z30">
        <f t="shared" si="11"/>
        <v>1908</v>
      </c>
      <c r="AA30">
        <f t="shared" si="4"/>
        <v>1.0500000000000001E-2</v>
      </c>
      <c r="AB30">
        <f t="shared" si="5"/>
        <v>0.95399999999999996</v>
      </c>
    </row>
    <row r="31" spans="1:28" x14ac:dyDescent="0.35">
      <c r="D31">
        <f t="shared" si="6"/>
        <v>-0.37499999999999944</v>
      </c>
      <c r="E31">
        <v>94</v>
      </c>
      <c r="F31">
        <f t="shared" si="7"/>
        <v>9652</v>
      </c>
      <c r="G31">
        <f t="shared" si="0"/>
        <v>9.4000000000000004E-3</v>
      </c>
      <c r="H31">
        <f t="shared" si="1"/>
        <v>0.96519999999999995</v>
      </c>
      <c r="R31">
        <f t="shared" si="8"/>
        <v>-0.37499999999999944</v>
      </c>
      <c r="S31">
        <v>146</v>
      </c>
      <c r="T31">
        <f t="shared" si="9"/>
        <v>893</v>
      </c>
      <c r="U31">
        <f t="shared" si="2"/>
        <v>1.46E-2</v>
      </c>
      <c r="V31">
        <f t="shared" si="3"/>
        <v>8.9300000000000004E-2</v>
      </c>
      <c r="X31">
        <f t="shared" si="10"/>
        <v>-0.37499999999999944</v>
      </c>
      <c r="Y31">
        <v>11</v>
      </c>
      <c r="Z31">
        <f t="shared" si="11"/>
        <v>1919</v>
      </c>
      <c r="AA31">
        <f t="shared" si="4"/>
        <v>5.4999999999999997E-3</v>
      </c>
      <c r="AB31">
        <f t="shared" si="5"/>
        <v>0.95950000000000002</v>
      </c>
    </row>
    <row r="32" spans="1:28" x14ac:dyDescent="0.35">
      <c r="D32">
        <f t="shared" si="6"/>
        <v>-0.34999999999999942</v>
      </c>
      <c r="E32">
        <v>74</v>
      </c>
      <c r="F32">
        <f t="shared" si="7"/>
        <v>9726</v>
      </c>
      <c r="G32">
        <f t="shared" si="0"/>
        <v>7.4000000000000003E-3</v>
      </c>
      <c r="H32">
        <f t="shared" si="1"/>
        <v>0.97260000000000002</v>
      </c>
      <c r="R32">
        <f t="shared" si="8"/>
        <v>-0.34999999999999942</v>
      </c>
      <c r="S32">
        <v>156</v>
      </c>
      <c r="T32">
        <f t="shared" si="9"/>
        <v>1049</v>
      </c>
      <c r="U32">
        <f t="shared" si="2"/>
        <v>1.5599999999999999E-2</v>
      </c>
      <c r="V32">
        <f t="shared" si="3"/>
        <v>0.10489999999999999</v>
      </c>
      <c r="X32">
        <f t="shared" si="10"/>
        <v>-0.34999999999999942</v>
      </c>
      <c r="Y32">
        <v>14</v>
      </c>
      <c r="Z32">
        <f t="shared" si="11"/>
        <v>1933</v>
      </c>
      <c r="AA32">
        <f t="shared" si="4"/>
        <v>7.0000000000000001E-3</v>
      </c>
      <c r="AB32">
        <f t="shared" si="5"/>
        <v>0.96650000000000003</v>
      </c>
    </row>
    <row r="33" spans="4:28" x14ac:dyDescent="0.35">
      <c r="D33">
        <f t="shared" si="6"/>
        <v>-0.3249999999999994</v>
      </c>
      <c r="E33">
        <v>56</v>
      </c>
      <c r="F33">
        <f t="shared" si="7"/>
        <v>9782</v>
      </c>
      <c r="G33">
        <f t="shared" si="0"/>
        <v>5.5999999999999999E-3</v>
      </c>
      <c r="H33">
        <f t="shared" si="1"/>
        <v>0.97819999999999996</v>
      </c>
      <c r="R33">
        <f t="shared" si="8"/>
        <v>-0.3249999999999994</v>
      </c>
      <c r="S33">
        <v>188</v>
      </c>
      <c r="T33">
        <f t="shared" si="9"/>
        <v>1237</v>
      </c>
      <c r="U33">
        <f t="shared" si="2"/>
        <v>1.8800000000000001E-2</v>
      </c>
      <c r="V33">
        <f t="shared" si="3"/>
        <v>0.1237</v>
      </c>
      <c r="X33">
        <f t="shared" si="10"/>
        <v>-0.3249999999999994</v>
      </c>
      <c r="Y33">
        <v>18</v>
      </c>
      <c r="Z33">
        <f t="shared" si="11"/>
        <v>1951</v>
      </c>
      <c r="AA33">
        <f t="shared" si="4"/>
        <v>8.9999999999999993E-3</v>
      </c>
      <c r="AB33">
        <f t="shared" si="5"/>
        <v>0.97550000000000003</v>
      </c>
    </row>
    <row r="34" spans="4:28" x14ac:dyDescent="0.35">
      <c r="D34">
        <f t="shared" si="6"/>
        <v>-0.29999999999999938</v>
      </c>
      <c r="E34">
        <v>48</v>
      </c>
      <c r="F34">
        <f t="shared" si="7"/>
        <v>9830</v>
      </c>
      <c r="G34">
        <f t="shared" si="0"/>
        <v>4.7999999999999996E-3</v>
      </c>
      <c r="H34">
        <f t="shared" si="1"/>
        <v>0.98299999999999998</v>
      </c>
      <c r="R34">
        <f t="shared" si="8"/>
        <v>-0.29999999999999938</v>
      </c>
      <c r="S34">
        <v>213</v>
      </c>
      <c r="T34">
        <f t="shared" si="9"/>
        <v>1450</v>
      </c>
      <c r="U34">
        <f t="shared" si="2"/>
        <v>2.1299999999999999E-2</v>
      </c>
      <c r="V34">
        <f t="shared" si="3"/>
        <v>0.14499999999999999</v>
      </c>
      <c r="X34">
        <f t="shared" si="10"/>
        <v>-0.29999999999999938</v>
      </c>
      <c r="Y34">
        <v>9</v>
      </c>
      <c r="Z34">
        <f t="shared" si="11"/>
        <v>1960</v>
      </c>
      <c r="AA34">
        <f t="shared" si="4"/>
        <v>4.4999999999999997E-3</v>
      </c>
      <c r="AB34">
        <f t="shared" si="5"/>
        <v>0.98</v>
      </c>
    </row>
    <row r="35" spans="4:28" x14ac:dyDescent="0.35">
      <c r="D35">
        <f t="shared" si="6"/>
        <v>-0.27499999999999936</v>
      </c>
      <c r="E35">
        <v>38</v>
      </c>
      <c r="F35">
        <f t="shared" si="7"/>
        <v>9868</v>
      </c>
      <c r="G35">
        <f t="shared" si="0"/>
        <v>3.8E-3</v>
      </c>
      <c r="H35">
        <f t="shared" si="1"/>
        <v>0.98680000000000001</v>
      </c>
      <c r="R35">
        <f t="shared" si="8"/>
        <v>-0.27499999999999936</v>
      </c>
      <c r="S35">
        <v>232</v>
      </c>
      <c r="T35">
        <f t="shared" si="9"/>
        <v>1682</v>
      </c>
      <c r="U35">
        <f t="shared" si="2"/>
        <v>2.3199999999999998E-2</v>
      </c>
      <c r="V35">
        <f t="shared" si="3"/>
        <v>0.16819999999999999</v>
      </c>
      <c r="X35">
        <f t="shared" si="10"/>
        <v>-0.27499999999999936</v>
      </c>
      <c r="Y35">
        <v>8</v>
      </c>
      <c r="Z35">
        <f t="shared" si="11"/>
        <v>1968</v>
      </c>
      <c r="AA35">
        <f t="shared" si="4"/>
        <v>4.0000000000000001E-3</v>
      </c>
      <c r="AB35">
        <f t="shared" si="5"/>
        <v>0.98399999999999999</v>
      </c>
    </row>
    <row r="36" spans="4:28" x14ac:dyDescent="0.35">
      <c r="D36">
        <f t="shared" si="6"/>
        <v>-0.24999999999999936</v>
      </c>
      <c r="E36">
        <v>24</v>
      </c>
      <c r="F36">
        <f t="shared" si="7"/>
        <v>9892</v>
      </c>
      <c r="G36">
        <f t="shared" si="0"/>
        <v>2.3999999999999998E-3</v>
      </c>
      <c r="H36">
        <f t="shared" si="1"/>
        <v>0.98919999999999997</v>
      </c>
      <c r="R36">
        <f t="shared" si="8"/>
        <v>-0.24999999999999936</v>
      </c>
      <c r="S36">
        <v>234</v>
      </c>
      <c r="T36">
        <f t="shared" si="9"/>
        <v>1916</v>
      </c>
      <c r="U36">
        <f t="shared" si="2"/>
        <v>2.3400000000000001E-2</v>
      </c>
      <c r="V36">
        <f t="shared" si="3"/>
        <v>0.19159999999999999</v>
      </c>
      <c r="X36">
        <f t="shared" si="10"/>
        <v>-0.24999999999999936</v>
      </c>
      <c r="Y36">
        <v>8</v>
      </c>
      <c r="Z36">
        <f t="shared" si="11"/>
        <v>1976</v>
      </c>
      <c r="AA36">
        <f t="shared" si="4"/>
        <v>4.0000000000000001E-3</v>
      </c>
      <c r="AB36">
        <f t="shared" si="5"/>
        <v>0.98799999999999999</v>
      </c>
    </row>
    <row r="37" spans="4:28" x14ac:dyDescent="0.35">
      <c r="D37">
        <f t="shared" si="6"/>
        <v>-0.22499999999999937</v>
      </c>
      <c r="E37">
        <v>18</v>
      </c>
      <c r="F37">
        <f t="shared" si="7"/>
        <v>9910</v>
      </c>
      <c r="G37">
        <f t="shared" si="0"/>
        <v>1.8E-3</v>
      </c>
      <c r="H37">
        <f t="shared" si="1"/>
        <v>0.99099999999999999</v>
      </c>
      <c r="R37">
        <f t="shared" si="8"/>
        <v>-0.22499999999999937</v>
      </c>
      <c r="S37">
        <v>240</v>
      </c>
      <c r="T37">
        <f t="shared" si="9"/>
        <v>2156</v>
      </c>
      <c r="U37">
        <f t="shared" si="2"/>
        <v>2.4E-2</v>
      </c>
      <c r="V37">
        <f t="shared" si="3"/>
        <v>0.21560000000000001</v>
      </c>
      <c r="X37">
        <f t="shared" si="10"/>
        <v>-0.22499999999999937</v>
      </c>
      <c r="Y37">
        <v>5</v>
      </c>
      <c r="Z37">
        <f t="shared" si="11"/>
        <v>1981</v>
      </c>
      <c r="AA37">
        <f t="shared" si="4"/>
        <v>2.5000000000000001E-3</v>
      </c>
      <c r="AB37">
        <f t="shared" si="5"/>
        <v>0.99050000000000005</v>
      </c>
    </row>
    <row r="38" spans="4:28" x14ac:dyDescent="0.35">
      <c r="D38">
        <f t="shared" si="6"/>
        <v>-0.19999999999999937</v>
      </c>
      <c r="E38">
        <v>23</v>
      </c>
      <c r="F38">
        <f t="shared" si="7"/>
        <v>9933</v>
      </c>
      <c r="G38">
        <f t="shared" si="0"/>
        <v>2.3E-3</v>
      </c>
      <c r="H38">
        <f t="shared" si="1"/>
        <v>0.99329999999999996</v>
      </c>
      <c r="R38">
        <f t="shared" si="8"/>
        <v>-0.19999999999999937</v>
      </c>
      <c r="S38">
        <v>255</v>
      </c>
      <c r="T38">
        <f t="shared" si="9"/>
        <v>2411</v>
      </c>
      <c r="U38">
        <f t="shared" si="2"/>
        <v>2.5499999999999998E-2</v>
      </c>
      <c r="V38">
        <f t="shared" si="3"/>
        <v>0.24110000000000001</v>
      </c>
      <c r="X38">
        <f t="shared" si="10"/>
        <v>-0.19999999999999937</v>
      </c>
      <c r="Y38">
        <v>4</v>
      </c>
      <c r="Z38">
        <f t="shared" si="11"/>
        <v>1985</v>
      </c>
      <c r="AA38">
        <f t="shared" si="4"/>
        <v>2E-3</v>
      </c>
      <c r="AB38">
        <f t="shared" si="5"/>
        <v>0.99250000000000005</v>
      </c>
    </row>
    <row r="39" spans="4:28" x14ac:dyDescent="0.35">
      <c r="D39">
        <f t="shared" si="6"/>
        <v>-0.17499999999999938</v>
      </c>
      <c r="E39">
        <v>16</v>
      </c>
      <c r="F39">
        <f t="shared" si="7"/>
        <v>9949</v>
      </c>
      <c r="G39">
        <f t="shared" si="0"/>
        <v>1.6000000000000001E-3</v>
      </c>
      <c r="H39">
        <f t="shared" si="1"/>
        <v>0.99490000000000001</v>
      </c>
      <c r="R39">
        <f t="shared" si="8"/>
        <v>-0.17499999999999938</v>
      </c>
      <c r="S39">
        <v>276</v>
      </c>
      <c r="T39">
        <f t="shared" si="9"/>
        <v>2687</v>
      </c>
      <c r="U39">
        <f t="shared" si="2"/>
        <v>2.76E-2</v>
      </c>
      <c r="V39">
        <f t="shared" si="3"/>
        <v>0.26869999999999999</v>
      </c>
      <c r="X39">
        <f t="shared" si="10"/>
        <v>-0.17499999999999938</v>
      </c>
      <c r="Y39">
        <v>3</v>
      </c>
      <c r="Z39">
        <f t="shared" si="11"/>
        <v>1988</v>
      </c>
      <c r="AA39">
        <f t="shared" si="4"/>
        <v>1.5E-3</v>
      </c>
      <c r="AB39">
        <f t="shared" si="5"/>
        <v>0.99399999999999999</v>
      </c>
    </row>
    <row r="40" spans="4:28" x14ac:dyDescent="0.35">
      <c r="D40">
        <f t="shared" si="6"/>
        <v>-0.14999999999999938</v>
      </c>
      <c r="E40">
        <v>9</v>
      </c>
      <c r="F40">
        <f t="shared" si="7"/>
        <v>9958</v>
      </c>
      <c r="G40">
        <f t="shared" si="0"/>
        <v>8.9999999999999998E-4</v>
      </c>
      <c r="H40">
        <f t="shared" si="1"/>
        <v>0.99580000000000002</v>
      </c>
      <c r="R40">
        <f t="shared" si="8"/>
        <v>-0.14999999999999938</v>
      </c>
      <c r="S40">
        <v>285</v>
      </c>
      <c r="T40">
        <f t="shared" si="9"/>
        <v>2972</v>
      </c>
      <c r="U40">
        <f t="shared" si="2"/>
        <v>2.8500000000000001E-2</v>
      </c>
      <c r="V40">
        <f t="shared" si="3"/>
        <v>0.29720000000000002</v>
      </c>
      <c r="X40">
        <f t="shared" si="10"/>
        <v>-0.14999999999999938</v>
      </c>
      <c r="Y40">
        <v>1</v>
      </c>
      <c r="Z40">
        <f t="shared" si="11"/>
        <v>1989</v>
      </c>
      <c r="AA40">
        <f t="shared" si="4"/>
        <v>5.0000000000000001E-4</v>
      </c>
      <c r="AB40">
        <f t="shared" si="5"/>
        <v>0.99450000000000005</v>
      </c>
    </row>
    <row r="41" spans="4:28" x14ac:dyDescent="0.35">
      <c r="D41">
        <f t="shared" si="6"/>
        <v>-0.12499999999999939</v>
      </c>
      <c r="E41">
        <v>9</v>
      </c>
      <c r="F41">
        <f t="shared" si="7"/>
        <v>9967</v>
      </c>
      <c r="G41">
        <f t="shared" si="0"/>
        <v>8.9999999999999998E-4</v>
      </c>
      <c r="H41">
        <f t="shared" si="1"/>
        <v>0.99670000000000003</v>
      </c>
      <c r="R41">
        <f t="shared" si="8"/>
        <v>-0.12499999999999939</v>
      </c>
      <c r="S41">
        <v>314</v>
      </c>
      <c r="T41">
        <f t="shared" si="9"/>
        <v>3286</v>
      </c>
      <c r="U41">
        <f t="shared" si="2"/>
        <v>3.1399999999999997E-2</v>
      </c>
      <c r="V41">
        <f t="shared" si="3"/>
        <v>0.3286</v>
      </c>
      <c r="X41">
        <f t="shared" si="10"/>
        <v>-0.12499999999999939</v>
      </c>
      <c r="Y41">
        <v>1</v>
      </c>
      <c r="Z41">
        <f t="shared" si="11"/>
        <v>1990</v>
      </c>
      <c r="AA41">
        <f t="shared" si="4"/>
        <v>5.0000000000000001E-4</v>
      </c>
      <c r="AB41">
        <f t="shared" si="5"/>
        <v>0.995</v>
      </c>
    </row>
    <row r="42" spans="4:28" x14ac:dyDescent="0.35">
      <c r="D42">
        <f t="shared" si="6"/>
        <v>-9.9999999999999395E-2</v>
      </c>
      <c r="E42">
        <v>6</v>
      </c>
      <c r="F42">
        <f t="shared" si="7"/>
        <v>9973</v>
      </c>
      <c r="G42">
        <f t="shared" si="0"/>
        <v>5.9999999999999995E-4</v>
      </c>
      <c r="H42">
        <f t="shared" si="1"/>
        <v>0.99729999999999996</v>
      </c>
      <c r="R42">
        <f t="shared" si="8"/>
        <v>-9.9999999999999395E-2</v>
      </c>
      <c r="S42">
        <v>315</v>
      </c>
      <c r="T42">
        <f t="shared" si="9"/>
        <v>3601</v>
      </c>
      <c r="U42">
        <f t="shared" si="2"/>
        <v>3.15E-2</v>
      </c>
      <c r="V42">
        <f t="shared" si="3"/>
        <v>0.36009999999999998</v>
      </c>
      <c r="X42">
        <f t="shared" si="10"/>
        <v>-9.9999999999999395E-2</v>
      </c>
      <c r="Y42">
        <v>3</v>
      </c>
      <c r="Z42">
        <f t="shared" si="11"/>
        <v>1993</v>
      </c>
      <c r="AA42">
        <f t="shared" si="4"/>
        <v>1.5E-3</v>
      </c>
      <c r="AB42">
        <f t="shared" si="5"/>
        <v>0.99650000000000005</v>
      </c>
    </row>
    <row r="43" spans="4:28" x14ac:dyDescent="0.35">
      <c r="D43">
        <f t="shared" si="6"/>
        <v>-7.49999999999994E-2</v>
      </c>
      <c r="E43">
        <v>10</v>
      </c>
      <c r="F43">
        <f t="shared" si="7"/>
        <v>9983</v>
      </c>
      <c r="G43">
        <f t="shared" si="0"/>
        <v>1E-3</v>
      </c>
      <c r="H43">
        <f t="shared" si="1"/>
        <v>0.99829999999999997</v>
      </c>
      <c r="R43">
        <f t="shared" si="8"/>
        <v>-7.49999999999994E-2</v>
      </c>
      <c r="S43">
        <v>329</v>
      </c>
      <c r="T43">
        <f t="shared" si="9"/>
        <v>3930</v>
      </c>
      <c r="U43">
        <f t="shared" si="2"/>
        <v>3.2899999999999999E-2</v>
      </c>
      <c r="V43">
        <f t="shared" si="3"/>
        <v>0.39300000000000002</v>
      </c>
      <c r="X43">
        <f t="shared" si="10"/>
        <v>-7.49999999999994E-2</v>
      </c>
      <c r="Y43">
        <v>1</v>
      </c>
      <c r="Z43">
        <f t="shared" si="11"/>
        <v>1994</v>
      </c>
      <c r="AA43">
        <f t="shared" si="4"/>
        <v>5.0000000000000001E-4</v>
      </c>
      <c r="AB43">
        <f t="shared" si="5"/>
        <v>0.997</v>
      </c>
    </row>
    <row r="44" spans="4:28" x14ac:dyDescent="0.35">
      <c r="D44">
        <f t="shared" si="6"/>
        <v>-4.9999999999999399E-2</v>
      </c>
      <c r="E44">
        <v>3</v>
      </c>
      <c r="F44">
        <f t="shared" si="7"/>
        <v>9986</v>
      </c>
      <c r="G44">
        <f t="shared" si="0"/>
        <v>2.9999999999999997E-4</v>
      </c>
      <c r="H44">
        <f t="shared" si="1"/>
        <v>0.99860000000000004</v>
      </c>
      <c r="R44">
        <f t="shared" si="8"/>
        <v>-4.9999999999999399E-2</v>
      </c>
      <c r="S44">
        <v>353</v>
      </c>
      <c r="T44">
        <f t="shared" si="9"/>
        <v>4283</v>
      </c>
      <c r="U44">
        <f t="shared" si="2"/>
        <v>3.5299999999999998E-2</v>
      </c>
      <c r="V44">
        <f t="shared" si="3"/>
        <v>0.42830000000000001</v>
      </c>
      <c r="X44">
        <f t="shared" si="10"/>
        <v>-4.9999999999999399E-2</v>
      </c>
      <c r="Y44">
        <v>1</v>
      </c>
      <c r="Z44">
        <f t="shared" si="11"/>
        <v>1995</v>
      </c>
      <c r="AA44">
        <f t="shared" si="4"/>
        <v>5.0000000000000001E-4</v>
      </c>
      <c r="AB44">
        <f t="shared" si="5"/>
        <v>0.99750000000000005</v>
      </c>
    </row>
    <row r="45" spans="4:28" x14ac:dyDescent="0.35">
      <c r="D45">
        <f t="shared" si="6"/>
        <v>-2.4999999999999398E-2</v>
      </c>
      <c r="E45">
        <v>3</v>
      </c>
      <c r="F45">
        <f t="shared" si="7"/>
        <v>9989</v>
      </c>
      <c r="G45">
        <f t="shared" si="0"/>
        <v>2.9999999999999997E-4</v>
      </c>
      <c r="H45">
        <f t="shared" si="1"/>
        <v>0.99890000000000001</v>
      </c>
      <c r="R45">
        <f t="shared" si="8"/>
        <v>-2.4999999999999398E-2</v>
      </c>
      <c r="S45">
        <v>344</v>
      </c>
      <c r="T45">
        <f t="shared" si="9"/>
        <v>4627</v>
      </c>
      <c r="U45">
        <f t="shared" si="2"/>
        <v>3.44E-2</v>
      </c>
      <c r="V45">
        <f t="shared" si="3"/>
        <v>0.4627</v>
      </c>
      <c r="X45">
        <f t="shared" si="10"/>
        <v>-2.4999999999999398E-2</v>
      </c>
      <c r="Y45">
        <v>2</v>
      </c>
      <c r="Z45">
        <f t="shared" si="11"/>
        <v>1997</v>
      </c>
      <c r="AA45">
        <f t="shared" si="4"/>
        <v>1E-3</v>
      </c>
      <c r="AB45">
        <f t="shared" si="5"/>
        <v>0.99850000000000005</v>
      </c>
    </row>
    <row r="46" spans="4:28" x14ac:dyDescent="0.35">
      <c r="D46">
        <f t="shared" si="6"/>
        <v>6.0368376963992887E-16</v>
      </c>
      <c r="E46">
        <v>1</v>
      </c>
      <c r="F46">
        <f t="shared" si="7"/>
        <v>9990</v>
      </c>
      <c r="G46">
        <f t="shared" si="0"/>
        <v>1E-4</v>
      </c>
      <c r="H46">
        <f t="shared" si="1"/>
        <v>0.999</v>
      </c>
      <c r="R46">
        <f t="shared" si="8"/>
        <v>6.0368376963992887E-16</v>
      </c>
      <c r="S46">
        <v>366</v>
      </c>
      <c r="T46">
        <f t="shared" si="9"/>
        <v>4993</v>
      </c>
      <c r="U46">
        <f t="shared" si="2"/>
        <v>3.6600000000000001E-2</v>
      </c>
      <c r="V46">
        <f t="shared" si="3"/>
        <v>0.49930000000000002</v>
      </c>
      <c r="X46">
        <f t="shared" si="10"/>
        <v>6.0368376963992887E-16</v>
      </c>
      <c r="Y46">
        <v>0</v>
      </c>
      <c r="Z46">
        <f t="shared" si="11"/>
        <v>1997</v>
      </c>
      <c r="AA46">
        <f t="shared" si="4"/>
        <v>0</v>
      </c>
      <c r="AB46">
        <f t="shared" si="5"/>
        <v>0.99850000000000005</v>
      </c>
    </row>
    <row r="47" spans="4:28" x14ac:dyDescent="0.35">
      <c r="D47">
        <f t="shared" si="6"/>
        <v>2.5000000000000605E-2</v>
      </c>
      <c r="E47">
        <v>3</v>
      </c>
      <c r="F47">
        <f t="shared" si="7"/>
        <v>9993</v>
      </c>
      <c r="G47">
        <f t="shared" si="0"/>
        <v>2.9999999999999997E-4</v>
      </c>
      <c r="H47">
        <f t="shared" si="1"/>
        <v>0.99929999999999997</v>
      </c>
      <c r="R47">
        <f t="shared" si="8"/>
        <v>2.5000000000000605E-2</v>
      </c>
      <c r="S47">
        <v>354</v>
      </c>
      <c r="T47">
        <f t="shared" si="9"/>
        <v>5347</v>
      </c>
      <c r="U47">
        <f t="shared" si="2"/>
        <v>3.5400000000000001E-2</v>
      </c>
      <c r="V47">
        <f t="shared" si="3"/>
        <v>0.53469999999999995</v>
      </c>
      <c r="X47" s="159" t="s">
        <v>34</v>
      </c>
      <c r="Y47" s="159">
        <v>3</v>
      </c>
      <c r="Z47" s="159">
        <f t="shared" si="11"/>
        <v>2000</v>
      </c>
      <c r="AA47" s="159">
        <f t="shared" si="4"/>
        <v>1.5E-3</v>
      </c>
      <c r="AB47" s="159">
        <f t="shared" si="5"/>
        <v>1</v>
      </c>
    </row>
    <row r="48" spans="4:28" x14ac:dyDescent="0.35">
      <c r="D48">
        <f t="shared" si="6"/>
        <v>5.0000000000000606E-2</v>
      </c>
      <c r="E48">
        <v>1</v>
      </c>
      <c r="F48">
        <f t="shared" si="7"/>
        <v>9994</v>
      </c>
      <c r="G48">
        <f t="shared" si="0"/>
        <v>1E-4</v>
      </c>
      <c r="H48">
        <f t="shared" si="1"/>
        <v>0.99939999999999996</v>
      </c>
      <c r="R48">
        <f t="shared" si="8"/>
        <v>5.0000000000000606E-2</v>
      </c>
      <c r="S48">
        <v>365</v>
      </c>
      <c r="T48">
        <f t="shared" si="9"/>
        <v>5712</v>
      </c>
      <c r="U48">
        <f t="shared" si="2"/>
        <v>3.6499999999999998E-2</v>
      </c>
      <c r="V48">
        <f t="shared" si="3"/>
        <v>0.57120000000000004</v>
      </c>
      <c r="Y48">
        <f>SUM(Y6:Y47)</f>
        <v>2000</v>
      </c>
    </row>
    <row r="49" spans="4:25" x14ac:dyDescent="0.35">
      <c r="D49">
        <f t="shared" si="6"/>
        <v>7.5000000000000608E-2</v>
      </c>
      <c r="E49">
        <v>1</v>
      </c>
      <c r="F49">
        <f t="shared" si="7"/>
        <v>9995</v>
      </c>
      <c r="G49">
        <f t="shared" si="0"/>
        <v>1E-4</v>
      </c>
      <c r="H49">
        <f t="shared" si="1"/>
        <v>0.99950000000000006</v>
      </c>
      <c r="R49">
        <f t="shared" si="8"/>
        <v>7.5000000000000608E-2</v>
      </c>
      <c r="S49">
        <v>335</v>
      </c>
      <c r="T49">
        <f t="shared" si="9"/>
        <v>6047</v>
      </c>
      <c r="U49">
        <f t="shared" si="2"/>
        <v>3.3500000000000002E-2</v>
      </c>
      <c r="V49">
        <f t="shared" si="3"/>
        <v>0.60470000000000002</v>
      </c>
    </row>
    <row r="50" spans="4:25" x14ac:dyDescent="0.35">
      <c r="D50">
        <f t="shared" si="6"/>
        <v>0.10000000000000062</v>
      </c>
      <c r="E50">
        <v>1</v>
      </c>
      <c r="F50">
        <f t="shared" si="7"/>
        <v>9996</v>
      </c>
      <c r="G50">
        <f t="shared" si="0"/>
        <v>1E-4</v>
      </c>
      <c r="H50">
        <f t="shared" si="1"/>
        <v>0.99960000000000004</v>
      </c>
      <c r="R50">
        <f t="shared" si="8"/>
        <v>0.10000000000000062</v>
      </c>
      <c r="S50">
        <v>349</v>
      </c>
      <c r="T50">
        <f t="shared" si="9"/>
        <v>6396</v>
      </c>
      <c r="U50">
        <f t="shared" si="2"/>
        <v>3.49E-2</v>
      </c>
      <c r="V50">
        <f t="shared" si="3"/>
        <v>0.63959999999999995</v>
      </c>
      <c r="X50" t="s">
        <v>474</v>
      </c>
    </row>
    <row r="51" spans="4:25" x14ac:dyDescent="0.35">
      <c r="D51" s="159" t="s">
        <v>34</v>
      </c>
      <c r="E51" s="159">
        <v>4</v>
      </c>
      <c r="F51" s="159">
        <f t="shared" si="7"/>
        <v>10000</v>
      </c>
      <c r="G51" s="159">
        <f t="shared" si="0"/>
        <v>4.0000000000000002E-4</v>
      </c>
      <c r="H51" s="159">
        <f t="shared" si="1"/>
        <v>1</v>
      </c>
      <c r="R51">
        <f t="shared" si="8"/>
        <v>0.12500000000000061</v>
      </c>
      <c r="S51">
        <v>297</v>
      </c>
      <c r="T51">
        <f t="shared" si="9"/>
        <v>6693</v>
      </c>
      <c r="U51">
        <f t="shared" si="2"/>
        <v>2.9700000000000001E-2</v>
      </c>
      <c r="V51">
        <f t="shared" si="3"/>
        <v>0.66930000000000001</v>
      </c>
    </row>
    <row r="52" spans="4:25" x14ac:dyDescent="0.35">
      <c r="E52">
        <f>SUM(E6:E51)</f>
        <v>10000</v>
      </c>
      <c r="R52">
        <f t="shared" si="8"/>
        <v>0.15000000000000061</v>
      </c>
      <c r="S52">
        <v>318</v>
      </c>
      <c r="T52">
        <f t="shared" si="9"/>
        <v>7011</v>
      </c>
      <c r="U52">
        <f t="shared" si="2"/>
        <v>3.1800000000000002E-2</v>
      </c>
      <c r="V52">
        <f t="shared" si="3"/>
        <v>0.70109999999999995</v>
      </c>
      <c r="X52" t="s">
        <v>88</v>
      </c>
      <c r="Y52" s="225">
        <v>0.05</v>
      </c>
    </row>
    <row r="53" spans="4:25" x14ac:dyDescent="0.35">
      <c r="R53">
        <f t="shared" si="8"/>
        <v>0.1750000000000006</v>
      </c>
      <c r="S53">
        <v>323</v>
      </c>
      <c r="T53">
        <f t="shared" si="9"/>
        <v>7334</v>
      </c>
      <c r="U53">
        <f t="shared" si="2"/>
        <v>3.2300000000000002E-2</v>
      </c>
      <c r="V53">
        <f t="shared" si="3"/>
        <v>0.73340000000000005</v>
      </c>
      <c r="X53" t="s">
        <v>463</v>
      </c>
      <c r="Y53" s="147">
        <v>-0.71343017438658085</v>
      </c>
    </row>
    <row r="54" spans="4:25" x14ac:dyDescent="0.35">
      <c r="D54" t="s">
        <v>473</v>
      </c>
      <c r="R54">
        <f t="shared" si="8"/>
        <v>0.20000000000000059</v>
      </c>
      <c r="S54">
        <v>279</v>
      </c>
      <c r="T54">
        <f t="shared" si="9"/>
        <v>7613</v>
      </c>
      <c r="U54">
        <f t="shared" si="2"/>
        <v>2.7900000000000001E-2</v>
      </c>
      <c r="V54">
        <f t="shared" si="3"/>
        <v>0.76129999999999998</v>
      </c>
      <c r="X54" t="s">
        <v>464</v>
      </c>
      <c r="Y54" s="147">
        <v>0.46350000000000002</v>
      </c>
    </row>
    <row r="55" spans="4:25" x14ac:dyDescent="0.35">
      <c r="R55">
        <f t="shared" si="8"/>
        <v>0.22500000000000059</v>
      </c>
      <c r="S55">
        <v>300</v>
      </c>
      <c r="T55">
        <f t="shared" si="9"/>
        <v>7913</v>
      </c>
      <c r="U55">
        <f t="shared" si="2"/>
        <v>0.03</v>
      </c>
      <c r="V55">
        <f t="shared" si="3"/>
        <v>0.7913</v>
      </c>
      <c r="X55" t="s">
        <v>465</v>
      </c>
      <c r="Y55" s="147">
        <v>0.44350000000000001</v>
      </c>
    </row>
    <row r="56" spans="4:25" x14ac:dyDescent="0.35">
      <c r="D56" t="s">
        <v>88</v>
      </c>
      <c r="E56" s="225">
        <v>0.05</v>
      </c>
      <c r="R56">
        <f t="shared" si="8"/>
        <v>0.25000000000000061</v>
      </c>
      <c r="S56">
        <v>252</v>
      </c>
      <c r="T56">
        <f t="shared" si="9"/>
        <v>8165</v>
      </c>
      <c r="U56">
        <f t="shared" si="2"/>
        <v>2.52E-2</v>
      </c>
      <c r="V56">
        <f t="shared" si="3"/>
        <v>0.8165</v>
      </c>
      <c r="X56" t="s">
        <v>59</v>
      </c>
      <c r="Y56" s="155">
        <v>0.90700000000000003</v>
      </c>
    </row>
    <row r="57" spans="4:25" x14ac:dyDescent="0.35">
      <c r="D57" t="s">
        <v>463</v>
      </c>
      <c r="E57" s="147">
        <v>-0.71343017438658085</v>
      </c>
      <c r="R57">
        <f t="shared" si="8"/>
        <v>0.27500000000000063</v>
      </c>
      <c r="S57">
        <v>214</v>
      </c>
      <c r="T57">
        <f t="shared" si="9"/>
        <v>8379</v>
      </c>
      <c r="U57">
        <f t="shared" si="2"/>
        <v>2.1399999999999999E-2</v>
      </c>
      <c r="V57">
        <f t="shared" si="3"/>
        <v>0.83789999999999998</v>
      </c>
    </row>
    <row r="58" spans="4:25" x14ac:dyDescent="0.35">
      <c r="D58" t="s">
        <v>464</v>
      </c>
      <c r="E58" s="147">
        <v>0</v>
      </c>
      <c r="R58">
        <f t="shared" si="8"/>
        <v>0.30000000000000066</v>
      </c>
      <c r="S58">
        <v>251</v>
      </c>
      <c r="T58">
        <f t="shared" si="9"/>
        <v>8630</v>
      </c>
      <c r="U58">
        <f t="shared" si="2"/>
        <v>2.5100000000000001E-2</v>
      </c>
      <c r="V58">
        <f t="shared" si="3"/>
        <v>0.86299999999999999</v>
      </c>
      <c r="X58" t="s">
        <v>262</v>
      </c>
    </row>
    <row r="59" spans="4:25" x14ac:dyDescent="0.35">
      <c r="D59" t="s">
        <v>465</v>
      </c>
      <c r="E59" s="147">
        <v>1E-3</v>
      </c>
      <c r="R59">
        <f t="shared" si="8"/>
        <v>0.32500000000000068</v>
      </c>
      <c r="S59">
        <v>219</v>
      </c>
      <c r="T59">
        <f t="shared" si="9"/>
        <v>8849</v>
      </c>
      <c r="U59">
        <f t="shared" si="2"/>
        <v>2.1899999999999999E-2</v>
      </c>
      <c r="V59">
        <f t="shared" si="3"/>
        <v>0.88490000000000002</v>
      </c>
    </row>
    <row r="60" spans="4:25" x14ac:dyDescent="0.35">
      <c r="D60" t="s">
        <v>59</v>
      </c>
      <c r="E60" s="155">
        <v>1E-3</v>
      </c>
      <c r="R60">
        <f t="shared" si="8"/>
        <v>0.3500000000000007</v>
      </c>
      <c r="S60">
        <v>185</v>
      </c>
      <c r="T60">
        <f t="shared" si="9"/>
        <v>9034</v>
      </c>
      <c r="U60">
        <f t="shared" si="2"/>
        <v>1.8499999999999999E-2</v>
      </c>
      <c r="V60">
        <f t="shared" si="3"/>
        <v>0.90339999999999998</v>
      </c>
      <c r="X60" t="s">
        <v>5</v>
      </c>
      <c r="Y60" s="225">
        <v>-0.68624053829827714</v>
      </c>
    </row>
    <row r="61" spans="4:25" x14ac:dyDescent="0.35">
      <c r="R61">
        <f t="shared" si="8"/>
        <v>0.37500000000000072</v>
      </c>
      <c r="S61">
        <v>157</v>
      </c>
      <c r="T61">
        <f t="shared" si="9"/>
        <v>9191</v>
      </c>
      <c r="U61">
        <f t="shared" si="2"/>
        <v>1.5699999999999999E-2</v>
      </c>
      <c r="V61">
        <f t="shared" si="3"/>
        <v>0.91910000000000003</v>
      </c>
      <c r="X61" t="s">
        <v>7</v>
      </c>
      <c r="Y61" s="147">
        <v>0.14666564476565175</v>
      </c>
    </row>
    <row r="62" spans="4:25" x14ac:dyDescent="0.35">
      <c r="D62" t="s">
        <v>262</v>
      </c>
      <c r="R62">
        <f t="shared" si="8"/>
        <v>0.40000000000000074</v>
      </c>
      <c r="S62">
        <v>155</v>
      </c>
      <c r="T62">
        <f t="shared" si="9"/>
        <v>9346</v>
      </c>
      <c r="U62">
        <f t="shared" si="2"/>
        <v>1.55E-2</v>
      </c>
      <c r="V62">
        <f t="shared" si="3"/>
        <v>0.93459999999999999</v>
      </c>
      <c r="X62" t="s">
        <v>29</v>
      </c>
      <c r="Y62" s="147">
        <v>-0.88271748136839134</v>
      </c>
    </row>
    <row r="63" spans="4:25" x14ac:dyDescent="0.35">
      <c r="R63">
        <f t="shared" si="8"/>
        <v>0.42500000000000077</v>
      </c>
      <c r="S63">
        <v>130</v>
      </c>
      <c r="T63">
        <f t="shared" si="9"/>
        <v>9476</v>
      </c>
      <c r="U63">
        <f t="shared" si="2"/>
        <v>1.2999999999999999E-2</v>
      </c>
      <c r="V63">
        <f t="shared" si="3"/>
        <v>0.9476</v>
      </c>
      <c r="X63" t="s">
        <v>30</v>
      </c>
      <c r="Y63" s="155">
        <v>-0.3295235805536223</v>
      </c>
    </row>
    <row r="64" spans="4:25" x14ac:dyDescent="0.35">
      <c r="D64" t="s">
        <v>5</v>
      </c>
      <c r="E64" s="225">
        <v>-0.68856988671564345</v>
      </c>
      <c r="R64">
        <f t="shared" si="8"/>
        <v>0.45000000000000079</v>
      </c>
      <c r="S64">
        <v>117</v>
      </c>
      <c r="T64">
        <f t="shared" si="9"/>
        <v>9593</v>
      </c>
      <c r="U64">
        <f t="shared" si="2"/>
        <v>1.17E-2</v>
      </c>
      <c r="V64">
        <f t="shared" si="3"/>
        <v>0.95930000000000004</v>
      </c>
    </row>
    <row r="65" spans="4:22" x14ac:dyDescent="0.35">
      <c r="D65" t="s">
        <v>7</v>
      </c>
      <c r="E65" s="147">
        <v>0.14238134412504061</v>
      </c>
      <c r="R65">
        <f t="shared" si="8"/>
        <v>0.47500000000000081</v>
      </c>
      <c r="S65">
        <v>84</v>
      </c>
      <c r="T65">
        <f t="shared" si="9"/>
        <v>9677</v>
      </c>
      <c r="U65">
        <f t="shared" si="2"/>
        <v>8.3999999999999995E-3</v>
      </c>
      <c r="V65">
        <f t="shared" si="3"/>
        <v>0.9677</v>
      </c>
    </row>
    <row r="66" spans="4:22" x14ac:dyDescent="0.35">
      <c r="D66" t="s">
        <v>29</v>
      </c>
      <c r="E66" s="147">
        <v>-0.88663660873942485</v>
      </c>
      <c r="R66">
        <f t="shared" si="8"/>
        <v>0.50000000000000078</v>
      </c>
      <c r="S66">
        <v>78</v>
      </c>
      <c r="T66">
        <f t="shared" si="9"/>
        <v>9755</v>
      </c>
      <c r="U66">
        <f t="shared" si="2"/>
        <v>7.7999999999999996E-3</v>
      </c>
      <c r="V66">
        <f t="shared" si="3"/>
        <v>0.97550000000000003</v>
      </c>
    </row>
    <row r="67" spans="4:22" x14ac:dyDescent="0.35">
      <c r="D67" t="s">
        <v>30</v>
      </c>
      <c r="E67" s="155">
        <v>-0.34064275055361937</v>
      </c>
      <c r="R67">
        <f t="shared" si="8"/>
        <v>0.5250000000000008</v>
      </c>
      <c r="S67">
        <v>53</v>
      </c>
      <c r="T67">
        <f t="shared" si="9"/>
        <v>9808</v>
      </c>
      <c r="U67">
        <f t="shared" si="2"/>
        <v>5.3E-3</v>
      </c>
      <c r="V67">
        <f t="shared" si="3"/>
        <v>0.98080000000000001</v>
      </c>
    </row>
    <row r="68" spans="4:22" x14ac:dyDescent="0.35">
      <c r="R68">
        <f t="shared" si="8"/>
        <v>0.55000000000000082</v>
      </c>
      <c r="S68">
        <v>48</v>
      </c>
      <c r="T68">
        <f t="shared" si="9"/>
        <v>9856</v>
      </c>
      <c r="U68">
        <f t="shared" si="2"/>
        <v>4.7999999999999996E-3</v>
      </c>
      <c r="V68">
        <f t="shared" si="3"/>
        <v>0.98560000000000003</v>
      </c>
    </row>
    <row r="69" spans="4:22" x14ac:dyDescent="0.35">
      <c r="R69">
        <f t="shared" si="8"/>
        <v>0.57500000000000084</v>
      </c>
      <c r="S69">
        <v>41</v>
      </c>
      <c r="T69">
        <f t="shared" si="9"/>
        <v>9897</v>
      </c>
      <c r="U69">
        <f t="shared" si="2"/>
        <v>4.1000000000000003E-3</v>
      </c>
      <c r="V69">
        <f t="shared" si="3"/>
        <v>0.98970000000000002</v>
      </c>
    </row>
    <row r="70" spans="4:22" x14ac:dyDescent="0.35">
      <c r="R70">
        <f t="shared" si="8"/>
        <v>0.60000000000000087</v>
      </c>
      <c r="S70">
        <v>32</v>
      </c>
      <c r="T70">
        <f t="shared" si="9"/>
        <v>9929</v>
      </c>
      <c r="U70">
        <f t="shared" si="2"/>
        <v>3.2000000000000002E-3</v>
      </c>
      <c r="V70">
        <f t="shared" si="3"/>
        <v>0.9929</v>
      </c>
    </row>
    <row r="71" spans="4:22" x14ac:dyDescent="0.35">
      <c r="R71">
        <f t="shared" si="8"/>
        <v>0.62500000000000089</v>
      </c>
      <c r="S71">
        <v>22</v>
      </c>
      <c r="T71">
        <f t="shared" si="9"/>
        <v>9951</v>
      </c>
      <c r="U71">
        <f t="shared" ref="U71:U87" si="12">S71/S$88</f>
        <v>2.2000000000000001E-3</v>
      </c>
      <c r="V71">
        <f t="shared" ref="V71:V87" si="13">T71/S$88</f>
        <v>0.99509999999999998</v>
      </c>
    </row>
    <row r="72" spans="4:22" x14ac:dyDescent="0.35">
      <c r="R72">
        <f t="shared" ref="R72:R86" si="14">R71+0.025</f>
        <v>0.65000000000000091</v>
      </c>
      <c r="S72">
        <v>19</v>
      </c>
      <c r="T72">
        <f t="shared" ref="T72:T87" si="15">T71+S72</f>
        <v>9970</v>
      </c>
      <c r="U72">
        <f t="shared" si="12"/>
        <v>1.9E-3</v>
      </c>
      <c r="V72">
        <f t="shared" si="13"/>
        <v>0.997</v>
      </c>
    </row>
    <row r="73" spans="4:22" x14ac:dyDescent="0.35">
      <c r="R73">
        <f t="shared" si="14"/>
        <v>0.67500000000000093</v>
      </c>
      <c r="S73">
        <v>9</v>
      </c>
      <c r="T73">
        <f t="shared" si="15"/>
        <v>9979</v>
      </c>
      <c r="U73">
        <f t="shared" si="12"/>
        <v>8.9999999999999998E-4</v>
      </c>
      <c r="V73">
        <f t="shared" si="13"/>
        <v>0.99790000000000001</v>
      </c>
    </row>
    <row r="74" spans="4:22" x14ac:dyDescent="0.35">
      <c r="R74">
        <f t="shared" si="14"/>
        <v>0.70000000000000095</v>
      </c>
      <c r="S74">
        <v>8</v>
      </c>
      <c r="T74">
        <f t="shared" si="15"/>
        <v>9987</v>
      </c>
      <c r="U74">
        <f t="shared" si="12"/>
        <v>8.0000000000000004E-4</v>
      </c>
      <c r="V74">
        <f t="shared" si="13"/>
        <v>0.99870000000000003</v>
      </c>
    </row>
    <row r="75" spans="4:22" x14ac:dyDescent="0.35">
      <c r="R75">
        <f t="shared" si="14"/>
        <v>0.72500000000000098</v>
      </c>
      <c r="S75">
        <v>4</v>
      </c>
      <c r="T75">
        <f t="shared" si="15"/>
        <v>9991</v>
      </c>
      <c r="U75">
        <f t="shared" si="12"/>
        <v>4.0000000000000002E-4</v>
      </c>
      <c r="V75">
        <f t="shared" si="13"/>
        <v>0.99909999999999999</v>
      </c>
    </row>
    <row r="76" spans="4:22" x14ac:dyDescent="0.35">
      <c r="R76">
        <f t="shared" si="14"/>
        <v>0.750000000000001</v>
      </c>
      <c r="S76">
        <v>3</v>
      </c>
      <c r="T76">
        <f t="shared" si="15"/>
        <v>9994</v>
      </c>
      <c r="U76">
        <f t="shared" si="12"/>
        <v>2.9999999999999997E-4</v>
      </c>
      <c r="V76">
        <f t="shared" si="13"/>
        <v>0.99939999999999996</v>
      </c>
    </row>
    <row r="77" spans="4:22" x14ac:dyDescent="0.35">
      <c r="R77">
        <f t="shared" si="14"/>
        <v>0.77500000000000102</v>
      </c>
      <c r="S77">
        <v>2</v>
      </c>
      <c r="T77">
        <f t="shared" si="15"/>
        <v>9996</v>
      </c>
      <c r="U77">
        <f t="shared" si="12"/>
        <v>2.0000000000000001E-4</v>
      </c>
      <c r="V77">
        <f t="shared" si="13"/>
        <v>0.99960000000000004</v>
      </c>
    </row>
    <row r="78" spans="4:22" x14ac:dyDescent="0.35">
      <c r="R78">
        <f t="shared" si="14"/>
        <v>0.80000000000000104</v>
      </c>
      <c r="S78">
        <v>2</v>
      </c>
      <c r="T78">
        <f t="shared" si="15"/>
        <v>9998</v>
      </c>
      <c r="U78">
        <f t="shared" si="12"/>
        <v>2.0000000000000001E-4</v>
      </c>
      <c r="V78">
        <f t="shared" si="13"/>
        <v>0.99980000000000002</v>
      </c>
    </row>
    <row r="79" spans="4:22" x14ac:dyDescent="0.35">
      <c r="R79">
        <f t="shared" si="14"/>
        <v>0.82500000000000107</v>
      </c>
      <c r="S79">
        <v>2</v>
      </c>
      <c r="T79">
        <f t="shared" si="15"/>
        <v>10000</v>
      </c>
      <c r="U79">
        <f t="shared" si="12"/>
        <v>2.0000000000000001E-4</v>
      </c>
      <c r="V79">
        <f t="shared" si="13"/>
        <v>1</v>
      </c>
    </row>
    <row r="80" spans="4:22" x14ac:dyDescent="0.35">
      <c r="R80">
        <f t="shared" si="14"/>
        <v>0.85000000000000109</v>
      </c>
      <c r="S80">
        <v>0</v>
      </c>
      <c r="T80">
        <f t="shared" si="15"/>
        <v>10000</v>
      </c>
      <c r="U80">
        <f t="shared" si="12"/>
        <v>0</v>
      </c>
      <c r="V80">
        <f t="shared" si="13"/>
        <v>1</v>
      </c>
    </row>
    <row r="81" spans="18:22" x14ac:dyDescent="0.35">
      <c r="R81">
        <f t="shared" si="14"/>
        <v>0.87500000000000111</v>
      </c>
      <c r="S81">
        <v>0</v>
      </c>
      <c r="T81">
        <f t="shared" si="15"/>
        <v>10000</v>
      </c>
      <c r="U81">
        <f t="shared" si="12"/>
        <v>0</v>
      </c>
      <c r="V81">
        <f t="shared" si="13"/>
        <v>1</v>
      </c>
    </row>
    <row r="82" spans="18:22" x14ac:dyDescent="0.35">
      <c r="R82">
        <f t="shared" si="14"/>
        <v>0.90000000000000113</v>
      </c>
      <c r="S82">
        <v>0</v>
      </c>
      <c r="T82">
        <f t="shared" si="15"/>
        <v>10000</v>
      </c>
      <c r="U82">
        <f t="shared" si="12"/>
        <v>0</v>
      </c>
      <c r="V82">
        <f t="shared" si="13"/>
        <v>1</v>
      </c>
    </row>
    <row r="83" spans="18:22" x14ac:dyDescent="0.35">
      <c r="R83">
        <f t="shared" si="14"/>
        <v>0.92500000000000115</v>
      </c>
      <c r="S83">
        <v>0</v>
      </c>
      <c r="T83">
        <f t="shared" si="15"/>
        <v>10000</v>
      </c>
      <c r="U83">
        <f t="shared" si="12"/>
        <v>0</v>
      </c>
      <c r="V83">
        <f t="shared" si="13"/>
        <v>1</v>
      </c>
    </row>
    <row r="84" spans="18:22" x14ac:dyDescent="0.35">
      <c r="R84">
        <f t="shared" si="14"/>
        <v>0.95000000000000118</v>
      </c>
      <c r="S84">
        <v>0</v>
      </c>
      <c r="T84">
        <f t="shared" si="15"/>
        <v>10000</v>
      </c>
      <c r="U84">
        <f t="shared" si="12"/>
        <v>0</v>
      </c>
      <c r="V84">
        <f t="shared" si="13"/>
        <v>1</v>
      </c>
    </row>
    <row r="85" spans="18:22" x14ac:dyDescent="0.35">
      <c r="R85">
        <f t="shared" si="14"/>
        <v>0.9750000000000012</v>
      </c>
      <c r="S85">
        <v>0</v>
      </c>
      <c r="T85">
        <f t="shared" si="15"/>
        <v>10000</v>
      </c>
      <c r="U85">
        <f t="shared" si="12"/>
        <v>0</v>
      </c>
      <c r="V85">
        <f t="shared" si="13"/>
        <v>1</v>
      </c>
    </row>
    <row r="86" spans="18:22" x14ac:dyDescent="0.35">
      <c r="R86">
        <f t="shared" si="14"/>
        <v>1.0000000000000011</v>
      </c>
      <c r="S86">
        <v>0</v>
      </c>
      <c r="T86">
        <f t="shared" si="15"/>
        <v>10000</v>
      </c>
      <c r="U86">
        <f t="shared" si="12"/>
        <v>0</v>
      </c>
      <c r="V86">
        <f t="shared" si="13"/>
        <v>1</v>
      </c>
    </row>
    <row r="87" spans="18:22" x14ac:dyDescent="0.35">
      <c r="R87" s="159" t="s">
        <v>34</v>
      </c>
      <c r="S87" s="159">
        <v>0</v>
      </c>
      <c r="T87" s="159">
        <f t="shared" si="15"/>
        <v>10000</v>
      </c>
      <c r="U87" s="159">
        <f t="shared" si="12"/>
        <v>0</v>
      </c>
      <c r="V87" s="159">
        <f t="shared" si="13"/>
        <v>1</v>
      </c>
    </row>
    <row r="88" spans="18:22" x14ac:dyDescent="0.35">
      <c r="S88">
        <f>SUM(S6:S87)</f>
        <v>10000</v>
      </c>
    </row>
    <row r="90" spans="18:22" x14ac:dyDescent="0.35">
      <c r="R90" t="s">
        <v>473</v>
      </c>
    </row>
    <row r="92" spans="18:22" x14ac:dyDescent="0.35">
      <c r="R92" t="s">
        <v>88</v>
      </c>
      <c r="S92" s="225">
        <v>0.05</v>
      </c>
    </row>
    <row r="93" spans="18:22" x14ac:dyDescent="0.35">
      <c r="R93" t="s">
        <v>463</v>
      </c>
      <c r="S93" s="147">
        <v>-0.71343017438658085</v>
      </c>
    </row>
    <row r="94" spans="18:22" x14ac:dyDescent="0.35">
      <c r="R94" t="s">
        <v>464</v>
      </c>
      <c r="S94" s="147">
        <v>1.4E-3</v>
      </c>
    </row>
    <row r="95" spans="18:22" x14ac:dyDescent="0.35">
      <c r="R95" t="s">
        <v>465</v>
      </c>
      <c r="S95" s="147">
        <v>1.1000000000000001E-3</v>
      </c>
    </row>
    <row r="96" spans="18:22" x14ac:dyDescent="0.35">
      <c r="R96" t="s">
        <v>59</v>
      </c>
      <c r="S96" s="155">
        <v>2.5000000000000001E-3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2"/>
  <dimension ref="A1:B14"/>
  <sheetViews>
    <sheetView workbookViewId="0"/>
  </sheetViews>
  <sheetFormatPr defaultRowHeight="14.5" x14ac:dyDescent="0.35"/>
  <sheetData>
    <row r="1" spans="1:2" x14ac:dyDescent="0.35">
      <c r="A1" s="1" t="s">
        <v>296</v>
      </c>
    </row>
    <row r="3" spans="1:2" x14ac:dyDescent="0.35">
      <c r="A3" s="66" t="s">
        <v>95</v>
      </c>
      <c r="B3" s="107">
        <v>0.19700000000000001</v>
      </c>
    </row>
    <row r="4" spans="1:2" x14ac:dyDescent="0.35">
      <c r="A4" s="91" t="s">
        <v>179</v>
      </c>
      <c r="B4" s="117">
        <v>0</v>
      </c>
    </row>
    <row r="5" spans="1:2" x14ac:dyDescent="0.35">
      <c r="A5" s="66" t="s">
        <v>31</v>
      </c>
      <c r="B5" s="100">
        <v>100</v>
      </c>
    </row>
    <row r="6" spans="1:2" x14ac:dyDescent="0.35">
      <c r="A6" s="66" t="s">
        <v>53</v>
      </c>
      <c r="B6" s="100">
        <f>B5-2</f>
        <v>98</v>
      </c>
    </row>
    <row r="7" spans="1:2" ht="16.5" x14ac:dyDescent="0.45">
      <c r="A7" s="66" t="s">
        <v>104</v>
      </c>
      <c r="B7" s="100">
        <f>SQRT((1-B3^2)/B6)</f>
        <v>9.9035707846066454E-2</v>
      </c>
    </row>
    <row r="8" spans="1:2" x14ac:dyDescent="0.35">
      <c r="A8" s="66" t="s">
        <v>56</v>
      </c>
      <c r="B8" s="100">
        <f>B3/B7</f>
        <v>1.9891815213377559</v>
      </c>
    </row>
    <row r="9" spans="1:2" x14ac:dyDescent="0.35">
      <c r="A9" s="66" t="s">
        <v>44</v>
      </c>
      <c r="B9" s="100">
        <v>0.05</v>
      </c>
    </row>
    <row r="10" spans="1:2" x14ac:dyDescent="0.35">
      <c r="A10" s="66" t="s">
        <v>60</v>
      </c>
      <c r="B10" s="100">
        <f>TINV(B9,B6)</f>
        <v>1.9844674545084788</v>
      </c>
    </row>
    <row r="11" spans="1:2" x14ac:dyDescent="0.35">
      <c r="A11" s="66" t="s">
        <v>59</v>
      </c>
      <c r="B11" s="117">
        <f>TDIST(ABS(B8),B6,2)</f>
        <v>4.9468766956677193E-2</v>
      </c>
    </row>
    <row r="12" spans="1:2" x14ac:dyDescent="0.35">
      <c r="A12" s="66" t="s">
        <v>270</v>
      </c>
      <c r="B12" s="120" t="str">
        <f>IF(B11&lt;B9,"yes","no")</f>
        <v>yes</v>
      </c>
    </row>
    <row r="14" spans="1:2" ht="16.5" x14ac:dyDescent="0.35">
      <c r="A14" t="s">
        <v>258</v>
      </c>
      <c r="B14" s="109">
        <f>B3^2</f>
        <v>3.8809000000000003E-2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65"/>
  <dimension ref="A1:AA29"/>
  <sheetViews>
    <sheetView workbookViewId="0"/>
  </sheetViews>
  <sheetFormatPr defaultRowHeight="14.5" x14ac:dyDescent="0.35"/>
  <cols>
    <col min="1" max="1" width="7.54296875" customWidth="1"/>
    <col min="3" max="3" width="3.1796875" customWidth="1"/>
    <col min="4" max="4" width="23.26953125" customWidth="1"/>
    <col min="5" max="5" width="3.1796875" customWidth="1"/>
    <col min="6" max="6" width="7.54296875" customWidth="1"/>
    <col min="8" max="8" width="3.1796875" customWidth="1"/>
    <col min="9" max="9" width="24.54296875" customWidth="1"/>
    <col min="10" max="10" width="3.1796875" customWidth="1"/>
    <col min="11" max="11" width="7.7265625" customWidth="1"/>
    <col min="13" max="13" width="3.1796875" customWidth="1"/>
    <col min="14" max="14" width="31.7265625" customWidth="1"/>
    <col min="15" max="15" width="3.1796875" customWidth="1"/>
    <col min="18" max="18" width="3.1796875" customWidth="1"/>
    <col min="19" max="19" width="23.54296875" customWidth="1"/>
    <col min="20" max="20" width="1.7265625" customWidth="1"/>
    <col min="23" max="23" width="5.1796875" customWidth="1"/>
    <col min="26" max="26" width="4" customWidth="1"/>
    <col min="27" max="27" width="34.453125" customWidth="1"/>
  </cols>
  <sheetData>
    <row r="1" spans="1:27" x14ac:dyDescent="0.35">
      <c r="A1" s="1" t="s">
        <v>512</v>
      </c>
    </row>
    <row r="2" spans="1:27" x14ac:dyDescent="0.35">
      <c r="A2" s="1"/>
    </row>
    <row r="3" spans="1:27" x14ac:dyDescent="0.35">
      <c r="A3" s="1"/>
      <c r="B3" t="s">
        <v>513</v>
      </c>
      <c r="G3" t="s">
        <v>457</v>
      </c>
      <c r="L3" t="s">
        <v>514</v>
      </c>
      <c r="P3" t="s">
        <v>457</v>
      </c>
      <c r="X3" t="s">
        <v>515</v>
      </c>
    </row>
    <row r="4" spans="1:27" x14ac:dyDescent="0.35">
      <c r="A4" s="1"/>
    </row>
    <row r="5" spans="1:27" x14ac:dyDescent="0.35">
      <c r="A5" s="1"/>
      <c r="B5" t="s">
        <v>292</v>
      </c>
      <c r="F5" s="1"/>
      <c r="G5" t="s">
        <v>292</v>
      </c>
      <c r="L5" t="s">
        <v>292</v>
      </c>
      <c r="P5" t="s">
        <v>292</v>
      </c>
      <c r="U5" s="262" t="s">
        <v>26</v>
      </c>
      <c r="V5" s="262" t="s">
        <v>27</v>
      </c>
      <c r="X5" t="s">
        <v>292</v>
      </c>
    </row>
    <row r="7" spans="1:27" x14ac:dyDescent="0.35">
      <c r="A7" s="66" t="s">
        <v>95</v>
      </c>
      <c r="B7" s="107">
        <v>0.19700000000000001</v>
      </c>
      <c r="F7" s="66" t="s">
        <v>95</v>
      </c>
      <c r="G7" s="107">
        <v>0.19700000000000001</v>
      </c>
      <c r="K7" s="30" t="s">
        <v>95</v>
      </c>
      <c r="L7" s="254">
        <v>0.7</v>
      </c>
      <c r="P7" s="66" t="s">
        <v>95</v>
      </c>
      <c r="Q7" s="107">
        <f>L7</f>
        <v>0.7</v>
      </c>
      <c r="U7" s="186">
        <v>45</v>
      </c>
      <c r="V7" s="187">
        <v>86</v>
      </c>
      <c r="X7" s="66" t="s">
        <v>95</v>
      </c>
      <c r="Y7" s="107">
        <f>CORREL(U7:U13,V7:V13)</f>
        <v>0.89038321451236768</v>
      </c>
    </row>
    <row r="8" spans="1:27" x14ac:dyDescent="0.35">
      <c r="A8" s="91" t="s">
        <v>179</v>
      </c>
      <c r="B8" s="117">
        <v>0</v>
      </c>
      <c r="F8" s="91" t="s">
        <v>179</v>
      </c>
      <c r="G8" s="117">
        <v>0</v>
      </c>
      <c r="K8" s="263" t="s">
        <v>179</v>
      </c>
      <c r="L8" s="100">
        <v>0.6</v>
      </c>
      <c r="P8" s="91" t="s">
        <v>179</v>
      </c>
      <c r="Q8" s="117">
        <f>L8</f>
        <v>0.6</v>
      </c>
      <c r="U8" s="101">
        <v>34</v>
      </c>
      <c r="V8" s="102">
        <v>57</v>
      </c>
      <c r="X8" s="91" t="s">
        <v>179</v>
      </c>
      <c r="Y8" s="117">
        <v>0.6</v>
      </c>
    </row>
    <row r="9" spans="1:27" x14ac:dyDescent="0.35">
      <c r="A9" s="66" t="s">
        <v>31</v>
      </c>
      <c r="B9" s="100">
        <v>100</v>
      </c>
      <c r="F9" s="66" t="s">
        <v>31</v>
      </c>
      <c r="G9" s="100">
        <v>100</v>
      </c>
      <c r="K9" s="30" t="s">
        <v>181</v>
      </c>
      <c r="L9" s="100">
        <f>FISHER(L7)</f>
        <v>0.86730052769405319</v>
      </c>
      <c r="N9" t="e" cm="1">
        <f t="array" aca="1" ref="N9" ca="1">FTEXT(L9)</f>
        <v>#NAME?</v>
      </c>
      <c r="P9" s="66" t="s">
        <v>31</v>
      </c>
      <c r="Q9" s="100">
        <f>L12</f>
        <v>100</v>
      </c>
      <c r="U9" s="101">
        <v>67</v>
      </c>
      <c r="V9" s="102">
        <v>102</v>
      </c>
      <c r="X9" s="66" t="s">
        <v>31</v>
      </c>
      <c r="Y9" s="100">
        <f>COUNT(U7:U13)</f>
        <v>7</v>
      </c>
    </row>
    <row r="10" spans="1:27" x14ac:dyDescent="0.35">
      <c r="A10" s="66" t="s">
        <v>53</v>
      </c>
      <c r="B10" s="100">
        <f>B9-2</f>
        <v>98</v>
      </c>
      <c r="D10" t="e" cm="1">
        <f t="array" aca="1" ref="D10" ca="1">FTEXT(B10)</f>
        <v>#NAME?</v>
      </c>
      <c r="F10" s="66" t="s">
        <v>44</v>
      </c>
      <c r="G10" s="100">
        <v>0.05</v>
      </c>
      <c r="K10" s="263" t="s">
        <v>182</v>
      </c>
      <c r="L10" s="94">
        <f>FISHER(L8)</f>
        <v>0.69314718055994529</v>
      </c>
      <c r="N10" t="e" cm="1">
        <f t="array" aca="1" ref="N10" ca="1">FTEXT(L10)</f>
        <v>#NAME?</v>
      </c>
      <c r="P10" s="66" t="s">
        <v>44</v>
      </c>
      <c r="Q10" s="100">
        <v>0.05</v>
      </c>
      <c r="U10" s="101">
        <v>89</v>
      </c>
      <c r="V10" s="102">
        <v>124</v>
      </c>
      <c r="X10" s="66" t="s">
        <v>44</v>
      </c>
      <c r="Y10" s="100">
        <v>0.05</v>
      </c>
    </row>
    <row r="11" spans="1:27" ht="16.5" x14ac:dyDescent="0.45">
      <c r="A11" s="66" t="s">
        <v>104</v>
      </c>
      <c r="B11" s="100">
        <f>SQRT((1-B7^2)/B10)</f>
        <v>9.9035707846066454E-2</v>
      </c>
      <c r="D11" t="e" cm="1">
        <f t="array" aca="1" ref="D11" ca="1">FTEXT(B11)</f>
        <v>#NAME?</v>
      </c>
      <c r="F11" s="66" t="s">
        <v>59</v>
      </c>
      <c r="G11" s="117" t="e" cm="1">
        <f t="array" aca="1" ref="G11" ca="1">CorrETest(G7,G9,G8,2)</f>
        <v>#NAME?</v>
      </c>
      <c r="I11" s="7" t="e" cm="1">
        <f t="array" aca="1" ref="I11" ca="1">FTEXT(G11)</f>
        <v>#NAME?</v>
      </c>
      <c r="K11" s="30"/>
      <c r="N11" t="e" cm="1">
        <f t="array" aca="1" ref="N11" ca="1">FTEXT(L11)</f>
        <v>#NAME?</v>
      </c>
      <c r="P11" s="66" t="s">
        <v>59</v>
      </c>
      <c r="Q11" s="117" t="e" cm="1">
        <f t="array" aca="1" ref="Q11" ca="1">CorrETest(Q7,Q9,Q8,2)</f>
        <v>#NAME?</v>
      </c>
      <c r="S11" s="7" t="e" cm="1">
        <f t="array" aca="1" ref="S11" ca="1">FTEXT(Q11)</f>
        <v>#NAME?</v>
      </c>
      <c r="U11" s="101">
        <v>55</v>
      </c>
      <c r="V11" s="102">
        <v>45</v>
      </c>
      <c r="X11" s="66" t="s">
        <v>59</v>
      </c>
      <c r="Y11" s="117" t="e" cm="1">
        <f t="array" aca="1" ref="Y11" ca="1">CorrETest(Y7,Y9,Y8,2)</f>
        <v>#NAME?</v>
      </c>
      <c r="AA11" s="7" t="e" cm="1">
        <f t="array" aca="1" ref="AA11" ca="1">FTEXT(Y11)</f>
        <v>#NAME?</v>
      </c>
    </row>
    <row r="12" spans="1:27" x14ac:dyDescent="0.35">
      <c r="A12" s="66" t="s">
        <v>56</v>
      </c>
      <c r="B12" s="100">
        <f>B7/B11</f>
        <v>1.9891815213377559</v>
      </c>
      <c r="D12" t="e" cm="1">
        <f t="array" aca="1" ref="D12" ca="1">FTEXT(B12)</f>
        <v>#NAME?</v>
      </c>
      <c r="F12" s="66" t="s">
        <v>270</v>
      </c>
      <c r="G12" s="120" t="e">
        <f ca="1">IF(G11&lt;G10,"yes","no")</f>
        <v>#NAME?</v>
      </c>
      <c r="I12" s="7" t="e" cm="1">
        <f t="array" aca="1" ref="I12" ca="1">FTEXT(G12)</f>
        <v>#NAME?</v>
      </c>
      <c r="K12" s="30" t="s">
        <v>31</v>
      </c>
      <c r="L12" s="107">
        <v>100</v>
      </c>
      <c r="P12" s="66" t="s">
        <v>270</v>
      </c>
      <c r="Q12" s="120" t="e">
        <f ca="1">IF(Q11&lt;Q10,"yes","no")</f>
        <v>#NAME?</v>
      </c>
      <c r="S12" s="7" t="e" cm="1">
        <f t="array" aca="1" ref="S12" ca="1">FTEXT(Q12)</f>
        <v>#NAME?</v>
      </c>
      <c r="U12" s="101">
        <v>11</v>
      </c>
      <c r="V12" s="102">
        <v>25</v>
      </c>
      <c r="X12" s="66" t="s">
        <v>270</v>
      </c>
      <c r="Y12" s="120" t="e">
        <f ca="1">IF(Y11&lt;Y10,"yes","no")</f>
        <v>#NAME?</v>
      </c>
      <c r="AA12" s="7" t="e" cm="1">
        <f t="array" aca="1" ref="AA12" ca="1">FTEXT(Y12)</f>
        <v>#NAME?</v>
      </c>
    </row>
    <row r="13" spans="1:27" ht="16.5" x14ac:dyDescent="0.45">
      <c r="A13" s="66" t="s">
        <v>44</v>
      </c>
      <c r="B13" s="100">
        <v>0.05</v>
      </c>
      <c r="K13" s="30" t="s">
        <v>183</v>
      </c>
      <c r="L13" s="94">
        <f>1/SQRT(L12-3)</f>
        <v>0.10153461651336192</v>
      </c>
      <c r="N13" t="e" cm="1">
        <f t="array" aca="1" ref="N13" ca="1">FTEXT(L13)</f>
        <v>#NAME?</v>
      </c>
      <c r="U13" s="89">
        <v>23</v>
      </c>
      <c r="V13" s="93">
        <v>18</v>
      </c>
    </row>
    <row r="14" spans="1:27" x14ac:dyDescent="0.35">
      <c r="A14" s="66" t="s">
        <v>60</v>
      </c>
      <c r="B14" s="100">
        <f>TINV(B13,B10)</f>
        <v>1.9844674545084788</v>
      </c>
      <c r="D14" s="7" t="s">
        <v>415</v>
      </c>
      <c r="N14" t="e" cm="1">
        <f t="array" aca="1" ref="N14" ca="1">FTEXT(L14)</f>
        <v>#NAME?</v>
      </c>
      <c r="X14" s="66" t="s">
        <v>59</v>
      </c>
      <c r="Y14" s="119" t="e" cm="1">
        <f t="array" aca="1" ref="Y14" ca="1">CorrETest(U7:U13,V7:V13,Y8,2)</f>
        <v>#NAME?</v>
      </c>
      <c r="AA14" s="7" t="e" cm="1">
        <f t="array" aca="1" ref="AA14" ca="1">FTEXT(Y14)</f>
        <v>#NAME?</v>
      </c>
    </row>
    <row r="15" spans="1:27" x14ac:dyDescent="0.35">
      <c r="A15" s="66" t="s">
        <v>59</v>
      </c>
      <c r="B15" s="117">
        <f>TDIST(ABS(B12),B10,2)</f>
        <v>4.9468766956677193E-2</v>
      </c>
      <c r="D15" s="7" t="s">
        <v>416</v>
      </c>
      <c r="K15" s="66" t="s">
        <v>44</v>
      </c>
      <c r="L15" s="107">
        <v>0.05</v>
      </c>
    </row>
    <row r="16" spans="1:27" x14ac:dyDescent="0.35">
      <c r="A16" s="66" t="s">
        <v>270</v>
      </c>
      <c r="B16" s="120" t="str">
        <f>IF(B15&lt;B13,"yes","no")</f>
        <v>yes</v>
      </c>
      <c r="D16" t="e" cm="1">
        <f t="array" aca="1" ref="D16" ca="1">FTEXT(B16)</f>
        <v>#NAME?</v>
      </c>
      <c r="K16" s="4" t="s">
        <v>59</v>
      </c>
      <c r="L16" s="100">
        <f>2*(1-NORMDIST(L9,L10,L13,TRUE))</f>
        <v>8.6306447736500314E-2</v>
      </c>
      <c r="N16" t="e" cm="1">
        <f t="array" aca="1" ref="N16" ca="1">FTEXT(L16)</f>
        <v>#NAME?</v>
      </c>
      <c r="X16" t="e">
        <f t="array" aca="1" ref="X16:Y18" ca="1">CorrelETest(U7:U13,V7:V13,Y8,TRUE)</f>
        <v>#NAME?</v>
      </c>
      <c r="Y16" s="254" t="e">
        <f ca="1"/>
        <v>#NAME?</v>
      </c>
      <c r="AA16" t="e" cm="1">
        <f t="array" aca="1" ref="AA16" ca="1">FTEXT(Y16)</f>
        <v>#NAME?</v>
      </c>
    </row>
    <row r="17" spans="1:27" x14ac:dyDescent="0.35">
      <c r="K17" s="4" t="s">
        <v>270</v>
      </c>
      <c r="L17" s="92" t="str">
        <f>IF(L16&lt;L15,"yes","no")</f>
        <v>no</v>
      </c>
      <c r="N17" t="e" cm="1">
        <f t="array" aca="1" ref="N17" ca="1">FTEXT(L17)</f>
        <v>#NAME?</v>
      </c>
      <c r="X17" t="e">
        <f ca="1"/>
        <v>#NAME?</v>
      </c>
      <c r="Y17" s="100" t="e">
        <f ca="1"/>
        <v>#NAME?</v>
      </c>
      <c r="AA17" t="e" cm="1">
        <f t="array" aca="1" ref="AA17" ca="1">FTEXT(Y20)</f>
        <v>#NAME?</v>
      </c>
    </row>
    <row r="18" spans="1:27" x14ac:dyDescent="0.35">
      <c r="A18" s="1"/>
      <c r="B18" t="s">
        <v>291</v>
      </c>
      <c r="F18" s="1"/>
      <c r="G18" t="s">
        <v>291</v>
      </c>
      <c r="X18" t="e">
        <f ca="1"/>
        <v>#NAME?</v>
      </c>
      <c r="Y18" s="94" t="e">
        <f ca="1"/>
        <v>#NAME?</v>
      </c>
    </row>
    <row r="20" spans="1:27" x14ac:dyDescent="0.35">
      <c r="A20" s="66" t="s">
        <v>95</v>
      </c>
      <c r="B20" s="107">
        <v>0.19700000000000001</v>
      </c>
      <c r="F20" s="66" t="s">
        <v>95</v>
      </c>
      <c r="G20" s="107">
        <v>0.19700000000000001</v>
      </c>
      <c r="X20" t="e">
        <f t="array" aca="1" ref="X20:Y22" ca="1">CorrelETest(Y7,Y9,Y8,TRUE)</f>
        <v>#NAME?</v>
      </c>
      <c r="Y20" s="254" t="e">
        <f ca="1"/>
        <v>#NAME?</v>
      </c>
    </row>
    <row r="21" spans="1:27" x14ac:dyDescent="0.35">
      <c r="A21" s="91" t="s">
        <v>179</v>
      </c>
      <c r="B21" s="117">
        <v>0</v>
      </c>
      <c r="F21" s="91" t="s">
        <v>179</v>
      </c>
      <c r="G21" s="117">
        <v>0</v>
      </c>
      <c r="X21" t="e">
        <f ca="1"/>
        <v>#NAME?</v>
      </c>
      <c r="Y21" s="100" t="e">
        <f ca="1"/>
        <v>#NAME?</v>
      </c>
    </row>
    <row r="22" spans="1:27" x14ac:dyDescent="0.35">
      <c r="A22" s="66" t="s">
        <v>31</v>
      </c>
      <c r="B22" s="100">
        <v>100</v>
      </c>
      <c r="F22" s="66" t="s">
        <v>31</v>
      </c>
      <c r="G22" s="100">
        <v>100</v>
      </c>
      <c r="X22" t="e">
        <f ca="1"/>
        <v>#NAME?</v>
      </c>
      <c r="Y22" s="94" t="e">
        <f ca="1"/>
        <v>#NAME?</v>
      </c>
    </row>
    <row r="23" spans="1:27" x14ac:dyDescent="0.35">
      <c r="A23" s="66" t="s">
        <v>53</v>
      </c>
      <c r="B23" s="100">
        <f>B22-2</f>
        <v>98</v>
      </c>
      <c r="D23" t="e" cm="1">
        <f t="array" aca="1" ref="D23" ca="1">FTEXT(B23)</f>
        <v>#NAME?</v>
      </c>
      <c r="F23" s="66" t="s">
        <v>44</v>
      </c>
      <c r="G23" s="100">
        <v>0.05</v>
      </c>
    </row>
    <row r="24" spans="1:27" ht="16.5" x14ac:dyDescent="0.45">
      <c r="A24" s="66" t="s">
        <v>104</v>
      </c>
      <c r="B24" s="100">
        <f>SQRT((1-B20^2)/B23)</f>
        <v>9.9035707846066454E-2</v>
      </c>
      <c r="D24" t="e" cm="1">
        <f t="array" aca="1" ref="D24" ca="1">FTEXT(B24)</f>
        <v>#NAME?</v>
      </c>
      <c r="F24" s="66" t="s">
        <v>59</v>
      </c>
      <c r="G24" s="117" t="e" cm="1">
        <f t="array" aca="1" ref="G24" ca="1">CorrETest(G20,G22,G21,1)</f>
        <v>#NAME?</v>
      </c>
      <c r="I24" s="7" t="e" cm="1">
        <f t="array" aca="1" ref="I24" ca="1">FTEXT(G24)</f>
        <v>#NAME?</v>
      </c>
    </row>
    <row r="25" spans="1:27" x14ac:dyDescent="0.35">
      <c r="A25" s="66" t="s">
        <v>56</v>
      </c>
      <c r="B25" s="100">
        <f>B20/B24</f>
        <v>1.9891815213377559</v>
      </c>
      <c r="D25" t="e" cm="1">
        <f t="array" aca="1" ref="D25" ca="1">FTEXT(B25)</f>
        <v>#NAME?</v>
      </c>
      <c r="F25" s="66" t="s">
        <v>270</v>
      </c>
      <c r="G25" s="120" t="e">
        <f ca="1">IF(G24&lt;G23,"yes","no")</f>
        <v>#NAME?</v>
      </c>
      <c r="I25" s="7" t="e" cm="1">
        <f t="array" aca="1" ref="I25" ca="1">FTEXT(G25)</f>
        <v>#NAME?</v>
      </c>
    </row>
    <row r="26" spans="1:27" x14ac:dyDescent="0.35">
      <c r="A26" s="66" t="s">
        <v>44</v>
      </c>
      <c r="B26" s="100">
        <v>0.05</v>
      </c>
    </row>
    <row r="27" spans="1:27" x14ac:dyDescent="0.35">
      <c r="A27" s="66" t="s">
        <v>60</v>
      </c>
      <c r="B27" s="100">
        <f>TINV(B26*2,B23)</f>
        <v>1.6605512170657302</v>
      </c>
      <c r="D27" s="7" t="s">
        <v>417</v>
      </c>
    </row>
    <row r="28" spans="1:27" x14ac:dyDescent="0.35">
      <c r="A28" s="66" t="s">
        <v>59</v>
      </c>
      <c r="B28" s="117">
        <f>TDIST(ABS(B25),B23,1)</f>
        <v>2.4734383478338597E-2</v>
      </c>
      <c r="D28" s="7" t="s">
        <v>418</v>
      </c>
    </row>
    <row r="29" spans="1:27" x14ac:dyDescent="0.35">
      <c r="A29" s="66" t="s">
        <v>270</v>
      </c>
      <c r="B29" s="120" t="str">
        <f>IF(B28&lt;B26,"yes","no")</f>
        <v>yes</v>
      </c>
      <c r="D29" t="e" cm="1">
        <f t="array" aca="1" ref="D29" ca="1">FTEXT(B29)</f>
        <v>#NAME?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35"/>
  <dimension ref="A1:O26"/>
  <sheetViews>
    <sheetView workbookViewId="0"/>
  </sheetViews>
  <sheetFormatPr defaultRowHeight="14.5" x14ac:dyDescent="0.35"/>
  <cols>
    <col min="1" max="1" width="19" customWidth="1"/>
    <col min="3" max="3" width="3.453125" customWidth="1"/>
    <col min="4" max="4" width="27.54296875" customWidth="1"/>
    <col min="6" max="6" width="4" customWidth="1"/>
    <col min="7" max="7" width="32.81640625" customWidth="1"/>
    <col min="9" max="9" width="19" customWidth="1"/>
    <col min="11" max="11" width="3.453125" customWidth="1"/>
    <col min="12" max="12" width="52.54296875" customWidth="1"/>
    <col min="14" max="14" width="4" customWidth="1"/>
    <col min="15" max="15" width="32.81640625" customWidth="1"/>
  </cols>
  <sheetData>
    <row r="1" spans="1:15" x14ac:dyDescent="0.35">
      <c r="A1" s="1" t="s">
        <v>511</v>
      </c>
      <c r="I1" s="1"/>
    </row>
    <row r="2" spans="1:15" x14ac:dyDescent="0.35">
      <c r="A2" s="1"/>
      <c r="I2" s="1"/>
    </row>
    <row r="3" spans="1:15" x14ac:dyDescent="0.35">
      <c r="A3" s="9" t="s">
        <v>420</v>
      </c>
      <c r="E3" t="s">
        <v>388</v>
      </c>
      <c r="I3" s="9" t="s">
        <v>422</v>
      </c>
      <c r="M3" t="s">
        <v>388</v>
      </c>
    </row>
    <row r="4" spans="1:15" x14ac:dyDescent="0.35">
      <c r="A4" s="9"/>
      <c r="I4" s="9"/>
    </row>
    <row r="5" spans="1:15" x14ac:dyDescent="0.35">
      <c r="A5" s="9" t="s">
        <v>301</v>
      </c>
      <c r="B5" s="226">
        <v>0</v>
      </c>
      <c r="E5" s="109" t="e" cm="1">
        <f t="array" aca="1" ref="E5" ca="1">CORREL1_POWER(B5,B7,B10,1,B9)</f>
        <v>#NAME?</v>
      </c>
      <c r="G5" t="e" cm="1">
        <f t="array" aca="1" ref="G5" ca="1">FTEXT(E5)</f>
        <v>#NAME?</v>
      </c>
      <c r="I5" s="9" t="s">
        <v>301</v>
      </c>
      <c r="J5" s="226">
        <v>0</v>
      </c>
      <c r="M5" s="109" t="e" cm="1">
        <f t="array" aca="1" ref="M5" ca="1">CORREL1_POWER(J5,J7,J10,2,J9)</f>
        <v>#NAME?</v>
      </c>
      <c r="O5" t="e" cm="1">
        <f t="array" aca="1" ref="O5" ca="1">FTEXT(M5)</f>
        <v>#NAME?</v>
      </c>
    </row>
    <row r="6" spans="1:15" x14ac:dyDescent="0.35">
      <c r="A6" t="s">
        <v>182</v>
      </c>
      <c r="B6" s="100">
        <f>FISHER(B5)</f>
        <v>0</v>
      </c>
      <c r="D6" s="7" t="s">
        <v>300</v>
      </c>
      <c r="I6" t="s">
        <v>182</v>
      </c>
      <c r="J6" s="100">
        <f>FISHER(J5)</f>
        <v>0</v>
      </c>
      <c r="L6" s="7" t="s">
        <v>424</v>
      </c>
    </row>
    <row r="7" spans="1:15" x14ac:dyDescent="0.35">
      <c r="A7" t="s">
        <v>299</v>
      </c>
      <c r="B7" s="100">
        <v>0.35</v>
      </c>
      <c r="I7" t="s">
        <v>299</v>
      </c>
      <c r="J7" s="100">
        <v>0.35</v>
      </c>
    </row>
    <row r="8" spans="1:15" x14ac:dyDescent="0.35">
      <c r="A8" t="s">
        <v>181</v>
      </c>
      <c r="B8" s="100">
        <f>FISHER(B7)</f>
        <v>0.36544375427139619</v>
      </c>
      <c r="D8" s="7" t="s">
        <v>302</v>
      </c>
      <c r="I8" t="s">
        <v>181</v>
      </c>
      <c r="J8" s="100">
        <f>FISHER(J7)</f>
        <v>0.36544375427139619</v>
      </c>
      <c r="L8" s="7" t="s">
        <v>425</v>
      </c>
    </row>
    <row r="9" spans="1:15" x14ac:dyDescent="0.35">
      <c r="A9" t="s">
        <v>88</v>
      </c>
      <c r="B9" s="100">
        <v>0.05</v>
      </c>
      <c r="I9" t="s">
        <v>88</v>
      </c>
      <c r="J9" s="100">
        <v>0.05</v>
      </c>
    </row>
    <row r="10" spans="1:15" x14ac:dyDescent="0.35">
      <c r="A10" t="s">
        <v>276</v>
      </c>
      <c r="B10" s="100">
        <v>40</v>
      </c>
      <c r="I10" t="s">
        <v>276</v>
      </c>
      <c r="J10" s="100">
        <v>40</v>
      </c>
    </row>
    <row r="11" spans="1:15" x14ac:dyDescent="0.35">
      <c r="A11" t="s">
        <v>265</v>
      </c>
      <c r="B11" s="100">
        <f>1/SQRT(B10-3)</f>
        <v>0.16439898730535729</v>
      </c>
      <c r="D11" s="7" t="s">
        <v>303</v>
      </c>
      <c r="I11" t="s">
        <v>265</v>
      </c>
      <c r="J11" s="100">
        <f>1/SQRT(J10-3)</f>
        <v>0.16439898730535729</v>
      </c>
      <c r="L11" s="7" t="s">
        <v>426</v>
      </c>
    </row>
    <row r="12" spans="1:15" x14ac:dyDescent="0.35">
      <c r="A12" t="s">
        <v>36</v>
      </c>
      <c r="B12" s="100">
        <f>ABS(B8-B6)/B11</f>
        <v>2.2229075754135588</v>
      </c>
      <c r="D12" s="7" t="s">
        <v>304</v>
      </c>
      <c r="I12" t="s">
        <v>36</v>
      </c>
      <c r="J12" s="100">
        <f>ABS(J8-J6)/J11</f>
        <v>2.2229075754135588</v>
      </c>
      <c r="L12" s="7" t="s">
        <v>427</v>
      </c>
    </row>
    <row r="13" spans="1:15" x14ac:dyDescent="0.35">
      <c r="A13" t="s">
        <v>185</v>
      </c>
      <c r="B13" s="100">
        <f>NORMSINV(1-B9)</f>
        <v>1.6448536269514715</v>
      </c>
      <c r="D13" s="7" t="s">
        <v>428</v>
      </c>
      <c r="I13" t="s">
        <v>185</v>
      </c>
      <c r="J13" s="100">
        <f>NORMSINV(1-J9/2)</f>
        <v>1.9599639845400536</v>
      </c>
      <c r="L13" s="7" t="s">
        <v>430</v>
      </c>
    </row>
    <row r="14" spans="1:15" x14ac:dyDescent="0.35">
      <c r="A14" t="s">
        <v>277</v>
      </c>
      <c r="B14" s="94">
        <f>NORMSDIST(B12-B13)</f>
        <v>0.71838615151582808</v>
      </c>
      <c r="D14" s="7" t="s">
        <v>429</v>
      </c>
      <c r="I14" t="s">
        <v>277</v>
      </c>
      <c r="J14" s="94">
        <f>NORMSDIST(J12-J13)+NORMSDIST(-J12-J13)</f>
        <v>0.60371736378183749</v>
      </c>
      <c r="L14" s="7" t="s">
        <v>431</v>
      </c>
    </row>
    <row r="16" spans="1:15" x14ac:dyDescent="0.35">
      <c r="A16" t="s">
        <v>421</v>
      </c>
      <c r="I16" t="s">
        <v>423</v>
      </c>
    </row>
    <row r="18" spans="1:15" x14ac:dyDescent="0.35">
      <c r="A18" s="9" t="s">
        <v>301</v>
      </c>
      <c r="B18" s="226">
        <v>0</v>
      </c>
      <c r="E18" s="109" t="e" cm="1">
        <f t="array" aca="1" ref="E18" ca="1">CORREL1_SIZE(B18,B20,1-B23,1,B22)</f>
        <v>#NAME?</v>
      </c>
      <c r="G18" t="e" cm="1">
        <f t="array" aca="1" ref="G18" ca="1">FTEXT(E18)</f>
        <v>#NAME?</v>
      </c>
      <c r="I18" s="9" t="s">
        <v>301</v>
      </c>
      <c r="J18" s="226">
        <v>0</v>
      </c>
      <c r="M18" s="109" t="e" cm="1">
        <f t="array" aca="1" ref="M18" ca="1">CORREL1_SIZE(J18,J20,1-J23,2,J22)</f>
        <v>#NAME?</v>
      </c>
      <c r="O18" t="e" cm="1">
        <f t="array" aca="1" ref="O18" ca="1">FTEXT(M18)</f>
        <v>#NAME?</v>
      </c>
    </row>
    <row r="19" spans="1:15" x14ac:dyDescent="0.35">
      <c r="A19" t="s">
        <v>182</v>
      </c>
      <c r="B19" s="100">
        <f>FISHER(B18)</f>
        <v>0</v>
      </c>
      <c r="D19" s="7" t="s">
        <v>305</v>
      </c>
      <c r="I19" t="s">
        <v>182</v>
      </c>
      <c r="J19" s="100">
        <f>FISHER(J18)</f>
        <v>0</v>
      </c>
      <c r="L19" s="7" t="s">
        <v>305</v>
      </c>
    </row>
    <row r="20" spans="1:15" x14ac:dyDescent="0.35">
      <c r="A20" t="s">
        <v>299</v>
      </c>
      <c r="B20" s="100">
        <v>0.35</v>
      </c>
      <c r="I20" t="s">
        <v>299</v>
      </c>
      <c r="J20" s="100">
        <v>0.35</v>
      </c>
    </row>
    <row r="21" spans="1:15" x14ac:dyDescent="0.35">
      <c r="A21" t="s">
        <v>181</v>
      </c>
      <c r="B21" s="100">
        <f>FISHER(B20)</f>
        <v>0.36544375427139619</v>
      </c>
      <c r="D21" s="7" t="s">
        <v>306</v>
      </c>
      <c r="I21" t="s">
        <v>181</v>
      </c>
      <c r="J21" s="100">
        <f>FISHER(J20)</f>
        <v>0.36544375427139619</v>
      </c>
      <c r="L21" s="7" t="s">
        <v>306</v>
      </c>
    </row>
    <row r="22" spans="1:15" x14ac:dyDescent="0.35">
      <c r="A22" t="s">
        <v>88</v>
      </c>
      <c r="B22" s="100">
        <v>0.05</v>
      </c>
      <c r="I22" t="s">
        <v>88</v>
      </c>
      <c r="J22" s="100">
        <v>0.05</v>
      </c>
    </row>
    <row r="23" spans="1:15" x14ac:dyDescent="0.35">
      <c r="A23" t="s">
        <v>278</v>
      </c>
      <c r="B23" s="100">
        <v>0.2</v>
      </c>
      <c r="I23" t="s">
        <v>278</v>
      </c>
      <c r="J23" s="100">
        <v>0.2</v>
      </c>
    </row>
    <row r="24" spans="1:15" x14ac:dyDescent="0.35">
      <c r="A24" t="s">
        <v>297</v>
      </c>
      <c r="B24" s="100">
        <f>NORMSINV(1-B22)</f>
        <v>1.6448536269514715</v>
      </c>
      <c r="D24" s="7" t="s">
        <v>510</v>
      </c>
      <c r="I24" t="s">
        <v>297</v>
      </c>
      <c r="J24" s="100">
        <f>NORMSINV(1-J22/2)</f>
        <v>1.9599639845400536</v>
      </c>
      <c r="L24" s="7" t="s">
        <v>389</v>
      </c>
    </row>
    <row r="25" spans="1:15" x14ac:dyDescent="0.35">
      <c r="A25" t="s">
        <v>298</v>
      </c>
      <c r="B25" s="100">
        <f>NORMSINV(1-B23)</f>
        <v>0.84162123357291474</v>
      </c>
      <c r="D25" s="7" t="s">
        <v>432</v>
      </c>
      <c r="I25" t="s">
        <v>298</v>
      </c>
      <c r="J25" s="100">
        <f>NORMSINV(1-J23)</f>
        <v>0.84162123357291474</v>
      </c>
      <c r="L25" s="7" t="s">
        <v>432</v>
      </c>
    </row>
    <row r="26" spans="1:15" x14ac:dyDescent="0.35">
      <c r="A26" t="s">
        <v>276</v>
      </c>
      <c r="B26" s="94">
        <f>((B24+B25)/(B21-B19))^2+3</f>
        <v>49.294250536469711</v>
      </c>
      <c r="D26" s="7" t="e" cm="1">
        <f t="array" aca="1" ref="D26" ca="1">FTEXT(B26)</f>
        <v>#NAME?</v>
      </c>
      <c r="I26" t="s">
        <v>276</v>
      </c>
      <c r="J26" s="94">
        <f>((J24+J25)/(J21-J19))^2+3</f>
        <v>61.771474523636854</v>
      </c>
      <c r="L26" s="7" t="e" cm="1">
        <f t="array" aca="1" ref="L26" ca="1">FTEXT(J26)</f>
        <v>#NAME?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59"/>
  <dimension ref="A1:T12"/>
  <sheetViews>
    <sheetView workbookViewId="0"/>
  </sheetViews>
  <sheetFormatPr defaultRowHeight="14.5" x14ac:dyDescent="0.35"/>
  <cols>
    <col min="1" max="1" width="7.453125" customWidth="1"/>
    <col min="3" max="3" width="5.54296875" customWidth="1"/>
    <col min="4" max="4" width="8.26953125" customWidth="1"/>
    <col min="6" max="6" width="4.453125" customWidth="1"/>
    <col min="7" max="7" width="28" customWidth="1"/>
  </cols>
  <sheetData>
    <row r="1" spans="1:20" x14ac:dyDescent="0.35">
      <c r="A1" s="1" t="s">
        <v>256</v>
      </c>
    </row>
    <row r="2" spans="1:20" x14ac:dyDescent="0.35">
      <c r="A2" s="1" t="s">
        <v>255</v>
      </c>
      <c r="J2" t="s">
        <v>362</v>
      </c>
      <c r="S2" t="s">
        <v>362</v>
      </c>
    </row>
    <row r="4" spans="1:20" x14ac:dyDescent="0.35">
      <c r="A4" s="27" t="s">
        <v>205</v>
      </c>
      <c r="B4" s="107">
        <v>0.77</v>
      </c>
      <c r="D4" s="30" t="s">
        <v>208</v>
      </c>
      <c r="E4" s="107">
        <f>FISHER(B4)</f>
        <v>1.0203277583223398</v>
      </c>
      <c r="G4" t="e" cm="1">
        <f t="array" aca="1" ref="G4" ca="1">FTEXT(E4)</f>
        <v>#NAME?</v>
      </c>
      <c r="J4" t="e">
        <f t="array" aca="1" ref="J4:K7" ca="1">Correl2Test(0.77,40,0.68,30,0.05,TRUE)</f>
        <v>#NAME?</v>
      </c>
      <c r="K4" s="185" t="e">
        <f ca="1"/>
        <v>#NAME?</v>
      </c>
      <c r="M4" s="186">
        <v>34</v>
      </c>
      <c r="N4" s="187">
        <v>46</v>
      </c>
      <c r="P4" s="186">
        <v>14</v>
      </c>
      <c r="Q4" s="187">
        <v>23</v>
      </c>
      <c r="S4" t="e">
        <f t="array" aca="1" ref="S4:T7" ca="1">Correl2Test(M4:M10,N4:N10,P4:P10,Q4:Q10,0.05,TRUE)</f>
        <v>#NAME?</v>
      </c>
      <c r="T4" s="185" t="e">
        <f ca="1"/>
        <v>#NAME?</v>
      </c>
    </row>
    <row r="5" spans="1:20" x14ac:dyDescent="0.35">
      <c r="A5" s="27" t="s">
        <v>206</v>
      </c>
      <c r="B5" s="94">
        <v>0.68</v>
      </c>
      <c r="D5" s="30" t="s">
        <v>207</v>
      </c>
      <c r="E5" s="94">
        <f>FISHER(B5)</f>
        <v>0.82911403830176622</v>
      </c>
      <c r="G5" t="e" cm="1">
        <f t="array" aca="1" ref="G5" ca="1">FTEXT(E5)</f>
        <v>#NAME?</v>
      </c>
      <c r="J5" t="e">
        <f ca="1"/>
        <v>#NAME?</v>
      </c>
      <c r="K5" s="100" t="e">
        <f ca="1"/>
        <v>#NAME?</v>
      </c>
      <c r="M5" s="101">
        <v>56</v>
      </c>
      <c r="N5" s="102">
        <v>78</v>
      </c>
      <c r="P5" s="101">
        <v>45</v>
      </c>
      <c r="Q5" s="102">
        <v>98</v>
      </c>
      <c r="S5" t="e">
        <f ca="1"/>
        <v>#NAME?</v>
      </c>
      <c r="T5" s="100" t="e">
        <f ca="1"/>
        <v>#NAME?</v>
      </c>
    </row>
    <row r="6" spans="1:20" x14ac:dyDescent="0.35">
      <c r="A6" s="27"/>
      <c r="D6" s="30"/>
      <c r="G6" t="e" cm="1">
        <f t="array" aca="1" ref="G6" ca="1">FTEXT(E6)</f>
        <v>#NAME?</v>
      </c>
      <c r="J6" t="e">
        <f ca="1"/>
        <v>#NAME?</v>
      </c>
      <c r="K6" s="100" t="e">
        <f ca="1"/>
        <v>#NAME?</v>
      </c>
      <c r="M6" s="101">
        <v>23</v>
      </c>
      <c r="N6" s="102">
        <v>39</v>
      </c>
      <c r="P6" s="101">
        <v>12</v>
      </c>
      <c r="Q6" s="102">
        <v>21</v>
      </c>
      <c r="S6" t="e">
        <f ca="1"/>
        <v>#NAME?</v>
      </c>
      <c r="T6" s="100" t="e">
        <f ca="1"/>
        <v>#NAME?</v>
      </c>
    </row>
    <row r="7" spans="1:20" x14ac:dyDescent="0.35">
      <c r="A7" s="27" t="s">
        <v>79</v>
      </c>
      <c r="B7" s="185">
        <v>40</v>
      </c>
      <c r="D7" s="30" t="s">
        <v>209</v>
      </c>
      <c r="E7" s="185">
        <f>SQRT(1/(B7-3)+(1/(B8-3)))</f>
        <v>0.25310879886733306</v>
      </c>
      <c r="G7" t="e" cm="1">
        <f t="array" aca="1" ref="G7" ca="1">FTEXT(E7)</f>
        <v>#NAME?</v>
      </c>
      <c r="J7" t="e">
        <f ca="1"/>
        <v>#NAME?</v>
      </c>
      <c r="K7" s="94" t="e">
        <f ca="1"/>
        <v>#NAME?</v>
      </c>
      <c r="M7" s="101">
        <v>12</v>
      </c>
      <c r="N7" s="102">
        <v>9</v>
      </c>
      <c r="P7" s="101">
        <v>45</v>
      </c>
      <c r="Q7" s="102">
        <v>19</v>
      </c>
      <c r="S7" t="e">
        <f ca="1"/>
        <v>#NAME?</v>
      </c>
      <c r="T7" s="94" t="e">
        <f ca="1"/>
        <v>#NAME?</v>
      </c>
    </row>
    <row r="8" spans="1:20" x14ac:dyDescent="0.35">
      <c r="A8" s="57" t="s">
        <v>80</v>
      </c>
      <c r="B8" s="94">
        <v>30</v>
      </c>
      <c r="D8" s="4" t="s">
        <v>36</v>
      </c>
      <c r="E8" s="100">
        <f>(E4-E5)/E7</f>
        <v>0.75546058009938333</v>
      </c>
      <c r="G8" t="e" cm="1">
        <f t="array" aca="1" ref="G8" ca="1">FTEXT(E8)</f>
        <v>#NAME?</v>
      </c>
      <c r="M8" s="101">
        <v>30</v>
      </c>
      <c r="N8" s="102">
        <v>39</v>
      </c>
      <c r="P8" s="101">
        <v>23</v>
      </c>
      <c r="Q8" s="102">
        <v>31</v>
      </c>
    </row>
    <row r="9" spans="1:20" x14ac:dyDescent="0.35">
      <c r="D9" s="4" t="s">
        <v>185</v>
      </c>
      <c r="E9" s="100">
        <f>NORMSINV(1-B10/2)</f>
        <v>1.9599639845400536</v>
      </c>
      <c r="G9" s="7" t="s">
        <v>433</v>
      </c>
      <c r="M9" s="101">
        <v>45</v>
      </c>
      <c r="N9" s="102">
        <v>71</v>
      </c>
      <c r="P9" s="101">
        <v>15</v>
      </c>
      <c r="Q9" s="102">
        <v>20</v>
      </c>
    </row>
    <row r="10" spans="1:20" x14ac:dyDescent="0.35">
      <c r="A10" s="65" t="s">
        <v>44</v>
      </c>
      <c r="B10" s="109">
        <v>0.05</v>
      </c>
      <c r="D10" s="4" t="s">
        <v>59</v>
      </c>
      <c r="E10" s="100">
        <f>2*(1-NORMSDIST(E8))</f>
        <v>0.4499726761973537</v>
      </c>
      <c r="G10" s="7" t="s">
        <v>434</v>
      </c>
      <c r="M10" s="89">
        <v>29</v>
      </c>
      <c r="N10" s="93">
        <v>41</v>
      </c>
      <c r="P10" s="89">
        <v>33</v>
      </c>
      <c r="Q10" s="93">
        <v>66</v>
      </c>
    </row>
    <row r="11" spans="1:20" x14ac:dyDescent="0.35">
      <c r="D11" s="4" t="s">
        <v>270</v>
      </c>
      <c r="E11" s="92" t="str">
        <f>IF(E10&lt;B10,"yes","no")</f>
        <v>no</v>
      </c>
      <c r="G11" t="e" cm="1">
        <f t="array" aca="1" ref="G11" ca="1">FTEXT(E11)</f>
        <v>#NAME?</v>
      </c>
    </row>
    <row r="12" spans="1:20" x14ac:dyDescent="0.35">
      <c r="M12" t="s">
        <v>381</v>
      </c>
      <c r="N12" s="109">
        <f>CORREL(M4:M10,N4:N10)</f>
        <v>0.9752921131375446</v>
      </c>
      <c r="P12" t="s">
        <v>381</v>
      </c>
      <c r="Q12" s="109">
        <f>CORREL(P4:P10,Q4:Q10)</f>
        <v>0.6084891360690311</v>
      </c>
    </row>
  </sheetData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31"/>
  <dimension ref="A1:J37"/>
  <sheetViews>
    <sheetView workbookViewId="0"/>
  </sheetViews>
  <sheetFormatPr defaultRowHeight="14.5" x14ac:dyDescent="0.35"/>
  <cols>
    <col min="4" max="4" width="4.1796875" customWidth="1"/>
    <col min="9" max="9" width="3.81640625" customWidth="1"/>
    <col min="10" max="10" width="69.1796875" customWidth="1"/>
  </cols>
  <sheetData>
    <row r="1" spans="1:10" x14ac:dyDescent="0.35">
      <c r="A1" s="1" t="s">
        <v>841</v>
      </c>
    </row>
    <row r="2" spans="1:10" ht="15" thickBot="1" x14ac:dyDescent="0.4"/>
    <row r="3" spans="1:10" x14ac:dyDescent="0.35">
      <c r="A3" s="388" t="s">
        <v>308</v>
      </c>
      <c r="B3" s="388" t="s">
        <v>309</v>
      </c>
      <c r="C3" s="388" t="s">
        <v>310</v>
      </c>
      <c r="E3" s="229"/>
      <c r="F3" s="229" t="s">
        <v>308</v>
      </c>
      <c r="G3" s="229" t="s">
        <v>309</v>
      </c>
      <c r="H3" s="229" t="s">
        <v>310</v>
      </c>
    </row>
    <row r="4" spans="1:10" x14ac:dyDescent="0.35">
      <c r="A4" s="390">
        <v>92</v>
      </c>
      <c r="B4" s="390">
        <v>120</v>
      </c>
      <c r="C4" s="390">
        <v>91</v>
      </c>
      <c r="E4" s="403" t="s">
        <v>308</v>
      </c>
      <c r="F4" s="11">
        <v>1</v>
      </c>
      <c r="G4" s="11">
        <f>F5</f>
        <v>0.35053077159127682</v>
      </c>
      <c r="H4" s="11">
        <f>F6</f>
        <v>0.31196789442778067</v>
      </c>
    </row>
    <row r="5" spans="1:10" x14ac:dyDescent="0.35">
      <c r="A5" s="390">
        <v>110</v>
      </c>
      <c r="B5" s="390">
        <v>128</v>
      </c>
      <c r="C5" s="390">
        <v>121</v>
      </c>
      <c r="E5" s="403" t="s">
        <v>309</v>
      </c>
      <c r="F5" s="11">
        <f>CORREL(A4:A23,B4:B23)</f>
        <v>0.35053077159127682</v>
      </c>
      <c r="G5" s="11">
        <v>1</v>
      </c>
      <c r="H5" s="11">
        <f>G6</f>
        <v>0.73728145072200035</v>
      </c>
    </row>
    <row r="6" spans="1:10" ht="15" thickBot="1" x14ac:dyDescent="0.4">
      <c r="A6" s="390">
        <v>120</v>
      </c>
      <c r="B6" s="390">
        <v>118</v>
      </c>
      <c r="C6" s="390">
        <v>113</v>
      </c>
      <c r="E6" s="404" t="s">
        <v>310</v>
      </c>
      <c r="F6" s="12">
        <f>CORREL(A4:A23,C4:C23)</f>
        <v>0.31196789442778067</v>
      </c>
      <c r="G6" s="12">
        <f>CORREL(B4:B23,C4:C23)</f>
        <v>0.73728145072200035</v>
      </c>
      <c r="H6" s="12">
        <v>1</v>
      </c>
    </row>
    <row r="7" spans="1:10" x14ac:dyDescent="0.35">
      <c r="A7" s="390">
        <v>107</v>
      </c>
      <c r="B7" s="390">
        <v>85</v>
      </c>
      <c r="C7" s="390">
        <v>81</v>
      </c>
    </row>
    <row r="8" spans="1:10" x14ac:dyDescent="0.35">
      <c r="A8" s="390">
        <v>145</v>
      </c>
      <c r="B8" s="390">
        <v>115</v>
      </c>
      <c r="C8" s="390">
        <v>111</v>
      </c>
      <c r="E8" t="s">
        <v>31</v>
      </c>
      <c r="F8" s="387">
        <f>COUNT(A4:A23)</f>
        <v>20</v>
      </c>
      <c r="J8" t="e" cm="1">
        <f t="array" aca="1" ref="J8" ca="1">FTEXT(F8)</f>
        <v>#NAME?</v>
      </c>
    </row>
    <row r="9" spans="1:10" x14ac:dyDescent="0.35">
      <c r="A9" s="390">
        <v>107</v>
      </c>
      <c r="B9" s="390">
        <v>97</v>
      </c>
      <c r="C9" s="390">
        <v>103</v>
      </c>
      <c r="E9" s="18" t="s">
        <v>53</v>
      </c>
      <c r="F9" s="100">
        <f>F8-3</f>
        <v>17</v>
      </c>
      <c r="J9" t="e" cm="1">
        <f t="array" aca="1" ref="J9" ca="1">FTEXT(F9)</f>
        <v>#NAME?</v>
      </c>
    </row>
    <row r="10" spans="1:10" x14ac:dyDescent="0.35">
      <c r="A10" s="390">
        <v>96</v>
      </c>
      <c r="B10" s="390">
        <v>131</v>
      </c>
      <c r="C10" s="390">
        <v>114</v>
      </c>
      <c r="E10" t="s">
        <v>252</v>
      </c>
      <c r="F10" s="110">
        <f>H5</f>
        <v>0.73728145072200035</v>
      </c>
      <c r="J10" t="e" cm="1">
        <f t="array" aca="1" ref="J10" ca="1">FTEXT(F10)</f>
        <v>#NAME?</v>
      </c>
    </row>
    <row r="11" spans="1:10" x14ac:dyDescent="0.35">
      <c r="A11" s="390">
        <v>88</v>
      </c>
      <c r="B11" s="390">
        <v>91</v>
      </c>
      <c r="C11" s="390">
        <v>73</v>
      </c>
      <c r="E11" s="18" t="s">
        <v>253</v>
      </c>
      <c r="F11" s="110">
        <f>H4</f>
        <v>0.31196789442778067</v>
      </c>
      <c r="J11" t="e" cm="1">
        <f t="array" aca="1" ref="J11" ca="1">FTEXT(F11)</f>
        <v>#NAME?</v>
      </c>
    </row>
    <row r="12" spans="1:10" x14ac:dyDescent="0.35">
      <c r="A12" s="390">
        <v>94</v>
      </c>
      <c r="B12" s="390">
        <v>99</v>
      </c>
      <c r="C12" s="390">
        <v>99</v>
      </c>
      <c r="E12" s="18" t="s">
        <v>254</v>
      </c>
      <c r="F12" s="110">
        <f>G4</f>
        <v>0.35053077159127682</v>
      </c>
      <c r="J12" t="e" cm="1">
        <f t="array" aca="1" ref="J12" ca="1">FTEXT(F12)</f>
        <v>#NAME?</v>
      </c>
    </row>
    <row r="13" spans="1:10" x14ac:dyDescent="0.35">
      <c r="A13" s="390">
        <v>126</v>
      </c>
      <c r="B13" s="390">
        <v>110</v>
      </c>
      <c r="C13" s="390">
        <v>95</v>
      </c>
      <c r="E13" s="18" t="s">
        <v>311</v>
      </c>
      <c r="F13" s="100">
        <f>MDETERM(F4:H6)</f>
        <v>0.39747013625770605</v>
      </c>
      <c r="J13" t="e" cm="1">
        <f t="array" aca="1" ref="J13" ca="1">FTEXT(F13)</f>
        <v>#NAME?</v>
      </c>
    </row>
    <row r="14" spans="1:10" x14ac:dyDescent="0.35">
      <c r="A14" s="390">
        <v>84</v>
      </c>
      <c r="B14" s="390">
        <v>69</v>
      </c>
      <c r="C14" s="390">
        <v>81</v>
      </c>
      <c r="E14" s="87" t="s">
        <v>44</v>
      </c>
      <c r="F14" s="100">
        <v>0.05</v>
      </c>
    </row>
    <row r="15" spans="1:10" x14ac:dyDescent="0.35">
      <c r="A15" s="390">
        <v>97</v>
      </c>
      <c r="B15" s="390">
        <v>105</v>
      </c>
      <c r="C15" s="390">
        <v>108</v>
      </c>
      <c r="E15" s="18" t="s">
        <v>56</v>
      </c>
      <c r="F15" s="100">
        <f>(F10-F11)*SQRT((F8-1)*(1+F12)/(2*(F8-1)/F9*F13+(F10+F11)^2*(1-F12)^3/4))</f>
        <v>2.1944749085393318</v>
      </c>
      <c r="J15" t="e" cm="1">
        <f t="array" aca="1" ref="J15" ca="1">FTEXT(F15)</f>
        <v>#NAME?</v>
      </c>
    </row>
    <row r="16" spans="1:10" x14ac:dyDescent="0.35">
      <c r="A16" s="390">
        <v>116</v>
      </c>
      <c r="B16" s="390">
        <v>106</v>
      </c>
      <c r="C16" s="390">
        <v>102</v>
      </c>
      <c r="E16" s="18" t="s">
        <v>60</v>
      </c>
      <c r="F16" s="100">
        <f>TINV(F14,F9)</f>
        <v>2.109815577833317</v>
      </c>
      <c r="J16" s="7" t="s">
        <v>825</v>
      </c>
    </row>
    <row r="17" spans="1:10" x14ac:dyDescent="0.35">
      <c r="A17" s="390">
        <v>114</v>
      </c>
      <c r="B17" s="390">
        <v>137</v>
      </c>
      <c r="C17" s="390">
        <v>119</v>
      </c>
      <c r="E17" s="18" t="s">
        <v>59</v>
      </c>
      <c r="F17" s="94">
        <f>TDIST(F15,F9,2)</f>
        <v>4.2382628797638516E-2</v>
      </c>
      <c r="J17" s="7" t="s">
        <v>826</v>
      </c>
    </row>
    <row r="18" spans="1:10" x14ac:dyDescent="0.35">
      <c r="A18" s="390">
        <v>113</v>
      </c>
      <c r="B18" s="390">
        <v>93</v>
      </c>
      <c r="C18" s="390">
        <v>90</v>
      </c>
    </row>
    <row r="19" spans="1:10" x14ac:dyDescent="0.35">
      <c r="A19" s="390">
        <v>85</v>
      </c>
      <c r="B19" s="390">
        <v>110</v>
      </c>
      <c r="C19" s="390">
        <v>101</v>
      </c>
      <c r="E19" t="s">
        <v>822</v>
      </c>
      <c r="F19" s="387">
        <f>F10-F11</f>
        <v>0.42531355629421969</v>
      </c>
      <c r="J19" t="e" cm="1">
        <f t="array" aca="1" ref="J19" ca="1">FTEXT(F19)</f>
        <v>#NAME?</v>
      </c>
    </row>
    <row r="20" spans="1:10" x14ac:dyDescent="0.35">
      <c r="A20" s="390">
        <v>110</v>
      </c>
      <c r="B20" s="390">
        <v>119</v>
      </c>
      <c r="C20" s="390">
        <v>93</v>
      </c>
      <c r="E20" t="s">
        <v>265</v>
      </c>
      <c r="F20" s="100">
        <f>F19/F15</f>
        <v>0.19381108193089952</v>
      </c>
      <c r="J20" t="e" cm="1">
        <f t="array" aca="1" ref="J20" ca="1">FTEXT(F20)</f>
        <v>#NAME?</v>
      </c>
    </row>
    <row r="21" spans="1:10" x14ac:dyDescent="0.35">
      <c r="A21" s="390">
        <v>112</v>
      </c>
      <c r="B21" s="390">
        <v>116</v>
      </c>
      <c r="C21" s="390">
        <v>105</v>
      </c>
      <c r="E21" t="s">
        <v>29</v>
      </c>
      <c r="F21" s="100">
        <f>F19-F20*F16</f>
        <v>1.6407916479678597E-2</v>
      </c>
      <c r="J21" t="e" cm="1">
        <f t="array" aca="1" ref="J21" ca="1">FTEXT(F21)</f>
        <v>#NAME?</v>
      </c>
    </row>
    <row r="22" spans="1:10" x14ac:dyDescent="0.35">
      <c r="A22" s="390">
        <v>106</v>
      </c>
      <c r="B22" s="390">
        <v>85</v>
      </c>
      <c r="C22" s="390">
        <v>79</v>
      </c>
      <c r="E22" t="s">
        <v>30</v>
      </c>
      <c r="F22" s="94">
        <f>F19+F20*F16</f>
        <v>0.83421919610876083</v>
      </c>
      <c r="J22" t="e" cm="1">
        <f t="array" aca="1" ref="J22" ca="1">FTEXT(F22)</f>
        <v>#NAME?</v>
      </c>
    </row>
    <row r="23" spans="1:10" x14ac:dyDescent="0.35">
      <c r="A23" s="389">
        <v>89</v>
      </c>
      <c r="B23" s="389">
        <v>95</v>
      </c>
      <c r="C23" s="389">
        <v>113</v>
      </c>
    </row>
    <row r="25" spans="1:10" x14ac:dyDescent="0.35">
      <c r="E25" s="7" t="s">
        <v>827</v>
      </c>
    </row>
    <row r="27" spans="1:10" x14ac:dyDescent="0.35">
      <c r="E27" t="e">
        <f t="array" aca="1" ref="E27:F31" ca="1">Correl2OverlapTTest(F6,G6,G4,F8,,TRUE)</f>
        <v>#NAME?</v>
      </c>
      <c r="F27" s="387" t="e">
        <f ca="1"/>
        <v>#NAME?</v>
      </c>
      <c r="J27" t="e" cm="1">
        <f t="array" aca="1" ref="J27" ca="1">FTEXT(F27)</f>
        <v>#NAME?</v>
      </c>
    </row>
    <row r="28" spans="1:10" x14ac:dyDescent="0.35">
      <c r="E28" t="e">
        <f ca="1"/>
        <v>#NAME?</v>
      </c>
      <c r="F28" s="100" t="e">
        <f ca="1"/>
        <v>#NAME?</v>
      </c>
    </row>
    <row r="29" spans="1:10" x14ac:dyDescent="0.35">
      <c r="E29" t="e">
        <f ca="1"/>
        <v>#NAME?</v>
      </c>
      <c r="F29" s="100" t="e">
        <f ca="1"/>
        <v>#NAME?</v>
      </c>
    </row>
    <row r="30" spans="1:10" x14ac:dyDescent="0.35">
      <c r="E30" t="e">
        <f ca="1"/>
        <v>#NAME?</v>
      </c>
      <c r="F30" s="100" t="e">
        <f ca="1"/>
        <v>#NAME?</v>
      </c>
    </row>
    <row r="31" spans="1:10" x14ac:dyDescent="0.35">
      <c r="E31" t="e">
        <f ca="1"/>
        <v>#NAME?</v>
      </c>
      <c r="F31" s="94" t="e">
        <f ca="1"/>
        <v>#NAME?</v>
      </c>
    </row>
    <row r="33" spans="5:10" x14ac:dyDescent="0.35">
      <c r="E33" t="e">
        <f t="array" aca="1" ref="E33:F37" ca="1">Corr2OverlapTTest(C4:C23,A4:A23,B4:B23,,TRUE)</f>
        <v>#NAME?</v>
      </c>
      <c r="F33" s="387" t="e">
        <f ca="1"/>
        <v>#NAME?</v>
      </c>
      <c r="J33" t="e" cm="1">
        <f t="array" aca="1" ref="J33" ca="1">FTEXT(F33)</f>
        <v>#NAME?</v>
      </c>
    </row>
    <row r="34" spans="5:10" x14ac:dyDescent="0.35">
      <c r="E34" t="e">
        <f ca="1"/>
        <v>#NAME?</v>
      </c>
      <c r="F34" s="100" t="e">
        <f ca="1"/>
        <v>#NAME?</v>
      </c>
    </row>
    <row r="35" spans="5:10" x14ac:dyDescent="0.35">
      <c r="E35" t="e">
        <f ca="1"/>
        <v>#NAME?</v>
      </c>
      <c r="F35" s="100" t="e">
        <f ca="1"/>
        <v>#NAME?</v>
      </c>
    </row>
    <row r="36" spans="5:10" x14ac:dyDescent="0.35">
      <c r="E36" t="e">
        <f ca="1"/>
        <v>#NAME?</v>
      </c>
      <c r="F36" s="100" t="e">
        <f ca="1"/>
        <v>#NAME?</v>
      </c>
    </row>
    <row r="37" spans="5:10" x14ac:dyDescent="0.35">
      <c r="E37" t="e">
        <f ca="1"/>
        <v>#NAME?</v>
      </c>
      <c r="F37" s="94" t="e">
        <f ca="1"/>
        <v>#NAME?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75"/>
  <dimension ref="A1:J27"/>
  <sheetViews>
    <sheetView workbookViewId="0"/>
  </sheetViews>
  <sheetFormatPr defaultRowHeight="14.5" x14ac:dyDescent="0.35"/>
  <cols>
    <col min="3" max="4" width="9.1796875" customWidth="1"/>
    <col min="9" max="9" width="3.81640625" customWidth="1"/>
    <col min="10" max="10" width="58.453125" customWidth="1"/>
  </cols>
  <sheetData>
    <row r="1" spans="1:10" x14ac:dyDescent="0.35">
      <c r="A1" s="1" t="s">
        <v>840</v>
      </c>
    </row>
    <row r="2" spans="1:10" ht="15" thickBot="1" x14ac:dyDescent="0.4"/>
    <row r="3" spans="1:10" x14ac:dyDescent="0.35">
      <c r="A3" s="388" t="s">
        <v>308</v>
      </c>
      <c r="B3" s="388" t="s">
        <v>309</v>
      </c>
      <c r="C3" s="388" t="s">
        <v>310</v>
      </c>
      <c r="E3" s="229"/>
      <c r="F3" s="229" t="s">
        <v>308</v>
      </c>
      <c r="G3" s="229" t="s">
        <v>309</v>
      </c>
      <c r="H3" s="229" t="s">
        <v>310</v>
      </c>
      <c r="J3" s="405" t="s">
        <v>828</v>
      </c>
    </row>
    <row r="4" spans="1:10" x14ac:dyDescent="0.35">
      <c r="A4" s="390">
        <v>92</v>
      </c>
      <c r="B4" s="390">
        <v>120</v>
      </c>
      <c r="C4" s="390">
        <v>91</v>
      </c>
      <c r="E4" s="403" t="s">
        <v>308</v>
      </c>
      <c r="F4" s="11">
        <v>1</v>
      </c>
      <c r="G4" s="11">
        <f>F5</f>
        <v>0.35053077159127682</v>
      </c>
      <c r="H4" s="11">
        <f>F6</f>
        <v>0.31196789442778067</v>
      </c>
    </row>
    <row r="5" spans="1:10" x14ac:dyDescent="0.35">
      <c r="A5" s="390">
        <v>110</v>
      </c>
      <c r="B5" s="390">
        <v>128</v>
      </c>
      <c r="C5" s="390">
        <v>121</v>
      </c>
      <c r="E5" s="403" t="s">
        <v>309</v>
      </c>
      <c r="F5" s="11">
        <f>CORREL(A4:A23,B4:B23)</f>
        <v>0.35053077159127682</v>
      </c>
      <c r="G5" s="11">
        <v>1</v>
      </c>
      <c r="H5" s="11">
        <f>G6</f>
        <v>0.73728145072200035</v>
      </c>
    </row>
    <row r="6" spans="1:10" ht="15" thickBot="1" x14ac:dyDescent="0.4">
      <c r="A6" s="390">
        <v>120</v>
      </c>
      <c r="B6" s="390">
        <v>118</v>
      </c>
      <c r="C6" s="390">
        <v>113</v>
      </c>
      <c r="E6" s="404" t="s">
        <v>310</v>
      </c>
      <c r="F6" s="12">
        <f>CORREL(A4:A23,C4:C23)</f>
        <v>0.31196789442778067</v>
      </c>
      <c r="G6" s="12">
        <f>CORREL(B4:B23,C4:C23)</f>
        <v>0.73728145072200035</v>
      </c>
      <c r="H6" s="12">
        <v>1</v>
      </c>
    </row>
    <row r="7" spans="1:10" x14ac:dyDescent="0.35">
      <c r="A7" s="390">
        <v>107</v>
      </c>
      <c r="B7" s="390">
        <v>85</v>
      </c>
      <c r="C7" s="390">
        <v>81</v>
      </c>
    </row>
    <row r="8" spans="1:10" x14ac:dyDescent="0.35">
      <c r="A8" s="390">
        <v>145</v>
      </c>
      <c r="B8" s="390">
        <v>115</v>
      </c>
      <c r="C8" s="390">
        <v>111</v>
      </c>
      <c r="F8" t="s">
        <v>829</v>
      </c>
      <c r="G8" t="s">
        <v>830</v>
      </c>
      <c r="J8" t="e" cm="1">
        <f t="array" aca="1" ref="J8" ca="1">FTEXT(F8)</f>
        <v>#NAME?</v>
      </c>
    </row>
    <row r="9" spans="1:10" x14ac:dyDescent="0.35">
      <c r="A9" s="390">
        <v>107</v>
      </c>
      <c r="B9" s="390">
        <v>97</v>
      </c>
      <c r="C9" s="390">
        <v>103</v>
      </c>
      <c r="E9" t="s">
        <v>29</v>
      </c>
      <c r="F9" s="386" t="e" cm="1">
        <f t="array" aca="1" ref="F9" ca="1">CorrLower(H4,COUNT(C4:C23))</f>
        <v>#NAME?</v>
      </c>
      <c r="G9" s="331" t="e" cm="1">
        <f t="array" aca="1" ref="G9" ca="1">CorrLower(H5,COUNT(C4:C23))</f>
        <v>#NAME?</v>
      </c>
      <c r="J9" t="e" cm="1">
        <f t="array" aca="1" ref="J9" ca="1">FTEXT(F9)</f>
        <v>#NAME?</v>
      </c>
    </row>
    <row r="10" spans="1:10" x14ac:dyDescent="0.35">
      <c r="A10" s="390">
        <v>96</v>
      </c>
      <c r="B10" s="390">
        <v>131</v>
      </c>
      <c r="C10" s="390">
        <v>114</v>
      </c>
      <c r="E10" t="s">
        <v>30</v>
      </c>
      <c r="F10" s="89" t="e" cm="1">
        <f t="array" aca="1" ref="F10" ca="1">CorrUpper(H4,COUNT(C4:C23))</f>
        <v>#NAME?</v>
      </c>
      <c r="G10" s="93" t="e" cm="1">
        <f t="array" aca="1" ref="G10" ca="1">CorrUpper(H5,COUNT(C4:C23))</f>
        <v>#NAME?</v>
      </c>
      <c r="J10" t="e" cm="1">
        <f t="array" aca="1" ref="J10" ca="1">FTEXT(F10)</f>
        <v>#NAME?</v>
      </c>
    </row>
    <row r="11" spans="1:10" x14ac:dyDescent="0.35">
      <c r="A11" s="390">
        <v>88</v>
      </c>
      <c r="B11" s="390">
        <v>91</v>
      </c>
      <c r="C11" s="390">
        <v>73</v>
      </c>
      <c r="J11" t="e" cm="1">
        <f t="array" aca="1" ref="J11" ca="1">FTEXT(F11)</f>
        <v>#NAME?</v>
      </c>
    </row>
    <row r="12" spans="1:10" x14ac:dyDescent="0.35">
      <c r="A12" s="390">
        <v>94</v>
      </c>
      <c r="B12" s="390">
        <v>99</v>
      </c>
      <c r="C12" s="390">
        <v>99</v>
      </c>
      <c r="E12" t="s">
        <v>831</v>
      </c>
      <c r="F12" s="249">
        <f>((F5-0.5*H4*H5)*(1-H4^2-H5^2-F5^2)+F5^3)/((1-H4^2)*(1-H5^2))</f>
        <v>0.23958139000072975</v>
      </c>
      <c r="J12" t="e" cm="1">
        <f t="array" aca="1" ref="J12" ca="1">FTEXT(F12)</f>
        <v>#NAME?</v>
      </c>
    </row>
    <row r="13" spans="1:10" x14ac:dyDescent="0.35">
      <c r="A13" s="390">
        <v>126</v>
      </c>
      <c r="B13" s="390">
        <v>110</v>
      </c>
      <c r="C13" s="390">
        <v>95</v>
      </c>
      <c r="J13" t="e" cm="1">
        <f t="array" aca="1" ref="J13" ca="1">FTEXT(F13)</f>
        <v>#NAME?</v>
      </c>
    </row>
    <row r="14" spans="1:10" x14ac:dyDescent="0.35">
      <c r="A14" s="390">
        <v>84</v>
      </c>
      <c r="B14" s="390">
        <v>69</v>
      </c>
      <c r="C14" s="390">
        <v>81</v>
      </c>
      <c r="E14" t="s">
        <v>822</v>
      </c>
      <c r="F14" s="387">
        <f>H4-H5</f>
        <v>-0.42531355629421969</v>
      </c>
      <c r="J14" t="e" cm="1">
        <f t="array" aca="1" ref="J14" ca="1">FTEXT(F14)</f>
        <v>#NAME?</v>
      </c>
    </row>
    <row r="15" spans="1:10" x14ac:dyDescent="0.35">
      <c r="A15" s="390">
        <v>97</v>
      </c>
      <c r="B15" s="390">
        <v>105</v>
      </c>
      <c r="C15" s="390">
        <v>108</v>
      </c>
      <c r="E15" t="s">
        <v>29</v>
      </c>
      <c r="F15" s="100" t="e">
        <f ca="1">F14-((H4-F9)^2+(G10-H5)^2-2*(F12*(H4-F9)*(G10-H5)))^0.5</f>
        <v>#NAME?</v>
      </c>
      <c r="J15" t="e" cm="1">
        <f t="array" aca="1" ref="J15" ca="1">FTEXT(F15)</f>
        <v>#NAME?</v>
      </c>
    </row>
    <row r="16" spans="1:10" x14ac:dyDescent="0.35">
      <c r="A16" s="390">
        <v>116</v>
      </c>
      <c r="B16" s="390">
        <v>106</v>
      </c>
      <c r="C16" s="390">
        <v>102</v>
      </c>
      <c r="E16" t="s">
        <v>30</v>
      </c>
      <c r="F16" s="94" t="e">
        <f ca="1">F14+((F10-H4)^2+(H5-G9)^2-2*(F12*(F10-H4)*(H5-G9)))^0.5</f>
        <v>#NAME?</v>
      </c>
      <c r="J16" t="e" cm="1">
        <f t="array" aca="1" ref="J16" ca="1">FTEXT(F16)</f>
        <v>#NAME?</v>
      </c>
    </row>
    <row r="17" spans="1:10" x14ac:dyDescent="0.35">
      <c r="A17" s="390">
        <v>114</v>
      </c>
      <c r="B17" s="390">
        <v>137</v>
      </c>
      <c r="C17" s="390">
        <v>119</v>
      </c>
      <c r="J17" t="e" cm="1">
        <f t="array" aca="1" ref="J17" ca="1">FTEXT(F17)</f>
        <v>#NAME?</v>
      </c>
    </row>
    <row r="18" spans="1:10" x14ac:dyDescent="0.35">
      <c r="A18" s="390">
        <v>113</v>
      </c>
      <c r="B18" s="390">
        <v>93</v>
      </c>
      <c r="C18" s="390">
        <v>90</v>
      </c>
    </row>
    <row r="19" spans="1:10" x14ac:dyDescent="0.35">
      <c r="A19" s="390">
        <v>85</v>
      </c>
      <c r="B19" s="390">
        <v>110</v>
      </c>
      <c r="C19" s="390">
        <v>101</v>
      </c>
      <c r="E19" s="7" t="s">
        <v>827</v>
      </c>
    </row>
    <row r="20" spans="1:10" x14ac:dyDescent="0.35">
      <c r="A20" s="390">
        <v>110</v>
      </c>
      <c r="B20" s="390">
        <v>119</v>
      </c>
      <c r="C20" s="390">
        <v>93</v>
      </c>
    </row>
    <row r="21" spans="1:10" x14ac:dyDescent="0.35">
      <c r="A21" s="390">
        <v>112</v>
      </c>
      <c r="B21" s="390">
        <v>116</v>
      </c>
      <c r="C21" s="390">
        <v>105</v>
      </c>
      <c r="E21" t="e">
        <f t="array" aca="1" ref="E21:F23" ca="1">Correl2OverlapTest(H4,H5,F5,COUNT(C4:C23),,TRUE)</f>
        <v>#NAME?</v>
      </c>
      <c r="F21" s="387" t="e">
        <f ca="1"/>
        <v>#NAME?</v>
      </c>
      <c r="J21" t="e" cm="1">
        <f t="array" aca="1" ref="J21" ca="1">FTEXT(F21)</f>
        <v>#NAME?</v>
      </c>
    </row>
    <row r="22" spans="1:10" x14ac:dyDescent="0.35">
      <c r="A22" s="390">
        <v>106</v>
      </c>
      <c r="B22" s="390">
        <v>85</v>
      </c>
      <c r="C22" s="390">
        <v>79</v>
      </c>
      <c r="E22" t="e">
        <f ca="1"/>
        <v>#NAME?</v>
      </c>
      <c r="F22" s="100" t="e">
        <f ca="1"/>
        <v>#NAME?</v>
      </c>
    </row>
    <row r="23" spans="1:10" x14ac:dyDescent="0.35">
      <c r="A23" s="389">
        <v>89</v>
      </c>
      <c r="B23" s="389">
        <v>95</v>
      </c>
      <c r="C23" s="389">
        <v>113</v>
      </c>
      <c r="E23" t="e">
        <f ca="1"/>
        <v>#NAME?</v>
      </c>
      <c r="F23" s="94" t="e">
        <f ca="1"/>
        <v>#NAME?</v>
      </c>
    </row>
    <row r="25" spans="1:10" x14ac:dyDescent="0.35">
      <c r="E25" t="e">
        <f t="array" aca="1" ref="E25:F27" ca="1">Corr2OverlapTest(C4:C23,A4:A23,B4:B23,,TRUE)</f>
        <v>#NAME?</v>
      </c>
      <c r="F25" s="387" t="e">
        <f ca="1"/>
        <v>#NAME?</v>
      </c>
      <c r="J25" t="e" cm="1">
        <f t="array" aca="1" ref="J25" ca="1">FTEXT(F25)</f>
        <v>#NAME?</v>
      </c>
    </row>
    <row r="26" spans="1:10" x14ac:dyDescent="0.35">
      <c r="E26" t="e">
        <f ca="1"/>
        <v>#NAME?</v>
      </c>
      <c r="F26" s="100" t="e">
        <f ca="1"/>
        <v>#NAME?</v>
      </c>
    </row>
    <row r="27" spans="1:10" x14ac:dyDescent="0.35">
      <c r="E27" t="e">
        <f ca="1"/>
        <v>#NAME?</v>
      </c>
      <c r="F27" s="94" t="e">
        <f ca="1"/>
        <v>#NAME?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76"/>
  <dimension ref="A1:L24"/>
  <sheetViews>
    <sheetView workbookViewId="0">
      <selection activeCell="A2" sqref="A2"/>
    </sheetView>
  </sheetViews>
  <sheetFormatPr defaultRowHeight="14.5" x14ac:dyDescent="0.35"/>
  <cols>
    <col min="5" max="5" width="9.1796875" customWidth="1"/>
    <col min="11" max="11" width="4.1796875" customWidth="1"/>
    <col min="12" max="12" width="94.453125" customWidth="1"/>
  </cols>
  <sheetData>
    <row r="1" spans="1:12" x14ac:dyDescent="0.35">
      <c r="A1" s="1" t="s">
        <v>842</v>
      </c>
    </row>
    <row r="2" spans="1:12" x14ac:dyDescent="0.35">
      <c r="A2" s="1"/>
    </row>
    <row r="3" spans="1:12" ht="15" thickBot="1" x14ac:dyDescent="0.4">
      <c r="A3" s="564" t="s">
        <v>832</v>
      </c>
      <c r="B3" s="564"/>
      <c r="C3" s="564" t="s">
        <v>833</v>
      </c>
      <c r="D3" s="564"/>
    </row>
    <row r="4" spans="1:12" x14ac:dyDescent="0.35">
      <c r="A4" s="388" t="s">
        <v>294</v>
      </c>
      <c r="B4" s="388" t="s">
        <v>293</v>
      </c>
      <c r="C4" s="388" t="s">
        <v>294</v>
      </c>
      <c r="D4" s="388" t="s">
        <v>293</v>
      </c>
      <c r="F4" s="229"/>
      <c r="G4" s="229" t="s">
        <v>386</v>
      </c>
      <c r="H4" s="229" t="s">
        <v>683</v>
      </c>
      <c r="I4" s="229" t="s">
        <v>630</v>
      </c>
      <c r="J4" s="229" t="s">
        <v>834</v>
      </c>
    </row>
    <row r="5" spans="1:12" x14ac:dyDescent="0.35">
      <c r="A5" s="390">
        <v>92</v>
      </c>
      <c r="B5" s="390">
        <v>120</v>
      </c>
      <c r="C5" s="390">
        <v>100</v>
      </c>
      <c r="D5" s="390">
        <v>126</v>
      </c>
      <c r="F5" s="403" t="str">
        <f t="array" ref="F5:F8">TRANSPOSE(G4:J4)</f>
        <v>H1</v>
      </c>
      <c r="G5" s="11" t="e">
        <f t="array" aca="1" ref="G5:J8" ca="1">CORR(A5:D24)</f>
        <v>#NAME?</v>
      </c>
      <c r="H5" s="11" t="e">
        <f ca="1"/>
        <v>#NAME?</v>
      </c>
      <c r="I5" s="11" t="e">
        <f ca="1"/>
        <v>#NAME?</v>
      </c>
      <c r="J5" s="11" t="e">
        <f ca="1"/>
        <v>#NAME?</v>
      </c>
      <c r="L5" t="e" cm="1">
        <f t="array" aca="1" ref="L5" ca="1">FTEXT(G5)</f>
        <v>#NAME?</v>
      </c>
    </row>
    <row r="6" spans="1:12" x14ac:dyDescent="0.35">
      <c r="A6" s="390">
        <v>110</v>
      </c>
      <c r="B6" s="390">
        <v>128</v>
      </c>
      <c r="C6" s="390">
        <v>118</v>
      </c>
      <c r="D6" s="390">
        <v>134</v>
      </c>
      <c r="F6" s="403" t="str">
        <v>W1</v>
      </c>
      <c r="G6" s="11" t="e">
        <f ca="1"/>
        <v>#NAME?</v>
      </c>
      <c r="H6" s="11" t="e">
        <f ca="1"/>
        <v>#NAME?</v>
      </c>
      <c r="I6" s="11" t="e">
        <f ca="1"/>
        <v>#NAME?</v>
      </c>
      <c r="J6" s="11" t="e">
        <f ca="1"/>
        <v>#NAME?</v>
      </c>
    </row>
    <row r="7" spans="1:12" x14ac:dyDescent="0.35">
      <c r="A7" s="390">
        <v>120</v>
      </c>
      <c r="B7" s="390">
        <v>118</v>
      </c>
      <c r="C7" s="390">
        <v>128</v>
      </c>
      <c r="D7" s="390">
        <v>123</v>
      </c>
      <c r="F7" s="82" t="str">
        <v>H2</v>
      </c>
      <c r="G7" t="e">
        <f ca="1"/>
        <v>#NAME?</v>
      </c>
      <c r="H7" t="e">
        <f ca="1"/>
        <v>#NAME?</v>
      </c>
      <c r="I7" t="e">
        <f ca="1"/>
        <v>#NAME?</v>
      </c>
      <c r="J7" t="e">
        <f ca="1"/>
        <v>#NAME?</v>
      </c>
    </row>
    <row r="8" spans="1:12" ht="15" thickBot="1" x14ac:dyDescent="0.4">
      <c r="A8" s="390">
        <v>107</v>
      </c>
      <c r="B8" s="390">
        <v>85</v>
      </c>
      <c r="C8" s="390">
        <v>115</v>
      </c>
      <c r="D8" s="390">
        <v>89</v>
      </c>
      <c r="F8" s="404" t="str">
        <v>W2</v>
      </c>
      <c r="G8" s="12" t="e">
        <f ca="1"/>
        <v>#NAME?</v>
      </c>
      <c r="H8" s="12" t="e">
        <f ca="1"/>
        <v>#NAME?</v>
      </c>
      <c r="I8" s="12" t="e">
        <f ca="1"/>
        <v>#NAME?</v>
      </c>
      <c r="J8" s="12" t="e">
        <f ca="1"/>
        <v>#NAME?</v>
      </c>
    </row>
    <row r="9" spans="1:12" x14ac:dyDescent="0.35">
      <c r="A9" s="390">
        <v>145</v>
      </c>
      <c r="B9" s="390">
        <v>115</v>
      </c>
      <c r="C9" s="390">
        <v>153</v>
      </c>
      <c r="D9" s="390">
        <v>120</v>
      </c>
    </row>
    <row r="10" spans="1:12" x14ac:dyDescent="0.35">
      <c r="A10" s="390">
        <v>107</v>
      </c>
      <c r="B10" s="390">
        <v>97</v>
      </c>
      <c r="C10" s="390">
        <v>115</v>
      </c>
      <c r="D10" s="390">
        <v>102</v>
      </c>
      <c r="G10" t="s">
        <v>835</v>
      </c>
      <c r="H10" t="s">
        <v>836</v>
      </c>
      <c r="L10" t="e" cm="1">
        <f t="array" aca="1" ref="L10" ca="1">FTEXT(G10)</f>
        <v>#NAME?</v>
      </c>
    </row>
    <row r="11" spans="1:12" x14ac:dyDescent="0.35">
      <c r="A11" s="390">
        <v>96</v>
      </c>
      <c r="B11" s="390">
        <v>131</v>
      </c>
      <c r="C11" s="390">
        <v>104</v>
      </c>
      <c r="D11" s="390">
        <v>137</v>
      </c>
      <c r="F11" t="s">
        <v>246</v>
      </c>
      <c r="G11" s="386">
        <f>COUNT(A5:A24)</f>
        <v>20</v>
      </c>
      <c r="H11" s="331">
        <f>COUNT(C5:C24)</f>
        <v>20</v>
      </c>
      <c r="L11" t="e" cm="1">
        <f t="array" aca="1" ref="L11" ca="1">FTEXT(G11)</f>
        <v>#NAME?</v>
      </c>
    </row>
    <row r="12" spans="1:12" x14ac:dyDescent="0.35">
      <c r="A12" s="390">
        <v>88</v>
      </c>
      <c r="B12" s="390">
        <v>91</v>
      </c>
      <c r="C12" s="390">
        <v>95</v>
      </c>
      <c r="D12" s="390">
        <v>95</v>
      </c>
      <c r="F12" t="s">
        <v>29</v>
      </c>
      <c r="G12" s="101" t="e" cm="1">
        <f t="array" aca="1" ref="G12" ca="1">CorrLower(H5,G11)</f>
        <v>#NAME?</v>
      </c>
      <c r="H12" s="102" t="e" cm="1">
        <f t="array" aca="1" ref="H12" ca="1">CorrLower(J7,H11)</f>
        <v>#NAME?</v>
      </c>
      <c r="L12" t="e" cm="1">
        <f t="array" aca="1" ref="L12" ca="1">FTEXT(G12)</f>
        <v>#NAME?</v>
      </c>
    </row>
    <row r="13" spans="1:12" x14ac:dyDescent="0.35">
      <c r="A13" s="390">
        <v>94</v>
      </c>
      <c r="B13" s="390">
        <v>99</v>
      </c>
      <c r="C13" s="390">
        <v>102</v>
      </c>
      <c r="D13" s="390">
        <v>103</v>
      </c>
      <c r="F13" t="s">
        <v>30</v>
      </c>
      <c r="G13" s="89" t="e" cm="1">
        <f t="array" aca="1" ref="G13" ca="1">CorrUpper(H5,G11)</f>
        <v>#NAME?</v>
      </c>
      <c r="H13" s="93" t="e" cm="1">
        <f t="array" aca="1" ref="H13" ca="1">CorrUpper(J7,H11)</f>
        <v>#NAME?</v>
      </c>
      <c r="L13" t="e" cm="1">
        <f t="array" aca="1" ref="L13" ca="1">FTEXT(G13)</f>
        <v>#NAME?</v>
      </c>
    </row>
    <row r="14" spans="1:12" x14ac:dyDescent="0.35">
      <c r="A14" s="390">
        <v>126</v>
      </c>
      <c r="B14" s="390">
        <v>110</v>
      </c>
      <c r="C14" s="390">
        <v>134</v>
      </c>
      <c r="D14" s="390">
        <v>114</v>
      </c>
    </row>
    <row r="15" spans="1:12" x14ac:dyDescent="0.35">
      <c r="A15" s="390">
        <v>84</v>
      </c>
      <c r="B15" s="390">
        <v>69</v>
      </c>
      <c r="C15" s="390">
        <v>92</v>
      </c>
      <c r="D15" s="390">
        <v>85</v>
      </c>
      <c r="F15" t="s">
        <v>831</v>
      </c>
      <c r="G15" s="249" t="e">
        <f ca="1">(0.5*H5*J7*(I5^2+J5^2+I6^2+J6^2)+I5*J6+J5*I6-(H5*I5*J5+H5*I6*J6+I5*I6*J7+J5*J6*J7))/((1-H5^2)*(1-J7^2))</f>
        <v>#NAME?</v>
      </c>
      <c r="L15" t="e" cm="1">
        <f t="array" aca="1" ref="L15" ca="1">FTEXT(G15)</f>
        <v>#NAME?</v>
      </c>
    </row>
    <row r="16" spans="1:12" x14ac:dyDescent="0.35">
      <c r="A16" s="390">
        <v>97</v>
      </c>
      <c r="B16" s="390">
        <v>105</v>
      </c>
      <c r="C16" s="390">
        <v>95</v>
      </c>
      <c r="D16" s="390">
        <v>111</v>
      </c>
    </row>
    <row r="17" spans="1:12" x14ac:dyDescent="0.35">
      <c r="A17" s="390">
        <v>116</v>
      </c>
      <c r="B17" s="390">
        <v>106</v>
      </c>
      <c r="C17" s="390">
        <v>112</v>
      </c>
      <c r="D17" s="390">
        <v>111</v>
      </c>
      <c r="F17" t="s">
        <v>822</v>
      </c>
      <c r="G17" s="387" t="e">
        <f ca="1">G6-I8</f>
        <v>#NAME?</v>
      </c>
      <c r="L17" t="e" cm="1">
        <f t="array" aca="1" ref="L17" ca="1">FTEXT(G17)</f>
        <v>#NAME?</v>
      </c>
    </row>
    <row r="18" spans="1:12" x14ac:dyDescent="0.35">
      <c r="A18" s="390">
        <v>114</v>
      </c>
      <c r="B18" s="390">
        <v>137</v>
      </c>
      <c r="C18" s="390">
        <v>121</v>
      </c>
      <c r="D18" s="390">
        <v>137</v>
      </c>
      <c r="F18" t="s">
        <v>29</v>
      </c>
      <c r="G18" s="100" t="e">
        <f ca="1">G17-((H5-G12)^2+(H13-J7)^2-2*G15*(H5-G12)*(H13-J7))^0.5</f>
        <v>#NAME?</v>
      </c>
      <c r="L18" t="e" cm="1">
        <f t="array" aca="1" ref="L18" ca="1">FTEXT(G18)</f>
        <v>#NAME?</v>
      </c>
    </row>
    <row r="19" spans="1:12" x14ac:dyDescent="0.35">
      <c r="A19" s="390">
        <v>113</v>
      </c>
      <c r="B19" s="390">
        <v>93</v>
      </c>
      <c r="C19" s="390">
        <v>120</v>
      </c>
      <c r="D19" s="390">
        <v>98</v>
      </c>
      <c r="F19" t="s">
        <v>30</v>
      </c>
      <c r="G19" s="94" t="e">
        <f ca="1">G17+((G13-H5)^2+(J7-H12)^2-2*G15*(G13-H5)*(J7-H12))^0.5</f>
        <v>#NAME?</v>
      </c>
      <c r="L19" t="e" cm="1">
        <f t="array" aca="1" ref="L19" ca="1">FTEXT(G19)</f>
        <v>#NAME?</v>
      </c>
    </row>
    <row r="20" spans="1:12" x14ac:dyDescent="0.35">
      <c r="A20" s="390">
        <v>85</v>
      </c>
      <c r="B20" s="390">
        <v>110</v>
      </c>
      <c r="C20" s="390">
        <v>93</v>
      </c>
      <c r="D20" s="390">
        <v>115</v>
      </c>
    </row>
    <row r="21" spans="1:12" x14ac:dyDescent="0.35">
      <c r="A21" s="390">
        <v>110</v>
      </c>
      <c r="B21" s="390">
        <v>119</v>
      </c>
      <c r="C21" s="390">
        <v>118</v>
      </c>
      <c r="D21" s="390">
        <v>115</v>
      </c>
    </row>
    <row r="22" spans="1:12" x14ac:dyDescent="0.35">
      <c r="A22" s="390">
        <v>112</v>
      </c>
      <c r="B22" s="390">
        <v>116</v>
      </c>
      <c r="C22" s="390">
        <v>119</v>
      </c>
      <c r="D22" s="390">
        <v>123</v>
      </c>
    </row>
    <row r="23" spans="1:12" x14ac:dyDescent="0.35">
      <c r="A23" s="390">
        <v>106</v>
      </c>
      <c r="B23" s="390">
        <v>85</v>
      </c>
      <c r="C23" s="390">
        <v>114</v>
      </c>
      <c r="D23" s="390">
        <v>81</v>
      </c>
    </row>
    <row r="24" spans="1:12" x14ac:dyDescent="0.35">
      <c r="A24" s="389">
        <v>89</v>
      </c>
      <c r="B24" s="389">
        <v>95</v>
      </c>
      <c r="C24" s="389">
        <v>96</v>
      </c>
      <c r="D24" s="389">
        <v>98</v>
      </c>
    </row>
  </sheetData>
  <mergeCells count="2">
    <mergeCell ref="A3:B3"/>
    <mergeCell ref="C3:D3"/>
  </mergeCells>
  <pageMargins left="0.7" right="0.7" top="0.75" bottom="0.75" header="0.3" footer="0.3"/>
  <pageSetup paperSize="9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410"/>
  <dimension ref="A1:S27"/>
  <sheetViews>
    <sheetView zoomScaleNormal="100" workbookViewId="0"/>
  </sheetViews>
  <sheetFormatPr defaultRowHeight="14.5" x14ac:dyDescent="0.35"/>
  <cols>
    <col min="1" max="3" width="5.26953125" customWidth="1"/>
    <col min="10" max="10" width="5.26953125" customWidth="1"/>
    <col min="13" max="13" width="3.453125" customWidth="1"/>
    <col min="14" max="14" width="41.54296875" customWidth="1"/>
    <col min="16" max="16" width="7" customWidth="1"/>
    <col min="18" max="18" width="3.54296875" customWidth="1"/>
    <col min="19" max="19" width="37.26953125" customWidth="1"/>
  </cols>
  <sheetData>
    <row r="1" spans="1:19" x14ac:dyDescent="0.35">
      <c r="A1" s="1" t="s">
        <v>479</v>
      </c>
    </row>
    <row r="3" spans="1:19" x14ac:dyDescent="0.35">
      <c r="A3" s="234" t="s">
        <v>3</v>
      </c>
      <c r="B3" s="234" t="s">
        <v>107</v>
      </c>
      <c r="D3" t="s">
        <v>71</v>
      </c>
      <c r="K3" t="s">
        <v>481</v>
      </c>
      <c r="P3" t="s">
        <v>852</v>
      </c>
    </row>
    <row r="4" spans="1:19" x14ac:dyDescent="0.35">
      <c r="A4" s="224">
        <v>23</v>
      </c>
      <c r="B4" s="223">
        <v>1</v>
      </c>
    </row>
    <row r="5" spans="1:19" ht="15" thickBot="1" x14ac:dyDescent="0.4">
      <c r="A5" s="103">
        <v>15</v>
      </c>
      <c r="B5" s="97">
        <v>1</v>
      </c>
      <c r="D5" t="s">
        <v>55</v>
      </c>
      <c r="K5" t="s">
        <v>103</v>
      </c>
      <c r="L5" s="226">
        <f>CORREL(A4:A27,B4:B27)</f>
        <v>2.1402925123634755E-2</v>
      </c>
      <c r="N5" s="7" t="e" cm="1">
        <f t="array" aca="1" ref="N5" ca="1">FTEXT(L5)</f>
        <v>#NAME?</v>
      </c>
      <c r="P5" t="s">
        <v>370</v>
      </c>
      <c r="Q5" s="226">
        <f>AVERAGE(A4:A15)</f>
        <v>18.5</v>
      </c>
      <c r="S5" t="e" cm="1">
        <f t="array" aca="1" ref="S5" ca="1">FTEXT(Q5)</f>
        <v>#NAME?</v>
      </c>
    </row>
    <row r="6" spans="1:19" ht="15" customHeight="1" thickTop="1" x14ac:dyDescent="0.45">
      <c r="A6" s="103">
        <v>16</v>
      </c>
      <c r="B6" s="97">
        <v>1</v>
      </c>
      <c r="D6" s="164" t="s">
        <v>72</v>
      </c>
      <c r="E6" s="164" t="s">
        <v>20</v>
      </c>
      <c r="F6" s="164" t="s">
        <v>8</v>
      </c>
      <c r="G6" s="164" t="s">
        <v>73</v>
      </c>
      <c r="H6" s="164" t="s">
        <v>57</v>
      </c>
      <c r="I6" s="164" t="s">
        <v>285</v>
      </c>
      <c r="K6" t="s">
        <v>104</v>
      </c>
      <c r="L6" s="100">
        <f>SQRT((1-L5^2)/L8)</f>
        <v>0.21315187871521352</v>
      </c>
      <c r="N6" s="7" t="e" cm="1">
        <f t="array" aca="1" ref="N6" ca="1">FTEXT(L6)</f>
        <v>#NAME?</v>
      </c>
      <c r="P6" t="s">
        <v>369</v>
      </c>
      <c r="Q6" s="100">
        <f>AVERAGE(A16:A27)</f>
        <v>18.333333333333332</v>
      </c>
      <c r="S6" t="e" cm="1">
        <f t="array" aca="1" ref="S6" ca="1">FTEXT(Q6)</f>
        <v>#NAME?</v>
      </c>
    </row>
    <row r="7" spans="1:19" x14ac:dyDescent="0.35">
      <c r="A7" s="103">
        <v>25</v>
      </c>
      <c r="B7" s="97">
        <v>1</v>
      </c>
      <c r="D7" t="s">
        <v>64</v>
      </c>
      <c r="E7">
        <f>COUNT(A4:A15)</f>
        <v>12</v>
      </c>
      <c r="F7">
        <f>AVERAGE(A4:A15)</f>
        <v>18.5</v>
      </c>
      <c r="G7">
        <f>VAR(A4:A15)</f>
        <v>15.181818181818182</v>
      </c>
      <c r="K7" t="s">
        <v>105</v>
      </c>
      <c r="L7" s="100">
        <f>(L5-0)/L6</f>
        <v>0.10041161847900307</v>
      </c>
      <c r="N7" s="7" t="e" cm="1">
        <f t="array" aca="1" ref="N7" ca="1">FTEXT(L7)</f>
        <v>#NAME?</v>
      </c>
      <c r="P7" t="s">
        <v>79</v>
      </c>
      <c r="Q7" s="100">
        <f>COUNT(A4:A15)</f>
        <v>12</v>
      </c>
      <c r="S7" t="e" cm="1">
        <f t="array" aca="1" ref="S7" ca="1">FTEXT(Q7)</f>
        <v>#NAME?</v>
      </c>
    </row>
    <row r="8" spans="1:19" x14ac:dyDescent="0.35">
      <c r="A8" s="103">
        <v>20</v>
      </c>
      <c r="B8" s="97">
        <v>1</v>
      </c>
      <c r="D8" t="s">
        <v>290</v>
      </c>
      <c r="E8">
        <f>COUNT(A16:A27)</f>
        <v>12</v>
      </c>
      <c r="F8">
        <f>AVERAGE(A16:A27)</f>
        <v>18.333333333333332</v>
      </c>
      <c r="G8">
        <f>VAR(A16:A27)</f>
        <v>17.878787878787865</v>
      </c>
      <c r="K8" t="s">
        <v>106</v>
      </c>
      <c r="L8" s="100">
        <f>COUNT(A4:A27)-2</f>
        <v>22</v>
      </c>
      <c r="N8" s="7" t="e" cm="1">
        <f t="array" aca="1" ref="N8" ca="1">FTEXT(L8)</f>
        <v>#NAME?</v>
      </c>
      <c r="P8" t="s">
        <v>506</v>
      </c>
      <c r="Q8" s="100">
        <f>COUNT(A16:A27)</f>
        <v>12</v>
      </c>
      <c r="S8" t="e" cm="1">
        <f t="array" aca="1" ref="S8" ca="1">FTEXT(Q8)</f>
        <v>#NAME?</v>
      </c>
    </row>
    <row r="9" spans="1:19" x14ac:dyDescent="0.35">
      <c r="A9" s="103">
        <v>17</v>
      </c>
      <c r="B9" s="97">
        <v>1</v>
      </c>
      <c r="D9" s="184" t="s">
        <v>75</v>
      </c>
      <c r="E9" s="184"/>
      <c r="F9" s="184"/>
      <c r="G9" s="184">
        <f>((E7-1)*G7+(E8-1)*G8)/(E7+E8-2)</f>
        <v>16.530303030303024</v>
      </c>
      <c r="H9" s="184">
        <f>ABS(F7-F8-H5)/SQRT(G9)</f>
        <v>4.099287158676293E-2</v>
      </c>
      <c r="I9" s="184">
        <f>SQRT(F13^2/(F13^2+G13))</f>
        <v>2.1402925123634911E-2</v>
      </c>
      <c r="K9" t="s">
        <v>88</v>
      </c>
      <c r="L9" s="100">
        <v>0.05</v>
      </c>
      <c r="N9" s="7"/>
      <c r="P9" t="s">
        <v>31</v>
      </c>
      <c r="Q9" s="100">
        <f>Q7+Q8</f>
        <v>24</v>
      </c>
      <c r="S9" t="e" cm="1">
        <f t="array" aca="1" ref="S9" ca="1">FTEXT(Q9)</f>
        <v>#NAME?</v>
      </c>
    </row>
    <row r="10" spans="1:19" x14ac:dyDescent="0.35">
      <c r="A10" s="103">
        <v>18</v>
      </c>
      <c r="B10" s="97">
        <v>1</v>
      </c>
      <c r="K10" t="s">
        <v>59</v>
      </c>
      <c r="L10" s="100">
        <f>_xlfn.T.DIST.2T(L7,L8)</f>
        <v>0.9209269970296301</v>
      </c>
      <c r="N10" s="7" t="e" cm="1">
        <f t="array" aca="1" ref="N10" ca="1">FTEXT(L10)</f>
        <v>#NAME?</v>
      </c>
      <c r="P10" t="s">
        <v>209</v>
      </c>
      <c r="Q10" s="100">
        <f>_xlfn.STDEV.S(A4:A27)</f>
        <v>3.9772906079025874</v>
      </c>
      <c r="S10" t="e" cm="1">
        <f t="array" aca="1" ref="S10" ca="1">FTEXT(Q10)</f>
        <v>#NAME?</v>
      </c>
    </row>
    <row r="11" spans="1:19" ht="15" thickBot="1" x14ac:dyDescent="0.4">
      <c r="A11" s="103">
        <v>14</v>
      </c>
      <c r="B11" s="97">
        <v>1</v>
      </c>
      <c r="D11" t="s">
        <v>76</v>
      </c>
      <c r="H11" t="s">
        <v>35</v>
      </c>
      <c r="I11">
        <v>0.05</v>
      </c>
      <c r="K11" t="s">
        <v>270</v>
      </c>
      <c r="L11" s="92" t="str">
        <f>IF(L10&lt;L9,"yes","no")</f>
        <v>no</v>
      </c>
      <c r="N11" s="7" t="e" cm="1">
        <f t="array" aca="1" ref="N11" ca="1">FTEXT(L11)</f>
        <v>#NAME?</v>
      </c>
      <c r="P11" t="s">
        <v>95</v>
      </c>
      <c r="Q11" s="94">
        <f>(Q5-Q6)/Q10*SQRT(Q7*Q8/(Q9*(Q9-1)))</f>
        <v>2.1402925123634918E-2</v>
      </c>
      <c r="S11" t="e" cm="1">
        <f t="array" aca="1" ref="S11" ca="1">FTEXT(Q11)</f>
        <v>#NAME?</v>
      </c>
    </row>
    <row r="12" spans="1:19" ht="15" thickTop="1" x14ac:dyDescent="0.35">
      <c r="A12" s="103">
        <v>12</v>
      </c>
      <c r="B12" s="97">
        <v>1</v>
      </c>
      <c r="D12" s="164" t="s">
        <v>58</v>
      </c>
      <c r="E12" s="164" t="s">
        <v>284</v>
      </c>
      <c r="F12" s="164" t="s">
        <v>77</v>
      </c>
      <c r="G12" s="164" t="s">
        <v>53</v>
      </c>
      <c r="H12" s="164" t="s">
        <v>59</v>
      </c>
      <c r="I12" s="164" t="s">
        <v>60</v>
      </c>
    </row>
    <row r="13" spans="1:19" ht="14.25" customHeight="1" x14ac:dyDescent="0.35">
      <c r="A13" s="103">
        <v>19</v>
      </c>
      <c r="B13" s="97">
        <v>1</v>
      </c>
      <c r="D13" t="s">
        <v>62</v>
      </c>
      <c r="E13">
        <f>SQRT(G9*(1/E7+1/E8))</f>
        <v>1.6598344812210957</v>
      </c>
      <c r="F13">
        <f>(ABS(F7-F8))/E13</f>
        <v>0.1004116184790038</v>
      </c>
      <c r="G13">
        <f>E7+E8-2</f>
        <v>22</v>
      </c>
      <c r="H13">
        <f>TDIST(F13,G13,1)</f>
        <v>0.46046349851481477</v>
      </c>
      <c r="I13">
        <f>TINV(I11*2,G13)</f>
        <v>1.7171443743802424</v>
      </c>
      <c r="K13" t="s">
        <v>258</v>
      </c>
      <c r="L13" s="226">
        <f>L7^2/(L7^2+L8)</f>
        <v>4.5808520384791571E-4</v>
      </c>
      <c r="N13" s="7" t="e" cm="1">
        <f t="array" aca="1" ref="N13" ca="1">FTEXT(L13)</f>
        <v>#NAME?</v>
      </c>
    </row>
    <row r="14" spans="1:19" x14ac:dyDescent="0.35">
      <c r="A14" s="103">
        <v>21</v>
      </c>
      <c r="B14" s="97">
        <v>1</v>
      </c>
      <c r="D14" s="152" t="s">
        <v>63</v>
      </c>
      <c r="E14" s="152">
        <f>E13</f>
        <v>1.6598344812210957</v>
      </c>
      <c r="F14" s="152">
        <f>F13</f>
        <v>0.1004116184790038</v>
      </c>
      <c r="G14" s="152">
        <f>G13</f>
        <v>22</v>
      </c>
      <c r="H14" s="152">
        <f>TDIST(F14,G14,2)</f>
        <v>0.92092699702962955</v>
      </c>
      <c r="I14" s="152">
        <f>TINV(I11,G14)</f>
        <v>2.0738730679040258</v>
      </c>
      <c r="K14" t="s">
        <v>95</v>
      </c>
      <c r="L14" s="94">
        <f>SQRT(L13)</f>
        <v>2.1402925123634751E-2</v>
      </c>
      <c r="N14" s="7" t="e" cm="1">
        <f t="array" aca="1" ref="N14" ca="1">FTEXT(L14)</f>
        <v>#NAME?</v>
      </c>
    </row>
    <row r="15" spans="1:19" x14ac:dyDescent="0.35">
      <c r="A15" s="103">
        <v>22</v>
      </c>
      <c r="B15" s="97">
        <v>1</v>
      </c>
      <c r="N15" s="7"/>
    </row>
    <row r="16" spans="1:19" ht="15" customHeight="1" x14ac:dyDescent="0.35">
      <c r="A16" s="103">
        <v>16</v>
      </c>
      <c r="B16" s="97">
        <v>0</v>
      </c>
      <c r="K16" t="s">
        <v>258</v>
      </c>
      <c r="L16" s="226">
        <f>L13</f>
        <v>4.5808520384791571E-4</v>
      </c>
      <c r="N16" s="7" t="e" cm="1">
        <f t="array" aca="1" ref="N16" ca="1">FTEXT(L16)</f>
        <v>#NAME?</v>
      </c>
    </row>
    <row r="17" spans="1:14" x14ac:dyDescent="0.35">
      <c r="A17" s="103">
        <v>21</v>
      </c>
      <c r="B17" s="97">
        <v>0</v>
      </c>
      <c r="K17" t="s">
        <v>79</v>
      </c>
      <c r="L17" s="100">
        <f>COUNTIF(B4:B27,1)</f>
        <v>12</v>
      </c>
      <c r="N17" s="7" t="e" cm="1">
        <f t="array" aca="1" ref="N17" ca="1">FTEXT(L17)</f>
        <v>#NAME?</v>
      </c>
    </row>
    <row r="18" spans="1:14" x14ac:dyDescent="0.35">
      <c r="A18" s="103">
        <v>16</v>
      </c>
      <c r="B18" s="97">
        <v>0</v>
      </c>
      <c r="K18" t="s">
        <v>80</v>
      </c>
      <c r="L18" s="100">
        <f>COUNTIF(B4:B27,0)</f>
        <v>12</v>
      </c>
      <c r="N18" s="7" t="e" cm="1">
        <f t="array" aca="1" ref="N18" ca="1">FTEXT(L18)</f>
        <v>#NAME?</v>
      </c>
    </row>
    <row r="19" spans="1:14" x14ac:dyDescent="0.35">
      <c r="A19" s="103">
        <v>11</v>
      </c>
      <c r="B19" s="97">
        <v>0</v>
      </c>
      <c r="K19" t="s">
        <v>53</v>
      </c>
      <c r="L19" s="100">
        <f>L8</f>
        <v>22</v>
      </c>
      <c r="N19" s="7" t="e" cm="1">
        <f t="array" aca="1" ref="N19" ca="1">FTEXT(L19)</f>
        <v>#NAME?</v>
      </c>
    </row>
    <row r="20" spans="1:14" x14ac:dyDescent="0.35">
      <c r="A20" s="103">
        <v>24</v>
      </c>
      <c r="B20" s="97">
        <v>0</v>
      </c>
      <c r="K20" t="s">
        <v>42</v>
      </c>
      <c r="L20" s="94">
        <f>SQRT((L19*(L17+L18)*L16)/(L17*L18*(1-L16)))</f>
        <v>4.0992871586762639E-2</v>
      </c>
      <c r="N20" s="7" t="e" cm="1">
        <f t="array" aca="1" ref="N20" ca="1">FTEXT(L20)</f>
        <v>#NAME?</v>
      </c>
    </row>
    <row r="21" spans="1:14" x14ac:dyDescent="0.35">
      <c r="A21" s="103">
        <v>21</v>
      </c>
      <c r="B21" s="97">
        <v>0</v>
      </c>
    </row>
    <row r="22" spans="1:14" x14ac:dyDescent="0.35">
      <c r="A22" s="103">
        <v>18</v>
      </c>
      <c r="B22" s="97">
        <v>0</v>
      </c>
    </row>
    <row r="23" spans="1:14" x14ac:dyDescent="0.35">
      <c r="A23" s="103">
        <v>15</v>
      </c>
      <c r="B23" s="97">
        <v>0</v>
      </c>
    </row>
    <row r="24" spans="1:14" x14ac:dyDescent="0.35">
      <c r="A24" s="103">
        <v>19</v>
      </c>
      <c r="B24" s="97">
        <v>0</v>
      </c>
    </row>
    <row r="25" spans="1:14" x14ac:dyDescent="0.35">
      <c r="A25" s="103">
        <v>22</v>
      </c>
      <c r="B25" s="97">
        <v>0</v>
      </c>
    </row>
    <row r="26" spans="1:14" x14ac:dyDescent="0.35">
      <c r="A26" s="103">
        <v>13</v>
      </c>
      <c r="B26" s="97">
        <v>0</v>
      </c>
    </row>
    <row r="27" spans="1:14" x14ac:dyDescent="0.35">
      <c r="A27" s="95">
        <v>24</v>
      </c>
      <c r="B27" s="90">
        <v>0</v>
      </c>
    </row>
  </sheetData>
  <pageMargins left="0.7" right="0.7" top="0.75" bottom="0.75" header="0.3" footer="0.3"/>
  <ignoredErrors>
    <ignoredError sqref="E7:G8 Q5:Q8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64"/>
  <dimension ref="A1:U152"/>
  <sheetViews>
    <sheetView workbookViewId="0"/>
  </sheetViews>
  <sheetFormatPr defaultRowHeight="14.5" x14ac:dyDescent="0.35"/>
  <cols>
    <col min="1" max="1" width="10.54296875" customWidth="1"/>
    <col min="2" max="4" width="9.1796875" customWidth="1"/>
    <col min="5" max="5" width="7.7265625" customWidth="1"/>
    <col min="6" max="7" width="7.1796875" customWidth="1"/>
    <col min="8" max="8" width="3" customWidth="1"/>
    <col min="9" max="9" width="35.7265625" customWidth="1"/>
    <col min="13" max="13" width="4.453125" customWidth="1"/>
    <col min="14" max="14" width="20.453125" customWidth="1"/>
    <col min="15" max="15" width="3" customWidth="1"/>
    <col min="16" max="17" width="6.7265625" customWidth="1"/>
    <col min="20" max="20" width="3.453125" customWidth="1"/>
    <col min="21" max="21" width="25.453125" customWidth="1"/>
  </cols>
  <sheetData>
    <row r="1" spans="1:21" x14ac:dyDescent="0.35">
      <c r="A1" s="1" t="s">
        <v>480</v>
      </c>
    </row>
    <row r="2" spans="1:21" x14ac:dyDescent="0.35">
      <c r="F2" t="s">
        <v>852</v>
      </c>
      <c r="P2" s="71" t="s">
        <v>3</v>
      </c>
      <c r="Q2" s="71" t="s">
        <v>107</v>
      </c>
    </row>
    <row r="3" spans="1:21" x14ac:dyDescent="0.35">
      <c r="B3" s="6" t="s">
        <v>91</v>
      </c>
      <c r="C3" s="6" t="s">
        <v>92</v>
      </c>
      <c r="D3" s="6" t="s">
        <v>1</v>
      </c>
      <c r="K3" t="s">
        <v>95</v>
      </c>
      <c r="L3" s="80">
        <f>S3</f>
        <v>0.19176735180490398</v>
      </c>
      <c r="N3" t="e" cm="1">
        <f t="array" aca="1" ref="N3" ca="1">FTEXT(L3)</f>
        <v>#NAME?</v>
      </c>
      <c r="P3" s="224">
        <v>1</v>
      </c>
      <c r="Q3" s="223">
        <v>1</v>
      </c>
      <c r="R3" s="6" t="s">
        <v>95</v>
      </c>
      <c r="S3" s="109">
        <f>CORREL(P3:P152,Q3:Q152)</f>
        <v>0.19176735180490398</v>
      </c>
      <c r="U3" t="e" cm="1">
        <f t="array" aca="1" ref="U3" ca="1">FTEXT(S3)</f>
        <v>#NAME?</v>
      </c>
    </row>
    <row r="4" spans="1:21" x14ac:dyDescent="0.35">
      <c r="A4" t="s">
        <v>93</v>
      </c>
      <c r="B4" s="235">
        <v>31</v>
      </c>
      <c r="C4" s="236">
        <v>57</v>
      </c>
      <c r="D4">
        <f>SUM(B4:C4)</f>
        <v>88</v>
      </c>
      <c r="F4" t="s">
        <v>370</v>
      </c>
      <c r="G4" s="226">
        <f>B4/B6</f>
        <v>0.73809523809523814</v>
      </c>
      <c r="I4" t="e" cm="1">
        <f t="array" aca="1" ref="I4" ca="1">FTEXT(G4)</f>
        <v>#NAME?</v>
      </c>
      <c r="K4" t="s">
        <v>31</v>
      </c>
      <c r="L4" s="13">
        <f>D6</f>
        <v>150</v>
      </c>
      <c r="N4" t="e" cm="1">
        <f t="array" aca="1" ref="N4" ca="1">FTEXT(L4)</f>
        <v>#NAME?</v>
      </c>
      <c r="P4" s="103">
        <v>1</v>
      </c>
      <c r="Q4" s="97">
        <v>1</v>
      </c>
    </row>
    <row r="5" spans="1:21" ht="16.5" x14ac:dyDescent="0.35">
      <c r="A5" t="s">
        <v>94</v>
      </c>
      <c r="B5" s="237">
        <v>11</v>
      </c>
      <c r="C5" s="96">
        <v>51</v>
      </c>
      <c r="D5">
        <f>SUM(B5:C5)</f>
        <v>62</v>
      </c>
      <c r="F5" t="s">
        <v>369</v>
      </c>
      <c r="G5" s="100">
        <f>C4/C6</f>
        <v>0.52777777777777779</v>
      </c>
      <c r="I5" t="e" cm="1">
        <f t="array" aca="1" ref="I5" ca="1">FTEXT(G5)</f>
        <v>#NAME?</v>
      </c>
      <c r="K5" t="s">
        <v>268</v>
      </c>
      <c r="L5" s="13">
        <f>L4*L3^2</f>
        <v>5.5162075827398711</v>
      </c>
      <c r="N5" t="e" cm="1">
        <f t="array" aca="1" ref="N5" ca="1">FTEXT(L5)</f>
        <v>#NAME?</v>
      </c>
      <c r="P5" s="103">
        <v>1</v>
      </c>
      <c r="Q5" s="97">
        <v>1</v>
      </c>
    </row>
    <row r="6" spans="1:21" x14ac:dyDescent="0.35">
      <c r="A6" t="s">
        <v>1</v>
      </c>
      <c r="B6">
        <f>SUM(B4:B5)</f>
        <v>42</v>
      </c>
      <c r="C6">
        <f>SUM(C4:C5)</f>
        <v>108</v>
      </c>
      <c r="D6">
        <f>SUM(D4:D5)</f>
        <v>150</v>
      </c>
      <c r="F6" t="s">
        <v>79</v>
      </c>
      <c r="G6" s="100">
        <f>B6</f>
        <v>42</v>
      </c>
      <c r="I6" t="e" cm="1">
        <f t="array" aca="1" ref="I6" ca="1">FTEXT(G6)</f>
        <v>#NAME?</v>
      </c>
      <c r="K6" s="9" t="s">
        <v>59</v>
      </c>
      <c r="L6" s="81">
        <f>_xlfn.CHISQ.DIST.RT(L5,1)</f>
        <v>1.8841061611125288E-2</v>
      </c>
      <c r="N6" t="e" cm="1">
        <f t="array" aca="1" ref="N6" ca="1">FTEXT(L6)</f>
        <v>#NAME?</v>
      </c>
      <c r="P6" s="103">
        <v>1</v>
      </c>
      <c r="Q6" s="97">
        <v>1</v>
      </c>
    </row>
    <row r="7" spans="1:21" x14ac:dyDescent="0.35">
      <c r="F7" t="s">
        <v>506</v>
      </c>
      <c r="G7" s="100">
        <f>C6</f>
        <v>108</v>
      </c>
      <c r="I7" t="e" cm="1">
        <f t="array" aca="1" ref="I7" ca="1">FTEXT(G7)</f>
        <v>#NAME?</v>
      </c>
      <c r="P7" s="103">
        <v>1</v>
      </c>
      <c r="Q7" s="97">
        <v>1</v>
      </c>
    </row>
    <row r="8" spans="1:21" x14ac:dyDescent="0.35">
      <c r="F8" t="s">
        <v>31</v>
      </c>
      <c r="G8" s="100">
        <f>G6+G7</f>
        <v>150</v>
      </c>
      <c r="I8" t="e" cm="1">
        <f t="array" aca="1" ref="I8" ca="1">FTEXT(G8)</f>
        <v>#NAME?</v>
      </c>
      <c r="P8" s="103">
        <v>1</v>
      </c>
      <c r="Q8" s="97">
        <v>1</v>
      </c>
    </row>
    <row r="9" spans="1:21" x14ac:dyDescent="0.35">
      <c r="A9" t="s">
        <v>267</v>
      </c>
      <c r="F9" t="s">
        <v>209</v>
      </c>
      <c r="G9" s="100">
        <f>SQRT(D4*D5/(G8*(G8-1)))</f>
        <v>0.49408130008754314</v>
      </c>
      <c r="I9" t="e" cm="1">
        <f t="array" aca="1" ref="I9" ca="1">FTEXT(G9)</f>
        <v>#NAME?</v>
      </c>
      <c r="P9" s="103">
        <v>1</v>
      </c>
      <c r="Q9" s="97">
        <v>1</v>
      </c>
    </row>
    <row r="10" spans="1:21" x14ac:dyDescent="0.35">
      <c r="A10" t="s">
        <v>266</v>
      </c>
      <c r="F10" t="s">
        <v>95</v>
      </c>
      <c r="G10" s="94">
        <f>(G4-G5)/G9*SQRT(G6*G7/(G8*(G8-1)))</f>
        <v>0.19176735180490348</v>
      </c>
      <c r="I10" t="e" cm="1">
        <f t="array" aca="1" ref="I10" ca="1">FTEXT(G10)</f>
        <v>#NAME?</v>
      </c>
      <c r="P10" s="103">
        <v>1</v>
      </c>
      <c r="Q10" s="97">
        <v>1</v>
      </c>
    </row>
    <row r="11" spans="1:21" x14ac:dyDescent="0.35">
      <c r="P11" s="103">
        <v>1</v>
      </c>
      <c r="Q11" s="97">
        <v>1</v>
      </c>
    </row>
    <row r="12" spans="1:21" x14ac:dyDescent="0.35">
      <c r="P12" s="103">
        <v>1</v>
      </c>
      <c r="Q12" s="97">
        <v>1</v>
      </c>
    </row>
    <row r="13" spans="1:21" x14ac:dyDescent="0.35">
      <c r="F13" t="s">
        <v>852</v>
      </c>
      <c r="P13" s="103">
        <v>1</v>
      </c>
      <c r="Q13" s="97">
        <v>1</v>
      </c>
    </row>
    <row r="14" spans="1:21" x14ac:dyDescent="0.35">
      <c r="P14" s="103">
        <v>1</v>
      </c>
      <c r="Q14" s="97">
        <v>1</v>
      </c>
    </row>
    <row r="15" spans="1:21" x14ac:dyDescent="0.35">
      <c r="F15" t="s">
        <v>370</v>
      </c>
      <c r="G15" s="226">
        <f>AVERAGE(P3:P44)</f>
        <v>0.73809523809523814</v>
      </c>
      <c r="I15" t="e" cm="1">
        <f t="array" aca="1" ref="I15" ca="1">FTEXT(G15)</f>
        <v>#NAME?</v>
      </c>
      <c r="P15" s="103">
        <v>1</v>
      </c>
      <c r="Q15" s="97">
        <v>1</v>
      </c>
    </row>
    <row r="16" spans="1:21" x14ac:dyDescent="0.35">
      <c r="F16" t="s">
        <v>369</v>
      </c>
      <c r="G16" s="100">
        <f>AVERAGE(P45:P152)</f>
        <v>0.52777777777777779</v>
      </c>
      <c r="I16" t="e" cm="1">
        <f t="array" aca="1" ref="I16" ca="1">FTEXT(G16)</f>
        <v>#NAME?</v>
      </c>
      <c r="P16" s="103">
        <v>1</v>
      </c>
      <c r="Q16" s="97">
        <v>1</v>
      </c>
    </row>
    <row r="17" spans="6:17" x14ac:dyDescent="0.35">
      <c r="F17" t="s">
        <v>79</v>
      </c>
      <c r="G17" s="100">
        <f>COUNT(Q3:Q44)</f>
        <v>42</v>
      </c>
      <c r="I17" t="e" cm="1">
        <f t="array" aca="1" ref="I17" ca="1">FTEXT(G17)</f>
        <v>#NAME?</v>
      </c>
      <c r="P17" s="103">
        <v>1</v>
      </c>
      <c r="Q17" s="97">
        <v>1</v>
      </c>
    </row>
    <row r="18" spans="6:17" x14ac:dyDescent="0.35">
      <c r="F18" t="s">
        <v>506</v>
      </c>
      <c r="G18" s="100">
        <f>COUNT(Q45:Q152)</f>
        <v>108</v>
      </c>
      <c r="I18" t="e" cm="1">
        <f t="array" aca="1" ref="I18" ca="1">FTEXT(G18)</f>
        <v>#NAME?</v>
      </c>
      <c r="P18" s="103">
        <v>1</v>
      </c>
      <c r="Q18" s="97">
        <v>1</v>
      </c>
    </row>
    <row r="19" spans="6:17" x14ac:dyDescent="0.35">
      <c r="F19" t="s">
        <v>31</v>
      </c>
      <c r="G19" s="100">
        <f>G17+G18</f>
        <v>150</v>
      </c>
      <c r="I19" t="e" cm="1">
        <f t="array" aca="1" ref="I19" ca="1">FTEXT(G19)</f>
        <v>#NAME?</v>
      </c>
      <c r="P19" s="103">
        <v>1</v>
      </c>
      <c r="Q19" s="97">
        <v>1</v>
      </c>
    </row>
    <row r="20" spans="6:17" x14ac:dyDescent="0.35">
      <c r="F20" t="s">
        <v>209</v>
      </c>
      <c r="G20" s="100">
        <f>STDEV(P3:P152)</f>
        <v>0.49408130008754314</v>
      </c>
      <c r="I20" t="e" cm="1">
        <f t="array" aca="1" ref="I20" ca="1">FTEXT(G20)</f>
        <v>#NAME?</v>
      </c>
      <c r="P20" s="103">
        <v>1</v>
      </c>
      <c r="Q20" s="97">
        <v>1</v>
      </c>
    </row>
    <row r="21" spans="6:17" x14ac:dyDescent="0.35">
      <c r="F21" t="s">
        <v>95</v>
      </c>
      <c r="G21" s="94">
        <f>(G15-G16)/G20*SQRT(G17*G18/(G19*(G19-1)))</f>
        <v>0.19176735180490348</v>
      </c>
      <c r="I21" t="e" cm="1">
        <f t="array" aca="1" ref="I21" ca="1">FTEXT(G21)</f>
        <v>#NAME?</v>
      </c>
      <c r="P21" s="103">
        <v>1</v>
      </c>
      <c r="Q21" s="97">
        <v>1</v>
      </c>
    </row>
    <row r="22" spans="6:17" x14ac:dyDescent="0.35">
      <c r="P22" s="103">
        <v>1</v>
      </c>
      <c r="Q22" s="97">
        <v>1</v>
      </c>
    </row>
    <row r="23" spans="6:17" x14ac:dyDescent="0.35">
      <c r="F23" t="s">
        <v>95</v>
      </c>
      <c r="G23" s="109">
        <f>(B4*C6-C4*B6)/SQRT(B6*C6*D4*D5)</f>
        <v>0.19176735180490345</v>
      </c>
      <c r="I23" t="e" cm="1">
        <f t="array" aca="1" ref="I23" ca="1">FTEXT(G23)</f>
        <v>#NAME?</v>
      </c>
      <c r="P23" s="103">
        <v>1</v>
      </c>
      <c r="Q23" s="97">
        <v>1</v>
      </c>
    </row>
    <row r="24" spans="6:17" x14ac:dyDescent="0.35">
      <c r="P24" s="103">
        <v>1</v>
      </c>
      <c r="Q24" s="97">
        <v>1</v>
      </c>
    </row>
    <row r="25" spans="6:17" x14ac:dyDescent="0.35">
      <c r="P25" s="103">
        <v>1</v>
      </c>
      <c r="Q25" s="97">
        <v>1</v>
      </c>
    </row>
    <row r="26" spans="6:17" x14ac:dyDescent="0.35">
      <c r="P26" s="103">
        <v>1</v>
      </c>
      <c r="Q26" s="97">
        <v>1</v>
      </c>
    </row>
    <row r="27" spans="6:17" x14ac:dyDescent="0.35">
      <c r="P27" s="103">
        <v>1</v>
      </c>
      <c r="Q27" s="97">
        <v>1</v>
      </c>
    </row>
    <row r="28" spans="6:17" x14ac:dyDescent="0.35">
      <c r="P28" s="103">
        <v>1</v>
      </c>
      <c r="Q28" s="97">
        <v>1</v>
      </c>
    </row>
    <row r="29" spans="6:17" x14ac:dyDescent="0.35">
      <c r="P29" s="103">
        <v>1</v>
      </c>
      <c r="Q29" s="97">
        <v>1</v>
      </c>
    </row>
    <row r="30" spans="6:17" x14ac:dyDescent="0.35">
      <c r="P30" s="103">
        <v>1</v>
      </c>
      <c r="Q30" s="97">
        <v>1</v>
      </c>
    </row>
    <row r="31" spans="6:17" x14ac:dyDescent="0.35">
      <c r="P31" s="103">
        <v>1</v>
      </c>
      <c r="Q31" s="97">
        <v>1</v>
      </c>
    </row>
    <row r="32" spans="6:17" x14ac:dyDescent="0.35">
      <c r="P32" s="103">
        <v>1</v>
      </c>
      <c r="Q32" s="97">
        <v>1</v>
      </c>
    </row>
    <row r="33" spans="16:17" x14ac:dyDescent="0.35">
      <c r="P33" s="103">
        <v>1</v>
      </c>
      <c r="Q33" s="97">
        <v>1</v>
      </c>
    </row>
    <row r="34" spans="16:17" x14ac:dyDescent="0.35">
      <c r="P34" s="103">
        <v>0</v>
      </c>
      <c r="Q34" s="97">
        <v>1</v>
      </c>
    </row>
    <row r="35" spans="16:17" x14ac:dyDescent="0.35">
      <c r="P35" s="103">
        <v>0</v>
      </c>
      <c r="Q35" s="97">
        <v>1</v>
      </c>
    </row>
    <row r="36" spans="16:17" x14ac:dyDescent="0.35">
      <c r="P36" s="103">
        <v>0</v>
      </c>
      <c r="Q36" s="97">
        <v>1</v>
      </c>
    </row>
    <row r="37" spans="16:17" x14ac:dyDescent="0.35">
      <c r="P37" s="103">
        <v>0</v>
      </c>
      <c r="Q37" s="97">
        <v>1</v>
      </c>
    </row>
    <row r="38" spans="16:17" x14ac:dyDescent="0.35">
      <c r="P38" s="103">
        <v>0</v>
      </c>
      <c r="Q38" s="97">
        <v>1</v>
      </c>
    </row>
    <row r="39" spans="16:17" x14ac:dyDescent="0.35">
      <c r="P39" s="103">
        <v>0</v>
      </c>
      <c r="Q39" s="97">
        <v>1</v>
      </c>
    </row>
    <row r="40" spans="16:17" x14ac:dyDescent="0.35">
      <c r="P40" s="103">
        <v>0</v>
      </c>
      <c r="Q40" s="97">
        <v>1</v>
      </c>
    </row>
    <row r="41" spans="16:17" x14ac:dyDescent="0.35">
      <c r="P41" s="103">
        <v>0</v>
      </c>
      <c r="Q41" s="97">
        <v>1</v>
      </c>
    </row>
    <row r="42" spans="16:17" x14ac:dyDescent="0.35">
      <c r="P42" s="103">
        <v>0</v>
      </c>
      <c r="Q42" s="97">
        <v>1</v>
      </c>
    </row>
    <row r="43" spans="16:17" x14ac:dyDescent="0.35">
      <c r="P43" s="103">
        <v>0</v>
      </c>
      <c r="Q43" s="97">
        <v>1</v>
      </c>
    </row>
    <row r="44" spans="16:17" x14ac:dyDescent="0.35">
      <c r="P44" s="103">
        <v>0</v>
      </c>
      <c r="Q44" s="97">
        <v>1</v>
      </c>
    </row>
    <row r="45" spans="16:17" x14ac:dyDescent="0.35">
      <c r="P45" s="103">
        <v>1</v>
      </c>
      <c r="Q45" s="97">
        <v>0</v>
      </c>
    </row>
    <row r="46" spans="16:17" x14ac:dyDescent="0.35">
      <c r="P46" s="103">
        <v>1</v>
      </c>
      <c r="Q46" s="97">
        <v>0</v>
      </c>
    </row>
    <row r="47" spans="16:17" x14ac:dyDescent="0.35">
      <c r="P47" s="103">
        <v>1</v>
      </c>
      <c r="Q47" s="97">
        <v>0</v>
      </c>
    </row>
    <row r="48" spans="16:17" x14ac:dyDescent="0.35">
      <c r="P48" s="103">
        <v>1</v>
      </c>
      <c r="Q48" s="97">
        <v>0</v>
      </c>
    </row>
    <row r="49" spans="16:17" x14ac:dyDescent="0.35">
      <c r="P49" s="103">
        <v>1</v>
      </c>
      <c r="Q49" s="97">
        <v>0</v>
      </c>
    </row>
    <row r="50" spans="16:17" x14ac:dyDescent="0.35">
      <c r="P50" s="103">
        <v>1</v>
      </c>
      <c r="Q50" s="97">
        <v>0</v>
      </c>
    </row>
    <row r="51" spans="16:17" x14ac:dyDescent="0.35">
      <c r="P51" s="103">
        <v>1</v>
      </c>
      <c r="Q51" s="97">
        <v>0</v>
      </c>
    </row>
    <row r="52" spans="16:17" x14ac:dyDescent="0.35">
      <c r="P52" s="103">
        <v>1</v>
      </c>
      <c r="Q52" s="97">
        <v>0</v>
      </c>
    </row>
    <row r="53" spans="16:17" x14ac:dyDescent="0.35">
      <c r="P53" s="103">
        <v>1</v>
      </c>
      <c r="Q53" s="97">
        <v>0</v>
      </c>
    </row>
    <row r="54" spans="16:17" x14ac:dyDescent="0.35">
      <c r="P54" s="103">
        <v>1</v>
      </c>
      <c r="Q54" s="97">
        <v>0</v>
      </c>
    </row>
    <row r="55" spans="16:17" x14ac:dyDescent="0.35">
      <c r="P55" s="103">
        <v>1</v>
      </c>
      <c r="Q55" s="97">
        <v>0</v>
      </c>
    </row>
    <row r="56" spans="16:17" x14ac:dyDescent="0.35">
      <c r="P56" s="103">
        <v>1</v>
      </c>
      <c r="Q56" s="97">
        <v>0</v>
      </c>
    </row>
    <row r="57" spans="16:17" x14ac:dyDescent="0.35">
      <c r="P57" s="103">
        <v>1</v>
      </c>
      <c r="Q57" s="97">
        <v>0</v>
      </c>
    </row>
    <row r="58" spans="16:17" x14ac:dyDescent="0.35">
      <c r="P58" s="103">
        <v>1</v>
      </c>
      <c r="Q58" s="97">
        <v>0</v>
      </c>
    </row>
    <row r="59" spans="16:17" x14ac:dyDescent="0.35">
      <c r="P59" s="103">
        <v>1</v>
      </c>
      <c r="Q59" s="97">
        <v>0</v>
      </c>
    </row>
    <row r="60" spans="16:17" x14ac:dyDescent="0.35">
      <c r="P60" s="103">
        <v>1</v>
      </c>
      <c r="Q60" s="97">
        <v>0</v>
      </c>
    </row>
    <row r="61" spans="16:17" x14ac:dyDescent="0.35">
      <c r="P61" s="103">
        <v>1</v>
      </c>
      <c r="Q61" s="97">
        <v>0</v>
      </c>
    </row>
    <row r="62" spans="16:17" x14ac:dyDescent="0.35">
      <c r="P62" s="103">
        <v>1</v>
      </c>
      <c r="Q62" s="97">
        <v>0</v>
      </c>
    </row>
    <row r="63" spans="16:17" x14ac:dyDescent="0.35">
      <c r="P63" s="103">
        <v>1</v>
      </c>
      <c r="Q63" s="97">
        <v>0</v>
      </c>
    </row>
    <row r="64" spans="16:17" x14ac:dyDescent="0.35">
      <c r="P64" s="103">
        <v>1</v>
      </c>
      <c r="Q64" s="97">
        <v>0</v>
      </c>
    </row>
    <row r="65" spans="16:17" x14ac:dyDescent="0.35">
      <c r="P65" s="103">
        <v>1</v>
      </c>
      <c r="Q65" s="97">
        <v>0</v>
      </c>
    </row>
    <row r="66" spans="16:17" x14ac:dyDescent="0.35">
      <c r="P66" s="103">
        <v>1</v>
      </c>
      <c r="Q66" s="97">
        <v>0</v>
      </c>
    </row>
    <row r="67" spans="16:17" x14ac:dyDescent="0.35">
      <c r="P67" s="103">
        <v>1</v>
      </c>
      <c r="Q67" s="97">
        <v>0</v>
      </c>
    </row>
    <row r="68" spans="16:17" x14ac:dyDescent="0.35">
      <c r="P68" s="103">
        <v>1</v>
      </c>
      <c r="Q68" s="97">
        <v>0</v>
      </c>
    </row>
    <row r="69" spans="16:17" x14ac:dyDescent="0.35">
      <c r="P69" s="103">
        <v>1</v>
      </c>
      <c r="Q69" s="97">
        <v>0</v>
      </c>
    </row>
    <row r="70" spans="16:17" x14ac:dyDescent="0.35">
      <c r="P70" s="103">
        <v>1</v>
      </c>
      <c r="Q70" s="97">
        <v>0</v>
      </c>
    </row>
    <row r="71" spans="16:17" x14ac:dyDescent="0.35">
      <c r="P71" s="103">
        <v>1</v>
      </c>
      <c r="Q71" s="97">
        <v>0</v>
      </c>
    </row>
    <row r="72" spans="16:17" x14ac:dyDescent="0.35">
      <c r="P72" s="103">
        <v>1</v>
      </c>
      <c r="Q72" s="97">
        <v>0</v>
      </c>
    </row>
    <row r="73" spans="16:17" x14ac:dyDescent="0.35">
      <c r="P73" s="103">
        <v>1</v>
      </c>
      <c r="Q73" s="97">
        <v>0</v>
      </c>
    </row>
    <row r="74" spans="16:17" x14ac:dyDescent="0.35">
      <c r="P74" s="103">
        <v>1</v>
      </c>
      <c r="Q74" s="97">
        <v>0</v>
      </c>
    </row>
    <row r="75" spans="16:17" x14ac:dyDescent="0.35">
      <c r="P75" s="103">
        <v>1</v>
      </c>
      <c r="Q75" s="97">
        <v>0</v>
      </c>
    </row>
    <row r="76" spans="16:17" x14ac:dyDescent="0.35">
      <c r="P76" s="103">
        <v>1</v>
      </c>
      <c r="Q76" s="97">
        <v>0</v>
      </c>
    </row>
    <row r="77" spans="16:17" x14ac:dyDescent="0.35">
      <c r="P77" s="103">
        <v>1</v>
      </c>
      <c r="Q77" s="97">
        <v>0</v>
      </c>
    </row>
    <row r="78" spans="16:17" x14ac:dyDescent="0.35">
      <c r="P78" s="103">
        <v>1</v>
      </c>
      <c r="Q78" s="97">
        <v>0</v>
      </c>
    </row>
    <row r="79" spans="16:17" x14ac:dyDescent="0.35">
      <c r="P79" s="103">
        <v>1</v>
      </c>
      <c r="Q79" s="97">
        <v>0</v>
      </c>
    </row>
    <row r="80" spans="16:17" x14ac:dyDescent="0.35">
      <c r="P80" s="103">
        <v>1</v>
      </c>
      <c r="Q80" s="97">
        <v>0</v>
      </c>
    </row>
    <row r="81" spans="16:17" x14ac:dyDescent="0.35">
      <c r="P81" s="103">
        <v>1</v>
      </c>
      <c r="Q81" s="97">
        <v>0</v>
      </c>
    </row>
    <row r="82" spans="16:17" x14ac:dyDescent="0.35">
      <c r="P82" s="103">
        <v>1</v>
      </c>
      <c r="Q82" s="97">
        <v>0</v>
      </c>
    </row>
    <row r="83" spans="16:17" x14ac:dyDescent="0.35">
      <c r="P83" s="103">
        <v>1</v>
      </c>
      <c r="Q83" s="97">
        <v>0</v>
      </c>
    </row>
    <row r="84" spans="16:17" x14ac:dyDescent="0.35">
      <c r="P84" s="103">
        <v>1</v>
      </c>
      <c r="Q84" s="97">
        <v>0</v>
      </c>
    </row>
    <row r="85" spans="16:17" x14ac:dyDescent="0.35">
      <c r="P85" s="103">
        <v>1</v>
      </c>
      <c r="Q85" s="97">
        <v>0</v>
      </c>
    </row>
    <row r="86" spans="16:17" x14ac:dyDescent="0.35">
      <c r="P86" s="103">
        <v>1</v>
      </c>
      <c r="Q86" s="97">
        <v>0</v>
      </c>
    </row>
    <row r="87" spans="16:17" x14ac:dyDescent="0.35">
      <c r="P87" s="103">
        <v>1</v>
      </c>
      <c r="Q87" s="97">
        <v>0</v>
      </c>
    </row>
    <row r="88" spans="16:17" x14ac:dyDescent="0.35">
      <c r="P88" s="103">
        <v>1</v>
      </c>
      <c r="Q88" s="97">
        <v>0</v>
      </c>
    </row>
    <row r="89" spans="16:17" x14ac:dyDescent="0.35">
      <c r="P89" s="103">
        <v>1</v>
      </c>
      <c r="Q89" s="97">
        <v>0</v>
      </c>
    </row>
    <row r="90" spans="16:17" x14ac:dyDescent="0.35">
      <c r="P90" s="103">
        <v>1</v>
      </c>
      <c r="Q90" s="97">
        <v>0</v>
      </c>
    </row>
    <row r="91" spans="16:17" x14ac:dyDescent="0.35">
      <c r="P91" s="103">
        <v>1</v>
      </c>
      <c r="Q91" s="97">
        <v>0</v>
      </c>
    </row>
    <row r="92" spans="16:17" x14ac:dyDescent="0.35">
      <c r="P92" s="103">
        <v>1</v>
      </c>
      <c r="Q92" s="97">
        <v>0</v>
      </c>
    </row>
    <row r="93" spans="16:17" x14ac:dyDescent="0.35">
      <c r="P93" s="103">
        <v>1</v>
      </c>
      <c r="Q93" s="97">
        <v>0</v>
      </c>
    </row>
    <row r="94" spans="16:17" x14ac:dyDescent="0.35">
      <c r="P94" s="103">
        <v>1</v>
      </c>
      <c r="Q94" s="97">
        <v>0</v>
      </c>
    </row>
    <row r="95" spans="16:17" x14ac:dyDescent="0.35">
      <c r="P95" s="103">
        <v>1</v>
      </c>
      <c r="Q95" s="97">
        <v>0</v>
      </c>
    </row>
    <row r="96" spans="16:17" x14ac:dyDescent="0.35">
      <c r="P96" s="103">
        <v>1</v>
      </c>
      <c r="Q96" s="97">
        <v>0</v>
      </c>
    </row>
    <row r="97" spans="16:17" x14ac:dyDescent="0.35">
      <c r="P97" s="103">
        <v>1</v>
      </c>
      <c r="Q97" s="97">
        <v>0</v>
      </c>
    </row>
    <row r="98" spans="16:17" x14ac:dyDescent="0.35">
      <c r="P98" s="103">
        <v>1</v>
      </c>
      <c r="Q98" s="97">
        <v>0</v>
      </c>
    </row>
    <row r="99" spans="16:17" x14ac:dyDescent="0.35">
      <c r="P99" s="103">
        <v>1</v>
      </c>
      <c r="Q99" s="97">
        <v>0</v>
      </c>
    </row>
    <row r="100" spans="16:17" x14ac:dyDescent="0.35">
      <c r="P100" s="103">
        <v>1</v>
      </c>
      <c r="Q100" s="97">
        <v>0</v>
      </c>
    </row>
    <row r="101" spans="16:17" x14ac:dyDescent="0.35">
      <c r="P101" s="103">
        <v>1</v>
      </c>
      <c r="Q101" s="97">
        <v>0</v>
      </c>
    </row>
    <row r="102" spans="16:17" x14ac:dyDescent="0.35">
      <c r="P102" s="103">
        <v>0</v>
      </c>
      <c r="Q102" s="97">
        <v>0</v>
      </c>
    </row>
    <row r="103" spans="16:17" x14ac:dyDescent="0.35">
      <c r="P103" s="103">
        <v>0</v>
      </c>
      <c r="Q103" s="97">
        <v>0</v>
      </c>
    </row>
    <row r="104" spans="16:17" x14ac:dyDescent="0.35">
      <c r="P104" s="103">
        <v>0</v>
      </c>
      <c r="Q104" s="97">
        <v>0</v>
      </c>
    </row>
    <row r="105" spans="16:17" x14ac:dyDescent="0.35">
      <c r="P105" s="103">
        <v>0</v>
      </c>
      <c r="Q105" s="97">
        <v>0</v>
      </c>
    </row>
    <row r="106" spans="16:17" x14ac:dyDescent="0.35">
      <c r="P106" s="103">
        <v>0</v>
      </c>
      <c r="Q106" s="97">
        <v>0</v>
      </c>
    </row>
    <row r="107" spans="16:17" x14ac:dyDescent="0.35">
      <c r="P107" s="103">
        <v>0</v>
      </c>
      <c r="Q107" s="97">
        <v>0</v>
      </c>
    </row>
    <row r="108" spans="16:17" x14ac:dyDescent="0.35">
      <c r="P108" s="103">
        <v>0</v>
      </c>
      <c r="Q108" s="97">
        <v>0</v>
      </c>
    </row>
    <row r="109" spans="16:17" x14ac:dyDescent="0.35">
      <c r="P109" s="103">
        <v>0</v>
      </c>
      <c r="Q109" s="97">
        <v>0</v>
      </c>
    </row>
    <row r="110" spans="16:17" x14ac:dyDescent="0.35">
      <c r="P110" s="103">
        <v>0</v>
      </c>
      <c r="Q110" s="97">
        <v>0</v>
      </c>
    </row>
    <row r="111" spans="16:17" x14ac:dyDescent="0.35">
      <c r="P111" s="103">
        <v>0</v>
      </c>
      <c r="Q111" s="97">
        <v>0</v>
      </c>
    </row>
    <row r="112" spans="16:17" x14ac:dyDescent="0.35">
      <c r="P112" s="103">
        <v>0</v>
      </c>
      <c r="Q112" s="97">
        <v>0</v>
      </c>
    </row>
    <row r="113" spans="16:17" x14ac:dyDescent="0.35">
      <c r="P113" s="103">
        <v>0</v>
      </c>
      <c r="Q113" s="97">
        <v>0</v>
      </c>
    </row>
    <row r="114" spans="16:17" x14ac:dyDescent="0.35">
      <c r="P114" s="103">
        <v>0</v>
      </c>
      <c r="Q114" s="97">
        <v>0</v>
      </c>
    </row>
    <row r="115" spans="16:17" x14ac:dyDescent="0.35">
      <c r="P115" s="103">
        <v>0</v>
      </c>
      <c r="Q115" s="97">
        <v>0</v>
      </c>
    </row>
    <row r="116" spans="16:17" x14ac:dyDescent="0.35">
      <c r="P116" s="103">
        <v>0</v>
      </c>
      <c r="Q116" s="97">
        <v>0</v>
      </c>
    </row>
    <row r="117" spans="16:17" x14ac:dyDescent="0.35">
      <c r="P117" s="103">
        <v>0</v>
      </c>
      <c r="Q117" s="97">
        <v>0</v>
      </c>
    </row>
    <row r="118" spans="16:17" x14ac:dyDescent="0.35">
      <c r="P118" s="103">
        <v>0</v>
      </c>
      <c r="Q118" s="97">
        <v>0</v>
      </c>
    </row>
    <row r="119" spans="16:17" x14ac:dyDescent="0.35">
      <c r="P119" s="103">
        <v>0</v>
      </c>
      <c r="Q119" s="97">
        <v>0</v>
      </c>
    </row>
    <row r="120" spans="16:17" x14ac:dyDescent="0.35">
      <c r="P120" s="103">
        <v>0</v>
      </c>
      <c r="Q120" s="97">
        <v>0</v>
      </c>
    </row>
    <row r="121" spans="16:17" x14ac:dyDescent="0.35">
      <c r="P121" s="103">
        <v>0</v>
      </c>
      <c r="Q121" s="97">
        <v>0</v>
      </c>
    </row>
    <row r="122" spans="16:17" x14ac:dyDescent="0.35">
      <c r="P122" s="103">
        <v>0</v>
      </c>
      <c r="Q122" s="97">
        <v>0</v>
      </c>
    </row>
    <row r="123" spans="16:17" x14ac:dyDescent="0.35">
      <c r="P123" s="103">
        <v>0</v>
      </c>
      <c r="Q123" s="97">
        <v>0</v>
      </c>
    </row>
    <row r="124" spans="16:17" x14ac:dyDescent="0.35">
      <c r="P124" s="103">
        <v>0</v>
      </c>
      <c r="Q124" s="97">
        <v>0</v>
      </c>
    </row>
    <row r="125" spans="16:17" x14ac:dyDescent="0.35">
      <c r="P125" s="103">
        <v>0</v>
      </c>
      <c r="Q125" s="97">
        <v>0</v>
      </c>
    </row>
    <row r="126" spans="16:17" x14ac:dyDescent="0.35">
      <c r="P126" s="103">
        <v>0</v>
      </c>
      <c r="Q126" s="97">
        <v>0</v>
      </c>
    </row>
    <row r="127" spans="16:17" x14ac:dyDescent="0.35">
      <c r="P127" s="103">
        <v>0</v>
      </c>
      <c r="Q127" s="97">
        <v>0</v>
      </c>
    </row>
    <row r="128" spans="16:17" x14ac:dyDescent="0.35">
      <c r="P128" s="103">
        <v>0</v>
      </c>
      <c r="Q128" s="97">
        <v>0</v>
      </c>
    </row>
    <row r="129" spans="16:17" x14ac:dyDescent="0.35">
      <c r="P129" s="103">
        <v>0</v>
      </c>
      <c r="Q129" s="97">
        <v>0</v>
      </c>
    </row>
    <row r="130" spans="16:17" x14ac:dyDescent="0.35">
      <c r="P130" s="103">
        <v>0</v>
      </c>
      <c r="Q130" s="97">
        <v>0</v>
      </c>
    </row>
    <row r="131" spans="16:17" x14ac:dyDescent="0.35">
      <c r="P131" s="103">
        <v>0</v>
      </c>
      <c r="Q131" s="97">
        <v>0</v>
      </c>
    </row>
    <row r="132" spans="16:17" x14ac:dyDescent="0.35">
      <c r="P132" s="103">
        <v>0</v>
      </c>
      <c r="Q132" s="97">
        <v>0</v>
      </c>
    </row>
    <row r="133" spans="16:17" x14ac:dyDescent="0.35">
      <c r="P133" s="103">
        <v>0</v>
      </c>
      <c r="Q133" s="97">
        <v>0</v>
      </c>
    </row>
    <row r="134" spans="16:17" x14ac:dyDescent="0.35">
      <c r="P134" s="103">
        <v>0</v>
      </c>
      <c r="Q134" s="97">
        <v>0</v>
      </c>
    </row>
    <row r="135" spans="16:17" x14ac:dyDescent="0.35">
      <c r="P135" s="103">
        <v>0</v>
      </c>
      <c r="Q135" s="97">
        <v>0</v>
      </c>
    </row>
    <row r="136" spans="16:17" x14ac:dyDescent="0.35">
      <c r="P136" s="103">
        <v>0</v>
      </c>
      <c r="Q136" s="97">
        <v>0</v>
      </c>
    </row>
    <row r="137" spans="16:17" x14ac:dyDescent="0.35">
      <c r="P137" s="103">
        <v>0</v>
      </c>
      <c r="Q137" s="97">
        <v>0</v>
      </c>
    </row>
    <row r="138" spans="16:17" x14ac:dyDescent="0.35">
      <c r="P138" s="103">
        <v>0</v>
      </c>
      <c r="Q138" s="97">
        <v>0</v>
      </c>
    </row>
    <row r="139" spans="16:17" x14ac:dyDescent="0.35">
      <c r="P139" s="103">
        <v>0</v>
      </c>
      <c r="Q139" s="97">
        <v>0</v>
      </c>
    </row>
    <row r="140" spans="16:17" x14ac:dyDescent="0.35">
      <c r="P140" s="103">
        <v>0</v>
      </c>
      <c r="Q140" s="97">
        <v>0</v>
      </c>
    </row>
    <row r="141" spans="16:17" x14ac:dyDescent="0.35">
      <c r="P141" s="103">
        <v>0</v>
      </c>
      <c r="Q141" s="97">
        <v>0</v>
      </c>
    </row>
    <row r="142" spans="16:17" x14ac:dyDescent="0.35">
      <c r="P142" s="103">
        <v>0</v>
      </c>
      <c r="Q142" s="97">
        <v>0</v>
      </c>
    </row>
    <row r="143" spans="16:17" x14ac:dyDescent="0.35">
      <c r="P143" s="103">
        <v>0</v>
      </c>
      <c r="Q143" s="97">
        <v>0</v>
      </c>
    </row>
    <row r="144" spans="16:17" x14ac:dyDescent="0.35">
      <c r="P144" s="103">
        <v>0</v>
      </c>
      <c r="Q144" s="97">
        <v>0</v>
      </c>
    </row>
    <row r="145" spans="16:17" x14ac:dyDescent="0.35">
      <c r="P145" s="103">
        <v>0</v>
      </c>
      <c r="Q145" s="97">
        <v>0</v>
      </c>
    </row>
    <row r="146" spans="16:17" x14ac:dyDescent="0.35">
      <c r="P146" s="103">
        <v>0</v>
      </c>
      <c r="Q146" s="97">
        <v>0</v>
      </c>
    </row>
    <row r="147" spans="16:17" x14ac:dyDescent="0.35">
      <c r="P147" s="103">
        <v>0</v>
      </c>
      <c r="Q147" s="97">
        <v>0</v>
      </c>
    </row>
    <row r="148" spans="16:17" x14ac:dyDescent="0.35">
      <c r="P148" s="103">
        <v>0</v>
      </c>
      <c r="Q148" s="97">
        <v>0</v>
      </c>
    </row>
    <row r="149" spans="16:17" x14ac:dyDescent="0.35">
      <c r="P149" s="103">
        <v>0</v>
      </c>
      <c r="Q149" s="97">
        <v>0</v>
      </c>
    </row>
    <row r="150" spans="16:17" x14ac:dyDescent="0.35">
      <c r="P150" s="103">
        <v>0</v>
      </c>
      <c r="Q150" s="97">
        <v>0</v>
      </c>
    </row>
    <row r="151" spans="16:17" x14ac:dyDescent="0.35">
      <c r="P151" s="103">
        <v>0</v>
      </c>
      <c r="Q151" s="97">
        <v>0</v>
      </c>
    </row>
    <row r="152" spans="16:17" x14ac:dyDescent="0.35">
      <c r="P152" s="95">
        <v>0</v>
      </c>
      <c r="Q152" s="90">
        <v>0</v>
      </c>
    </row>
  </sheetData>
  <pageMargins left="0.7" right="0.7" top="0.75" bottom="0.75" header="0.3" footer="0.3"/>
  <ignoredErrors>
    <ignoredError sqref="G15:G18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77"/>
  <dimension ref="A1:Q27"/>
  <sheetViews>
    <sheetView zoomScaleNormal="100" workbookViewId="0">
      <selection sqref="A1:A2"/>
    </sheetView>
  </sheetViews>
  <sheetFormatPr defaultRowHeight="14.5" x14ac:dyDescent="0.35"/>
  <cols>
    <col min="1" max="2" width="5.7265625" customWidth="1"/>
    <col min="3" max="3" width="3" customWidth="1"/>
    <col min="4" max="4" width="3.81640625" customWidth="1"/>
    <col min="6" max="6" width="3" customWidth="1"/>
    <col min="7" max="7" width="24.1796875" customWidth="1"/>
    <col min="8" max="8" width="4.54296875" customWidth="1"/>
    <col min="9" max="9" width="5.54296875" customWidth="1"/>
    <col min="11" max="11" width="3.453125" customWidth="1"/>
    <col min="12" max="12" width="27.453125" customWidth="1"/>
    <col min="16" max="16" width="3" customWidth="1"/>
    <col min="17" max="17" width="30.26953125" customWidth="1"/>
    <col min="18" max="18" width="9.1796875" customWidth="1"/>
    <col min="21" max="22" width="9.1796875" customWidth="1"/>
  </cols>
  <sheetData>
    <row r="1" spans="1:17" x14ac:dyDescent="0.35">
      <c r="A1" s="1" t="s">
        <v>522</v>
      </c>
    </row>
    <row r="3" spans="1:17" s="28" customFormat="1" x14ac:dyDescent="0.35">
      <c r="A3" s="271" t="s">
        <v>107</v>
      </c>
      <c r="B3" s="271" t="s">
        <v>3</v>
      </c>
      <c r="I3" s="28" t="s">
        <v>526</v>
      </c>
    </row>
    <row r="4" spans="1:17" s="28" customFormat="1" ht="15" customHeight="1" x14ac:dyDescent="0.35">
      <c r="A4" s="267">
        <v>23</v>
      </c>
      <c r="B4" s="268">
        <v>1</v>
      </c>
      <c r="D4" s="28" t="s">
        <v>523</v>
      </c>
      <c r="E4" s="432">
        <f>CORREL(A4:A27,B4:B27)</f>
        <v>-5.5483877888800728E-2</v>
      </c>
      <c r="G4" s="28" t="e" cm="1">
        <f t="array" aca="1" ref="G4" ca="1">FTEXT(E4)</f>
        <v>#NAME?</v>
      </c>
      <c r="N4" s="28" t="s">
        <v>344</v>
      </c>
      <c r="O4" s="272">
        <f>2*J14/SQRT(5)</f>
        <v>-6.2321209695682694E-2</v>
      </c>
      <c r="Q4" s="28" t="e" cm="1">
        <f t="array" aca="1" ref="Q4" ca="1">FTEXT(O4)</f>
        <v>#NAME?</v>
      </c>
    </row>
    <row r="5" spans="1:17" s="28" customFormat="1" x14ac:dyDescent="0.35">
      <c r="A5" s="269">
        <v>15</v>
      </c>
      <c r="B5" s="270">
        <v>1</v>
      </c>
      <c r="I5" s="28" t="s">
        <v>370</v>
      </c>
      <c r="J5" s="272">
        <f>AVERAGEIF(B4:B27,1,A4:A27)</f>
        <v>18.181818181818183</v>
      </c>
      <c r="L5" s="28" t="e" cm="1">
        <f t="array" aca="1" ref="L5" ca="1">FTEXT(J5)</f>
        <v>#NAME?</v>
      </c>
      <c r="N5" s="28" t="s">
        <v>891</v>
      </c>
      <c r="O5" s="273">
        <f>FISHER(O4)</f>
        <v>-6.240208204586091E-2</v>
      </c>
      <c r="Q5" s="28" t="e" cm="1">
        <f t="array" aca="1" ref="Q5" ca="1">FTEXT(O5)</f>
        <v>#NAME?</v>
      </c>
    </row>
    <row r="6" spans="1:17" s="28" customFormat="1" ht="15" customHeight="1" x14ac:dyDescent="0.35">
      <c r="A6" s="269">
        <v>16</v>
      </c>
      <c r="B6" s="270">
        <v>1</v>
      </c>
      <c r="D6" s="28" t="s">
        <v>524</v>
      </c>
      <c r="E6" s="432" t="e" cm="1">
        <f t="array" aca="1" ref="E6" ca="1">BCORREL(B4:B27,A4:A27)</f>
        <v>#NAME?</v>
      </c>
      <c r="G6" s="28" t="e" cm="1">
        <f t="array" aca="1" ref="G6" ca="1">FTEXT(E6)</f>
        <v>#NAME?</v>
      </c>
      <c r="I6" s="28" t="s">
        <v>369</v>
      </c>
      <c r="J6" s="273">
        <f>AVERAGEIF(B4:B27,0,A4:A27)</f>
        <v>18.615384615384617</v>
      </c>
      <c r="L6" s="28" t="e" cm="1">
        <f t="array" aca="1" ref="L6" ca="1">FTEXT(J6)</f>
        <v>#NAME?</v>
      </c>
      <c r="N6" s="28" t="s">
        <v>573</v>
      </c>
      <c r="O6" s="273">
        <f>SQRT(5/J7)/2</f>
        <v>0.22821773229381923</v>
      </c>
      <c r="Q6" s="28" t="e" cm="1">
        <f t="array" aca="1" ref="Q6" ca="1">FTEXT(O6)</f>
        <v>#NAME?</v>
      </c>
    </row>
    <row r="7" spans="1:17" s="28" customFormat="1" x14ac:dyDescent="0.35">
      <c r="A7" s="269">
        <v>25</v>
      </c>
      <c r="B7" s="270">
        <v>1</v>
      </c>
      <c r="I7" s="28" t="s">
        <v>31</v>
      </c>
      <c r="J7" s="273">
        <f>COUNT(B4:B27)</f>
        <v>24</v>
      </c>
      <c r="L7" s="28" t="e" cm="1">
        <f t="array" aca="1" ref="L7" ca="1">FTEXT(J7)</f>
        <v>#NAME?</v>
      </c>
      <c r="N7" s="28" t="s">
        <v>36</v>
      </c>
      <c r="O7" s="273">
        <f>O5/O6</f>
        <v>-0.27343222377444915</v>
      </c>
      <c r="Q7" s="28" t="e" cm="1">
        <f t="array" aca="1" ref="Q7" ca="1">FTEXT(O7)</f>
        <v>#NAME?</v>
      </c>
    </row>
    <row r="8" spans="1:17" s="28" customFormat="1" x14ac:dyDescent="0.35">
      <c r="A8" s="269">
        <v>20</v>
      </c>
      <c r="B8" s="270">
        <v>1</v>
      </c>
      <c r="I8" s="28" t="s">
        <v>79</v>
      </c>
      <c r="J8" s="273">
        <f>SUM(B4:B27)</f>
        <v>11</v>
      </c>
      <c r="L8" s="28" t="e" cm="1">
        <f t="array" aca="1" ref="L8" ca="1">FTEXT(J8)</f>
        <v>#NAME?</v>
      </c>
      <c r="N8" s="28" t="s">
        <v>59</v>
      </c>
      <c r="O8" s="274">
        <f>2*NORMSDIST(-ABS(O7))</f>
        <v>0.78452098521888858</v>
      </c>
      <c r="Q8" s="275" t="s">
        <v>892</v>
      </c>
    </row>
    <row r="9" spans="1:17" s="28" customFormat="1" x14ac:dyDescent="0.35">
      <c r="A9" s="269">
        <v>17</v>
      </c>
      <c r="B9" s="270">
        <v>1</v>
      </c>
      <c r="I9" s="28" t="s">
        <v>209</v>
      </c>
      <c r="J9" s="273">
        <f>STDEVP(A4:A27)</f>
        <v>3.8935487954078889</v>
      </c>
      <c r="L9" s="275" t="s">
        <v>893</v>
      </c>
    </row>
    <row r="10" spans="1:17" s="28" customFormat="1" x14ac:dyDescent="0.35">
      <c r="A10" s="269">
        <v>18</v>
      </c>
      <c r="B10" s="270">
        <v>1</v>
      </c>
      <c r="I10" s="28" t="s">
        <v>288</v>
      </c>
      <c r="J10" s="273">
        <f>J8/J7</f>
        <v>0.45833333333333331</v>
      </c>
      <c r="L10" s="28" t="e" cm="1">
        <f t="array" aca="1" ref="L10" ca="1">FTEXT(J10)</f>
        <v>#NAME?</v>
      </c>
      <c r="N10" s="28" t="s">
        <v>88</v>
      </c>
      <c r="O10" s="272">
        <v>0.05</v>
      </c>
    </row>
    <row r="11" spans="1:17" s="28" customFormat="1" x14ac:dyDescent="0.35">
      <c r="A11" s="269">
        <v>14</v>
      </c>
      <c r="B11" s="270">
        <v>1</v>
      </c>
      <c r="I11" s="28" t="s">
        <v>390</v>
      </c>
      <c r="J11" s="273">
        <f>1-J10</f>
        <v>0.54166666666666674</v>
      </c>
      <c r="L11" s="28" t="e" cm="1">
        <f t="array" aca="1" ref="L11" ca="1">FTEXT(J11)</f>
        <v>#NAME?</v>
      </c>
      <c r="N11" s="28" t="s">
        <v>185</v>
      </c>
      <c r="O11" s="273">
        <f>NORMSINV(1-O10/2)</f>
        <v>1.9599639845400536</v>
      </c>
      <c r="Q11" s="275" t="s">
        <v>894</v>
      </c>
    </row>
    <row r="12" spans="1:17" s="28" customFormat="1" x14ac:dyDescent="0.35">
      <c r="A12" s="269">
        <v>12</v>
      </c>
      <c r="B12" s="270">
        <v>1</v>
      </c>
      <c r="I12" s="28" t="s">
        <v>36</v>
      </c>
      <c r="J12" s="273">
        <f>NORMSINV(J11)</f>
        <v>0.10463345561407553</v>
      </c>
      <c r="L12" s="275" t="s">
        <v>895</v>
      </c>
      <c r="N12" s="28" t="s">
        <v>896</v>
      </c>
      <c r="O12" s="273">
        <f>O5-O11*O6</f>
        <v>-0.50970061797515009</v>
      </c>
      <c r="Q12" s="28" t="e" cm="1">
        <f t="array" aca="1" ref="Q12" ca="1">FTEXT(O12)</f>
        <v>#NAME?</v>
      </c>
    </row>
    <row r="13" spans="1:17" s="28" customFormat="1" ht="15" customHeight="1" x14ac:dyDescent="0.35">
      <c r="A13" s="269">
        <v>19</v>
      </c>
      <c r="B13" s="270">
        <v>1</v>
      </c>
      <c r="I13" s="28" t="s">
        <v>107</v>
      </c>
      <c r="J13" s="273">
        <f>NORMDIST(J12,0,1,FALSE)</f>
        <v>0.39676440480747055</v>
      </c>
      <c r="L13" s="275" t="s">
        <v>897</v>
      </c>
      <c r="N13" s="28" t="s">
        <v>898</v>
      </c>
      <c r="O13" s="273">
        <f>O5+O11*O6</f>
        <v>0.3848964538834283</v>
      </c>
      <c r="Q13" s="28" t="e" cm="1">
        <f t="array" aca="1" ref="Q13" ca="1">FTEXT(O13)</f>
        <v>#NAME?</v>
      </c>
    </row>
    <row r="14" spans="1:17" s="28" customFormat="1" ht="15" customHeight="1" x14ac:dyDescent="0.35">
      <c r="A14" s="269">
        <v>21</v>
      </c>
      <c r="B14" s="270">
        <v>1</v>
      </c>
      <c r="I14" s="28" t="s">
        <v>524</v>
      </c>
      <c r="J14" s="274">
        <f>(J5-J6)*J10*J11/(J9*J13)</f>
        <v>-6.9677230659782749E-2</v>
      </c>
      <c r="L14" s="28" t="e" cm="1">
        <f t="array" aca="1" ref="L14" ca="1">FTEXT(J14)</f>
        <v>#NAME?</v>
      </c>
      <c r="N14" s="28" t="s">
        <v>29</v>
      </c>
      <c r="O14" s="100">
        <f>FISHERINV(O12)*SQRT(5)/2</f>
        <v>-0.52515387153527027</v>
      </c>
      <c r="P14"/>
      <c r="Q14" s="28" t="e" cm="1">
        <f t="array" aca="1" ref="Q14" ca="1">FTEXT(O14)</f>
        <v>#NAME?</v>
      </c>
    </row>
    <row r="15" spans="1:17" s="28" customFormat="1" x14ac:dyDescent="0.35">
      <c r="A15" s="269">
        <v>22</v>
      </c>
      <c r="B15" s="270">
        <v>0</v>
      </c>
      <c r="L15" s="275" t="s">
        <v>899</v>
      </c>
      <c r="N15" s="28" t="s">
        <v>30</v>
      </c>
      <c r="O15" s="94">
        <f>FISHERINV(O13)*SQRT(5)/2</f>
        <v>0.41026501803895676</v>
      </c>
      <c r="P15"/>
      <c r="Q15" s="28" t="e" cm="1">
        <f t="array" aca="1" ref="Q15" ca="1">FTEXT(O15)</f>
        <v>#NAME?</v>
      </c>
    </row>
    <row r="16" spans="1:17" s="28" customFormat="1" x14ac:dyDescent="0.35">
      <c r="A16" s="269">
        <v>16</v>
      </c>
      <c r="B16" s="270">
        <v>0</v>
      </c>
    </row>
    <row r="17" spans="1:17" s="28" customFormat="1" x14ac:dyDescent="0.35">
      <c r="A17" s="269">
        <v>21</v>
      </c>
      <c r="B17" s="270">
        <v>0</v>
      </c>
      <c r="N17" s="28" t="e">
        <f t="array" aca="1" ref="N17:O21" ca="1">BCORREL(B4:B27,A4:A27,TRUE)</f>
        <v>#NAME?</v>
      </c>
      <c r="O17" s="272" t="e">
        <f ca="1"/>
        <v>#NAME?</v>
      </c>
      <c r="P17"/>
      <c r="Q17" s="7" t="e" cm="1">
        <f t="array" aca="1" ref="Q17" ca="1">FTEXT(N17)</f>
        <v>#NAME?</v>
      </c>
    </row>
    <row r="18" spans="1:17" s="28" customFormat="1" x14ac:dyDescent="0.35">
      <c r="A18" s="269">
        <v>16</v>
      </c>
      <c r="B18" s="270">
        <v>0</v>
      </c>
      <c r="N18" s="28" t="e">
        <f ca="1"/>
        <v>#NAME?</v>
      </c>
      <c r="O18" s="273" t="e">
        <f ca="1"/>
        <v>#NAME?</v>
      </c>
    </row>
    <row r="19" spans="1:17" s="28" customFormat="1" x14ac:dyDescent="0.35">
      <c r="A19" s="269">
        <v>11</v>
      </c>
      <c r="B19" s="270">
        <v>0</v>
      </c>
      <c r="N19" s="28" t="e">
        <f ca="1"/>
        <v>#NAME?</v>
      </c>
      <c r="O19" s="273" t="e">
        <f ca="1"/>
        <v>#NAME?</v>
      </c>
    </row>
    <row r="20" spans="1:17" s="28" customFormat="1" x14ac:dyDescent="0.35">
      <c r="A20" s="269">
        <v>24</v>
      </c>
      <c r="B20" s="270">
        <v>0</v>
      </c>
      <c r="N20" s="28" t="e">
        <f ca="1"/>
        <v>#NAME?</v>
      </c>
      <c r="O20" s="273" t="e">
        <f ca="1"/>
        <v>#NAME?</v>
      </c>
    </row>
    <row r="21" spans="1:17" s="28" customFormat="1" x14ac:dyDescent="0.35">
      <c r="A21" s="269">
        <v>21</v>
      </c>
      <c r="B21" s="270">
        <v>0</v>
      </c>
      <c r="N21" t="e">
        <f ca="1"/>
        <v>#NAME?</v>
      </c>
      <c r="O21" s="94" t="e">
        <f ca="1"/>
        <v>#NAME?</v>
      </c>
    </row>
    <row r="22" spans="1:17" s="28" customFormat="1" x14ac:dyDescent="0.35">
      <c r="A22" s="269">
        <v>18</v>
      </c>
      <c r="B22" s="270">
        <v>0</v>
      </c>
    </row>
    <row r="23" spans="1:17" s="28" customFormat="1" x14ac:dyDescent="0.35">
      <c r="A23" s="269">
        <v>15</v>
      </c>
      <c r="B23" s="270">
        <v>0</v>
      </c>
    </row>
    <row r="24" spans="1:17" s="28" customFormat="1" x14ac:dyDescent="0.35">
      <c r="A24" s="269">
        <v>19</v>
      </c>
      <c r="B24" s="270">
        <v>0</v>
      </c>
    </row>
    <row r="25" spans="1:17" s="28" customFormat="1" x14ac:dyDescent="0.35">
      <c r="A25" s="269">
        <v>22</v>
      </c>
      <c r="B25" s="270">
        <v>0</v>
      </c>
    </row>
    <row r="26" spans="1:17" s="28" customFormat="1" x14ac:dyDescent="0.35">
      <c r="A26" s="269">
        <v>13</v>
      </c>
      <c r="B26" s="270">
        <v>0</v>
      </c>
    </row>
    <row r="27" spans="1:17" x14ac:dyDescent="0.35">
      <c r="A27" s="95">
        <v>24</v>
      </c>
      <c r="B27" s="90">
        <v>0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60"/>
  <dimension ref="A1:O33"/>
  <sheetViews>
    <sheetView workbookViewId="0"/>
  </sheetViews>
  <sheetFormatPr defaultRowHeight="14.5" x14ac:dyDescent="0.35"/>
  <cols>
    <col min="2" max="2" width="9.7265625" customWidth="1"/>
  </cols>
  <sheetData>
    <row r="1" spans="1:4" x14ac:dyDescent="0.35">
      <c r="A1" s="1" t="s">
        <v>198</v>
      </c>
    </row>
    <row r="3" spans="1:4" x14ac:dyDescent="0.35">
      <c r="A3" s="136" t="s">
        <v>199</v>
      </c>
      <c r="B3" s="138" t="s">
        <v>527</v>
      </c>
      <c r="C3" s="137" t="s">
        <v>200</v>
      </c>
      <c r="D3" s="138" t="s">
        <v>528</v>
      </c>
    </row>
    <row r="4" spans="1:4" x14ac:dyDescent="0.35">
      <c r="A4" s="83">
        <v>99</v>
      </c>
      <c r="B4" s="84">
        <v>2</v>
      </c>
      <c r="C4" s="127" t="e" cm="1">
        <f t="array" aca="1" ref="C4" ca="1">RANK_AVG(A4,A$4:A$13,1)</f>
        <v>#NAME?</v>
      </c>
      <c r="D4" s="22" t="e" cm="1">
        <f t="array" aca="1" ref="D4" ca="1">RANK_AVG(B4,B$4:B$13,1)</f>
        <v>#NAME?</v>
      </c>
    </row>
    <row r="5" spans="1:4" x14ac:dyDescent="0.35">
      <c r="A5" s="83">
        <v>120</v>
      </c>
      <c r="B5" s="84">
        <v>0</v>
      </c>
      <c r="C5" s="127" t="e" cm="1">
        <f t="array" aca="1" ref="C5" ca="1">RANK_AVG(A5,A$4:A$13,1)</f>
        <v>#NAME?</v>
      </c>
      <c r="D5" s="22" t="e" cm="1">
        <f t="array" aca="1" ref="D5" ca="1">RANK_AVG(B5,B$4:B$13,1)</f>
        <v>#NAME?</v>
      </c>
    </row>
    <row r="6" spans="1:4" x14ac:dyDescent="0.35">
      <c r="A6" s="83">
        <v>98</v>
      </c>
      <c r="B6" s="84">
        <v>25</v>
      </c>
      <c r="C6" s="127" t="e" cm="1">
        <f t="array" aca="1" ref="C6" ca="1">RANK_AVG(A6,A$4:A$13,1)</f>
        <v>#NAME?</v>
      </c>
      <c r="D6" s="22" t="e" cm="1">
        <f t="array" aca="1" ref="D6" ca="1">RANK_AVG(B6,B$4:B$13,1)</f>
        <v>#NAME?</v>
      </c>
    </row>
    <row r="7" spans="1:4" x14ac:dyDescent="0.35">
      <c r="A7" s="83">
        <v>102</v>
      </c>
      <c r="B7" s="84">
        <v>45</v>
      </c>
      <c r="C7" s="127" t="e" cm="1">
        <f t="array" aca="1" ref="C7" ca="1">RANK_AVG(A7,A$4:A$13,1)</f>
        <v>#NAME?</v>
      </c>
      <c r="D7" s="22" t="e" cm="1">
        <f t="array" aca="1" ref="D7" ca="1">RANK_AVG(B7,B$4:B$13,1)</f>
        <v>#NAME?</v>
      </c>
    </row>
    <row r="8" spans="1:4" x14ac:dyDescent="0.35">
      <c r="A8" s="83">
        <v>123</v>
      </c>
      <c r="B8" s="84">
        <v>14</v>
      </c>
      <c r="C8" s="127" t="e" cm="1">
        <f t="array" aca="1" ref="C8" ca="1">RANK_AVG(A8,A$4:A$13,1)</f>
        <v>#NAME?</v>
      </c>
      <c r="D8" s="22" t="e" cm="1">
        <f t="array" aca="1" ref="D8" ca="1">RANK_AVG(B8,B$4:B$13,1)</f>
        <v>#NAME?</v>
      </c>
    </row>
    <row r="9" spans="1:4" x14ac:dyDescent="0.35">
      <c r="A9" s="83">
        <v>105</v>
      </c>
      <c r="B9" s="84">
        <v>20</v>
      </c>
      <c r="C9" s="127" t="e" cm="1">
        <f t="array" aca="1" ref="C9" ca="1">RANK_AVG(A9,A$4:A$13,1)</f>
        <v>#NAME?</v>
      </c>
      <c r="D9" s="22" t="e" cm="1">
        <f t="array" aca="1" ref="D9" ca="1">RANK_AVG(B9,B$4:B$13,1)</f>
        <v>#NAME?</v>
      </c>
    </row>
    <row r="10" spans="1:4" x14ac:dyDescent="0.35">
      <c r="A10" s="83">
        <v>85</v>
      </c>
      <c r="B10" s="84">
        <v>15</v>
      </c>
      <c r="C10" s="127" t="e" cm="1">
        <f t="array" aca="1" ref="C10" ca="1">RANK_AVG(A10,A$4:A$13,1)</f>
        <v>#NAME?</v>
      </c>
      <c r="D10" s="22" t="e" cm="1">
        <f t="array" aca="1" ref="D10" ca="1">RANK_AVG(B10,B$4:B$13,1)</f>
        <v>#NAME?</v>
      </c>
    </row>
    <row r="11" spans="1:4" x14ac:dyDescent="0.35">
      <c r="A11" s="83">
        <v>110</v>
      </c>
      <c r="B11" s="84">
        <v>19</v>
      </c>
      <c r="C11" s="127" t="e" cm="1">
        <f t="array" aca="1" ref="C11" ca="1">RANK_AVG(A11,A$4:A$13,1)</f>
        <v>#NAME?</v>
      </c>
      <c r="D11" s="22" t="e" cm="1">
        <f t="array" aca="1" ref="D11" ca="1">RANK_AVG(B11,B$4:B$13,1)</f>
        <v>#NAME?</v>
      </c>
    </row>
    <row r="12" spans="1:4" x14ac:dyDescent="0.35">
      <c r="A12" s="83">
        <v>117</v>
      </c>
      <c r="B12" s="84">
        <v>22</v>
      </c>
      <c r="C12" s="127" t="e" cm="1">
        <f t="array" aca="1" ref="C12" ca="1">RANK_AVG(A12,A$4:A$13,1)</f>
        <v>#NAME?</v>
      </c>
      <c r="D12" s="22" t="e" cm="1">
        <f t="array" aca="1" ref="D12" ca="1">RANK_AVG(B12,B$4:B$13,1)</f>
        <v>#NAME?</v>
      </c>
    </row>
    <row r="13" spans="1:4" x14ac:dyDescent="0.35">
      <c r="A13" s="140">
        <v>90</v>
      </c>
      <c r="B13" s="141">
        <v>4</v>
      </c>
      <c r="C13" s="75" t="e" cm="1">
        <f t="array" aca="1" ref="C13" ca="1">RANK_AVG(A13,A$4:A$13,1)</f>
        <v>#NAME?</v>
      </c>
      <c r="D13" s="76" t="e" cm="1">
        <f t="array" aca="1" ref="D13" ca="1">RANK_AVG(B13,B$4:B$13,1)</f>
        <v>#NAME?</v>
      </c>
    </row>
    <row r="15" spans="1:4" x14ac:dyDescent="0.35">
      <c r="A15" t="s">
        <v>249</v>
      </c>
      <c r="C15" s="15" t="e">
        <f ca="1">CORREL(C4:C13,D4:D13)</f>
        <v>#NAME?</v>
      </c>
      <c r="D15">
        <f>CORREL(_xlfn.RANK.AVG(A4:A13,A4:A13,1),_xlfn.RANK.AVG(B4:B13,B4:B13,1))</f>
        <v>-0.11515151515151514</v>
      </c>
    </row>
    <row r="16" spans="1:4" x14ac:dyDescent="0.35">
      <c r="A16" t="s">
        <v>250</v>
      </c>
      <c r="C16" s="94">
        <f>CORREL(A4:A13,B4:B13)</f>
        <v>-3.6099577311870544E-2</v>
      </c>
    </row>
    <row r="18" spans="1:15" x14ac:dyDescent="0.35">
      <c r="A18" t="s">
        <v>251</v>
      </c>
      <c r="I18" t="s">
        <v>454</v>
      </c>
    </row>
    <row r="19" spans="1:15" x14ac:dyDescent="0.35">
      <c r="I19" s="9"/>
      <c r="J19" s="9"/>
      <c r="N19" t="s">
        <v>435</v>
      </c>
    </row>
    <row r="20" spans="1:15" x14ac:dyDescent="0.35">
      <c r="A20" s="136" t="s">
        <v>199</v>
      </c>
      <c r="B20" s="137" t="s">
        <v>527</v>
      </c>
      <c r="C20" s="136" t="s">
        <v>200</v>
      </c>
      <c r="D20" s="138" t="s">
        <v>528</v>
      </c>
      <c r="E20" s="138" t="s">
        <v>201</v>
      </c>
      <c r="I20" s="9"/>
      <c r="J20" s="9" t="s">
        <v>203</v>
      </c>
      <c r="K20" t="s">
        <v>204</v>
      </c>
    </row>
    <row r="21" spans="1:15" x14ac:dyDescent="0.35">
      <c r="A21" s="83">
        <v>99</v>
      </c>
      <c r="B21" s="84">
        <v>3</v>
      </c>
      <c r="C21" s="21">
        <f>RANK(A21,A$21:A$30,1)</f>
        <v>4</v>
      </c>
      <c r="D21" s="131">
        <f>RANK(B21,B$21:B$30,1)</f>
        <v>2</v>
      </c>
      <c r="E21" s="139">
        <f>(C21-D21)^2</f>
        <v>4</v>
      </c>
      <c r="I21" s="58" t="s">
        <v>95</v>
      </c>
      <c r="J21" s="58">
        <f>C16</f>
        <v>-3.6099577311870544E-2</v>
      </c>
      <c r="K21" s="59" t="e">
        <f ca="1">C15</f>
        <v>#NAME?</v>
      </c>
      <c r="N21" s="4" t="e">
        <f t="array" aca="1" ref="N21:O23" ca="1">SCORREL(A4:A13,B4:B13,TRUE)</f>
        <v>#NAME?</v>
      </c>
      <c r="O21" s="185" t="e">
        <f ca="1"/>
        <v>#NAME?</v>
      </c>
    </row>
    <row r="22" spans="1:15" x14ac:dyDescent="0.35">
      <c r="A22" s="83">
        <v>120</v>
      </c>
      <c r="B22" s="84">
        <v>0</v>
      </c>
      <c r="C22" s="21">
        <f t="shared" ref="C22:C30" si="0">RANK(A22,A$21:A$30,1)</f>
        <v>9</v>
      </c>
      <c r="D22" s="97">
        <f t="shared" ref="D22:D30" si="1">RANK(B22,B$21:B$30,1)</f>
        <v>1</v>
      </c>
      <c r="E22" s="77">
        <f t="shared" ref="E22:E30" si="2">(C22-D22)^2</f>
        <v>64</v>
      </c>
      <c r="I22" s="60" t="s">
        <v>179</v>
      </c>
      <c r="J22" s="29">
        <v>0</v>
      </c>
      <c r="K22" s="61">
        <v>0</v>
      </c>
      <c r="N22" t="e">
        <f ca="1"/>
        <v>#NAME?</v>
      </c>
      <c r="O22" s="100" t="e">
        <f ca="1"/>
        <v>#NAME?</v>
      </c>
    </row>
    <row r="23" spans="1:15" x14ac:dyDescent="0.35">
      <c r="A23" s="83">
        <v>98</v>
      </c>
      <c r="B23" s="84">
        <v>30</v>
      </c>
      <c r="C23" s="21">
        <f t="shared" si="0"/>
        <v>3</v>
      </c>
      <c r="D23" s="97">
        <f t="shared" si="1"/>
        <v>9</v>
      </c>
      <c r="E23" s="77">
        <f>(C23-D23)^2</f>
        <v>36</v>
      </c>
      <c r="I23" s="29" t="s">
        <v>31</v>
      </c>
      <c r="J23" s="29">
        <f>COUNT(A4:A13)</f>
        <v>10</v>
      </c>
      <c r="K23" s="61">
        <f>COUNT(B4:B13)</f>
        <v>10</v>
      </c>
      <c r="N23" t="e">
        <f ca="1"/>
        <v>#NAME?</v>
      </c>
      <c r="O23" s="94" t="e">
        <f ca="1"/>
        <v>#NAME?</v>
      </c>
    </row>
    <row r="24" spans="1:15" x14ac:dyDescent="0.35">
      <c r="A24" s="83">
        <v>102</v>
      </c>
      <c r="B24" s="84">
        <v>45</v>
      </c>
      <c r="C24" s="21">
        <f t="shared" si="0"/>
        <v>5</v>
      </c>
      <c r="D24" s="97">
        <f t="shared" si="1"/>
        <v>10</v>
      </c>
      <c r="E24" s="77">
        <f t="shared" si="2"/>
        <v>25</v>
      </c>
      <c r="I24" s="29" t="s">
        <v>53</v>
      </c>
      <c r="J24" s="29">
        <f>J23-2</f>
        <v>8</v>
      </c>
      <c r="K24" s="61">
        <f>K23-2</f>
        <v>8</v>
      </c>
    </row>
    <row r="25" spans="1:15" ht="16.5" x14ac:dyDescent="0.45">
      <c r="A25" s="83">
        <v>123</v>
      </c>
      <c r="B25" s="84">
        <v>16</v>
      </c>
      <c r="C25" s="21">
        <f t="shared" si="0"/>
        <v>10</v>
      </c>
      <c r="D25" s="97">
        <f t="shared" si="1"/>
        <v>4</v>
      </c>
      <c r="E25" s="77">
        <f t="shared" si="2"/>
        <v>36</v>
      </c>
      <c r="I25" s="29" t="s">
        <v>104</v>
      </c>
      <c r="J25" s="29">
        <f>SQRT((1-J21^2)/J24)</f>
        <v>0.3533229437281678</v>
      </c>
      <c r="K25" s="61" t="e">
        <f ca="1">SQRT((1-K21^2)/K24)</f>
        <v>#NAME?</v>
      </c>
    </row>
    <row r="26" spans="1:15" x14ac:dyDescent="0.35">
      <c r="A26" s="83">
        <v>105</v>
      </c>
      <c r="B26" s="84">
        <v>25</v>
      </c>
      <c r="C26" s="21">
        <f t="shared" si="0"/>
        <v>6</v>
      </c>
      <c r="D26" s="97">
        <f t="shared" si="1"/>
        <v>7</v>
      </c>
      <c r="E26" s="77">
        <f t="shared" si="2"/>
        <v>1</v>
      </c>
      <c r="I26" s="29" t="s">
        <v>56</v>
      </c>
      <c r="J26" s="29">
        <f>(J21-J22)/J25</f>
        <v>-0.1021716193433622</v>
      </c>
      <c r="K26" s="61" t="e">
        <f ca="1">(K21-K22)/K25</f>
        <v>#NAME?</v>
      </c>
    </row>
    <row r="27" spans="1:15" x14ac:dyDescent="0.35">
      <c r="A27" s="83">
        <v>85</v>
      </c>
      <c r="B27" s="84">
        <v>17</v>
      </c>
      <c r="C27" s="21">
        <f t="shared" si="0"/>
        <v>1</v>
      </c>
      <c r="D27" s="97">
        <f t="shared" si="1"/>
        <v>5</v>
      </c>
      <c r="E27" s="77">
        <f t="shared" si="2"/>
        <v>16</v>
      </c>
      <c r="I27" s="29" t="s">
        <v>44</v>
      </c>
      <c r="J27" s="29">
        <v>0.05</v>
      </c>
      <c r="K27" s="61">
        <v>0.05</v>
      </c>
    </row>
    <row r="28" spans="1:15" x14ac:dyDescent="0.35">
      <c r="A28" s="83">
        <v>110</v>
      </c>
      <c r="B28" s="84">
        <v>24</v>
      </c>
      <c r="C28" s="21">
        <f t="shared" si="0"/>
        <v>7</v>
      </c>
      <c r="D28" s="97">
        <f t="shared" si="1"/>
        <v>6</v>
      </c>
      <c r="E28" s="77">
        <f t="shared" si="2"/>
        <v>1</v>
      </c>
      <c r="I28" s="29" t="s">
        <v>60</v>
      </c>
      <c r="J28" s="29">
        <f>TINV(J27,J24)</f>
        <v>2.3060041352041671</v>
      </c>
      <c r="K28" s="61">
        <f>TINV(K27,K24)</f>
        <v>2.3060041352041671</v>
      </c>
    </row>
    <row r="29" spans="1:15" x14ac:dyDescent="0.35">
      <c r="A29" s="83">
        <v>117</v>
      </c>
      <c r="B29" s="84">
        <v>26</v>
      </c>
      <c r="C29" s="21">
        <f t="shared" si="0"/>
        <v>8</v>
      </c>
      <c r="D29" s="97">
        <f t="shared" si="1"/>
        <v>8</v>
      </c>
      <c r="E29" s="77">
        <f t="shared" si="2"/>
        <v>0</v>
      </c>
      <c r="I29" s="29" t="s">
        <v>59</v>
      </c>
      <c r="J29" s="29">
        <f>TDIST(ABS(J26),J24,1)</f>
        <v>0.46056750171974198</v>
      </c>
      <c r="K29" s="61" t="e">
        <f ca="1">TDIST(ABS(K26),K24,1)</f>
        <v>#NAME?</v>
      </c>
    </row>
    <row r="30" spans="1:15" x14ac:dyDescent="0.35">
      <c r="A30" s="140">
        <v>90</v>
      </c>
      <c r="B30" s="141">
        <v>5</v>
      </c>
      <c r="C30" s="75">
        <f t="shared" si="0"/>
        <v>2</v>
      </c>
      <c r="D30" s="90">
        <f t="shared" si="1"/>
        <v>3</v>
      </c>
      <c r="E30" s="78">
        <f t="shared" si="2"/>
        <v>1</v>
      </c>
      <c r="I30" s="62" t="s">
        <v>270</v>
      </c>
      <c r="J30" s="68" t="str">
        <f>IF(J26&gt;J28,"yes","no")</f>
        <v>no</v>
      </c>
      <c r="K30" s="63" t="e">
        <f ca="1">IF(K26&gt;K28,"yes","no")</f>
        <v>#NAME?</v>
      </c>
    </row>
    <row r="31" spans="1:15" x14ac:dyDescent="0.35">
      <c r="A31" s="126"/>
      <c r="B31" s="126"/>
      <c r="C31" s="126"/>
      <c r="D31" s="126"/>
      <c r="E31" s="126">
        <f>SUM(E21:E30)</f>
        <v>184</v>
      </c>
    </row>
    <row r="33" spans="1:7" x14ac:dyDescent="0.35">
      <c r="A33" t="s">
        <v>202</v>
      </c>
      <c r="G33">
        <f>1-(6*E31)/(COUNT(E21:E30)*(COUNT(E21:E30)^2-1))</f>
        <v>-0.11515151515151523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61"/>
  <dimension ref="A1:I18"/>
  <sheetViews>
    <sheetView workbookViewId="0"/>
  </sheetViews>
  <sheetFormatPr defaultRowHeight="14.5" x14ac:dyDescent="0.35"/>
  <cols>
    <col min="8" max="8" width="3.1796875" customWidth="1"/>
    <col min="9" max="9" width="23.54296875" customWidth="1"/>
  </cols>
  <sheetData>
    <row r="1" spans="1:9" x14ac:dyDescent="0.35">
      <c r="A1" s="1" t="s">
        <v>198</v>
      </c>
    </row>
    <row r="3" spans="1:9" x14ac:dyDescent="0.35">
      <c r="A3" s="136" t="s">
        <v>199</v>
      </c>
      <c r="B3" s="138" t="s">
        <v>527</v>
      </c>
      <c r="C3" s="137" t="s">
        <v>200</v>
      </c>
      <c r="D3" s="138" t="s">
        <v>528</v>
      </c>
      <c r="F3" s="9"/>
    </row>
    <row r="4" spans="1:9" x14ac:dyDescent="0.35">
      <c r="A4" s="83">
        <v>99</v>
      </c>
      <c r="B4" s="84">
        <v>2</v>
      </c>
      <c r="C4" s="206" t="e" cm="1">
        <f t="array" aca="1" ref="C4" ca="1">RANK_AVG(A4,A$4:A$13,1)</f>
        <v>#NAME?</v>
      </c>
      <c r="D4" s="22" t="e" cm="1">
        <f t="array" aca="1" ref="D4" ca="1">RANK_AVG(B4,B$4:B$13,1)</f>
        <v>#NAME?</v>
      </c>
      <c r="F4" s="66" t="s">
        <v>95</v>
      </c>
      <c r="G4" s="197" t="e">
        <f ca="1">CORREL(C4:C13,D4:D13)</f>
        <v>#NAME?</v>
      </c>
      <c r="I4" t="e" cm="1">
        <f t="array" aca="1" ref="I4" ca="1">FTEXT(G4)</f>
        <v>#NAME?</v>
      </c>
    </row>
    <row r="5" spans="1:9" x14ac:dyDescent="0.35">
      <c r="A5" s="83">
        <v>120</v>
      </c>
      <c r="B5" s="84">
        <v>0</v>
      </c>
      <c r="C5" s="206" t="e" cm="1">
        <f t="array" aca="1" ref="C5" ca="1">RANK_AVG(A5,A$4:A$13,1)</f>
        <v>#NAME?</v>
      </c>
      <c r="D5" s="22" t="e" cm="1">
        <f t="array" aca="1" ref="D5" ca="1">RANK_AVG(B5,B$4:B$13,1)</f>
        <v>#NAME?</v>
      </c>
      <c r="F5" s="91" t="s">
        <v>179</v>
      </c>
      <c r="G5" s="117">
        <v>0</v>
      </c>
    </row>
    <row r="6" spans="1:9" x14ac:dyDescent="0.35">
      <c r="A6" s="83">
        <v>98</v>
      </c>
      <c r="B6" s="84">
        <v>25</v>
      </c>
      <c r="C6" s="206" t="e" cm="1">
        <f t="array" aca="1" ref="C6" ca="1">RANK_AVG(A6,A$4:A$13,1)</f>
        <v>#NAME?</v>
      </c>
      <c r="D6" s="22" t="e" cm="1">
        <f t="array" aca="1" ref="D6" ca="1">RANK_AVG(B6,B$4:B$13,1)</f>
        <v>#NAME?</v>
      </c>
      <c r="F6" s="66" t="s">
        <v>31</v>
      </c>
      <c r="G6" s="117">
        <f>COUNT(A4:A13)</f>
        <v>10</v>
      </c>
      <c r="I6" t="e" cm="1">
        <f t="array" aca="1" ref="I6" ca="1">FTEXT(G6)</f>
        <v>#NAME?</v>
      </c>
    </row>
    <row r="7" spans="1:9" x14ac:dyDescent="0.35">
      <c r="A7" s="83">
        <v>102</v>
      </c>
      <c r="B7" s="84">
        <v>45</v>
      </c>
      <c r="C7" s="206" t="e" cm="1">
        <f t="array" aca="1" ref="C7" ca="1">RANK_AVG(A7,A$4:A$13,1)</f>
        <v>#NAME?</v>
      </c>
      <c r="D7" s="22" t="e" cm="1">
        <f t="array" aca="1" ref="D7" ca="1">RANK_AVG(B7,B$4:B$13,1)</f>
        <v>#NAME?</v>
      </c>
      <c r="F7" s="66" t="s">
        <v>53</v>
      </c>
      <c r="G7" s="117">
        <f>G6-2</f>
        <v>8</v>
      </c>
      <c r="I7" t="e" cm="1">
        <f t="array" aca="1" ref="I7" ca="1">FTEXT(G7)</f>
        <v>#NAME?</v>
      </c>
    </row>
    <row r="8" spans="1:9" ht="16.5" x14ac:dyDescent="0.45">
      <c r="A8" s="83">
        <v>123</v>
      </c>
      <c r="B8" s="84">
        <v>14</v>
      </c>
      <c r="C8" s="206" t="e" cm="1">
        <f t="array" aca="1" ref="C8" ca="1">RANK_AVG(A8,A$4:A$13,1)</f>
        <v>#NAME?</v>
      </c>
      <c r="D8" s="22" t="e" cm="1">
        <f t="array" aca="1" ref="D8" ca="1">RANK_AVG(B8,B$4:B$13,1)</f>
        <v>#NAME?</v>
      </c>
      <c r="F8" s="66" t="s">
        <v>104</v>
      </c>
      <c r="G8" s="117" t="e">
        <f ca="1">SQRT((1-G4^2)/G7)</f>
        <v>#NAME?</v>
      </c>
      <c r="I8" t="e" cm="1">
        <f t="array" aca="1" ref="I8" ca="1">FTEXT(G8)</f>
        <v>#NAME?</v>
      </c>
    </row>
    <row r="9" spans="1:9" x14ac:dyDescent="0.35">
      <c r="A9" s="83">
        <v>105</v>
      </c>
      <c r="B9" s="84">
        <v>20</v>
      </c>
      <c r="C9" s="206" t="e" cm="1">
        <f t="array" aca="1" ref="C9" ca="1">RANK_AVG(A9,A$4:A$13,1)</f>
        <v>#NAME?</v>
      </c>
      <c r="D9" s="22" t="e" cm="1">
        <f t="array" aca="1" ref="D9" ca="1">RANK_AVG(B9,B$4:B$13,1)</f>
        <v>#NAME?</v>
      </c>
      <c r="F9" s="66" t="s">
        <v>56</v>
      </c>
      <c r="G9" s="117" t="e">
        <f ca="1">(G4-G5)/G8</f>
        <v>#NAME?</v>
      </c>
      <c r="I9" t="e" cm="1">
        <f t="array" aca="1" ref="I9" ca="1">FTEXT(G9)</f>
        <v>#NAME?</v>
      </c>
    </row>
    <row r="10" spans="1:9" x14ac:dyDescent="0.35">
      <c r="A10" s="83">
        <v>85</v>
      </c>
      <c r="B10" s="84">
        <v>15</v>
      </c>
      <c r="C10" s="206" t="e" cm="1">
        <f t="array" aca="1" ref="C10" ca="1">RANK_AVG(A10,A$4:A$13,1)</f>
        <v>#NAME?</v>
      </c>
      <c r="D10" s="22" t="e" cm="1">
        <f t="array" aca="1" ref="D10" ca="1">RANK_AVG(B10,B$4:B$13,1)</f>
        <v>#NAME?</v>
      </c>
      <c r="F10" s="66" t="s">
        <v>44</v>
      </c>
      <c r="G10" s="117">
        <v>0.05</v>
      </c>
    </row>
    <row r="11" spans="1:9" x14ac:dyDescent="0.35">
      <c r="A11" s="83">
        <v>110</v>
      </c>
      <c r="B11" s="84">
        <v>19</v>
      </c>
      <c r="C11" s="206" t="e" cm="1">
        <f t="array" aca="1" ref="C11" ca="1">RANK_AVG(A11,A$4:A$13,1)</f>
        <v>#NAME?</v>
      </c>
      <c r="D11" s="22" t="e" cm="1">
        <f t="array" aca="1" ref="D11" ca="1">RANK_AVG(B11,B$4:B$13,1)</f>
        <v>#NAME?</v>
      </c>
      <c r="F11" s="66" t="s">
        <v>60</v>
      </c>
      <c r="G11" s="117">
        <f>TINV(G10,G7)</f>
        <v>2.3060041352041671</v>
      </c>
      <c r="I11" t="e" cm="1">
        <f t="array" aca="1" ref="I11" ca="1">FTEXT(G11)</f>
        <v>#NAME?</v>
      </c>
    </row>
    <row r="12" spans="1:9" x14ac:dyDescent="0.35">
      <c r="A12" s="83">
        <v>117</v>
      </c>
      <c r="B12" s="84">
        <v>22</v>
      </c>
      <c r="C12" s="206" t="e" cm="1">
        <f t="array" aca="1" ref="C12" ca="1">RANK_AVG(A12,A$4:A$13,1)</f>
        <v>#NAME?</v>
      </c>
      <c r="D12" s="22" t="e" cm="1">
        <f t="array" aca="1" ref="D12" ca="1">RANK_AVG(B12,B$4:B$13,1)</f>
        <v>#NAME?</v>
      </c>
      <c r="F12" s="66" t="s">
        <v>59</v>
      </c>
      <c r="G12" s="117" t="e">
        <f ca="1">TDIST(ABS(G9),G7,2)</f>
        <v>#NAME?</v>
      </c>
      <c r="I12" t="e" cm="1">
        <f t="array" aca="1" ref="I12" ca="1">FTEXT(G12)</f>
        <v>#NAME?</v>
      </c>
    </row>
    <row r="13" spans="1:9" x14ac:dyDescent="0.35">
      <c r="A13" s="140">
        <v>90</v>
      </c>
      <c r="B13" s="141">
        <v>4</v>
      </c>
      <c r="C13" s="75" t="e" cm="1">
        <f t="array" aca="1" ref="C13" ca="1">RANK_AVG(A13,A$4:A$13,1)</f>
        <v>#NAME?</v>
      </c>
      <c r="D13" s="76" t="e" cm="1">
        <f t="array" aca="1" ref="D13" ca="1">RANK_AVG(B13,B$4:B$13,1)</f>
        <v>#NAME?</v>
      </c>
      <c r="F13" s="66" t="s">
        <v>270</v>
      </c>
      <c r="G13" s="120" t="e">
        <f ca="1">IF(G12&lt;G10,"yes","no")</f>
        <v>#NAME?</v>
      </c>
      <c r="I13" t="e" cm="1">
        <f t="array" aca="1" ref="I13" ca="1">FTEXT(G13)</f>
        <v>#NAME?</v>
      </c>
    </row>
    <row r="16" spans="1:9" x14ac:dyDescent="0.35">
      <c r="F16" t="e">
        <f t="array" aca="1" ref="F16:G18" ca="1">SCORREL(A4:A13,B4:B13,TRUE)</f>
        <v>#NAME?</v>
      </c>
      <c r="G16" s="185" t="e">
        <f ca="1"/>
        <v>#NAME?</v>
      </c>
    </row>
    <row r="17" spans="6:7" x14ac:dyDescent="0.35">
      <c r="F17" t="e">
        <f ca="1"/>
        <v>#NAME?</v>
      </c>
      <c r="G17" s="100" t="e">
        <f ca="1"/>
        <v>#NAME?</v>
      </c>
    </row>
    <row r="18" spans="6:7" x14ac:dyDescent="0.35">
      <c r="F18" t="e">
        <f ca="1"/>
        <v>#NAME?</v>
      </c>
      <c r="G18" s="94" t="e">
        <f ca="1"/>
        <v>#NAME?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67"/>
  <dimension ref="A1:S19"/>
  <sheetViews>
    <sheetView workbookViewId="0"/>
  </sheetViews>
  <sheetFormatPr defaultRowHeight="14.5" x14ac:dyDescent="0.35"/>
  <cols>
    <col min="1" max="2" width="10.7265625" customWidth="1"/>
    <col min="3" max="6" width="10" customWidth="1"/>
    <col min="7" max="12" width="9.1796875" customWidth="1"/>
    <col min="13" max="13" width="9.54296875" customWidth="1"/>
    <col min="17" max="17" width="9.81640625" customWidth="1"/>
  </cols>
  <sheetData>
    <row r="1" spans="1:19" x14ac:dyDescent="0.35">
      <c r="A1" s="1" t="s">
        <v>241</v>
      </c>
    </row>
    <row r="3" spans="1:19" x14ac:dyDescent="0.35">
      <c r="A3" s="564" t="s">
        <v>87</v>
      </c>
      <c r="B3" s="564"/>
      <c r="C3" s="565" t="s">
        <v>240</v>
      </c>
      <c r="D3" s="565"/>
      <c r="F3" s="9" t="s">
        <v>193</v>
      </c>
      <c r="G3" s="9"/>
      <c r="J3" t="s">
        <v>449</v>
      </c>
      <c r="M3" t="s">
        <v>439</v>
      </c>
      <c r="Q3" t="s">
        <v>439</v>
      </c>
    </row>
    <row r="4" spans="1:19" s="28" customFormat="1" x14ac:dyDescent="0.35">
      <c r="A4" s="252" t="s">
        <v>239</v>
      </c>
      <c r="B4" s="252" t="s">
        <v>210</v>
      </c>
      <c r="C4" s="252" t="s">
        <v>239</v>
      </c>
      <c r="D4" s="138" t="s">
        <v>210</v>
      </c>
      <c r="E4"/>
      <c r="F4" s="9"/>
      <c r="G4" s="9" t="s">
        <v>203</v>
      </c>
      <c r="H4" t="s">
        <v>204</v>
      </c>
      <c r="J4"/>
      <c r="K4"/>
      <c r="P4"/>
      <c r="Q4"/>
      <c r="R4"/>
      <c r="S4"/>
    </row>
    <row r="5" spans="1:19" x14ac:dyDescent="0.35">
      <c r="A5" s="142">
        <v>80</v>
      </c>
      <c r="B5" s="143">
        <v>5</v>
      </c>
      <c r="C5" s="142" t="e" cm="1">
        <f t="array" aca="1" ref="C5" ca="1">RANK_AVG(A5,A$5:A$19,1)</f>
        <v>#NAME?</v>
      </c>
      <c r="D5" s="144" t="e" cm="1">
        <f t="array" aca="1" ref="D5" ca="1">RANK_AVG(B5,B$5:B$19,1)</f>
        <v>#NAME?</v>
      </c>
      <c r="F5" s="58" t="s">
        <v>95</v>
      </c>
      <c r="G5" s="258">
        <f>CORREL(A5:A19,B5:B19)</f>
        <v>-0.71343017438658085</v>
      </c>
      <c r="H5" s="259" t="e">
        <f ca="1">CORREL(C5:C19,D5:D19)</f>
        <v>#NAME?</v>
      </c>
      <c r="J5" t="e">
        <f t="array" aca="1" ref="J5:K9" ca="1">SCORREL(A5:A19,B5:B19,TRUE)</f>
        <v>#NAME?</v>
      </c>
      <c r="K5" s="387" t="e">
        <f ca="1"/>
        <v>#NAME?</v>
      </c>
      <c r="M5" t="s">
        <v>203</v>
      </c>
      <c r="N5" s="199">
        <f>CORREL(A5:A19,B5:B19)</f>
        <v>-0.71343017438658085</v>
      </c>
      <c r="Q5" t="s">
        <v>203</v>
      </c>
      <c r="R5" s="199">
        <f>CORREL(A5:A19,B5:B19)</f>
        <v>-0.71343017438658085</v>
      </c>
    </row>
    <row r="6" spans="1:19" x14ac:dyDescent="0.35">
      <c r="A6" s="21">
        <v>78</v>
      </c>
      <c r="B6" s="127">
        <v>23</v>
      </c>
      <c r="C6" s="21" t="e" cm="1">
        <f t="array" aca="1" ref="C6" ca="1">RANK_AVG(A6,A$5:A$19,1)</f>
        <v>#NAME?</v>
      </c>
      <c r="D6" s="22" t="e" cm="1">
        <f t="array" aca="1" ref="D6" ca="1">RANK_AVG(B6,B$5:B$19,1)</f>
        <v>#NAME?</v>
      </c>
      <c r="F6" s="29" t="s">
        <v>31</v>
      </c>
      <c r="G6" s="106">
        <f>COUNT(A5:A19)</f>
        <v>15</v>
      </c>
      <c r="H6" s="98">
        <f>G6</f>
        <v>15</v>
      </c>
      <c r="J6" t="e">
        <f ca="1"/>
        <v>#NAME?</v>
      </c>
      <c r="K6" s="100" t="e">
        <f ca="1"/>
        <v>#NAME?</v>
      </c>
      <c r="M6" t="s">
        <v>204</v>
      </c>
      <c r="N6" s="147" t="e" cm="1">
        <f t="array" aca="1" ref="N6" ca="1">SCORREL(A5:A19,B5:B19)</f>
        <v>#NAME?</v>
      </c>
      <c r="Q6" t="s">
        <v>204</v>
      </c>
      <c r="R6" s="147" t="e" cm="1">
        <f t="array" aca="1" ref="R6" ca="1">SCORREL(A5:A19,B5:B19)</f>
        <v>#NAME?</v>
      </c>
    </row>
    <row r="7" spans="1:19" x14ac:dyDescent="0.35">
      <c r="A7" s="21">
        <v>60</v>
      </c>
      <c r="B7" s="127">
        <v>25</v>
      </c>
      <c r="C7" s="21" t="e" cm="1">
        <f t="array" aca="1" ref="C7" ca="1">RANK_AVG(A7,A$5:A$19,1)</f>
        <v>#NAME?</v>
      </c>
      <c r="D7" s="22" t="e" cm="1">
        <f t="array" aca="1" ref="D7" ca="1">RANK_AVG(B7,B$5:B$19,1)</f>
        <v>#NAME?</v>
      </c>
      <c r="F7" s="29" t="s">
        <v>53</v>
      </c>
      <c r="G7" s="106">
        <f>G6-2</f>
        <v>13</v>
      </c>
      <c r="H7" s="98">
        <f>H6-2</f>
        <v>13</v>
      </c>
      <c r="J7" t="e">
        <f ca="1"/>
        <v>#NAME?</v>
      </c>
      <c r="K7" s="100" t="e">
        <f ca="1"/>
        <v>#NAME?</v>
      </c>
      <c r="M7" t="s">
        <v>440</v>
      </c>
      <c r="N7" s="155" t="e" cm="1">
        <f t="array" aca="1" ref="N7" ca="1">KCORREL(A5:A19,B5:B19)</f>
        <v>#NAME?</v>
      </c>
      <c r="Q7" t="s">
        <v>440</v>
      </c>
      <c r="R7" s="155" t="e" cm="1">
        <f t="array" aca="1" ref="R7" ca="1">KCORREL(A5:A19,B5:B19)</f>
        <v>#NAME?</v>
      </c>
    </row>
    <row r="8" spans="1:19" ht="16.5" x14ac:dyDescent="0.45">
      <c r="A8" s="21">
        <v>53</v>
      </c>
      <c r="B8" s="127">
        <v>48</v>
      </c>
      <c r="C8" s="21" t="e" cm="1">
        <f t="array" aca="1" ref="C8" ca="1">RANK_AVG(A8,A$5:A$19,1)</f>
        <v>#NAME?</v>
      </c>
      <c r="D8" s="22" t="e" cm="1">
        <f t="array" aca="1" ref="D8" ca="1">RANK_AVG(B8,B$5:B$19,1)</f>
        <v>#NAME?</v>
      </c>
      <c r="F8" s="29" t="s">
        <v>104</v>
      </c>
      <c r="G8" s="106">
        <f>SQRT((1-G5^2)/G7)</f>
        <v>0.1943465157263681</v>
      </c>
      <c r="H8" s="98" t="e">
        <f ca="1">SQRT((1-H5^2)/H7)</f>
        <v>#NAME?</v>
      </c>
      <c r="J8" t="e">
        <f ca="1"/>
        <v>#NAME?</v>
      </c>
      <c r="K8" s="100" t="e">
        <f ca="1"/>
        <v>#NAME?</v>
      </c>
    </row>
    <row r="9" spans="1:19" x14ac:dyDescent="0.35">
      <c r="A9" s="21">
        <v>85</v>
      </c>
      <c r="B9" s="74">
        <v>17</v>
      </c>
      <c r="C9" s="21" t="e" cm="1">
        <f t="array" aca="1" ref="C9" ca="1">RANK_AVG(A9,A$5:A$19,1)</f>
        <v>#NAME?</v>
      </c>
      <c r="D9" s="22" t="e" cm="1">
        <f t="array" aca="1" ref="D9" ca="1">RANK_AVG(B9,B$5:B$19,1)</f>
        <v>#NAME?</v>
      </c>
      <c r="F9" s="29" t="s">
        <v>56</v>
      </c>
      <c r="G9" s="106">
        <f>G5/G8</f>
        <v>-3.6709182653475567</v>
      </c>
      <c r="H9" s="98" t="e">
        <f ca="1">H5/H8</f>
        <v>#NAME?</v>
      </c>
      <c r="J9" t="e">
        <f ca="1"/>
        <v>#NAME?</v>
      </c>
      <c r="K9" s="94" t="e">
        <f ca="1"/>
        <v>#NAME?</v>
      </c>
      <c r="M9" t="s">
        <v>450</v>
      </c>
      <c r="Q9" t="s">
        <v>450</v>
      </c>
    </row>
    <row r="10" spans="1:19" x14ac:dyDescent="0.35">
      <c r="A10" s="21">
        <v>84</v>
      </c>
      <c r="B10" s="74">
        <v>8</v>
      </c>
      <c r="C10" s="21" t="e" cm="1">
        <f t="array" aca="1" ref="C10" ca="1">RANK_AVG(A10,A$5:A$19,1)</f>
        <v>#NAME?</v>
      </c>
      <c r="D10" s="22" t="e" cm="1">
        <f t="array" aca="1" ref="D10" ca="1">RANK_AVG(B10,B$5:B$19,1)</f>
        <v>#NAME?</v>
      </c>
      <c r="F10" s="29" t="s">
        <v>44</v>
      </c>
      <c r="G10" s="106">
        <v>0.05</v>
      </c>
      <c r="H10" s="98">
        <v>0.05</v>
      </c>
    </row>
    <row r="11" spans="1:19" x14ac:dyDescent="0.35">
      <c r="A11" s="21">
        <v>73</v>
      </c>
      <c r="B11" s="127">
        <v>4</v>
      </c>
      <c r="C11" s="21" t="e" cm="1">
        <f t="array" aca="1" ref="C11" ca="1">RANK_AVG(A11,A$5:A$19,1)</f>
        <v>#NAME?</v>
      </c>
      <c r="D11" s="22" t="e" cm="1">
        <f t="array" aca="1" ref="D11" ca="1">RANK_AVG(B11,B$5:B$19,1)</f>
        <v>#NAME?</v>
      </c>
      <c r="F11" s="29" t="s">
        <v>60</v>
      </c>
      <c r="G11" s="106">
        <f>TINV(G10,G7)</f>
        <v>2.1603686564627926</v>
      </c>
      <c r="H11" s="98">
        <f>TINV(H10,H7)</f>
        <v>2.1603686564627926</v>
      </c>
      <c r="M11" t="s">
        <v>35</v>
      </c>
      <c r="N11" s="199">
        <v>0.05</v>
      </c>
      <c r="Q11" t="s">
        <v>35</v>
      </c>
      <c r="R11" s="199">
        <v>0.05</v>
      </c>
    </row>
    <row r="12" spans="1:19" x14ac:dyDescent="0.35">
      <c r="A12" s="21">
        <v>79</v>
      </c>
      <c r="B12" s="127">
        <v>26</v>
      </c>
      <c r="C12" s="21" t="e" cm="1">
        <f t="array" aca="1" ref="C12" ca="1">RANK_AVG(A12,A$5:A$19,1)</f>
        <v>#NAME?</v>
      </c>
      <c r="D12" s="22" t="e" cm="1">
        <f t="array" aca="1" ref="D12" ca="1">RANK_AVG(B12,B$5:B$19,1)</f>
        <v>#NAME?</v>
      </c>
      <c r="F12" s="29" t="s">
        <v>59</v>
      </c>
      <c r="G12" s="106">
        <f>TDIST(ABS(G9),G7,1)</f>
        <v>1.4111714950356155E-3</v>
      </c>
      <c r="H12" s="98" t="e">
        <f ca="1">TDIST(ABS(H9),H7,1)</f>
        <v>#NAME?</v>
      </c>
      <c r="M12" t="s">
        <v>442</v>
      </c>
      <c r="N12" s="155">
        <v>2</v>
      </c>
      <c r="Q12" t="s">
        <v>442</v>
      </c>
      <c r="R12" s="155">
        <v>1</v>
      </c>
    </row>
    <row r="13" spans="1:19" x14ac:dyDescent="0.35">
      <c r="A13" s="21">
        <v>81</v>
      </c>
      <c r="B13" s="127">
        <v>11</v>
      </c>
      <c r="C13" s="21" t="e" cm="1">
        <f t="array" aca="1" ref="C13" ca="1">RANK_AVG(A13,A$5:A$19,1)</f>
        <v>#NAME?</v>
      </c>
      <c r="D13" s="22" t="e" cm="1">
        <f t="array" aca="1" ref="D13" ca="1">RANK_AVG(B13,B$5:B$19,1)</f>
        <v>#NAME?</v>
      </c>
      <c r="F13" s="62" t="s">
        <v>61</v>
      </c>
      <c r="G13" s="260" t="str">
        <f>IF(G12&lt;G10,"yes","no")</f>
        <v>yes</v>
      </c>
      <c r="H13" s="261" t="e">
        <f ca="1">IF(H12&lt;H10,"yes","no")</f>
        <v>#NAME?</v>
      </c>
    </row>
    <row r="14" spans="1:19" x14ac:dyDescent="0.35">
      <c r="A14" s="21">
        <v>75</v>
      </c>
      <c r="B14" s="127">
        <v>19</v>
      </c>
      <c r="C14" s="21" t="e" cm="1">
        <f t="array" aca="1" ref="C14" ca="1">RANK_AVG(A14,A$5:A$19,1)</f>
        <v>#NAME?</v>
      </c>
      <c r="D14" s="22" t="e" cm="1">
        <f t="array" aca="1" ref="D14" ca="1">RANK_AVG(B14,B$5:B$19,1)</f>
        <v>#NAME?</v>
      </c>
      <c r="M14" t="e">
        <f t="array" aca="1" ref="M14:N18" ca="1">SCORREL(A5:A19,B5:B19,TRUE,N12,N11)</f>
        <v>#NAME?</v>
      </c>
      <c r="N14" s="387" t="e">
        <f ca="1"/>
        <v>#NAME?</v>
      </c>
      <c r="Q14" t="e">
        <f t="array" aca="1" ref="Q14:R16" ca="1">SCORREL(A5:A19,B5:B19,TRUE,R12,R11)</f>
        <v>#NAME?</v>
      </c>
      <c r="R14" s="199" t="e">
        <f ca="1"/>
        <v>#NAME?</v>
      </c>
    </row>
    <row r="15" spans="1:19" x14ac:dyDescent="0.35">
      <c r="A15" s="21">
        <v>68</v>
      </c>
      <c r="B15" s="127">
        <v>14</v>
      </c>
      <c r="C15" s="21" t="e" cm="1">
        <f t="array" aca="1" ref="C15" ca="1">RANK_AVG(A15,A$5:A$19,1)</f>
        <v>#NAME?</v>
      </c>
      <c r="D15" s="22" t="e" cm="1">
        <f t="array" aca="1" ref="D15" ca="1">RANK_AVG(B15,B$5:B$19,1)</f>
        <v>#NAME?</v>
      </c>
      <c r="M15" t="e">
        <f ca="1"/>
        <v>#NAME?</v>
      </c>
      <c r="N15" s="100" t="e">
        <f ca="1"/>
        <v>#NAME?</v>
      </c>
      <c r="Q15" t="e">
        <f ca="1"/>
        <v>#NAME?</v>
      </c>
      <c r="R15" s="147" t="e">
        <f ca="1"/>
        <v>#NAME?</v>
      </c>
    </row>
    <row r="16" spans="1:19" x14ac:dyDescent="0.35">
      <c r="A16" s="21">
        <v>72</v>
      </c>
      <c r="B16" s="127">
        <v>35</v>
      </c>
      <c r="C16" s="21" t="e" cm="1">
        <f t="array" aca="1" ref="C16" ca="1">RANK_AVG(A16,A$5:A$19,1)</f>
        <v>#NAME?</v>
      </c>
      <c r="D16" s="22" t="e" cm="1">
        <f t="array" aca="1" ref="D16" ca="1">RANK_AVG(B16,B$5:B$19,1)</f>
        <v>#NAME?</v>
      </c>
      <c r="M16" t="e">
        <f ca="1"/>
        <v>#NAME?</v>
      </c>
      <c r="N16" s="100" t="e">
        <f ca="1"/>
        <v>#NAME?</v>
      </c>
      <c r="Q16" t="e">
        <f ca="1"/>
        <v>#NAME?</v>
      </c>
      <c r="R16" s="155" t="e">
        <f ca="1"/>
        <v>#NAME?</v>
      </c>
    </row>
    <row r="17" spans="1:14" x14ac:dyDescent="0.35">
      <c r="A17" s="21">
        <v>58</v>
      </c>
      <c r="B17" s="127">
        <v>29</v>
      </c>
      <c r="C17" s="21" t="e" cm="1">
        <f t="array" aca="1" ref="C17" ca="1">RANK_AVG(A17,A$5:A$19,1)</f>
        <v>#NAME?</v>
      </c>
      <c r="D17" s="22" t="e" cm="1">
        <f t="array" aca="1" ref="D17" ca="1">RANK_AVG(B17,B$5:B$19,1)</f>
        <v>#NAME?</v>
      </c>
      <c r="M17" t="e">
        <f ca="1"/>
        <v>#NAME?</v>
      </c>
      <c r="N17" s="100" t="e">
        <f ca="1"/>
        <v>#NAME?</v>
      </c>
    </row>
    <row r="18" spans="1:14" x14ac:dyDescent="0.35">
      <c r="A18" s="21">
        <v>92</v>
      </c>
      <c r="B18" s="127">
        <v>4</v>
      </c>
      <c r="C18" s="21" t="e" cm="1">
        <f t="array" aca="1" ref="C18" ca="1">RANK_AVG(A18,A$5:A$19,1)</f>
        <v>#NAME?</v>
      </c>
      <c r="D18" s="22" t="e" cm="1">
        <f t="array" aca="1" ref="D18" ca="1">RANK_AVG(B18,B$5:B$19,1)</f>
        <v>#NAME?</v>
      </c>
      <c r="M18" t="e">
        <f ca="1"/>
        <v>#NAME?</v>
      </c>
      <c r="N18" s="94" t="e">
        <f ca="1"/>
        <v>#NAME?</v>
      </c>
    </row>
    <row r="19" spans="1:14" x14ac:dyDescent="0.35">
      <c r="A19" s="75">
        <v>65</v>
      </c>
      <c r="B19" s="130">
        <v>23</v>
      </c>
      <c r="C19" s="75" t="e" cm="1">
        <f t="array" aca="1" ref="C19" ca="1">RANK_AVG(A19,A$5:A$19,1)</f>
        <v>#NAME?</v>
      </c>
      <c r="D19" s="76" t="e" cm="1">
        <f t="array" aca="1" ref="D19" ca="1">RANK_AVG(B19,B$5:B$19,1)</f>
        <v>#NAME?</v>
      </c>
    </row>
  </sheetData>
  <mergeCells count="2">
    <mergeCell ref="A3:B3"/>
    <mergeCell ref="C3:D3"/>
  </mergeCells>
  <pageMargins left="0.7" right="0.7" top="0.75" bottom="0.75" header="0.3" footer="0.3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433"/>
  <dimension ref="B1:J19"/>
  <sheetViews>
    <sheetView workbookViewId="0">
      <selection activeCell="B1" sqref="B1"/>
    </sheetView>
  </sheetViews>
  <sheetFormatPr defaultRowHeight="14.5" x14ac:dyDescent="0.35"/>
  <cols>
    <col min="1" max="1" width="2.1796875" customWidth="1"/>
    <col min="2" max="3" width="9.81640625" customWidth="1"/>
    <col min="9" max="9" width="3.1796875" customWidth="1"/>
    <col min="10" max="10" width="30.453125" customWidth="1"/>
  </cols>
  <sheetData>
    <row r="1" spans="2:10" x14ac:dyDescent="0.35">
      <c r="B1" s="1" t="s">
        <v>492</v>
      </c>
    </row>
    <row r="3" spans="2:10" x14ac:dyDescent="0.35">
      <c r="B3" s="175" t="s">
        <v>239</v>
      </c>
      <c r="C3" s="176" t="s">
        <v>210</v>
      </c>
      <c r="D3" s="175" t="s">
        <v>495</v>
      </c>
      <c r="E3" s="176" t="s">
        <v>496</v>
      </c>
    </row>
    <row r="4" spans="2:10" x14ac:dyDescent="0.35">
      <c r="B4" s="19">
        <v>80</v>
      </c>
      <c r="C4" s="183">
        <v>5</v>
      </c>
      <c r="D4" s="19" t="e" cm="1">
        <f t="array" aca="1" ref="D4" ca="1">RANK_AVG(B4,B$4:B$18,1)</f>
        <v>#NAME?</v>
      </c>
      <c r="E4" s="20" t="e" cm="1">
        <f t="array" aca="1" ref="E4" ca="1">RANK_AVG(C4,C$4:C$18,1)</f>
        <v>#NAME?</v>
      </c>
      <c r="G4" s="66" t="s">
        <v>95</v>
      </c>
      <c r="H4" s="197" t="e">
        <f ca="1">CORREL(D4:D18,E4:E18)</f>
        <v>#NAME?</v>
      </c>
      <c r="J4" t="e" cm="1">
        <f t="array" aca="1" ref="J4" ca="1">FTEXT(H4)</f>
        <v>#NAME?</v>
      </c>
    </row>
    <row r="5" spans="2:10" x14ac:dyDescent="0.35">
      <c r="B5" s="103">
        <v>78</v>
      </c>
      <c r="C5" s="250">
        <v>23</v>
      </c>
      <c r="D5" s="103" t="e" cm="1">
        <f t="array" aca="1" ref="D5" ca="1">RANK_AVG(B5,B$4:B$18,1)</f>
        <v>#NAME?</v>
      </c>
      <c r="E5" s="97" t="e" cm="1">
        <f t="array" aca="1" ref="E5" ca="1">RANK_AVG(C5,C$4:C$18,1)</f>
        <v>#NAME?</v>
      </c>
      <c r="G5" s="91" t="s">
        <v>179</v>
      </c>
      <c r="H5" s="117">
        <v>0</v>
      </c>
    </row>
    <row r="6" spans="2:10" x14ac:dyDescent="0.35">
      <c r="B6" s="103">
        <v>60</v>
      </c>
      <c r="C6" s="250">
        <v>25</v>
      </c>
      <c r="D6" s="103" t="e" cm="1">
        <f t="array" aca="1" ref="D6" ca="1">RANK_AVG(B6,B$4:B$18,1)</f>
        <v>#NAME?</v>
      </c>
      <c r="E6" s="97" t="e" cm="1">
        <f t="array" aca="1" ref="E6" ca="1">RANK_AVG(C6,C$4:C$18,1)</f>
        <v>#NAME?</v>
      </c>
      <c r="G6" s="66" t="s">
        <v>31</v>
      </c>
      <c r="H6" s="117">
        <f>COUNT(B4:B18)</f>
        <v>15</v>
      </c>
      <c r="J6" t="e" cm="1">
        <f t="array" aca="1" ref="J6" ca="1">FTEXT(H6)</f>
        <v>#NAME?</v>
      </c>
    </row>
    <row r="7" spans="2:10" x14ac:dyDescent="0.35">
      <c r="B7" s="103">
        <v>53</v>
      </c>
      <c r="C7" s="250">
        <v>48</v>
      </c>
      <c r="D7" s="103" t="e" cm="1">
        <f t="array" aca="1" ref="D7" ca="1">RANK_AVG(B7,B$4:B$18,1)</f>
        <v>#NAME?</v>
      </c>
      <c r="E7" s="97" t="e" cm="1">
        <f t="array" aca="1" ref="E7" ca="1">RANK_AVG(C7,C$4:C$18,1)</f>
        <v>#NAME?</v>
      </c>
      <c r="G7" s="66" t="s">
        <v>53</v>
      </c>
      <c r="H7" s="117">
        <f>H6-2</f>
        <v>13</v>
      </c>
      <c r="J7" t="e" cm="1">
        <f t="array" aca="1" ref="J7" ca="1">FTEXT(H7)</f>
        <v>#NAME?</v>
      </c>
    </row>
    <row r="8" spans="2:10" ht="16.5" x14ac:dyDescent="0.45">
      <c r="B8" s="103">
        <v>85</v>
      </c>
      <c r="C8" s="74">
        <v>17</v>
      </c>
      <c r="D8" s="103" t="e" cm="1">
        <f t="array" aca="1" ref="D8" ca="1">RANK_AVG(B8,B$4:B$18,1)</f>
        <v>#NAME?</v>
      </c>
      <c r="E8" s="97" t="e" cm="1">
        <f t="array" aca="1" ref="E8" ca="1">RANK_AVG(C8,C$4:C$18,1)</f>
        <v>#NAME?</v>
      </c>
      <c r="G8" s="66" t="s">
        <v>104</v>
      </c>
      <c r="H8" s="117" t="e">
        <f ca="1">SQRT((1-H4^2)/H7)</f>
        <v>#NAME?</v>
      </c>
      <c r="J8" t="e" cm="1">
        <f t="array" aca="1" ref="J8" ca="1">FTEXT(H8)</f>
        <v>#NAME?</v>
      </c>
    </row>
    <row r="9" spans="2:10" x14ac:dyDescent="0.35">
      <c r="B9" s="103">
        <v>84</v>
      </c>
      <c r="C9" s="74">
        <v>8</v>
      </c>
      <c r="D9" s="103" t="e" cm="1">
        <f t="array" aca="1" ref="D9" ca="1">RANK_AVG(B9,B$4:B$18,1)</f>
        <v>#NAME?</v>
      </c>
      <c r="E9" s="97" t="e" cm="1">
        <f t="array" aca="1" ref="E9" ca="1">RANK_AVG(C9,C$4:C$18,1)</f>
        <v>#NAME?</v>
      </c>
      <c r="G9" s="66" t="s">
        <v>56</v>
      </c>
      <c r="H9" s="117" t="e">
        <f ca="1">(H4-H5)/H8</f>
        <v>#NAME?</v>
      </c>
      <c r="J9" t="e" cm="1">
        <f t="array" aca="1" ref="J9" ca="1">FTEXT(H9)</f>
        <v>#NAME?</v>
      </c>
    </row>
    <row r="10" spans="2:10" x14ac:dyDescent="0.35">
      <c r="B10" s="103">
        <v>73</v>
      </c>
      <c r="C10" s="250">
        <v>4</v>
      </c>
      <c r="D10" s="103" t="e" cm="1">
        <f t="array" aca="1" ref="D10" ca="1">RANK_AVG(B10,B$4:B$18,1)</f>
        <v>#NAME?</v>
      </c>
      <c r="E10" s="97" t="e" cm="1">
        <f t="array" aca="1" ref="E10" ca="1">RANK_AVG(C10,C$4:C$18,1)</f>
        <v>#NAME?</v>
      </c>
      <c r="G10" s="66" t="s">
        <v>44</v>
      </c>
      <c r="H10" s="117">
        <v>0.05</v>
      </c>
    </row>
    <row r="11" spans="2:10" x14ac:dyDescent="0.35">
      <c r="B11" s="103">
        <v>79</v>
      </c>
      <c r="C11" s="250">
        <v>26</v>
      </c>
      <c r="D11" s="103" t="e" cm="1">
        <f t="array" aca="1" ref="D11" ca="1">RANK_AVG(B11,B$4:B$18,1)</f>
        <v>#NAME?</v>
      </c>
      <c r="E11" s="97" t="e" cm="1">
        <f t="array" aca="1" ref="E11" ca="1">RANK_AVG(C11,C$4:C$18,1)</f>
        <v>#NAME?</v>
      </c>
      <c r="G11" s="66" t="s">
        <v>60</v>
      </c>
      <c r="H11" s="117">
        <f>TINV(H10,H7)</f>
        <v>2.1603686564627926</v>
      </c>
      <c r="J11" s="7" t="s">
        <v>493</v>
      </c>
    </row>
    <row r="12" spans="2:10" x14ac:dyDescent="0.35">
      <c r="B12" s="103">
        <v>81</v>
      </c>
      <c r="C12" s="250">
        <v>11</v>
      </c>
      <c r="D12" s="103" t="e" cm="1">
        <f t="array" aca="1" ref="D12" ca="1">RANK_AVG(B12,B$4:B$18,1)</f>
        <v>#NAME?</v>
      </c>
      <c r="E12" s="97" t="e" cm="1">
        <f t="array" aca="1" ref="E12" ca="1">RANK_AVG(C12,C$4:C$18,1)</f>
        <v>#NAME?</v>
      </c>
      <c r="G12" s="66" t="s">
        <v>59</v>
      </c>
      <c r="H12" s="117" t="e">
        <f ca="1">TDIST(ABS(H9),H7,2)</f>
        <v>#NAME?</v>
      </c>
      <c r="J12" s="7" t="s">
        <v>494</v>
      </c>
    </row>
    <row r="13" spans="2:10" x14ac:dyDescent="0.35">
      <c r="B13" s="103">
        <v>75</v>
      </c>
      <c r="C13" s="250">
        <v>19</v>
      </c>
      <c r="D13" s="103" t="e" cm="1">
        <f t="array" aca="1" ref="D13" ca="1">RANK_AVG(B13,B$4:B$18,1)</f>
        <v>#NAME?</v>
      </c>
      <c r="E13" s="97" t="e" cm="1">
        <f t="array" aca="1" ref="E13" ca="1">RANK_AVG(C13,C$4:C$18,1)</f>
        <v>#NAME?</v>
      </c>
      <c r="G13" s="66" t="s">
        <v>270</v>
      </c>
      <c r="H13" s="120" t="e">
        <f ca="1">IF(H12&lt;H10,"yes","no")</f>
        <v>#NAME?</v>
      </c>
      <c r="J13" t="e" cm="1">
        <f t="array" aca="1" ref="J13" ca="1">FTEXT(H13)</f>
        <v>#NAME?</v>
      </c>
    </row>
    <row r="14" spans="2:10" x14ac:dyDescent="0.35">
      <c r="B14" s="103">
        <v>68</v>
      </c>
      <c r="C14" s="250">
        <v>14</v>
      </c>
      <c r="D14" s="103" t="e" cm="1">
        <f t="array" aca="1" ref="D14" ca="1">RANK_AVG(B14,B$4:B$18,1)</f>
        <v>#NAME?</v>
      </c>
      <c r="E14" s="97" t="e" cm="1">
        <f t="array" aca="1" ref="E14" ca="1">RANK_AVG(C14,C$4:C$18,1)</f>
        <v>#NAME?</v>
      </c>
    </row>
    <row r="15" spans="2:10" x14ac:dyDescent="0.35">
      <c r="B15" s="103">
        <v>72</v>
      </c>
      <c r="C15" s="250">
        <v>35</v>
      </c>
      <c r="D15" s="103" t="e" cm="1">
        <f t="array" aca="1" ref="D15" ca="1">RANK_AVG(B15,B$4:B$18,1)</f>
        <v>#NAME?</v>
      </c>
      <c r="E15" s="97" t="e" cm="1">
        <f t="array" aca="1" ref="E15" ca="1">RANK_AVG(C15,C$4:C$18,1)</f>
        <v>#NAME?</v>
      </c>
      <c r="G15" t="s">
        <v>491</v>
      </c>
      <c r="H15" s="109" t="e" cm="1">
        <f t="array" aca="1" ref="H15" ca="1">RhoCRIT(COUNT(B4:B18),H10,2)</f>
        <v>#NAME?</v>
      </c>
      <c r="J15" t="e" cm="1">
        <f t="array" aca="1" ref="J15" ca="1">FTEXT(H15)</f>
        <v>#NAME?</v>
      </c>
    </row>
    <row r="16" spans="2:10" x14ac:dyDescent="0.35">
      <c r="B16" s="103">
        <v>58</v>
      </c>
      <c r="C16" s="250">
        <v>29</v>
      </c>
      <c r="D16" s="103" t="e" cm="1">
        <f t="array" aca="1" ref="D16" ca="1">RANK_AVG(B16,B$4:B$18,1)</f>
        <v>#NAME?</v>
      </c>
      <c r="E16" s="97" t="e" cm="1">
        <f t="array" aca="1" ref="E16" ca="1">RANK_AVG(C16,C$4:C$18,1)</f>
        <v>#NAME?</v>
      </c>
    </row>
    <row r="17" spans="2:10" x14ac:dyDescent="0.35">
      <c r="B17" s="103">
        <v>92</v>
      </c>
      <c r="C17" s="250">
        <v>4</v>
      </c>
      <c r="D17" s="103" t="e" cm="1">
        <f t="array" aca="1" ref="D17" ca="1">RANK_AVG(B17,B$4:B$18,1)</f>
        <v>#NAME?</v>
      </c>
      <c r="E17" s="97" t="e" cm="1">
        <f t="array" aca="1" ref="E17" ca="1">RANK_AVG(C17,C$4:C$18,1)</f>
        <v>#NAME?</v>
      </c>
      <c r="G17" t="e">
        <f t="array" aca="1" ref="G17:H19" ca="1">SCORREL(B4:B18,C4:C18,TRUE)</f>
        <v>#NAME?</v>
      </c>
      <c r="H17" s="185" t="e">
        <f ca="1"/>
        <v>#NAME?</v>
      </c>
      <c r="J17" t="e" cm="1">
        <f t="array" aca="1" ref="J17" ca="1">FTEXT(H17)</f>
        <v>#NAME?</v>
      </c>
    </row>
    <row r="18" spans="2:10" x14ac:dyDescent="0.35">
      <c r="B18" s="95">
        <v>65</v>
      </c>
      <c r="C18" s="251">
        <v>23</v>
      </c>
      <c r="D18" s="95" t="e" cm="1">
        <f t="array" aca="1" ref="D18" ca="1">RANK_AVG(B18,B$4:B$18,1)</f>
        <v>#NAME?</v>
      </c>
      <c r="E18" s="90" t="e" cm="1">
        <f t="array" aca="1" ref="E18" ca="1">RANK_AVG(C18,C$4:C$18,1)</f>
        <v>#NAME?</v>
      </c>
      <c r="G18" t="e">
        <f ca="1"/>
        <v>#NAME?</v>
      </c>
      <c r="H18" s="100" t="e">
        <f ca="1"/>
        <v>#NAME?</v>
      </c>
    </row>
    <row r="19" spans="2:10" x14ac:dyDescent="0.35">
      <c r="G19" t="e">
        <f ca="1"/>
        <v>#NAME?</v>
      </c>
      <c r="H19" s="94" t="e">
        <f ca="1"/>
        <v>#NAME?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AD2BA-B7B5-4D84-A285-C7CE382E1A11}">
  <sheetPr codeName="Sheet51"/>
  <dimension ref="A1:D11"/>
  <sheetViews>
    <sheetView workbookViewId="0"/>
  </sheetViews>
  <sheetFormatPr defaultRowHeight="14.5" x14ac:dyDescent="0.35"/>
  <cols>
    <col min="3" max="3" width="3.26953125" customWidth="1"/>
    <col min="4" max="4" width="29" customWidth="1"/>
  </cols>
  <sheetData>
    <row r="1" spans="1:4" x14ac:dyDescent="0.35">
      <c r="A1" s="1" t="s">
        <v>1009</v>
      </c>
    </row>
    <row r="3" spans="1:4" x14ac:dyDescent="0.35">
      <c r="A3" t="s">
        <v>88</v>
      </c>
      <c r="B3" s="387">
        <v>0.05</v>
      </c>
    </row>
    <row r="4" spans="1:4" x14ac:dyDescent="0.35">
      <c r="A4" t="s">
        <v>31</v>
      </c>
      <c r="B4" s="100">
        <v>15</v>
      </c>
    </row>
    <row r="5" spans="1:4" x14ac:dyDescent="0.35">
      <c r="A5" t="s">
        <v>577</v>
      </c>
      <c r="B5" s="100">
        <v>-0.67442000000000002</v>
      </c>
    </row>
    <row r="6" spans="1:4" x14ac:dyDescent="0.35">
      <c r="A6" t="s">
        <v>36</v>
      </c>
      <c r="B6" s="100">
        <f>FISHER(B5)</f>
        <v>-0.81880695422862615</v>
      </c>
      <c r="D6" t="e" cm="1">
        <f t="array" aca="1" ref="D6" ca="1">FTEXT(B6)</f>
        <v>#NAME?</v>
      </c>
    </row>
    <row r="7" spans="1:4" x14ac:dyDescent="0.35">
      <c r="A7" t="s">
        <v>185</v>
      </c>
      <c r="B7" s="100">
        <f>NORMSINV(1-B3/2)</f>
        <v>1.9599639845400536</v>
      </c>
      <c r="D7" t="e" cm="1">
        <f t="array" aca="1" ref="D7" ca="1">FTEXT(B7)</f>
        <v>#NAME?</v>
      </c>
    </row>
    <row r="8" spans="1:4" x14ac:dyDescent="0.35">
      <c r="A8" t="s">
        <v>1010</v>
      </c>
      <c r="B8" s="100">
        <f>B6-B7*SQRT((1+B5^2/2)/(B4-3))</f>
        <v>-1.4456434476148319</v>
      </c>
      <c r="D8" t="e" cm="1">
        <f t="array" aca="1" ref="D8" ca="1">FTEXT(B8)</f>
        <v>#NAME?</v>
      </c>
    </row>
    <row r="9" spans="1:4" x14ac:dyDescent="0.35">
      <c r="A9" t="s">
        <v>1011</v>
      </c>
      <c r="B9" s="100">
        <f>B6+B7*SQRT((1+B5^2/2)/(B4-3))</f>
        <v>-0.19197046084242053</v>
      </c>
      <c r="D9" t="e" cm="1">
        <f t="array" aca="1" ref="D9" ca="1">FTEXT(B9)</f>
        <v>#NAME?</v>
      </c>
    </row>
    <row r="10" spans="1:4" x14ac:dyDescent="0.35">
      <c r="A10" t="s">
        <v>1012</v>
      </c>
      <c r="B10" s="100">
        <f>FISHERINV(B8)</f>
        <v>-0.89482806498463008</v>
      </c>
      <c r="D10" t="e" cm="1">
        <f t="array" aca="1" ref="D10" ca="1">FTEXT(B10)</f>
        <v>#NAME?</v>
      </c>
    </row>
    <row r="11" spans="1:4" x14ac:dyDescent="0.35">
      <c r="A11" t="s">
        <v>1013</v>
      </c>
      <c r="B11" s="94">
        <f>FISHERINV(B9)</f>
        <v>-0.18964650518152767</v>
      </c>
      <c r="D11" t="e" cm="1">
        <f t="array" aca="1" ref="D11" ca="1">FTEXT(B11)</f>
        <v>#NAME?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59"/>
  <dimension ref="A1:L19"/>
  <sheetViews>
    <sheetView workbookViewId="0"/>
  </sheetViews>
  <sheetFormatPr defaultRowHeight="14.5" x14ac:dyDescent="0.35"/>
  <cols>
    <col min="1" max="2" width="9.7265625" customWidth="1"/>
    <col min="3" max="3" width="6.1796875" customWidth="1"/>
    <col min="4" max="5" width="10.7265625" customWidth="1"/>
    <col min="6" max="6" width="10" customWidth="1"/>
    <col min="7" max="7" width="6" customWidth="1"/>
    <col min="8" max="8" width="11.7265625" customWidth="1"/>
    <col min="10" max="10" width="4.453125" customWidth="1"/>
    <col min="11" max="11" width="26.453125" customWidth="1"/>
  </cols>
  <sheetData>
    <row r="1" spans="1:12" x14ac:dyDescent="0.35">
      <c r="A1" s="1" t="s">
        <v>211</v>
      </c>
    </row>
    <row r="3" spans="1:12" x14ac:dyDescent="0.35">
      <c r="A3" s="136" t="s">
        <v>239</v>
      </c>
      <c r="B3" s="138" t="s">
        <v>210</v>
      </c>
      <c r="D3" s="175" t="s">
        <v>239</v>
      </c>
      <c r="E3" s="176" t="s">
        <v>210</v>
      </c>
      <c r="F3" s="114" t="s">
        <v>238</v>
      </c>
      <c r="H3" t="s">
        <v>366</v>
      </c>
    </row>
    <row r="4" spans="1:12" x14ac:dyDescent="0.35">
      <c r="A4" s="162">
        <v>80</v>
      </c>
      <c r="B4" s="163">
        <v>5</v>
      </c>
      <c r="D4" s="142" t="e">
        <f t="array" aca="1" ref="D4:E18" ca="1">QSORTRows(A4:B18)</f>
        <v>#NAME?</v>
      </c>
      <c r="E4" s="143" t="e">
        <f ca="1"/>
        <v>#NAME?</v>
      </c>
      <c r="F4" s="105">
        <f ca="1">COUNTIF(E5:E$19,"&lt;"&amp;E4)</f>
        <v>14</v>
      </c>
    </row>
    <row r="5" spans="1:12" x14ac:dyDescent="0.35">
      <c r="A5" s="103">
        <v>78</v>
      </c>
      <c r="B5" s="97">
        <v>23</v>
      </c>
      <c r="D5" s="21" t="e">
        <f ca="1"/>
        <v>#NAME?</v>
      </c>
      <c r="E5" s="204" t="e">
        <f ca="1"/>
        <v>#NAME?</v>
      </c>
      <c r="F5" s="105">
        <f ca="1">COUNTIF(E6:E$19,"&lt;"&amp;E5)</f>
        <v>13</v>
      </c>
      <c r="H5" t="s">
        <v>88</v>
      </c>
      <c r="I5" s="185">
        <v>0.05</v>
      </c>
      <c r="L5" s="25"/>
    </row>
    <row r="6" spans="1:12" x14ac:dyDescent="0.35">
      <c r="A6" s="103">
        <v>60</v>
      </c>
      <c r="B6" s="97">
        <v>25</v>
      </c>
      <c r="D6" s="21" t="e">
        <f ca="1"/>
        <v>#NAME?</v>
      </c>
      <c r="E6" s="204" t="e">
        <f ca="1"/>
        <v>#NAME?</v>
      </c>
      <c r="F6" s="105">
        <f ca="1">COUNTIF(E7:E$19,"&lt;"&amp;E6)</f>
        <v>12</v>
      </c>
      <c r="H6" t="s">
        <v>31</v>
      </c>
      <c r="I6" s="100">
        <f ca="1">COUNT(D4:D18)</f>
        <v>0</v>
      </c>
      <c r="K6" s="7" t="e" cm="1">
        <f t="array" aca="1" ref="K6" ca="1">FTEXT(I6)</f>
        <v>#NAME?</v>
      </c>
    </row>
    <row r="7" spans="1:12" x14ac:dyDescent="0.35">
      <c r="A7" s="103">
        <v>53</v>
      </c>
      <c r="B7" s="97">
        <v>48</v>
      </c>
      <c r="D7" s="21" t="e">
        <f ca="1"/>
        <v>#NAME?</v>
      </c>
      <c r="E7" s="204" t="e">
        <f ca="1"/>
        <v>#NAME?</v>
      </c>
      <c r="F7" s="105">
        <f ca="1">COUNTIF(E8:E$19,"&lt;"&amp;E7)</f>
        <v>11</v>
      </c>
      <c r="H7" t="s">
        <v>212</v>
      </c>
      <c r="I7" s="100" t="e">
        <f ca="1">COMBIN(I6,2)</f>
        <v>#NUM!</v>
      </c>
      <c r="K7" s="7" t="e" cm="1">
        <f t="array" aca="1" ref="K7" ca="1">FTEXT(I7)</f>
        <v>#NAME?</v>
      </c>
    </row>
    <row r="8" spans="1:12" x14ac:dyDescent="0.35">
      <c r="A8" s="103">
        <v>85</v>
      </c>
      <c r="B8" s="177">
        <v>17</v>
      </c>
      <c r="D8" s="21" t="e">
        <f ca="1"/>
        <v>#NAME?</v>
      </c>
      <c r="E8" s="204" t="e">
        <f ca="1"/>
        <v>#NAME?</v>
      </c>
      <c r="F8" s="105">
        <f ca="1">COUNTIF(E9:E$19,"&lt;"&amp;E8)</f>
        <v>10</v>
      </c>
      <c r="H8" t="s">
        <v>100</v>
      </c>
      <c r="I8" s="100">
        <f ca="1">F19</f>
        <v>105</v>
      </c>
      <c r="K8" s="7" t="e" cm="1">
        <f t="array" aca="1" ref="K8" ca="1">FTEXT(I8)</f>
        <v>#NAME?</v>
      </c>
    </row>
    <row r="9" spans="1:12" x14ac:dyDescent="0.35">
      <c r="A9" s="103">
        <v>84</v>
      </c>
      <c r="B9" s="177">
        <v>8</v>
      </c>
      <c r="D9" s="21" t="e">
        <f ca="1"/>
        <v>#NAME?</v>
      </c>
      <c r="E9" s="204" t="e">
        <f ca="1"/>
        <v>#NAME?</v>
      </c>
      <c r="F9" s="105">
        <f ca="1">COUNTIF(E10:E$19,"&lt;"&amp;E9)</f>
        <v>9</v>
      </c>
      <c r="H9" t="s">
        <v>99</v>
      </c>
      <c r="I9" s="100" t="e">
        <f ca="1">I7-I8</f>
        <v>#NUM!</v>
      </c>
      <c r="K9" s="7" t="e" cm="1">
        <f t="array" aca="1" ref="K9" ca="1">FTEXT(I9)</f>
        <v>#NAME?</v>
      </c>
    </row>
    <row r="10" spans="1:12" x14ac:dyDescent="0.35">
      <c r="A10" s="103">
        <v>73</v>
      </c>
      <c r="B10" s="97">
        <v>4</v>
      </c>
      <c r="D10" s="21" t="e">
        <f ca="1"/>
        <v>#NAME?</v>
      </c>
      <c r="E10" s="204" t="e">
        <f ca="1"/>
        <v>#NAME?</v>
      </c>
      <c r="F10" s="105">
        <f ca="1">COUNTIF(E11:E$19,"&lt;"&amp;E10)</f>
        <v>8</v>
      </c>
      <c r="H10" t="s">
        <v>213</v>
      </c>
      <c r="I10" s="100" t="e">
        <f ca="1">(I9-I8)/I7</f>
        <v>#NUM!</v>
      </c>
      <c r="K10" s="7" t="e" cm="1">
        <f t="array" aca="1" ref="K10" ca="1">FTEXT(I10)</f>
        <v>#NAME?</v>
      </c>
    </row>
    <row r="11" spans="1:12" x14ac:dyDescent="0.35">
      <c r="A11" s="103">
        <v>79</v>
      </c>
      <c r="B11" s="97">
        <v>26</v>
      </c>
      <c r="D11" s="21" t="e">
        <f ca="1"/>
        <v>#NAME?</v>
      </c>
      <c r="E11" s="204" t="e">
        <f ca="1"/>
        <v>#NAME?</v>
      </c>
      <c r="F11" s="105">
        <f ca="1">COUNTIF(E12:E$19,"&lt;"&amp;E11)</f>
        <v>7</v>
      </c>
      <c r="H11" t="s">
        <v>448</v>
      </c>
      <c r="I11" s="100" t="e" cm="1">
        <f t="array" aca="1" ref="I11" ca="1">TauCRIT(I6,I5,2)</f>
        <v>#NAME?</v>
      </c>
      <c r="K11" s="7" t="e" cm="1">
        <f t="array" aca="1" ref="K11" ca="1">FTEXT(I11)</f>
        <v>#NAME?</v>
      </c>
    </row>
    <row r="12" spans="1:12" x14ac:dyDescent="0.35">
      <c r="A12" s="103">
        <v>81</v>
      </c>
      <c r="B12" s="97">
        <v>11</v>
      </c>
      <c r="D12" s="21" t="e">
        <f ca="1"/>
        <v>#NAME?</v>
      </c>
      <c r="E12" s="204" t="e">
        <f ca="1"/>
        <v>#NAME?</v>
      </c>
      <c r="F12" s="105">
        <f ca="1">COUNTIF(E13:E$19,"&lt;"&amp;E12)</f>
        <v>6</v>
      </c>
      <c r="H12" t="s">
        <v>270</v>
      </c>
      <c r="I12" s="92" t="e">
        <f ca="1">IF(ABS(I10)&gt;I11,"yes","no")</f>
        <v>#NUM!</v>
      </c>
      <c r="K12" s="7" t="e" cm="1">
        <f t="array" aca="1" ref="K12" ca="1">FTEXT(I12)</f>
        <v>#NAME?</v>
      </c>
    </row>
    <row r="13" spans="1:12" x14ac:dyDescent="0.35">
      <c r="A13" s="103">
        <v>75</v>
      </c>
      <c r="B13" s="97">
        <v>19</v>
      </c>
      <c r="D13" s="21" t="e">
        <f ca="1"/>
        <v>#NAME?</v>
      </c>
      <c r="E13" s="204" t="e">
        <f ca="1"/>
        <v>#NAME?</v>
      </c>
      <c r="F13" s="105">
        <f ca="1">COUNTIF(E14:E$19,"&lt;"&amp;E13)</f>
        <v>5</v>
      </c>
    </row>
    <row r="14" spans="1:12" x14ac:dyDescent="0.35">
      <c r="A14" s="103">
        <v>68</v>
      </c>
      <c r="B14" s="97">
        <v>14</v>
      </c>
      <c r="D14" s="21" t="e">
        <f ca="1"/>
        <v>#NAME?</v>
      </c>
      <c r="E14" s="204" t="e">
        <f ca="1"/>
        <v>#NAME?</v>
      </c>
      <c r="F14" s="105">
        <f ca="1">COUNTIF(E15:E$19,"&lt;"&amp;E14)</f>
        <v>4</v>
      </c>
    </row>
    <row r="15" spans="1:12" x14ac:dyDescent="0.35">
      <c r="A15" s="103">
        <v>72</v>
      </c>
      <c r="B15" s="97">
        <v>35</v>
      </c>
      <c r="D15" s="21" t="e">
        <f ca="1"/>
        <v>#NAME?</v>
      </c>
      <c r="E15" s="204" t="e">
        <f ca="1"/>
        <v>#NAME?</v>
      </c>
      <c r="F15" s="105">
        <f ca="1">COUNTIF(E16:E$19,"&lt;"&amp;E15)</f>
        <v>3</v>
      </c>
    </row>
    <row r="16" spans="1:12" x14ac:dyDescent="0.35">
      <c r="A16" s="103">
        <v>58</v>
      </c>
      <c r="B16" s="97">
        <v>29</v>
      </c>
      <c r="D16" s="21" t="e">
        <f ca="1"/>
        <v>#NAME?</v>
      </c>
      <c r="E16" s="74" t="e">
        <f ca="1"/>
        <v>#NAME?</v>
      </c>
      <c r="F16" s="105">
        <f ca="1">COUNTIF(E17:E$19,"&lt;"&amp;E16)</f>
        <v>2</v>
      </c>
    </row>
    <row r="17" spans="1:6" x14ac:dyDescent="0.35">
      <c r="A17" s="103">
        <v>92</v>
      </c>
      <c r="B17" s="97">
        <v>3</v>
      </c>
      <c r="D17" s="21" t="e">
        <f ca="1"/>
        <v>#NAME?</v>
      </c>
      <c r="E17" s="74" t="e">
        <f ca="1"/>
        <v>#NAME?</v>
      </c>
      <c r="F17" s="105">
        <f ca="1">COUNTIF(E18:E$19,"&lt;"&amp;E17)</f>
        <v>1</v>
      </c>
    </row>
    <row r="18" spans="1:6" x14ac:dyDescent="0.35">
      <c r="A18" s="95">
        <v>65</v>
      </c>
      <c r="B18" s="90">
        <v>24</v>
      </c>
      <c r="D18" s="75" t="e">
        <f ca="1"/>
        <v>#NAME?</v>
      </c>
      <c r="E18" s="205" t="e">
        <f ca="1"/>
        <v>#NAME?</v>
      </c>
      <c r="F18" s="104">
        <f ca="1">COUNTIF(E19:E$19,"&lt;"&amp;E18)</f>
        <v>0</v>
      </c>
    </row>
    <row r="19" spans="1:6" x14ac:dyDescent="0.35">
      <c r="F19" s="203">
        <f ca="1">SUM(F4:F18)</f>
        <v>105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93"/>
  <dimension ref="A1:W20"/>
  <sheetViews>
    <sheetView workbookViewId="0"/>
  </sheetViews>
  <sheetFormatPr defaultRowHeight="14.5" x14ac:dyDescent="0.35"/>
  <cols>
    <col min="1" max="2" width="9.7265625" customWidth="1"/>
    <col min="3" max="3" width="4.453125" customWidth="1"/>
    <col min="4" max="5" width="10.7265625" customWidth="1"/>
    <col min="6" max="6" width="10" customWidth="1"/>
    <col min="7" max="7" width="4.1796875" customWidth="1"/>
    <col min="8" max="8" width="11.7265625" customWidth="1"/>
    <col min="10" max="10" width="2.1796875" customWidth="1"/>
    <col min="11" max="11" width="30" customWidth="1"/>
    <col min="18" max="19" width="9.81640625" customWidth="1"/>
    <col min="20" max="21" width="10.1796875" customWidth="1"/>
    <col min="22" max="22" width="9.54296875" customWidth="1"/>
  </cols>
  <sheetData>
    <row r="1" spans="1:23" x14ac:dyDescent="0.35">
      <c r="A1" s="1" t="s">
        <v>211</v>
      </c>
    </row>
    <row r="2" spans="1:23" x14ac:dyDescent="0.35">
      <c r="M2" t="s">
        <v>436</v>
      </c>
      <c r="N2" t="s">
        <v>349</v>
      </c>
      <c r="P2" t="s">
        <v>436</v>
      </c>
      <c r="Q2" t="s">
        <v>348</v>
      </c>
      <c r="S2" t="s">
        <v>439</v>
      </c>
      <c r="V2" t="s">
        <v>439</v>
      </c>
    </row>
    <row r="3" spans="1:23" x14ac:dyDescent="0.35">
      <c r="A3" s="136" t="s">
        <v>239</v>
      </c>
      <c r="B3" s="138" t="s">
        <v>210</v>
      </c>
      <c r="D3" s="175" t="s">
        <v>239</v>
      </c>
      <c r="E3" s="176" t="s">
        <v>210</v>
      </c>
      <c r="F3" s="114" t="s">
        <v>238</v>
      </c>
    </row>
    <row r="4" spans="1:23" x14ac:dyDescent="0.35">
      <c r="A4" s="162">
        <v>80</v>
      </c>
      <c r="B4" s="163">
        <v>5</v>
      </c>
      <c r="D4" s="142" t="e">
        <f t="array" aca="1" ref="D4:E18" ca="1">QSORTRows(A4:B18)</f>
        <v>#NAME?</v>
      </c>
      <c r="E4" s="143" t="e">
        <f ca="1"/>
        <v>#NAME?</v>
      </c>
      <c r="F4" s="105">
        <f ca="1">COUNTIF(E5:E$19,"&lt;"&amp;E4)</f>
        <v>14</v>
      </c>
      <c r="H4" t="s">
        <v>31</v>
      </c>
      <c r="I4" s="125">
        <f ca="1">COUNT(D4:D18)</f>
        <v>0</v>
      </c>
      <c r="K4" s="7" t="e" cm="1">
        <f t="array" aca="1" ref="K4" ca="1">FTEXT(I4)</f>
        <v>#NAME?</v>
      </c>
      <c r="M4" t="e">
        <f t="array" aca="1" ref="M4:N10" ca="1">KCORREL(A4:A18,B4:B18,TRUE,,,FALSE)</f>
        <v>#NAME?</v>
      </c>
      <c r="N4" s="15" t="e">
        <f ca="1"/>
        <v>#NAME?</v>
      </c>
      <c r="O4" s="4"/>
      <c r="P4" t="e">
        <f t="array" aca="1" ref="P4:Q10" ca="1">KCORREL(A4:A18,B4:B18,TRUE,1,,FALSE)</f>
        <v>#NAME?</v>
      </c>
      <c r="Q4" s="15" t="e">
        <f ca="1"/>
        <v>#NAME?</v>
      </c>
      <c r="S4" t="s">
        <v>203</v>
      </c>
      <c r="T4" s="199">
        <f>CORREL(A4:A18,B4:B18)</f>
        <v>-0.72094083207588544</v>
      </c>
      <c r="V4" t="s">
        <v>203</v>
      </c>
      <c r="W4" s="199">
        <f>CORREL(A4:A18,B4:B18)</f>
        <v>-0.72094083207588544</v>
      </c>
    </row>
    <row r="5" spans="1:23" x14ac:dyDescent="0.35">
      <c r="A5" s="103">
        <v>78</v>
      </c>
      <c r="B5" s="97">
        <v>23</v>
      </c>
      <c r="D5" s="21" t="e">
        <f ca="1"/>
        <v>#NAME?</v>
      </c>
      <c r="E5" s="170" t="e">
        <f ca="1"/>
        <v>#NAME?</v>
      </c>
      <c r="F5" s="105">
        <f ca="1">COUNTIF(E6:E$19,"&lt;"&amp;E5)</f>
        <v>13</v>
      </c>
      <c r="H5" t="s">
        <v>212</v>
      </c>
      <c r="I5" s="100" t="e">
        <f ca="1">COMBIN(I4,2)</f>
        <v>#NUM!</v>
      </c>
      <c r="K5" s="7" t="e" cm="1">
        <f t="array" aca="1" ref="K5" ca="1">FTEXT(I5)</f>
        <v>#NAME?</v>
      </c>
      <c r="M5" t="e">
        <f ca="1"/>
        <v>#NAME?</v>
      </c>
      <c r="N5" s="100" t="e">
        <f ca="1"/>
        <v>#NAME?</v>
      </c>
      <c r="O5" s="4"/>
      <c r="P5" t="e">
        <f ca="1"/>
        <v>#NAME?</v>
      </c>
      <c r="Q5" s="100" t="e">
        <f ca="1"/>
        <v>#NAME?</v>
      </c>
      <c r="S5" t="s">
        <v>204</v>
      </c>
      <c r="T5" s="147" t="e" cm="1">
        <f t="array" aca="1" ref="T5" ca="1">SCORREL(A4:A18,B4:B18)</f>
        <v>#NAME?</v>
      </c>
      <c r="V5" t="s">
        <v>204</v>
      </c>
      <c r="W5" s="147" t="e" cm="1">
        <f t="array" aca="1" ref="W5" ca="1">SCORREL(A4:A18,B4:B18)</f>
        <v>#NAME?</v>
      </c>
    </row>
    <row r="6" spans="1:23" x14ac:dyDescent="0.35">
      <c r="A6" s="103">
        <v>60</v>
      </c>
      <c r="B6" s="97">
        <v>25</v>
      </c>
      <c r="D6" s="21" t="e">
        <f ca="1"/>
        <v>#NAME?</v>
      </c>
      <c r="E6" s="170" t="e">
        <f ca="1"/>
        <v>#NAME?</v>
      </c>
      <c r="F6" s="105">
        <f ca="1">COUNTIF(E7:E$19,"&lt;"&amp;E6)</f>
        <v>12</v>
      </c>
      <c r="H6" t="s">
        <v>100</v>
      </c>
      <c r="I6" s="100">
        <f ca="1">F19</f>
        <v>105</v>
      </c>
      <c r="K6" s="7" t="e" cm="1">
        <f t="array" aca="1" ref="K6" ca="1">FTEXT(I6)</f>
        <v>#NAME?</v>
      </c>
      <c r="M6" t="e">
        <f ca="1"/>
        <v>#NAME?</v>
      </c>
      <c r="N6" s="100" t="e">
        <f ca="1"/>
        <v>#NAME?</v>
      </c>
      <c r="O6" s="4"/>
      <c r="P6" t="e">
        <f ca="1"/>
        <v>#NAME?</v>
      </c>
      <c r="Q6" s="100" t="e">
        <f ca="1"/>
        <v>#NAME?</v>
      </c>
      <c r="S6" t="s">
        <v>440</v>
      </c>
      <c r="T6" s="155" t="e">
        <f t="array" aca="1" ref="T6" ca="1">KCORREL(A4:A18,B4:B18,,,,FALSE)</f>
        <v>#NAME?</v>
      </c>
      <c r="V6" t="s">
        <v>440</v>
      </c>
      <c r="W6" s="155" t="e" cm="1">
        <f t="array" aca="1" ref="W6" ca="1">KCORREL(A4:A18,B4:B18,,,,FALSE)</f>
        <v>#NAME?</v>
      </c>
    </row>
    <row r="7" spans="1:23" x14ac:dyDescent="0.35">
      <c r="A7" s="103">
        <v>53</v>
      </c>
      <c r="B7" s="97">
        <v>48</v>
      </c>
      <c r="D7" s="21" t="e">
        <f ca="1"/>
        <v>#NAME?</v>
      </c>
      <c r="E7" s="170" t="e">
        <f ca="1"/>
        <v>#NAME?</v>
      </c>
      <c r="F7" s="105">
        <f ca="1">COUNTIF(E8:E$19,"&lt;"&amp;E7)</f>
        <v>11</v>
      </c>
      <c r="H7" t="s">
        <v>99</v>
      </c>
      <c r="I7" s="100" t="e">
        <f ca="1">I5-I6</f>
        <v>#NUM!</v>
      </c>
      <c r="K7" s="7" t="e" cm="1">
        <f t="array" aca="1" ref="K7" ca="1">FTEXT(I7)</f>
        <v>#NAME?</v>
      </c>
      <c r="M7" t="e">
        <f ca="1"/>
        <v>#NAME?</v>
      </c>
      <c r="N7" s="100" t="e">
        <f ca="1"/>
        <v>#NAME?</v>
      </c>
      <c r="O7" s="4"/>
      <c r="P7" t="e">
        <f ca="1"/>
        <v>#NAME?</v>
      </c>
      <c r="Q7" s="100" t="e">
        <f ca="1"/>
        <v>#NAME?</v>
      </c>
    </row>
    <row r="8" spans="1:23" x14ac:dyDescent="0.35">
      <c r="A8" s="103">
        <v>85</v>
      </c>
      <c r="B8" s="177">
        <v>17</v>
      </c>
      <c r="D8" s="21" t="e">
        <f ca="1"/>
        <v>#NAME?</v>
      </c>
      <c r="E8" s="170" t="e">
        <f ca="1"/>
        <v>#NAME?</v>
      </c>
      <c r="F8" s="105">
        <f ca="1">COUNTIF(E9:E$19,"&lt;"&amp;E8)</f>
        <v>10</v>
      </c>
      <c r="H8" t="s">
        <v>213</v>
      </c>
      <c r="I8" s="100" t="e">
        <f ca="1">(I7-I6)/I5</f>
        <v>#NUM!</v>
      </c>
      <c r="K8" s="7" t="e" cm="1">
        <f t="array" aca="1" ref="K8" ca="1">FTEXT(I8)</f>
        <v>#NAME?</v>
      </c>
      <c r="M8" t="e">
        <f ca="1"/>
        <v>#NAME?</v>
      </c>
      <c r="N8" s="100" t="e">
        <f ca="1"/>
        <v>#NAME?</v>
      </c>
      <c r="O8" s="4"/>
      <c r="P8" t="e">
        <f ca="1"/>
        <v>#NAME?</v>
      </c>
      <c r="Q8" s="100" t="e">
        <f ca="1"/>
        <v>#NAME?</v>
      </c>
      <c r="S8" t="s">
        <v>447</v>
      </c>
      <c r="V8" t="s">
        <v>447</v>
      </c>
    </row>
    <row r="9" spans="1:23" x14ac:dyDescent="0.35">
      <c r="A9" s="103">
        <v>84</v>
      </c>
      <c r="B9" s="177">
        <v>8</v>
      </c>
      <c r="D9" s="21" t="e">
        <f ca="1"/>
        <v>#NAME?</v>
      </c>
      <c r="E9" s="170" t="e">
        <f ca="1"/>
        <v>#NAME?</v>
      </c>
      <c r="F9" s="105">
        <f ca="1">COUNTIF(E10:E$19,"&lt;"&amp;E9)</f>
        <v>9</v>
      </c>
      <c r="H9" t="s">
        <v>214</v>
      </c>
      <c r="I9" s="94" t="e">
        <f ca="1">SQRT((2*I4+5)/I5)/3</f>
        <v>#NUM!</v>
      </c>
      <c r="K9" s="7" t="e" cm="1">
        <f t="array" aca="1" ref="K9" ca="1">FTEXT(I9)</f>
        <v>#NAME?</v>
      </c>
      <c r="M9" t="e">
        <f ca="1"/>
        <v>#NAME?</v>
      </c>
      <c r="N9" s="100" t="e">
        <f ca="1"/>
        <v>#NAME?</v>
      </c>
      <c r="O9" s="4"/>
      <c r="P9" t="e">
        <f ca="1"/>
        <v>#NAME?</v>
      </c>
      <c r="Q9" s="100" t="e">
        <f ca="1"/>
        <v>#NAME?</v>
      </c>
    </row>
    <row r="10" spans="1:23" x14ac:dyDescent="0.35">
      <c r="A10" s="103">
        <v>73</v>
      </c>
      <c r="B10" s="97">
        <v>4</v>
      </c>
      <c r="D10" s="21" t="e">
        <f ca="1"/>
        <v>#NAME?</v>
      </c>
      <c r="E10" s="170" t="e">
        <f ca="1"/>
        <v>#NAME?</v>
      </c>
      <c r="F10" s="105">
        <f ca="1">COUNTIF(E11:E$19,"&lt;"&amp;E10)</f>
        <v>8</v>
      </c>
      <c r="K10" s="7"/>
      <c r="M10" t="e">
        <f ca="1"/>
        <v>#NAME?</v>
      </c>
      <c r="N10" s="94" t="e">
        <f ca="1"/>
        <v>#NAME?</v>
      </c>
      <c r="O10" s="4"/>
      <c r="P10" t="e">
        <f ca="1"/>
        <v>#NAME?</v>
      </c>
      <c r="Q10" s="94" t="e">
        <f ca="1"/>
        <v>#NAME?</v>
      </c>
      <c r="S10" t="s">
        <v>35</v>
      </c>
      <c r="T10" s="199">
        <v>0.05</v>
      </c>
      <c r="V10" t="s">
        <v>35</v>
      </c>
      <c r="W10" s="199">
        <v>0.05</v>
      </c>
    </row>
    <row r="11" spans="1:23" x14ac:dyDescent="0.35">
      <c r="A11" s="103">
        <v>79</v>
      </c>
      <c r="B11" s="97">
        <v>26</v>
      </c>
      <c r="D11" s="21" t="e">
        <f ca="1"/>
        <v>#NAME?</v>
      </c>
      <c r="E11" s="170" t="e">
        <f ca="1"/>
        <v>#NAME?</v>
      </c>
      <c r="F11" s="105">
        <f ca="1">COUNTIF(E12:E$19,"&lt;"&amp;E11)</f>
        <v>7</v>
      </c>
      <c r="H11" s="17" t="s">
        <v>44</v>
      </c>
      <c r="I11" s="185">
        <v>0.05</v>
      </c>
      <c r="S11" t="s">
        <v>442</v>
      </c>
      <c r="T11" s="155">
        <v>1</v>
      </c>
      <c r="V11" t="s">
        <v>442</v>
      </c>
      <c r="W11" s="155">
        <v>2</v>
      </c>
    </row>
    <row r="12" spans="1:23" x14ac:dyDescent="0.35">
      <c r="A12" s="103">
        <v>81</v>
      </c>
      <c r="B12" s="97">
        <v>11</v>
      </c>
      <c r="D12" s="21" t="e">
        <f ca="1"/>
        <v>#NAME?</v>
      </c>
      <c r="E12" s="170" t="e">
        <f ca="1"/>
        <v>#NAME?</v>
      </c>
      <c r="F12" s="105">
        <f ca="1">COUNTIF(E13:E$19,"&lt;"&amp;E12)</f>
        <v>6</v>
      </c>
      <c r="H12" t="s">
        <v>36</v>
      </c>
      <c r="I12" s="100" t="e">
        <f ca="1">I8/I9</f>
        <v>#NUM!</v>
      </c>
      <c r="K12" s="7" t="e" cm="1">
        <f t="array" aca="1" ref="K12" ca="1">FTEXT(I12)</f>
        <v>#NAME?</v>
      </c>
    </row>
    <row r="13" spans="1:23" x14ac:dyDescent="0.35">
      <c r="A13" s="103">
        <v>75</v>
      </c>
      <c r="B13" s="97">
        <v>19</v>
      </c>
      <c r="D13" s="21" t="e">
        <f ca="1"/>
        <v>#NAME?</v>
      </c>
      <c r="E13" s="170" t="e">
        <f ca="1"/>
        <v>#NAME?</v>
      </c>
      <c r="F13" s="105">
        <f ca="1">COUNTIF(E14:E$19,"&lt;"&amp;E13)</f>
        <v>5</v>
      </c>
      <c r="H13" t="s">
        <v>185</v>
      </c>
      <c r="I13" s="100">
        <f>NORMSINV(1-I11/2)</f>
        <v>1.9599639845400536</v>
      </c>
      <c r="K13" s="7" t="s">
        <v>498</v>
      </c>
      <c r="S13" t="e">
        <f t="array" aca="1" ref="S13:T19" ca="1">KCORREL(A4:A18,B4:B18,TRUE,T11,T10,FALSE)</f>
        <v>#NAME?</v>
      </c>
      <c r="T13" s="199" t="e">
        <f ca="1"/>
        <v>#NAME?</v>
      </c>
      <c r="V13" t="e">
        <f t="array" aca="1" ref="V13:W19" ca="1">KCORREL(A4:A18,B4:B18,TRUE,W11,W10,FALSE)</f>
        <v>#NAME?</v>
      </c>
      <c r="W13" s="199" t="e">
        <f ca="1"/>
        <v>#NAME?</v>
      </c>
    </row>
    <row r="14" spans="1:23" x14ac:dyDescent="0.35">
      <c r="A14" s="103">
        <v>68</v>
      </c>
      <c r="B14" s="97">
        <v>14</v>
      </c>
      <c r="D14" s="21" t="e">
        <f ca="1"/>
        <v>#NAME?</v>
      </c>
      <c r="E14" s="170" t="e">
        <f ca="1"/>
        <v>#NAME?</v>
      </c>
      <c r="F14" s="105">
        <f ca="1">COUNTIF(E15:E$19,"&lt;"&amp;E14)</f>
        <v>4</v>
      </c>
      <c r="H14" t="s">
        <v>59</v>
      </c>
      <c r="I14" s="100" t="e">
        <f ca="1">2*NORMSDIST(-ABS(I12))</f>
        <v>#NUM!</v>
      </c>
      <c r="K14" s="7" t="s">
        <v>499</v>
      </c>
      <c r="O14" s="4"/>
      <c r="P14" s="4"/>
      <c r="Q14" s="4"/>
      <c r="S14" t="e">
        <f ca="1"/>
        <v>#NAME?</v>
      </c>
      <c r="T14" s="147" t="e">
        <f ca="1"/>
        <v>#NAME?</v>
      </c>
      <c r="V14" t="e">
        <f ca="1"/>
        <v>#NAME?</v>
      </c>
      <c r="W14" s="147" t="e">
        <f ca="1"/>
        <v>#NAME?</v>
      </c>
    </row>
    <row r="15" spans="1:23" x14ac:dyDescent="0.35">
      <c r="A15" s="103">
        <v>72</v>
      </c>
      <c r="B15" s="97">
        <v>35</v>
      </c>
      <c r="D15" s="21" t="e">
        <f ca="1"/>
        <v>#NAME?</v>
      </c>
      <c r="E15" s="170" t="e">
        <f ca="1"/>
        <v>#NAME?</v>
      </c>
      <c r="F15" s="105">
        <f ca="1">COUNTIF(E16:E$19,"&lt;"&amp;E15)</f>
        <v>3</v>
      </c>
      <c r="H15" t="s">
        <v>270</v>
      </c>
      <c r="I15" s="92" t="e">
        <f ca="1">IF(I14&lt;I11,"yes","no")</f>
        <v>#NUM!</v>
      </c>
      <c r="K15" s="7" t="e" cm="1">
        <f t="array" aca="1" ref="K15" ca="1">FTEXT(I15)</f>
        <v>#NAME?</v>
      </c>
      <c r="O15" s="4"/>
      <c r="P15" s="4"/>
      <c r="Q15" s="4"/>
      <c r="S15" t="e">
        <f ca="1"/>
        <v>#NAME?</v>
      </c>
      <c r="T15" s="147" t="e">
        <f ca="1"/>
        <v>#NAME?</v>
      </c>
      <c r="V15" t="e">
        <f ca="1"/>
        <v>#NAME?</v>
      </c>
      <c r="W15" s="147" t="e">
        <f ca="1"/>
        <v>#NAME?</v>
      </c>
    </row>
    <row r="16" spans="1:23" x14ac:dyDescent="0.35">
      <c r="A16" s="103">
        <v>58</v>
      </c>
      <c r="B16" s="97">
        <v>29</v>
      </c>
      <c r="D16" s="21" t="e">
        <f ca="1"/>
        <v>#NAME?</v>
      </c>
      <c r="E16" s="74" t="e">
        <f ca="1"/>
        <v>#NAME?</v>
      </c>
      <c r="F16" s="105">
        <f ca="1">COUNTIF(E17:E$19,"&lt;"&amp;E16)</f>
        <v>2</v>
      </c>
      <c r="K16" s="7"/>
      <c r="O16" s="4"/>
      <c r="P16" s="4"/>
      <c r="Q16" s="4"/>
      <c r="S16" t="e">
        <f ca="1"/>
        <v>#NAME?</v>
      </c>
      <c r="T16" s="147" t="e">
        <f ca="1"/>
        <v>#NAME?</v>
      </c>
      <c r="V16" t="e">
        <f ca="1"/>
        <v>#NAME?</v>
      </c>
      <c r="W16" s="147" t="e">
        <f ca="1"/>
        <v>#NAME?</v>
      </c>
    </row>
    <row r="17" spans="1:23" x14ac:dyDescent="0.35">
      <c r="A17" s="103">
        <v>92</v>
      </c>
      <c r="B17" s="97">
        <v>3</v>
      </c>
      <c r="D17" s="21" t="e">
        <f ca="1"/>
        <v>#NAME?</v>
      </c>
      <c r="E17" s="74" t="e">
        <f ca="1"/>
        <v>#NAME?</v>
      </c>
      <c r="F17" s="105">
        <f ca="1">COUNTIF(E18:E$19,"&lt;"&amp;E17)</f>
        <v>1</v>
      </c>
      <c r="H17" t="s">
        <v>29</v>
      </c>
      <c r="I17" s="185" t="e">
        <f ca="1">I8-I9*I13</f>
        <v>#NUM!</v>
      </c>
      <c r="K17" s="7" t="e" cm="1">
        <f t="array" aca="1" ref="K17" ca="1">FTEXT(I17)</f>
        <v>#NAME?</v>
      </c>
      <c r="O17" s="4"/>
      <c r="P17" s="4"/>
      <c r="Q17" s="4"/>
      <c r="S17" t="e">
        <f ca="1"/>
        <v>#NAME?</v>
      </c>
      <c r="T17" s="147" t="e">
        <f ca="1"/>
        <v>#NAME?</v>
      </c>
      <c r="V17" t="e">
        <f ca="1"/>
        <v>#NAME?</v>
      </c>
      <c r="W17" s="147" t="e">
        <f ca="1"/>
        <v>#NAME?</v>
      </c>
    </row>
    <row r="18" spans="1:23" x14ac:dyDescent="0.35">
      <c r="A18" s="95">
        <v>65</v>
      </c>
      <c r="B18" s="90">
        <v>24</v>
      </c>
      <c r="D18" s="75" t="e">
        <f ca="1"/>
        <v>#NAME?</v>
      </c>
      <c r="E18" s="171" t="e">
        <f ca="1"/>
        <v>#NAME?</v>
      </c>
      <c r="F18" s="104">
        <f ca="1">COUNTIF(E19:E$19,"&lt;"&amp;E18)</f>
        <v>0</v>
      </c>
      <c r="H18" t="s">
        <v>30</v>
      </c>
      <c r="I18" s="94" t="e">
        <f ca="1">I8+I9*I13</f>
        <v>#NUM!</v>
      </c>
      <c r="K18" s="7" t="e" cm="1">
        <f t="array" aca="1" ref="K18" ca="1">FTEXT(I18)</f>
        <v>#NAME?</v>
      </c>
      <c r="O18" s="4"/>
      <c r="P18" s="4"/>
      <c r="Q18" s="4"/>
      <c r="S18" t="e">
        <f ca="1"/>
        <v>#NAME?</v>
      </c>
      <c r="T18" s="147" t="e">
        <f ca="1"/>
        <v>#NAME?</v>
      </c>
      <c r="V18" t="e">
        <f ca="1"/>
        <v>#NAME?</v>
      </c>
      <c r="W18" s="147" t="e">
        <f ca="1"/>
        <v>#NAME?</v>
      </c>
    </row>
    <row r="19" spans="1:23" x14ac:dyDescent="0.35">
      <c r="F19" s="169">
        <f ca="1">SUM(F4:F18)</f>
        <v>105</v>
      </c>
      <c r="O19" s="4"/>
      <c r="P19" s="4"/>
      <c r="Q19" s="4"/>
      <c r="S19" t="e">
        <f ca="1"/>
        <v>#NAME?</v>
      </c>
      <c r="T19" s="155" t="e">
        <f ca="1"/>
        <v>#NAME?</v>
      </c>
      <c r="V19" t="e">
        <f ca="1"/>
        <v>#NAME?</v>
      </c>
      <c r="W19" s="155" t="e">
        <f ca="1"/>
        <v>#NAME?</v>
      </c>
    </row>
    <row r="20" spans="1:23" x14ac:dyDescent="0.35">
      <c r="O20" s="4"/>
      <c r="P20" s="4"/>
      <c r="Q20" s="4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62"/>
  <dimension ref="A1:O19"/>
  <sheetViews>
    <sheetView workbookViewId="0"/>
  </sheetViews>
  <sheetFormatPr defaultRowHeight="14.5" x14ac:dyDescent="0.35"/>
  <cols>
    <col min="1" max="2" width="8.54296875" customWidth="1"/>
    <col min="3" max="3" width="4.1796875" customWidth="1"/>
    <col min="4" max="5" width="8.54296875" customWidth="1"/>
    <col min="6" max="7" width="7" customWidth="1"/>
    <col min="8" max="10" width="9.7265625" customWidth="1"/>
    <col min="11" max="11" width="3.81640625" customWidth="1"/>
    <col min="12" max="12" width="11.7265625" customWidth="1"/>
    <col min="14" max="14" width="2.1796875" customWidth="1"/>
    <col min="15" max="15" width="33.26953125" customWidth="1"/>
  </cols>
  <sheetData>
    <row r="1" spans="1:15" x14ac:dyDescent="0.35">
      <c r="A1" s="1" t="s">
        <v>211</v>
      </c>
    </row>
    <row r="3" spans="1:15" x14ac:dyDescent="0.35">
      <c r="A3" s="136" t="s">
        <v>239</v>
      </c>
      <c r="B3" s="138" t="s">
        <v>274</v>
      </c>
      <c r="D3" s="136" t="s">
        <v>239</v>
      </c>
      <c r="E3" s="138" t="s">
        <v>274</v>
      </c>
      <c r="F3" s="111" t="s">
        <v>100</v>
      </c>
      <c r="G3" s="148" t="s">
        <v>99</v>
      </c>
      <c r="H3" s="128" t="s">
        <v>242</v>
      </c>
      <c r="I3" s="69" t="s">
        <v>243</v>
      </c>
      <c r="J3" s="129" t="s">
        <v>244</v>
      </c>
    </row>
    <row r="4" spans="1:15" x14ac:dyDescent="0.35">
      <c r="A4" s="162">
        <v>78</v>
      </c>
      <c r="B4" s="163">
        <v>4</v>
      </c>
      <c r="D4" s="142" t="e">
        <f t="array" aca="1" ref="D4:E18" ca="1">QSORTRows(A4:B18,1)</f>
        <v>#NAME?</v>
      </c>
      <c r="E4" s="143" t="e">
        <f ca="1"/>
        <v>#NAME?</v>
      </c>
      <c r="F4" s="162">
        <f ca="1">COUNTIFS(E5:E$19,"&lt;"&amp;E4, D5:D$19,"&gt;" &amp; D4)</f>
        <v>14</v>
      </c>
      <c r="G4" s="163">
        <f ca="1">COUNTIFS(E5:E$19,"&gt;"&amp;E4, D5:D$19,"&gt;" &amp; D4)</f>
        <v>14</v>
      </c>
      <c r="H4" s="162">
        <f ca="1">COUNTIF(D5:D$19,"="&amp;D4)</f>
        <v>14</v>
      </c>
      <c r="I4" s="166">
        <f ca="1">COUNTIF(E5:E$19,"="&amp;E4)</f>
        <v>14</v>
      </c>
      <c r="J4" s="180">
        <f ca="1">COUNTIFS(D5:D$19,"="&amp;D4,E5:E$19,"="&amp;E4)</f>
        <v>14</v>
      </c>
      <c r="L4" t="s">
        <v>31</v>
      </c>
      <c r="M4" s="125">
        <f ca="1">COUNT(D4:D18)</f>
        <v>0</v>
      </c>
      <c r="O4" s="7" t="e" cm="1">
        <f t="array" aca="1" ref="O4" ca="1">FTEXT(M4)</f>
        <v>#NAME?</v>
      </c>
    </row>
    <row r="5" spans="1:15" x14ac:dyDescent="0.35">
      <c r="A5" s="103">
        <v>78</v>
      </c>
      <c r="B5" s="97">
        <v>23</v>
      </c>
      <c r="D5" s="21" t="e">
        <f ca="1"/>
        <v>#NAME?</v>
      </c>
      <c r="E5" s="127" t="e">
        <f ca="1"/>
        <v>#NAME?</v>
      </c>
      <c r="F5" s="103">
        <f ca="1">COUNTIFS(E6:E$19,"&lt;"&amp;E5, D6:D$19,"&gt;" &amp; D5)</f>
        <v>13</v>
      </c>
      <c r="G5" s="97">
        <f ca="1">COUNTIFS(E6:E$19,"&gt;"&amp;E5, D6:D$19,"&gt;" &amp; D5)</f>
        <v>13</v>
      </c>
      <c r="H5" s="103">
        <f ca="1">COUNTIF(D6:D$19,"="&amp;D5)</f>
        <v>13</v>
      </c>
      <c r="I5" s="173">
        <f ca="1">COUNTIF(E6:E$19,"="&amp;E5)</f>
        <v>13</v>
      </c>
      <c r="J5" s="181">
        <f ca="1">COUNTIFS(D6:D$19,"="&amp;D5,E6:E$19,"="&amp;E5)</f>
        <v>13</v>
      </c>
      <c r="L5" t="s">
        <v>212</v>
      </c>
      <c r="M5" s="100" t="e">
        <f ca="1">COMBIN(M4,2)</f>
        <v>#NUM!</v>
      </c>
      <c r="O5" s="7" t="e" cm="1">
        <f t="array" aca="1" ref="O5" ca="1">FTEXT(M5)</f>
        <v>#NAME?</v>
      </c>
    </row>
    <row r="6" spans="1:15" x14ac:dyDescent="0.35">
      <c r="A6" s="103">
        <v>60</v>
      </c>
      <c r="B6" s="97">
        <v>25</v>
      </c>
      <c r="D6" s="21" t="e">
        <f ca="1"/>
        <v>#NAME?</v>
      </c>
      <c r="E6" s="127" t="e">
        <f ca="1"/>
        <v>#NAME?</v>
      </c>
      <c r="F6" s="103">
        <f ca="1">COUNTIFS(E7:E$19,"&lt;"&amp;E6, D7:D$19,"&gt;" &amp; D6)</f>
        <v>12</v>
      </c>
      <c r="G6" s="97">
        <f ca="1">COUNTIFS(E7:E$19,"&gt;"&amp;E6, D7:D$19,"&gt;" &amp; D6)</f>
        <v>12</v>
      </c>
      <c r="H6" s="103">
        <f ca="1">COUNTIF(D7:D$19,"="&amp;D6)</f>
        <v>12</v>
      </c>
      <c r="I6" s="173">
        <f ca="1">COUNTIF(E7:E$19,"="&amp;E6)</f>
        <v>12</v>
      </c>
      <c r="J6" s="181">
        <f ca="1">COUNTIFS(D7:D$19,"="&amp;D6,E7:E$19,"="&amp;E6)</f>
        <v>12</v>
      </c>
      <c r="L6" t="s">
        <v>100</v>
      </c>
      <c r="M6" s="100">
        <f ca="1">F19</f>
        <v>105</v>
      </c>
      <c r="O6" s="7" t="e" cm="1">
        <f t="array" aca="1" ref="O6" ca="1">FTEXT(M6)</f>
        <v>#NAME?</v>
      </c>
    </row>
    <row r="7" spans="1:15" x14ac:dyDescent="0.35">
      <c r="A7" s="103">
        <v>53</v>
      </c>
      <c r="B7" s="97">
        <v>48</v>
      </c>
      <c r="D7" s="21" t="e">
        <f ca="1"/>
        <v>#NAME?</v>
      </c>
      <c r="E7" s="127" t="e">
        <f ca="1"/>
        <v>#NAME?</v>
      </c>
      <c r="F7" s="103">
        <f ca="1">COUNTIFS(E8:E$19,"&lt;"&amp;E7, D8:D$19,"&gt;" &amp; D7)</f>
        <v>11</v>
      </c>
      <c r="G7" s="97">
        <f ca="1">COUNTIFS(E8:E$19,"&gt;"&amp;E7, D8:D$19,"&gt;" &amp; D7)</f>
        <v>11</v>
      </c>
      <c r="H7" s="103">
        <f ca="1">COUNTIF(D8:D$19,"="&amp;D7)</f>
        <v>11</v>
      </c>
      <c r="I7" s="173">
        <f ca="1">COUNTIF(E8:E$19,"="&amp;E7)</f>
        <v>11</v>
      </c>
      <c r="J7" s="181">
        <f ca="1">COUNTIFS(D8:D$19,"="&amp;D7,E8:E$19,"="&amp;E7)</f>
        <v>11</v>
      </c>
      <c r="L7" t="s">
        <v>99</v>
      </c>
      <c r="M7" s="100">
        <f ca="1">G19</f>
        <v>105</v>
      </c>
      <c r="O7" s="7" t="e" cm="1">
        <f t="array" aca="1" ref="O7" ca="1">FTEXT(M7)</f>
        <v>#NAME?</v>
      </c>
    </row>
    <row r="8" spans="1:15" x14ac:dyDescent="0.35">
      <c r="A8" s="103">
        <v>85</v>
      </c>
      <c r="B8" s="177">
        <v>17</v>
      </c>
      <c r="D8" s="21" t="e">
        <f ca="1"/>
        <v>#NAME?</v>
      </c>
      <c r="E8" s="127" t="e">
        <f ca="1"/>
        <v>#NAME?</v>
      </c>
      <c r="F8" s="103">
        <f ca="1">COUNTIFS(E9:E$19,"&lt;"&amp;E8, D9:D$19,"&gt;" &amp; D8)</f>
        <v>10</v>
      </c>
      <c r="G8" s="97">
        <f ca="1">COUNTIFS(E9:E$19,"&gt;"&amp;E8, D9:D$19,"&gt;" &amp; D8)</f>
        <v>10</v>
      </c>
      <c r="H8" s="103">
        <f ca="1">COUNTIF(D9:D$19,"="&amp;D8)</f>
        <v>10</v>
      </c>
      <c r="I8" s="173">
        <f ca="1">COUNTIF(E9:E$19,"="&amp;E8)</f>
        <v>10</v>
      </c>
      <c r="J8" s="181">
        <f ca="1">COUNTIFS(D9:D$19,"="&amp;D8,E9:E$19,"="&amp;E8)</f>
        <v>10</v>
      </c>
      <c r="L8" t="s">
        <v>213</v>
      </c>
      <c r="M8" s="100" t="e">
        <f ca="1">(M7-M6)/SQRT((M5-H19)*(M5-I19))</f>
        <v>#NUM!</v>
      </c>
      <c r="O8" s="7" t="e" cm="1">
        <f t="array" aca="1" ref="O8" ca="1">FTEXT(M8)</f>
        <v>#NAME?</v>
      </c>
    </row>
    <row r="9" spans="1:15" x14ac:dyDescent="0.35">
      <c r="A9" s="103">
        <v>84</v>
      </c>
      <c r="B9" s="177">
        <v>8</v>
      </c>
      <c r="D9" s="21" t="e">
        <f ca="1"/>
        <v>#NAME?</v>
      </c>
      <c r="E9" s="127" t="e">
        <f ca="1"/>
        <v>#NAME?</v>
      </c>
      <c r="F9" s="103">
        <f ca="1">COUNTIFS(E10:E$19,"&lt;"&amp;E9, D10:D$19,"&gt;" &amp; D9)</f>
        <v>9</v>
      </c>
      <c r="G9" s="97">
        <f ca="1">COUNTIFS(E10:E$19,"&gt;"&amp;E9, D10:D$19,"&gt;" &amp; D9)</f>
        <v>9</v>
      </c>
      <c r="H9" s="103">
        <f ca="1">COUNTIF(D10:D$19,"="&amp;D9)</f>
        <v>9</v>
      </c>
      <c r="I9" s="173">
        <f ca="1">COUNTIF(E10:E$19,"="&amp;E9)</f>
        <v>9</v>
      </c>
      <c r="J9" s="181">
        <f ca="1">COUNTIFS(D10:D$19,"="&amp;D9,E10:E$19,"="&amp;E9)</f>
        <v>9</v>
      </c>
      <c r="L9" t="s">
        <v>214</v>
      </c>
      <c r="M9" s="94" t="e">
        <f ca="1">SQRT((2*M4+5)/M5)/3</f>
        <v>#NUM!</v>
      </c>
      <c r="O9" s="7" t="e" cm="1">
        <f t="array" aca="1" ref="O9" ca="1">FTEXT(M9)</f>
        <v>#NAME?</v>
      </c>
    </row>
    <row r="10" spans="1:15" x14ac:dyDescent="0.35">
      <c r="A10" s="103">
        <v>73</v>
      </c>
      <c r="B10" s="97">
        <v>4</v>
      </c>
      <c r="D10" s="21" t="e">
        <f ca="1"/>
        <v>#NAME?</v>
      </c>
      <c r="E10" s="127" t="e">
        <f ca="1"/>
        <v>#NAME?</v>
      </c>
      <c r="F10" s="103">
        <f ca="1">COUNTIFS(E11:E$19,"&lt;"&amp;E10, D11:D$19,"&gt;" &amp; D10)</f>
        <v>8</v>
      </c>
      <c r="G10" s="97">
        <f ca="1">COUNTIFS(E11:E$19,"&gt;"&amp;E10, D11:D$19,"&gt;" &amp; D10)</f>
        <v>8</v>
      </c>
      <c r="H10" s="103">
        <f ca="1">COUNTIF(D11:D$19,"="&amp;D10)</f>
        <v>8</v>
      </c>
      <c r="I10" s="173">
        <f ca="1">COUNTIF(E11:E$19,"="&amp;E10)</f>
        <v>8</v>
      </c>
      <c r="J10" s="181">
        <f ca="1">COUNTIFS(D11:D$19,"="&amp;D10,E11:E$19,"="&amp;E10)</f>
        <v>8</v>
      </c>
      <c r="O10" s="7"/>
    </row>
    <row r="11" spans="1:15" x14ac:dyDescent="0.35">
      <c r="A11" s="103">
        <v>78</v>
      </c>
      <c r="B11" s="97">
        <v>26</v>
      </c>
      <c r="D11" s="21" t="e">
        <f ca="1"/>
        <v>#NAME?</v>
      </c>
      <c r="E11" s="127" t="e">
        <f ca="1"/>
        <v>#NAME?</v>
      </c>
      <c r="F11" s="103">
        <f ca="1">COUNTIFS(E12:E$19,"&lt;"&amp;E11, D12:D$19,"&gt;" &amp; D11)</f>
        <v>7</v>
      </c>
      <c r="G11" s="97">
        <f ca="1">COUNTIFS(E12:E$19,"&gt;"&amp;E11, D12:D$19,"&gt;" &amp; D11)</f>
        <v>7</v>
      </c>
      <c r="H11" s="103">
        <f ca="1">COUNTIF(D12:D$19,"="&amp;D11)</f>
        <v>7</v>
      </c>
      <c r="I11" s="173">
        <f ca="1">COUNTIF(E12:E$19,"="&amp;E11)</f>
        <v>7</v>
      </c>
      <c r="J11" s="181">
        <f ca="1">COUNTIFS(D12:D$19,"="&amp;D11,E12:E$19,"="&amp;E11)</f>
        <v>7</v>
      </c>
      <c r="L11" s="17" t="s">
        <v>44</v>
      </c>
      <c r="M11" s="185">
        <v>0.05</v>
      </c>
      <c r="O11" s="7"/>
    </row>
    <row r="12" spans="1:15" x14ac:dyDescent="0.35">
      <c r="A12" s="103">
        <v>78</v>
      </c>
      <c r="B12" s="97">
        <v>23</v>
      </c>
      <c r="D12" s="21" t="e">
        <f ca="1"/>
        <v>#NAME?</v>
      </c>
      <c r="E12" s="127" t="e">
        <f ca="1"/>
        <v>#NAME?</v>
      </c>
      <c r="F12" s="103">
        <f ca="1">COUNTIFS(E13:E$19,"&lt;"&amp;E12, D13:D$19,"&gt;" &amp; D12)</f>
        <v>6</v>
      </c>
      <c r="G12" s="97">
        <f ca="1">COUNTIFS(E13:E$19,"&gt;"&amp;E12, D13:D$19,"&gt;" &amp; D12)</f>
        <v>6</v>
      </c>
      <c r="H12" s="103">
        <f ca="1">COUNTIF(D13:D$19,"="&amp;D12)</f>
        <v>6</v>
      </c>
      <c r="I12" s="173">
        <f ca="1">COUNTIF(E13:E$19,"="&amp;E12)</f>
        <v>6</v>
      </c>
      <c r="J12" s="181">
        <f ca="1">COUNTIFS(D13:D$19,"="&amp;D12,E13:E$19,"="&amp;E12)</f>
        <v>6</v>
      </c>
      <c r="L12" t="s">
        <v>36</v>
      </c>
      <c r="M12" s="100" t="e">
        <f ca="1">M8/M9</f>
        <v>#NUM!</v>
      </c>
      <c r="O12" s="7" t="e" cm="1">
        <f t="array" aca="1" ref="O12" ca="1">FTEXT(M12)</f>
        <v>#NAME?</v>
      </c>
    </row>
    <row r="13" spans="1:15" x14ac:dyDescent="0.35">
      <c r="A13" s="103">
        <v>75</v>
      </c>
      <c r="B13" s="97">
        <v>19</v>
      </c>
      <c r="D13" s="21" t="e">
        <f ca="1"/>
        <v>#NAME?</v>
      </c>
      <c r="E13" s="127" t="e">
        <f ca="1"/>
        <v>#NAME?</v>
      </c>
      <c r="F13" s="103">
        <f ca="1">COUNTIFS(E14:E$19,"&lt;"&amp;E13, D14:D$19,"&gt;" &amp; D13)</f>
        <v>5</v>
      </c>
      <c r="G13" s="97">
        <f ca="1">COUNTIFS(E14:E$19,"&gt;"&amp;E13, D14:D$19,"&gt;" &amp; D13)</f>
        <v>5</v>
      </c>
      <c r="H13" s="103">
        <f ca="1">COUNTIF(D14:D$19,"="&amp;D13)</f>
        <v>5</v>
      </c>
      <c r="I13" s="173">
        <f ca="1">COUNTIF(E14:E$19,"="&amp;E13)</f>
        <v>5</v>
      </c>
      <c r="J13" s="181">
        <f ca="1">COUNTIFS(D14:D$19,"="&amp;D13,E14:E$19,"="&amp;E13)</f>
        <v>5</v>
      </c>
      <c r="L13" t="s">
        <v>185</v>
      </c>
      <c r="M13" s="100">
        <f>NORMSINV(1-M11/2)</f>
        <v>1.9599639845400536</v>
      </c>
      <c r="O13" s="7" t="s">
        <v>500</v>
      </c>
    </row>
    <row r="14" spans="1:15" x14ac:dyDescent="0.35">
      <c r="A14" s="103">
        <v>65</v>
      </c>
      <c r="B14" s="97">
        <v>24</v>
      </c>
      <c r="D14" s="21" t="e">
        <f ca="1"/>
        <v>#NAME?</v>
      </c>
      <c r="E14" s="127" t="e">
        <f ca="1"/>
        <v>#NAME?</v>
      </c>
      <c r="F14" s="103">
        <f ca="1">COUNTIFS(E15:E$19,"&lt;"&amp;E14, D15:D$19,"&gt;" &amp; D14)</f>
        <v>4</v>
      </c>
      <c r="G14" s="97">
        <f ca="1">COUNTIFS(E15:E$19,"&gt;"&amp;E14, D15:D$19,"&gt;" &amp; D14)</f>
        <v>4</v>
      </c>
      <c r="H14" s="103">
        <f ca="1">COUNTIF(D15:D$19,"="&amp;D14)</f>
        <v>4</v>
      </c>
      <c r="I14" s="173">
        <f ca="1">COUNTIF(E15:E$19,"="&amp;E14)</f>
        <v>4</v>
      </c>
      <c r="J14" s="181">
        <f ca="1">COUNTIFS(D15:D$19,"="&amp;D14,E15:E$19,"="&amp;E14)</f>
        <v>4</v>
      </c>
      <c r="L14" t="s">
        <v>59</v>
      </c>
      <c r="M14" s="100" t="e">
        <f ca="1">2*(1-NORMSDIST(ABS(M12)))</f>
        <v>#NUM!</v>
      </c>
      <c r="O14" s="7" t="s">
        <v>501</v>
      </c>
    </row>
    <row r="15" spans="1:15" x14ac:dyDescent="0.35">
      <c r="A15" s="103">
        <v>72</v>
      </c>
      <c r="B15" s="97">
        <v>35</v>
      </c>
      <c r="D15" s="21" t="e">
        <f ca="1"/>
        <v>#NAME?</v>
      </c>
      <c r="E15" s="127" t="e">
        <f ca="1"/>
        <v>#NAME?</v>
      </c>
      <c r="F15" s="103">
        <f ca="1">COUNTIFS(E16:E$19,"&lt;"&amp;E15, D16:D$19,"&gt;" &amp; D15)</f>
        <v>3</v>
      </c>
      <c r="G15" s="97">
        <f ca="1">COUNTIFS(E16:E$19,"&gt;"&amp;E15, D16:D$19,"&gt;" &amp; D15)</f>
        <v>3</v>
      </c>
      <c r="H15" s="103">
        <f ca="1">COUNTIF(D16:D$19,"="&amp;D15)</f>
        <v>3</v>
      </c>
      <c r="I15" s="173">
        <f ca="1">COUNTIF(E16:E$19,"="&amp;E15)</f>
        <v>3</v>
      </c>
      <c r="J15" s="181">
        <f ca="1">COUNTIFS(D16:D$19,"="&amp;D15,E16:E$19,"="&amp;E15)</f>
        <v>3</v>
      </c>
      <c r="L15" t="s">
        <v>270</v>
      </c>
      <c r="M15" s="92" t="e">
        <f ca="1">IF(M14&lt;M11,"yes","no")</f>
        <v>#NUM!</v>
      </c>
      <c r="O15" s="7" t="e" cm="1">
        <f t="array" aca="1" ref="O15" ca="1">FTEXT(M15)</f>
        <v>#NAME?</v>
      </c>
    </row>
    <row r="16" spans="1:15" x14ac:dyDescent="0.35">
      <c r="A16" s="103">
        <v>58</v>
      </c>
      <c r="B16" s="97">
        <v>29</v>
      </c>
      <c r="D16" s="21" t="e">
        <f ca="1"/>
        <v>#NAME?</v>
      </c>
      <c r="E16" s="74" t="e">
        <f ca="1"/>
        <v>#NAME?</v>
      </c>
      <c r="F16" s="103">
        <f ca="1">COUNTIFS(E17:E$19,"&lt;"&amp;E16, D17:D$19,"&gt;" &amp; D16)</f>
        <v>2</v>
      </c>
      <c r="G16" s="97">
        <f ca="1">COUNTIFS(E17:E$19,"&gt;"&amp;E16, D17:D$19,"&gt;" &amp; D16)</f>
        <v>2</v>
      </c>
      <c r="H16" s="103">
        <f ca="1">COUNTIF(D17:D$19,"="&amp;D16)</f>
        <v>2</v>
      </c>
      <c r="I16" s="173">
        <f ca="1">COUNTIF(E17:E$19,"="&amp;E16)</f>
        <v>2</v>
      </c>
      <c r="J16" s="181">
        <f ca="1">COUNTIFS(D17:D$19,"="&amp;D16,E17:E$19,"="&amp;E16)</f>
        <v>2</v>
      </c>
      <c r="O16" s="7"/>
    </row>
    <row r="17" spans="1:15" x14ac:dyDescent="0.35">
      <c r="A17" s="103">
        <v>92</v>
      </c>
      <c r="B17" s="97">
        <v>4</v>
      </c>
      <c r="D17" s="21" t="e">
        <f ca="1"/>
        <v>#NAME?</v>
      </c>
      <c r="E17" s="74" t="e">
        <f ca="1"/>
        <v>#NAME?</v>
      </c>
      <c r="F17" s="103">
        <f ca="1">COUNTIFS(E18:E$19,"&lt;"&amp;E17, D18:D$19,"&gt;" &amp; D17)</f>
        <v>1</v>
      </c>
      <c r="G17" s="97">
        <f ca="1">COUNTIFS(E18:E$19,"&gt;"&amp;E17, D18:D$19,"&gt;" &amp; D17)</f>
        <v>1</v>
      </c>
      <c r="H17" s="103">
        <f ca="1">COUNTIF(D18:D$19,"="&amp;D17)</f>
        <v>1</v>
      </c>
      <c r="I17" s="173">
        <f ca="1">COUNTIF(E18:E$19,"="&amp;E17)</f>
        <v>1</v>
      </c>
      <c r="J17" s="181">
        <f ca="1">COUNTIFS(D18:D$19,"="&amp;D17,E18:E$19,"="&amp;E17)</f>
        <v>1</v>
      </c>
      <c r="L17" t="s">
        <v>29</v>
      </c>
      <c r="M17" s="185" t="e">
        <f ca="1">M8-M9*M13</f>
        <v>#NUM!</v>
      </c>
      <c r="O17" s="7" t="e" cm="1">
        <f t="array" aca="1" ref="O17" ca="1">FTEXT(M17)</f>
        <v>#NAME?</v>
      </c>
    </row>
    <row r="18" spans="1:15" x14ac:dyDescent="0.35">
      <c r="A18" s="95">
        <v>65</v>
      </c>
      <c r="B18" s="90">
        <v>14</v>
      </c>
      <c r="D18" s="75" t="e">
        <f ca="1"/>
        <v>#NAME?</v>
      </c>
      <c r="E18" s="130" t="e">
        <f ca="1"/>
        <v>#NAME?</v>
      </c>
      <c r="F18" s="95">
        <f ca="1">COUNTIFS(E19:E$19,"&lt;"&amp;E18, D19:D$19,"&gt;" &amp; D18)</f>
        <v>0</v>
      </c>
      <c r="G18" s="90">
        <f ca="1">COUNTIFS(E19:E$19,"&gt;"&amp;E18, D19:D$19,"&gt;" &amp; D18)</f>
        <v>0</v>
      </c>
      <c r="H18" s="95">
        <f ca="1">COUNTIF(D19:D$19,"="&amp;D18)</f>
        <v>0</v>
      </c>
      <c r="I18" s="178">
        <f ca="1">COUNTIF(E19:E$19,"="&amp;E18)</f>
        <v>0</v>
      </c>
      <c r="J18" s="182">
        <f ca="1">COUNTIFS(D19:D$19,"="&amp;D18,E19:E$19,"="&amp;E18)</f>
        <v>0</v>
      </c>
      <c r="L18" t="s">
        <v>30</v>
      </c>
      <c r="M18" s="94" t="e">
        <f ca="1">M8+M9*M13</f>
        <v>#NUM!</v>
      </c>
      <c r="O18" s="7" t="e" cm="1">
        <f t="array" aca="1" ref="O18" ca="1">FTEXT(M18)</f>
        <v>#NAME?</v>
      </c>
    </row>
    <row r="19" spans="1:15" x14ac:dyDescent="0.35">
      <c r="F19" s="126">
        <f ca="1">SUM(F4:F18)</f>
        <v>105</v>
      </c>
      <c r="G19" s="169">
        <f ca="1">SUM(G4:G18)</f>
        <v>105</v>
      </c>
      <c r="H19" s="126">
        <f ca="1">SUM(H4:H18)</f>
        <v>105</v>
      </c>
      <c r="I19" s="126">
        <f ca="1">SUM(I4:I18)</f>
        <v>105</v>
      </c>
      <c r="J19" s="126">
        <f ca="1">SUM(J4:J18)</f>
        <v>105</v>
      </c>
    </row>
  </sheetData>
  <sortState xmlns:xlrd2="http://schemas.microsoft.com/office/spreadsheetml/2017/richdata2" ref="D4:E18">
    <sortCondition ref="D4:D18"/>
  </sortState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294"/>
  <dimension ref="A1:AE19"/>
  <sheetViews>
    <sheetView workbookViewId="0"/>
  </sheetViews>
  <sheetFormatPr defaultRowHeight="14.5" x14ac:dyDescent="0.35"/>
  <cols>
    <col min="1" max="2" width="7.81640625" customWidth="1"/>
    <col min="3" max="3" width="5.54296875" customWidth="1"/>
    <col min="4" max="5" width="9.1796875" customWidth="1"/>
    <col min="6" max="7" width="6.81640625" customWidth="1"/>
    <col min="8" max="9" width="9" customWidth="1"/>
    <col min="10" max="10" width="3" customWidth="1"/>
    <col min="11" max="11" width="11.7265625" customWidth="1"/>
    <col min="13" max="13" width="1.7265625" customWidth="1"/>
    <col min="14" max="14" width="32.7265625" customWidth="1"/>
    <col min="15" max="15" width="4.26953125" customWidth="1"/>
    <col min="16" max="16" width="6.26953125" customWidth="1"/>
    <col min="18" max="18" width="4.1796875" customWidth="1"/>
    <col min="19" max="19" width="26.7265625" customWidth="1"/>
    <col min="20" max="20" width="4.1796875" customWidth="1"/>
    <col min="21" max="21" width="11.26953125" customWidth="1"/>
    <col min="23" max="23" width="9.81640625" customWidth="1"/>
    <col min="24" max="24" width="4.54296875" customWidth="1"/>
    <col min="25" max="25" width="37.26953125" customWidth="1"/>
    <col min="26" max="26" width="10.1796875" customWidth="1"/>
  </cols>
  <sheetData>
    <row r="1" spans="1:31" x14ac:dyDescent="0.35">
      <c r="A1" s="1" t="s">
        <v>504</v>
      </c>
    </row>
    <row r="2" spans="1:31" x14ac:dyDescent="0.35">
      <c r="AA2" t="s">
        <v>436</v>
      </c>
      <c r="AB2" t="s">
        <v>349</v>
      </c>
      <c r="AD2" t="s">
        <v>436</v>
      </c>
      <c r="AE2" t="s">
        <v>348</v>
      </c>
    </row>
    <row r="3" spans="1:31" x14ac:dyDescent="0.35">
      <c r="A3" s="136" t="s">
        <v>239</v>
      </c>
      <c r="B3" s="138" t="s">
        <v>274</v>
      </c>
      <c r="D3" s="175" t="s">
        <v>239</v>
      </c>
      <c r="E3" s="179" t="s">
        <v>274</v>
      </c>
      <c r="F3" s="111" t="s">
        <v>99</v>
      </c>
      <c r="G3" s="148" t="s">
        <v>100</v>
      </c>
      <c r="H3" s="111" t="s">
        <v>379</v>
      </c>
      <c r="I3" s="148" t="s">
        <v>380</v>
      </c>
      <c r="K3" t="s">
        <v>31</v>
      </c>
      <c r="L3" s="167">
        <f ca="1">COUNT(D4:D18)</f>
        <v>0</v>
      </c>
      <c r="N3" s="7" t="e" cm="1">
        <f t="array" aca="1" ref="N3" ca="1">FTEXT(L3)</f>
        <v>#NAME?</v>
      </c>
      <c r="O3" s="7"/>
      <c r="P3" t="s">
        <v>378</v>
      </c>
      <c r="U3" t="s">
        <v>378</v>
      </c>
    </row>
    <row r="4" spans="1:31" x14ac:dyDescent="0.35">
      <c r="A4" s="162">
        <v>78</v>
      </c>
      <c r="B4" s="163">
        <v>4</v>
      </c>
      <c r="D4" s="142" t="e">
        <f t="array" aca="1" ref="D4:E18" ca="1">QSORTRows(A4:B18,1)</f>
        <v>#NAME?</v>
      </c>
      <c r="E4" s="143" t="e">
        <f ca="1"/>
        <v>#NAME?</v>
      </c>
      <c r="F4" s="103">
        <f ca="1">COUNTIFS(E5:E$19,"&gt;"&amp;E4, D5:D$19,"&gt;" &amp; D4)</f>
        <v>14</v>
      </c>
      <c r="G4" s="97">
        <f ca="1">COUNTIFS(E5:E$19,"&lt;"&amp;E4, D5:D$19,"&gt;" &amp; D4)</f>
        <v>14</v>
      </c>
      <c r="H4" s="103">
        <f ca="1">IF(COUNTIF(D$3:D3,D4)=0,COUNTIF(D5:D$19,D4),0)</f>
        <v>14</v>
      </c>
      <c r="I4" s="97">
        <f ca="1">IF(COUNTIF(E$3:E3,E4)=0,COUNTIF(E5:E$19,E4),0)</f>
        <v>14</v>
      </c>
      <c r="K4" t="s">
        <v>212</v>
      </c>
      <c r="L4" s="100" t="e">
        <f ca="1">COMBIN(L3,2)</f>
        <v>#NUM!</v>
      </c>
      <c r="N4" s="7" t="e" cm="1">
        <f t="array" aca="1" ref="N4" ca="1">FTEXT(L4)</f>
        <v>#NAME?</v>
      </c>
      <c r="O4" s="7"/>
      <c r="AA4" t="e">
        <f t="array" aca="1" ref="AA4:AB10" ca="1">KCORREL(A4:A18,B4:B18,TRUE)</f>
        <v>#NAME?</v>
      </c>
      <c r="AB4" s="15" t="e">
        <f ca="1"/>
        <v>#NAME?</v>
      </c>
      <c r="AC4" s="4"/>
      <c r="AD4" t="e">
        <f t="array" aca="1" ref="AD4:AE10" ca="1">KCORREL(A4:A18,B4:B18,TRUE,1)</f>
        <v>#NAME?</v>
      </c>
      <c r="AE4" s="15" t="e">
        <f ca="1"/>
        <v>#NAME?</v>
      </c>
    </row>
    <row r="5" spans="1:31" x14ac:dyDescent="0.35">
      <c r="A5" s="103">
        <v>78</v>
      </c>
      <c r="B5" s="97">
        <v>23</v>
      </c>
      <c r="D5" s="21" t="e">
        <f ca="1"/>
        <v>#NAME?</v>
      </c>
      <c r="E5" s="173" t="e">
        <f ca="1"/>
        <v>#NAME?</v>
      </c>
      <c r="F5" s="103">
        <f ca="1">COUNTIFS(E6:E$19,"&gt;"&amp;E5, D6:D$19,"&gt;" &amp; D5)</f>
        <v>13</v>
      </c>
      <c r="G5" s="97">
        <f ca="1">COUNTIFS(E6:E$19,"&lt;"&amp;E5, D6:D$19,"&gt;" &amp; D5)</f>
        <v>13</v>
      </c>
      <c r="H5" s="103">
        <f ca="1">IF(COUNTIF(D$3:D4,D5)=0,COUNTIF(D6:D$19,D5),0)</f>
        <v>0</v>
      </c>
      <c r="I5" s="97">
        <f ca="1">IF(COUNTIF(E$3:E4,E5)=0,COUNTIF(E6:E$19,E5),0)</f>
        <v>0</v>
      </c>
      <c r="K5" t="s">
        <v>100</v>
      </c>
      <c r="L5" s="100">
        <f ca="1">G19</f>
        <v>105</v>
      </c>
      <c r="N5" s="7" t="e" cm="1">
        <f t="array" aca="1" ref="N5" ca="1">FTEXT(L5)</f>
        <v>#NAME?</v>
      </c>
      <c r="O5" s="7"/>
      <c r="P5" t="s">
        <v>369</v>
      </c>
      <c r="Q5" s="167">
        <f ca="1">L3*(L3-1)*(2*L3+5)</f>
        <v>0</v>
      </c>
      <c r="S5" s="7" t="e" cm="1">
        <f t="array" aca="1" ref="S5" ca="1">FTEXT(Q5)</f>
        <v>#NAME?</v>
      </c>
      <c r="V5" t="s">
        <v>239</v>
      </c>
      <c r="W5" t="s">
        <v>210</v>
      </c>
      <c r="AA5" t="e">
        <f ca="1"/>
        <v>#NAME?</v>
      </c>
      <c r="AB5" s="100" t="e">
        <f ca="1"/>
        <v>#NAME?</v>
      </c>
      <c r="AC5" s="4"/>
      <c r="AD5" t="e">
        <f ca="1"/>
        <v>#NAME?</v>
      </c>
      <c r="AE5" s="100" t="e">
        <f ca="1"/>
        <v>#NAME?</v>
      </c>
    </row>
    <row r="6" spans="1:31" x14ac:dyDescent="0.35">
      <c r="A6" s="103">
        <v>60</v>
      </c>
      <c r="B6" s="97">
        <v>25</v>
      </c>
      <c r="D6" s="21" t="e">
        <f ca="1"/>
        <v>#NAME?</v>
      </c>
      <c r="E6" s="173" t="e">
        <f ca="1"/>
        <v>#NAME?</v>
      </c>
      <c r="F6" s="103">
        <f ca="1">COUNTIFS(E7:E$19,"&gt;"&amp;E6, D7:D$19,"&gt;" &amp; D6)</f>
        <v>12</v>
      </c>
      <c r="G6" s="97">
        <f ca="1">COUNTIFS(E7:E$19,"&lt;"&amp;E6, D7:D$19,"&gt;" &amp; D6)</f>
        <v>12</v>
      </c>
      <c r="H6" s="103">
        <f ca="1">IF(COUNTIF(D$3:D5,D6)=0,COUNTIF(D7:D$19,D6),0)</f>
        <v>0</v>
      </c>
      <c r="I6" s="97">
        <f ca="1">IF(COUNTIF(E$3:E5,E6)=0,COUNTIF(E7:E$19,E6),0)</f>
        <v>0</v>
      </c>
      <c r="K6" t="s">
        <v>99</v>
      </c>
      <c r="L6" s="100">
        <f ca="1">F19</f>
        <v>105</v>
      </c>
      <c r="N6" s="7" t="e" cm="1">
        <f t="array" aca="1" ref="N6" ca="1">FTEXT(L6)</f>
        <v>#NAME?</v>
      </c>
      <c r="O6" s="7"/>
      <c r="P6" t="s">
        <v>370</v>
      </c>
      <c r="Q6" s="100" t="e">
        <f ca="1">V6*W6/(2*L3*(L3-1))</f>
        <v>#DIV/0!</v>
      </c>
      <c r="S6" s="7" t="e" cm="1">
        <f t="array" aca="1" ref="S6" ca="1">FTEXT(Q6)</f>
        <v>#NAME?</v>
      </c>
      <c r="U6" t="s">
        <v>373</v>
      </c>
      <c r="V6" s="153">
        <f ca="1">H19*2</f>
        <v>210</v>
      </c>
      <c r="W6" s="154">
        <f ca="1">I19*2</f>
        <v>210</v>
      </c>
      <c r="Y6" s="7" t="e" cm="1">
        <f t="array" aca="1" ref="Y6" ca="1">FTEXT(W6)</f>
        <v>#NAME?</v>
      </c>
      <c r="AA6" t="e">
        <f ca="1"/>
        <v>#NAME?</v>
      </c>
      <c r="AB6" s="100" t="e">
        <f ca="1"/>
        <v>#NAME?</v>
      </c>
      <c r="AC6" s="4"/>
      <c r="AD6" t="e">
        <f ca="1"/>
        <v>#NAME?</v>
      </c>
      <c r="AE6" s="100" t="e">
        <f ca="1"/>
        <v>#NAME?</v>
      </c>
    </row>
    <row r="7" spans="1:31" x14ac:dyDescent="0.35">
      <c r="A7" s="103">
        <v>53</v>
      </c>
      <c r="B7" s="97">
        <v>48</v>
      </c>
      <c r="D7" s="21" t="e">
        <f ca="1"/>
        <v>#NAME?</v>
      </c>
      <c r="E7" s="173" t="e">
        <f ca="1"/>
        <v>#NAME?</v>
      </c>
      <c r="F7" s="103">
        <f ca="1">COUNTIFS(E8:E$19,"&gt;"&amp;E7, D8:D$19,"&gt;" &amp; D7)</f>
        <v>11</v>
      </c>
      <c r="G7" s="97">
        <f ca="1">COUNTIFS(E8:E$19,"&lt;"&amp;E7, D8:D$19,"&gt;" &amp; D7)</f>
        <v>11</v>
      </c>
      <c r="H7" s="103">
        <f ca="1">IF(COUNTIF(D$3:D6,D7)=0,COUNTIF(D8:D$19,D7),0)</f>
        <v>0</v>
      </c>
      <c r="I7" s="97">
        <f ca="1">IF(COUNTIF(E$3:E6,E7)=0,COUNTIF(E8:E$19,E7),0)</f>
        <v>0</v>
      </c>
      <c r="K7" t="s">
        <v>42</v>
      </c>
      <c r="L7" s="100" t="e">
        <f ca="1">SQRT((L4-H19)*(L4-I19))</f>
        <v>#NUM!</v>
      </c>
      <c r="N7" s="7" t="e" cm="1">
        <f t="array" aca="1" ref="N7" ca="1">FTEXT(L7)</f>
        <v>#NAME?</v>
      </c>
      <c r="O7" s="7"/>
      <c r="P7" t="s">
        <v>371</v>
      </c>
      <c r="Q7" s="100">
        <f ca="1">(Q5-V7-W7)/18</f>
        <v>-816.66666666666663</v>
      </c>
      <c r="S7" s="7" t="e" cm="1">
        <f t="array" aca="1" ref="S7" ca="1">FTEXT(Q7)</f>
        <v>#NAME?</v>
      </c>
      <c r="U7" t="s">
        <v>367</v>
      </c>
      <c r="V7" s="101">
        <f ca="1">SUMPRODUCT(H4:H18,H4:H18+1,2*H4:H18+7)</f>
        <v>7350</v>
      </c>
      <c r="W7" s="102">
        <f ca="1">SUMPRODUCT(I4:I18,I4:I18+1,2*I4:I18+7)</f>
        <v>7350</v>
      </c>
      <c r="Y7" s="7" t="e" cm="1">
        <f t="array" aca="1" ref="Y7" ca="1">FTEXT(W7)</f>
        <v>#NAME?</v>
      </c>
      <c r="AA7" t="e">
        <f ca="1"/>
        <v>#NAME?</v>
      </c>
      <c r="AB7" s="100" t="e">
        <f ca="1"/>
        <v>#NAME?</v>
      </c>
      <c r="AC7" s="4"/>
      <c r="AD7" t="e">
        <f ca="1"/>
        <v>#NAME?</v>
      </c>
      <c r="AE7" s="100" t="e">
        <f ca="1"/>
        <v>#NAME?</v>
      </c>
    </row>
    <row r="8" spans="1:31" x14ac:dyDescent="0.35">
      <c r="A8" s="103">
        <v>85</v>
      </c>
      <c r="B8" s="177">
        <v>17</v>
      </c>
      <c r="D8" s="21" t="e">
        <f ca="1"/>
        <v>#NAME?</v>
      </c>
      <c r="E8" s="173" t="e">
        <f ca="1"/>
        <v>#NAME?</v>
      </c>
      <c r="F8" s="103">
        <f ca="1">COUNTIFS(E9:E$19,"&gt;"&amp;E8, D9:D$19,"&gt;" &amp; D8)</f>
        <v>10</v>
      </c>
      <c r="G8" s="97">
        <f ca="1">COUNTIFS(E9:E$19,"&lt;"&amp;E8, D9:D$19,"&gt;" &amp; D8)</f>
        <v>10</v>
      </c>
      <c r="H8" s="103">
        <f ca="1">IF(COUNTIF(D$3:D7,D8)=0,COUNTIF(D9:D$19,D8),0)</f>
        <v>0</v>
      </c>
      <c r="I8" s="97">
        <f ca="1">IF(COUNTIF(E$3:E7,E8)=0,COUNTIF(E9:E$19,E8),0)</f>
        <v>0</v>
      </c>
      <c r="K8" t="s">
        <v>213</v>
      </c>
      <c r="L8" s="100" t="e">
        <f ca="1">(L6-L5)/L7</f>
        <v>#NUM!</v>
      </c>
      <c r="N8" s="7" t="e" cm="1">
        <f t="array" aca="1" ref="N8" ca="1">FTEXT(L8)</f>
        <v>#NAME?</v>
      </c>
      <c r="O8" s="7"/>
      <c r="P8" t="s">
        <v>372</v>
      </c>
      <c r="Q8" s="100" t="e">
        <f ca="1">V8*W8/(9*L3*(L3-1)*(L3-2))</f>
        <v>#DIV/0!</v>
      </c>
      <c r="S8" s="7" t="e" cm="1">
        <f t="array" aca="1" ref="S8" ca="1">FTEXT(Q8)</f>
        <v>#NAME?</v>
      </c>
      <c r="U8" t="s">
        <v>368</v>
      </c>
      <c r="V8" s="89">
        <f ca="1">SUMPRODUCT(H4:H18,H4:H18+1,H4:H18-1)</f>
        <v>2730</v>
      </c>
      <c r="W8" s="93">
        <f ca="1">SUMPRODUCT(I4:I18,I4:I18+1,I4:I18-1)</f>
        <v>2730</v>
      </c>
      <c r="Y8" s="7" t="e" cm="1">
        <f t="array" aca="1" ref="Y8" ca="1">FTEXT(W8)</f>
        <v>#NAME?</v>
      </c>
      <c r="AA8" t="e">
        <f ca="1"/>
        <v>#NAME?</v>
      </c>
      <c r="AB8" s="100" t="e">
        <f ca="1"/>
        <v>#NAME?</v>
      </c>
      <c r="AC8" s="4"/>
      <c r="AD8" t="e">
        <f ca="1"/>
        <v>#NAME?</v>
      </c>
      <c r="AE8" s="100" t="e">
        <f ca="1"/>
        <v>#NAME?</v>
      </c>
    </row>
    <row r="9" spans="1:31" x14ac:dyDescent="0.35">
      <c r="A9" s="103">
        <v>84</v>
      </c>
      <c r="B9" s="177">
        <v>8</v>
      </c>
      <c r="D9" s="21" t="e">
        <f ca="1"/>
        <v>#NAME?</v>
      </c>
      <c r="E9" s="173" t="e">
        <f ca="1"/>
        <v>#NAME?</v>
      </c>
      <c r="F9" s="103">
        <f ca="1">COUNTIFS(E10:E$19,"&gt;"&amp;E9, D10:D$19,"&gt;" &amp; D9)</f>
        <v>9</v>
      </c>
      <c r="G9" s="97">
        <f ca="1">COUNTIFS(E10:E$19,"&lt;"&amp;E9, D10:D$19,"&gt;" &amp; D9)</f>
        <v>9</v>
      </c>
      <c r="H9" s="103">
        <f ca="1">IF(COUNTIF(D$3:D8,D9)=0,COUNTIF(D10:D$19,D9),0)</f>
        <v>0</v>
      </c>
      <c r="I9" s="97">
        <f ca="1">IF(COUNTIF(E$3:E8,E9)=0,COUNTIF(E10:E$19,E9),0)</f>
        <v>0</v>
      </c>
      <c r="K9" t="s">
        <v>214</v>
      </c>
      <c r="L9" s="94" t="e">
        <f ca="1">Q9/L7</f>
        <v>#DIV/0!</v>
      </c>
      <c r="N9" s="7" t="e" cm="1">
        <f t="array" aca="1" ref="N9" ca="1">FTEXT(L9)</f>
        <v>#NAME?</v>
      </c>
      <c r="O9" s="7"/>
      <c r="P9" t="s">
        <v>271</v>
      </c>
      <c r="Q9" s="94" t="e">
        <f ca="1">SQRT(SUM(Q6:Q8))</f>
        <v>#DIV/0!</v>
      </c>
      <c r="S9" s="7" t="e" cm="1">
        <f t="array" aca="1" ref="S9" ca="1">FTEXT(Q9)</f>
        <v>#NAME?</v>
      </c>
      <c r="AA9" t="e">
        <f ca="1"/>
        <v>#NAME?</v>
      </c>
      <c r="AB9" s="100" t="e">
        <f ca="1"/>
        <v>#NAME?</v>
      </c>
      <c r="AC9" s="4"/>
      <c r="AD9" t="e">
        <f ca="1"/>
        <v>#NAME?</v>
      </c>
      <c r="AE9" s="100" t="e">
        <f ca="1"/>
        <v>#NAME?</v>
      </c>
    </row>
    <row r="10" spans="1:31" x14ac:dyDescent="0.35">
      <c r="A10" s="103">
        <v>73</v>
      </c>
      <c r="B10" s="97">
        <v>4</v>
      </c>
      <c r="D10" s="21" t="e">
        <f ca="1"/>
        <v>#NAME?</v>
      </c>
      <c r="E10" s="173" t="e">
        <f ca="1"/>
        <v>#NAME?</v>
      </c>
      <c r="F10" s="103">
        <f ca="1">COUNTIFS(E11:E$19,"&gt;"&amp;E10, D11:D$19,"&gt;" &amp; D10)</f>
        <v>8</v>
      </c>
      <c r="G10" s="97">
        <f ca="1">COUNTIFS(E11:E$19,"&lt;"&amp;E10, D11:D$19,"&gt;" &amp; D10)</f>
        <v>8</v>
      </c>
      <c r="H10" s="103">
        <f ca="1">IF(COUNTIF(D$3:D9,D10)=0,COUNTIF(D11:D$19,D10),0)</f>
        <v>0</v>
      </c>
      <c r="I10" s="97">
        <f ca="1">IF(COUNTIF(E$3:E9,E10)=0,COUNTIF(E11:E$19,E10),0)</f>
        <v>0</v>
      </c>
      <c r="N10" s="7"/>
      <c r="O10" s="7"/>
      <c r="AA10" t="e">
        <f ca="1"/>
        <v>#NAME?</v>
      </c>
      <c r="AB10" s="94" t="e">
        <f ca="1"/>
        <v>#NAME?</v>
      </c>
      <c r="AC10" s="4"/>
      <c r="AD10" t="e">
        <f ca="1"/>
        <v>#NAME?</v>
      </c>
      <c r="AE10" s="94" t="e">
        <f ca="1"/>
        <v>#NAME?</v>
      </c>
    </row>
    <row r="11" spans="1:31" x14ac:dyDescent="0.35">
      <c r="A11" s="103">
        <v>78</v>
      </c>
      <c r="B11" s="97">
        <v>26</v>
      </c>
      <c r="D11" s="21" t="e">
        <f ca="1"/>
        <v>#NAME?</v>
      </c>
      <c r="E11" s="173" t="e">
        <f ca="1"/>
        <v>#NAME?</v>
      </c>
      <c r="F11" s="103">
        <f ca="1">COUNTIFS(E12:E$19,"&gt;"&amp;E11, D12:D$19,"&gt;" &amp; D11)</f>
        <v>7</v>
      </c>
      <c r="G11" s="97">
        <f ca="1">COUNTIFS(E12:E$19,"&lt;"&amp;E11, D12:D$19,"&gt;" &amp; D11)</f>
        <v>7</v>
      </c>
      <c r="H11" s="103">
        <f ca="1">IF(COUNTIF(D$3:D10,D11)=0,COUNTIF(D12:D$19,D11),0)</f>
        <v>0</v>
      </c>
      <c r="I11" s="97">
        <f ca="1">IF(COUNTIF(E$3:E10,E11)=0,COUNTIF(E12:E$19,E11),0)</f>
        <v>0</v>
      </c>
      <c r="K11" s="17" t="s">
        <v>44</v>
      </c>
      <c r="L11" s="185">
        <v>0.05</v>
      </c>
      <c r="N11" s="7"/>
    </row>
    <row r="12" spans="1:31" x14ac:dyDescent="0.35">
      <c r="A12" s="103">
        <v>78</v>
      </c>
      <c r="B12" s="97">
        <v>23</v>
      </c>
      <c r="D12" s="21" t="e">
        <f ca="1"/>
        <v>#NAME?</v>
      </c>
      <c r="E12" s="173" t="e">
        <f ca="1"/>
        <v>#NAME?</v>
      </c>
      <c r="F12" s="103">
        <f ca="1">COUNTIFS(E13:E$19,"&gt;"&amp;E12, D13:D$19,"&gt;" &amp; D12)</f>
        <v>6</v>
      </c>
      <c r="G12" s="97">
        <f ca="1">COUNTIFS(E13:E$19,"&lt;"&amp;E12, D13:D$19,"&gt;" &amp; D12)</f>
        <v>6</v>
      </c>
      <c r="H12" s="103">
        <f ca="1">IF(COUNTIF(D$3:D11,D12)=0,COUNTIF(D13:D$19,D12),0)</f>
        <v>0</v>
      </c>
      <c r="I12" s="97">
        <f ca="1">IF(COUNTIF(E$3:E11,E12)=0,COUNTIF(E13:E$19,E12),0)</f>
        <v>0</v>
      </c>
      <c r="K12" t="s">
        <v>36</v>
      </c>
      <c r="L12" s="100" t="e">
        <f ca="1">L8/L9</f>
        <v>#NUM!</v>
      </c>
      <c r="N12" s="7" t="e" cm="1">
        <f t="array" aca="1" ref="N12" ca="1">FTEXT(L12)</f>
        <v>#NAME?</v>
      </c>
      <c r="O12" s="7"/>
    </row>
    <row r="13" spans="1:31" x14ac:dyDescent="0.35">
      <c r="A13" s="103">
        <v>75</v>
      </c>
      <c r="B13" s="97">
        <v>19</v>
      </c>
      <c r="D13" s="21" t="e">
        <f ca="1"/>
        <v>#NAME?</v>
      </c>
      <c r="E13" s="173" t="e">
        <f ca="1"/>
        <v>#NAME?</v>
      </c>
      <c r="F13" s="103">
        <f ca="1">COUNTIFS(E14:E$19,"&gt;"&amp;E13, D14:D$19,"&gt;" &amp; D13)</f>
        <v>5</v>
      </c>
      <c r="G13" s="97">
        <f ca="1">COUNTIFS(E14:E$19,"&lt;"&amp;E13, D14:D$19,"&gt;" &amp; D13)</f>
        <v>5</v>
      </c>
      <c r="H13" s="103">
        <f ca="1">IF(COUNTIF(D$3:D12,D13)=0,COUNTIF(D14:D$19,D13),0)</f>
        <v>0</v>
      </c>
      <c r="I13" s="97">
        <f ca="1">IF(COUNTIF(E$3:E12,E13)=0,COUNTIF(E14:E$19,E13),0)</f>
        <v>0</v>
      </c>
      <c r="K13" t="s">
        <v>185</v>
      </c>
      <c r="L13" s="100">
        <f>NORMSINV(1-L11/2)</f>
        <v>1.9599639845400536</v>
      </c>
      <c r="N13" s="7" t="s">
        <v>502</v>
      </c>
      <c r="O13" s="7"/>
    </row>
    <row r="14" spans="1:31" x14ac:dyDescent="0.35">
      <c r="A14" s="103">
        <v>65</v>
      </c>
      <c r="B14" s="97">
        <v>24</v>
      </c>
      <c r="D14" s="21" t="e">
        <f ca="1"/>
        <v>#NAME?</v>
      </c>
      <c r="E14" s="173" t="e">
        <f ca="1"/>
        <v>#NAME?</v>
      </c>
      <c r="F14" s="103">
        <f ca="1">COUNTIFS(E15:E$19,"&gt;"&amp;E14, D15:D$19,"&gt;" &amp; D14)</f>
        <v>4</v>
      </c>
      <c r="G14" s="97">
        <f ca="1">COUNTIFS(E15:E$19,"&lt;"&amp;E14, D15:D$19,"&gt;" &amp; D14)</f>
        <v>4</v>
      </c>
      <c r="H14" s="103">
        <f ca="1">IF(COUNTIF(D$3:D13,D14)=0,COUNTIF(D15:D$19,D14),0)</f>
        <v>0</v>
      </c>
      <c r="I14" s="97">
        <f ca="1">IF(COUNTIF(E$3:E13,E14)=0,COUNTIF(E15:E$19,E14),0)</f>
        <v>0</v>
      </c>
      <c r="K14" t="s">
        <v>59</v>
      </c>
      <c r="L14" s="100" t="e">
        <f ca="1">2*(1-NORMSDIST(ABS(L12)))</f>
        <v>#NUM!</v>
      </c>
      <c r="N14" s="7" t="s">
        <v>503</v>
      </c>
    </row>
    <row r="15" spans="1:31" x14ac:dyDescent="0.35">
      <c r="A15" s="103">
        <v>72</v>
      </c>
      <c r="B15" s="97">
        <v>35</v>
      </c>
      <c r="D15" s="21" t="e">
        <f ca="1"/>
        <v>#NAME?</v>
      </c>
      <c r="E15" s="173" t="e">
        <f ca="1"/>
        <v>#NAME?</v>
      </c>
      <c r="F15" s="103">
        <f ca="1">COUNTIFS(E16:E$19,"&gt;"&amp;E15, D16:D$19,"&gt;" &amp; D15)</f>
        <v>3</v>
      </c>
      <c r="G15" s="97">
        <f ca="1">COUNTIFS(E16:E$19,"&lt;"&amp;E15, D16:D$19,"&gt;" &amp; D15)</f>
        <v>3</v>
      </c>
      <c r="H15" s="103">
        <f ca="1">IF(COUNTIF(D$3:D14,D15)=0,COUNTIF(D16:D$19,D15),0)</f>
        <v>0</v>
      </c>
      <c r="I15" s="97">
        <f ca="1">IF(COUNTIF(E$3:E14,E15)=0,COUNTIF(E16:E$19,E15),0)</f>
        <v>0</v>
      </c>
      <c r="K15" t="s">
        <v>270</v>
      </c>
      <c r="L15" s="92" t="e">
        <f ca="1">IF(L14&lt;L11,"yes","no")</f>
        <v>#NUM!</v>
      </c>
      <c r="N15" s="7" t="e" cm="1">
        <f t="array" aca="1" ref="N15" ca="1">FTEXT(L15)</f>
        <v>#NAME?</v>
      </c>
      <c r="O15" s="7"/>
    </row>
    <row r="16" spans="1:31" x14ac:dyDescent="0.35">
      <c r="A16" s="103">
        <v>58</v>
      </c>
      <c r="B16" s="97">
        <v>29</v>
      </c>
      <c r="D16" s="21" t="e">
        <f ca="1"/>
        <v>#NAME?</v>
      </c>
      <c r="E16" s="74" t="e">
        <f ca="1"/>
        <v>#NAME?</v>
      </c>
      <c r="F16" s="103">
        <f ca="1">COUNTIFS(E17:E$19,"&gt;"&amp;E16, D17:D$19,"&gt;" &amp; D16)</f>
        <v>2</v>
      </c>
      <c r="G16" s="97">
        <f ca="1">COUNTIFS(E17:E$19,"&lt;"&amp;E16, D17:D$19,"&gt;" &amp; D16)</f>
        <v>2</v>
      </c>
      <c r="H16" s="103">
        <f ca="1">IF(COUNTIF(D$3:D15,D16)=0,COUNTIF(D17:D$19,D16),0)</f>
        <v>0</v>
      </c>
      <c r="I16" s="97">
        <f ca="1">IF(COUNTIF(E$3:E15,E16)=0,COUNTIF(E17:E$19,E16),0)</f>
        <v>0</v>
      </c>
      <c r="N16" s="7"/>
      <c r="O16" s="7"/>
    </row>
    <row r="17" spans="1:14" x14ac:dyDescent="0.35">
      <c r="A17" s="103">
        <v>92</v>
      </c>
      <c r="B17" s="97">
        <v>4</v>
      </c>
      <c r="D17" s="21" t="e">
        <f ca="1"/>
        <v>#NAME?</v>
      </c>
      <c r="E17" s="74" t="e">
        <f ca="1"/>
        <v>#NAME?</v>
      </c>
      <c r="F17" s="103">
        <f ca="1">COUNTIFS(E18:E$19,"&gt;"&amp;E17, D18:D$19,"&gt;" &amp; D17)</f>
        <v>1</v>
      </c>
      <c r="G17" s="97">
        <f ca="1">COUNTIFS(E18:E$19,"&lt;"&amp;E17, D18:D$19,"&gt;" &amp; D17)</f>
        <v>1</v>
      </c>
      <c r="H17" s="103">
        <f ca="1">IF(COUNTIF(D$3:D16,D17)=0,COUNTIF(D18:D$19,D17),0)</f>
        <v>0</v>
      </c>
      <c r="I17" s="97">
        <f ca="1">IF(COUNTIF(E$3:E16,E17)=0,COUNTIF(E18:E$19,E17),0)</f>
        <v>0</v>
      </c>
      <c r="K17" t="s">
        <v>29</v>
      </c>
      <c r="L17" s="185" t="e">
        <f ca="1">L8-L9*L13</f>
        <v>#NUM!</v>
      </c>
      <c r="N17" s="7" t="e" cm="1">
        <f t="array" aca="1" ref="N17" ca="1">FTEXT(L17)</f>
        <v>#NAME?</v>
      </c>
    </row>
    <row r="18" spans="1:14" x14ac:dyDescent="0.35">
      <c r="A18" s="95">
        <v>65</v>
      </c>
      <c r="B18" s="90">
        <v>14</v>
      </c>
      <c r="D18" s="75" t="e">
        <f ca="1"/>
        <v>#NAME?</v>
      </c>
      <c r="E18" s="174" t="e">
        <f ca="1"/>
        <v>#NAME?</v>
      </c>
      <c r="F18" s="95">
        <f ca="1">COUNTIFS(E19:E$19,"&gt;"&amp;E18, D19:D$19,"&gt;" &amp; D18)</f>
        <v>0</v>
      </c>
      <c r="G18" s="90">
        <f ca="1">COUNTIFS(E19:E$19,"&lt;"&amp;E18, D19:D$19,"&gt;" &amp; D18)</f>
        <v>0</v>
      </c>
      <c r="H18" s="95">
        <f ca="1">IF(COUNTIF(D$3:D17,D18)=0,COUNTIF(D19:D$19,D18),0)</f>
        <v>0</v>
      </c>
      <c r="I18" s="90">
        <f ca="1">IF(COUNTIF(E$3:E17,E18)=0,COUNTIF(E19:E$19,E18),0)</f>
        <v>0</v>
      </c>
      <c r="K18" t="s">
        <v>30</v>
      </c>
      <c r="L18" s="94" t="e">
        <f ca="1">L8+L9*L13</f>
        <v>#NUM!</v>
      </c>
      <c r="N18" s="7" t="e" cm="1">
        <f t="array" aca="1" ref="N18" ca="1">FTEXT(L18)</f>
        <v>#NAME?</v>
      </c>
    </row>
    <row r="19" spans="1:14" x14ac:dyDescent="0.35">
      <c r="F19" s="172">
        <f ca="1">SUM(F4:F18)</f>
        <v>105</v>
      </c>
      <c r="G19" s="172">
        <f ca="1">SUM(G4:G18)</f>
        <v>105</v>
      </c>
      <c r="H19" s="172">
        <f ca="1">SUMPRODUCT(H4:H18,H4:H18+1)/2</f>
        <v>105</v>
      </c>
      <c r="I19" s="172">
        <f ca="1">SUMPRODUCT(I4:I18,I4:I18+1)/2</f>
        <v>105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79"/>
  <dimension ref="A1:AA14"/>
  <sheetViews>
    <sheetView workbookViewId="0"/>
  </sheetViews>
  <sheetFormatPr defaultRowHeight="14.5" x14ac:dyDescent="0.35"/>
  <cols>
    <col min="1" max="1" width="2.81640625" customWidth="1"/>
    <col min="2" max="4" width="5.7265625" customWidth="1"/>
    <col min="14" max="16" width="7.453125" customWidth="1"/>
    <col min="17" max="17" width="6" customWidth="1"/>
    <col min="18" max="18" width="4.54296875" customWidth="1"/>
    <col min="25" max="25" width="6.26953125" customWidth="1"/>
    <col min="26" max="26" width="4.7265625" customWidth="1"/>
  </cols>
  <sheetData>
    <row r="1" spans="1:27" x14ac:dyDescent="0.35">
      <c r="A1" s="1" t="s">
        <v>530</v>
      </c>
    </row>
    <row r="2" spans="1:27" x14ac:dyDescent="0.35">
      <c r="B2" s="227"/>
      <c r="C2" s="227"/>
    </row>
    <row r="4" spans="1:27" x14ac:dyDescent="0.35">
      <c r="B4" s="266" t="s">
        <v>3</v>
      </c>
      <c r="C4" s="266" t="s">
        <v>107</v>
      </c>
      <c r="N4" s="255" t="s">
        <v>3</v>
      </c>
      <c r="O4" s="255" t="s">
        <v>107</v>
      </c>
      <c r="P4" s="255" t="s">
        <v>36</v>
      </c>
      <c r="V4" s="255" t="s">
        <v>3</v>
      </c>
      <c r="W4" s="255" t="s">
        <v>107</v>
      </c>
      <c r="X4" s="255" t="s">
        <v>36</v>
      </c>
    </row>
    <row r="5" spans="1:27" x14ac:dyDescent="0.35">
      <c r="B5" s="16">
        <v>1.6</v>
      </c>
      <c r="C5" s="16">
        <v>5</v>
      </c>
      <c r="N5" s="16">
        <v>1.6</v>
      </c>
      <c r="O5" s="16">
        <v>5</v>
      </c>
      <c r="P5" s="16">
        <f>IF(S$5&lt;&gt;0,(O5^S$5-1)/S$5,LN(O5))</f>
        <v>1.612764227981595</v>
      </c>
      <c r="R5" s="57" t="s">
        <v>283</v>
      </c>
      <c r="S5" s="254">
        <v>2.5647628637056564E-3</v>
      </c>
      <c r="V5" s="16">
        <v>1.6</v>
      </c>
      <c r="W5" s="16">
        <v>5</v>
      </c>
      <c r="X5" s="16">
        <f>IF(AA$5&lt;&gt;0,(W5^AA$5-1)/AA$5,LN(W5))</f>
        <v>1.6094379124341003</v>
      </c>
      <c r="Z5" s="57" t="s">
        <v>283</v>
      </c>
      <c r="AA5" s="254">
        <v>0</v>
      </c>
    </row>
    <row r="6" spans="1:27" x14ac:dyDescent="0.35">
      <c r="B6" s="16">
        <v>0.5</v>
      </c>
      <c r="C6" s="16">
        <v>1.5</v>
      </c>
      <c r="N6" s="16">
        <v>0.5</v>
      </c>
      <c r="O6" s="16">
        <v>1.5</v>
      </c>
      <c r="P6" s="16">
        <f t="shared" ref="P6:P14" si="0">IF(S$5&lt;&gt;0,(O6^S$5-1)/S$5,LN(O6))</f>
        <v>0.4056760072210539</v>
      </c>
      <c r="R6" s="276" t="s">
        <v>95</v>
      </c>
      <c r="S6" s="94">
        <f>CORREL(N5:N14,P5:P14)</f>
        <v>0.99871619556178204</v>
      </c>
      <c r="V6" s="16">
        <v>0.5</v>
      </c>
      <c r="W6" s="16">
        <v>1.5</v>
      </c>
      <c r="X6" s="16">
        <f t="shared" ref="X6:X14" si="1">IF(AA$5&lt;&gt;0,(W6^AA$5-1)/AA$5,LN(W6))</f>
        <v>0.40546510810816438</v>
      </c>
      <c r="Z6" s="276" t="s">
        <v>95</v>
      </c>
      <c r="AA6" s="94">
        <f>CORREL(V5:V14,X5:X14)</f>
        <v>0.99870923288402336</v>
      </c>
    </row>
    <row r="7" spans="1:27" x14ac:dyDescent="0.35">
      <c r="B7" s="16">
        <v>3.2</v>
      </c>
      <c r="C7" s="16">
        <v>26</v>
      </c>
      <c r="N7" s="16">
        <v>3.2</v>
      </c>
      <c r="O7" s="16">
        <v>26</v>
      </c>
      <c r="P7" s="16">
        <f t="shared" si="0"/>
        <v>3.2717472609218903</v>
      </c>
      <c r="V7" s="16">
        <v>3.2</v>
      </c>
      <c r="W7" s="16">
        <v>26</v>
      </c>
      <c r="X7" s="16">
        <f t="shared" si="1"/>
        <v>3.2580965380214821</v>
      </c>
    </row>
    <row r="8" spans="1:27" x14ac:dyDescent="0.35">
      <c r="B8" s="16">
        <v>1.5</v>
      </c>
      <c r="C8" s="16">
        <v>4.5</v>
      </c>
      <c r="N8" s="16">
        <v>1.5</v>
      </c>
      <c r="O8" s="16">
        <v>4.5</v>
      </c>
      <c r="P8" s="16">
        <f t="shared" si="0"/>
        <v>1.5069821966375707</v>
      </c>
      <c r="V8" s="16">
        <v>1.5</v>
      </c>
      <c r="W8" s="16">
        <v>4.5</v>
      </c>
      <c r="X8" s="16">
        <f t="shared" si="1"/>
        <v>1.5040773967762742</v>
      </c>
    </row>
    <row r="9" spans="1:27" x14ac:dyDescent="0.35">
      <c r="B9" s="16">
        <v>2</v>
      </c>
      <c r="C9" s="16">
        <v>7.1</v>
      </c>
      <c r="N9" s="16">
        <v>2</v>
      </c>
      <c r="O9" s="16">
        <v>7.1</v>
      </c>
      <c r="P9" s="16">
        <f t="shared" si="0"/>
        <v>1.9650299235169986</v>
      </c>
      <c r="V9" s="16">
        <v>2</v>
      </c>
      <c r="W9" s="16">
        <v>7.1</v>
      </c>
      <c r="X9" s="16">
        <f t="shared" si="1"/>
        <v>1.9600947840472698</v>
      </c>
    </row>
    <row r="10" spans="1:27" x14ac:dyDescent="0.35">
      <c r="B10" s="16">
        <v>2.8</v>
      </c>
      <c r="C10" s="16">
        <v>15</v>
      </c>
      <c r="N10" s="16">
        <v>2.8</v>
      </c>
      <c r="O10" s="16">
        <v>15</v>
      </c>
      <c r="P10" s="16">
        <f t="shared" si="0"/>
        <v>2.717476401969285</v>
      </c>
      <c r="V10" s="16">
        <v>2.8</v>
      </c>
      <c r="W10" s="16">
        <v>15</v>
      </c>
      <c r="X10" s="16">
        <f t="shared" si="1"/>
        <v>2.7080502011022101</v>
      </c>
    </row>
    <row r="11" spans="1:27" x14ac:dyDescent="0.35">
      <c r="B11" s="16">
        <v>2.9</v>
      </c>
      <c r="C11" s="16">
        <v>18.2</v>
      </c>
      <c r="N11" s="16">
        <v>2.9</v>
      </c>
      <c r="O11" s="16">
        <v>18.2</v>
      </c>
      <c r="P11" s="16">
        <f t="shared" si="0"/>
        <v>2.9122438258067587</v>
      </c>
      <c r="V11" s="16">
        <v>2.9</v>
      </c>
      <c r="W11" s="16">
        <v>18.2</v>
      </c>
      <c r="X11" s="16">
        <f t="shared" si="1"/>
        <v>2.9014215940827497</v>
      </c>
    </row>
    <row r="12" spans="1:27" x14ac:dyDescent="0.35">
      <c r="B12" s="16">
        <v>3.5</v>
      </c>
      <c r="C12" s="16">
        <v>33</v>
      </c>
      <c r="N12" s="16">
        <v>3.5</v>
      </c>
      <c r="O12" s="16">
        <v>33</v>
      </c>
      <c r="P12" s="16">
        <f t="shared" si="0"/>
        <v>3.5122323692176183</v>
      </c>
      <c r="V12" s="16">
        <v>3.5</v>
      </c>
      <c r="W12" s="16">
        <v>33</v>
      </c>
      <c r="X12" s="16">
        <f t="shared" si="1"/>
        <v>3.4965075614664802</v>
      </c>
    </row>
    <row r="13" spans="1:27" x14ac:dyDescent="0.35">
      <c r="B13" s="16">
        <v>1</v>
      </c>
      <c r="C13" s="16">
        <v>2.9</v>
      </c>
      <c r="N13" s="16">
        <v>1</v>
      </c>
      <c r="O13" s="16">
        <v>2.9</v>
      </c>
      <c r="P13" s="16">
        <f t="shared" si="0"/>
        <v>1.066165780207575</v>
      </c>
      <c r="V13" s="16">
        <v>1</v>
      </c>
      <c r="W13" s="16">
        <v>2.9</v>
      </c>
      <c r="X13" s="16">
        <f t="shared" si="1"/>
        <v>1.0647107369924282</v>
      </c>
    </row>
    <row r="14" spans="1:27" x14ac:dyDescent="0.35">
      <c r="B14" s="192">
        <v>3.1</v>
      </c>
      <c r="C14" s="192">
        <v>22</v>
      </c>
      <c r="N14" s="192">
        <v>3.1</v>
      </c>
      <c r="O14" s="192">
        <v>22</v>
      </c>
      <c r="P14" s="192">
        <f t="shared" si="0"/>
        <v>3.1033274653429537</v>
      </c>
      <c r="V14" s="192">
        <v>3.1</v>
      </c>
      <c r="W14" s="192">
        <v>22</v>
      </c>
      <c r="X14" s="192">
        <f t="shared" si="1"/>
        <v>3.0910424533583161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80"/>
  <dimension ref="A1:BE39"/>
  <sheetViews>
    <sheetView workbookViewId="0"/>
  </sheetViews>
  <sheetFormatPr defaultRowHeight="14.5" x14ac:dyDescent="0.35"/>
  <cols>
    <col min="1" max="1" width="3.54296875" customWidth="1"/>
    <col min="17" max="17" width="6.1796875" customWidth="1"/>
    <col min="18" max="18" width="3.453125" customWidth="1"/>
    <col min="20" max="20" width="4.81640625" customWidth="1"/>
    <col min="21" max="21" width="3.7265625" customWidth="1"/>
    <col min="22" max="22" width="9.81640625" customWidth="1"/>
    <col min="44" max="44" width="4.26953125" customWidth="1"/>
    <col min="45" max="45" width="6" customWidth="1"/>
    <col min="47" max="47" width="5.453125" customWidth="1"/>
    <col min="48" max="48" width="3.81640625" customWidth="1"/>
  </cols>
  <sheetData>
    <row r="1" spans="1:57" x14ac:dyDescent="0.35">
      <c r="A1" s="1" t="s">
        <v>530</v>
      </c>
    </row>
    <row r="2" spans="1:57" x14ac:dyDescent="0.35">
      <c r="AY2" t="s">
        <v>248</v>
      </c>
    </row>
    <row r="3" spans="1:57" x14ac:dyDescent="0.35">
      <c r="B3" s="255" t="s">
        <v>67</v>
      </c>
      <c r="D3" t="s">
        <v>346</v>
      </c>
      <c r="N3" s="255" t="s">
        <v>67</v>
      </c>
      <c r="O3" s="255" t="s">
        <v>3</v>
      </c>
      <c r="P3" s="255" t="s">
        <v>107</v>
      </c>
      <c r="Q3" s="14"/>
      <c r="S3" s="255" t="s">
        <v>36</v>
      </c>
      <c r="X3" t="s">
        <v>248</v>
      </c>
      <c r="AC3" t="s">
        <v>346</v>
      </c>
      <c r="AO3" s="255" t="s">
        <v>67</v>
      </c>
      <c r="AP3" s="255" t="s">
        <v>3</v>
      </c>
      <c r="AQ3" s="255" t="s">
        <v>107</v>
      </c>
      <c r="AR3" s="14"/>
      <c r="AT3" s="255" t="s">
        <v>36</v>
      </c>
      <c r="BD3" t="s">
        <v>346</v>
      </c>
    </row>
    <row r="4" spans="1:57" x14ac:dyDescent="0.35">
      <c r="B4">
        <v>4.5</v>
      </c>
      <c r="N4">
        <v>4.5</v>
      </c>
      <c r="O4" t="e">
        <f t="array" aca="1" ref="O4:O13" ca="1">QSORT(N4:N13)</f>
        <v>#NAME?</v>
      </c>
      <c r="P4" t="e">
        <f t="shared" ref="P4:P13" ca="1" si="0">(O4^V$4-1)/V$4</f>
        <v>#NAME?</v>
      </c>
      <c r="R4">
        <v>1</v>
      </c>
      <c r="S4">
        <f t="shared" ref="S4:S13" si="1">NORMSINV((R4-0.5)/R$13)</f>
        <v>-1.6448536269514726</v>
      </c>
      <c r="U4" s="17" t="s">
        <v>283</v>
      </c>
      <c r="V4" s="254">
        <v>-0.2866286748293938</v>
      </c>
      <c r="AO4">
        <v>4.5</v>
      </c>
      <c r="AP4" t="e">
        <f t="array" aca="1" ref="AP4:AP13" ca="1">QSORT(AO4:AO13)</f>
        <v>#NAME?</v>
      </c>
      <c r="AQ4" t="e">
        <f t="shared" ref="AQ4:AQ13" ca="1" si="2">(AP4^AW$4-1)/AW$4</f>
        <v>#NAME?</v>
      </c>
      <c r="AS4">
        <v>1</v>
      </c>
      <c r="AT4">
        <f t="shared" ref="AT4:AT13" si="3">NORMSINV((AS4-0.5)/AS$13)</f>
        <v>-1.6448536269514726</v>
      </c>
      <c r="AV4" s="17" t="s">
        <v>283</v>
      </c>
      <c r="AW4" s="254">
        <v>-0.216</v>
      </c>
      <c r="AY4" t="s">
        <v>65</v>
      </c>
    </row>
    <row r="5" spans="1:57" x14ac:dyDescent="0.35">
      <c r="B5">
        <v>1.8</v>
      </c>
      <c r="D5" s="191"/>
      <c r="E5" s="191" t="s">
        <v>64</v>
      </c>
      <c r="N5">
        <v>1.8</v>
      </c>
      <c r="O5" t="e">
        <f ca="1"/>
        <v>#NAME?</v>
      </c>
      <c r="P5" t="e">
        <f t="shared" ca="1" si="0"/>
        <v>#NAME?</v>
      </c>
      <c r="R5">
        <f>R4+1</f>
        <v>2</v>
      </c>
      <c r="S5">
        <f t="shared" si="1"/>
        <v>-1.0364333894937898</v>
      </c>
      <c r="U5" t="s">
        <v>95</v>
      </c>
      <c r="V5" s="94" t="e">
        <f ca="1">CORREL(P4:P13,S4:S13)</f>
        <v>#NAME?</v>
      </c>
      <c r="X5" t="s">
        <v>65</v>
      </c>
      <c r="AC5" s="191"/>
      <c r="AD5" s="191" t="s">
        <v>64</v>
      </c>
      <c r="AO5">
        <v>1.8</v>
      </c>
      <c r="AP5" t="e">
        <f ca="1"/>
        <v>#NAME?</v>
      </c>
      <c r="AQ5" t="e">
        <f t="shared" ca="1" si="2"/>
        <v>#NAME?</v>
      </c>
      <c r="AS5">
        <f>AS4+1</f>
        <v>2</v>
      </c>
      <c r="AT5">
        <f t="shared" si="3"/>
        <v>-1.0364333894937898</v>
      </c>
      <c r="AV5" t="s">
        <v>95</v>
      </c>
      <c r="AW5" s="94" t="e">
        <f ca="1">CORREL(AQ4:AQ13,AT4:AT13)</f>
        <v>#NAME?</v>
      </c>
      <c r="BD5" s="191"/>
      <c r="BE5" s="191" t="s">
        <v>64</v>
      </c>
    </row>
    <row r="6" spans="1:57" x14ac:dyDescent="0.35">
      <c r="B6">
        <v>9.3000000000000007</v>
      </c>
      <c r="D6" t="s">
        <v>286</v>
      </c>
      <c r="E6" t="e" cm="1">
        <f t="array" aca="1" ref="E6" ca="1">SHAPIRO(B4:B13)</f>
        <v>#NAME?</v>
      </c>
      <c r="N6">
        <v>9.3000000000000007</v>
      </c>
      <c r="O6" t="e">
        <f ca="1"/>
        <v>#NAME?</v>
      </c>
      <c r="P6" t="e">
        <f t="shared" ca="1" si="0"/>
        <v>#NAME?</v>
      </c>
      <c r="R6">
        <f t="shared" ref="R6:R13" si="4">R5+1</f>
        <v>3</v>
      </c>
      <c r="S6">
        <f t="shared" si="1"/>
        <v>-0.67448975019608193</v>
      </c>
      <c r="AC6" t="s">
        <v>286</v>
      </c>
      <c r="AD6" t="e" cm="1">
        <f t="array" aca="1" ref="AD6" ca="1">SHAPIRO(P4:P13)</f>
        <v>#NAME?</v>
      </c>
      <c r="AO6">
        <v>9.3000000000000007</v>
      </c>
      <c r="AP6" t="e">
        <f ca="1"/>
        <v>#NAME?</v>
      </c>
      <c r="AQ6" t="e">
        <f t="shared" ca="1" si="2"/>
        <v>#NAME?</v>
      </c>
      <c r="AS6">
        <f t="shared" ref="AS6:AS13" si="5">AS5+1</f>
        <v>3</v>
      </c>
      <c r="AT6">
        <f t="shared" si="3"/>
        <v>-0.67448975019608193</v>
      </c>
      <c r="AY6" t="s">
        <v>20</v>
      </c>
      <c r="AZ6">
        <f ca="1">COUNT(AQ4:AQ13)</f>
        <v>0</v>
      </c>
      <c r="BA6">
        <f ca="1">2*AZ6</f>
        <v>0</v>
      </c>
      <c r="BD6" t="s">
        <v>286</v>
      </c>
      <c r="BE6" t="e" cm="1">
        <f t="array" aca="1" ref="BE6" ca="1">SHAPIRO(AQ4:AQ13)</f>
        <v>#NAME?</v>
      </c>
    </row>
    <row r="7" spans="1:57" x14ac:dyDescent="0.35">
      <c r="B7">
        <v>6.1</v>
      </c>
      <c r="D7" t="s">
        <v>59</v>
      </c>
      <c r="E7" t="e" cm="1">
        <f t="array" aca="1" ref="E7" ca="1">SWTEST(B4:B13)</f>
        <v>#NAME?</v>
      </c>
      <c r="N7">
        <v>6.1</v>
      </c>
      <c r="O7" t="e">
        <f ca="1"/>
        <v>#NAME?</v>
      </c>
      <c r="P7" t="e">
        <f t="shared" ca="1" si="0"/>
        <v>#NAME?</v>
      </c>
      <c r="R7">
        <f t="shared" si="4"/>
        <v>4</v>
      </c>
      <c r="S7">
        <f t="shared" si="1"/>
        <v>-0.38532046640756784</v>
      </c>
      <c r="X7" t="s">
        <v>20</v>
      </c>
      <c r="Y7">
        <f ca="1">COUNT(P4:P13)</f>
        <v>0</v>
      </c>
      <c r="Z7">
        <f ca="1">2*Y7</f>
        <v>0</v>
      </c>
      <c r="AC7" t="s">
        <v>59</v>
      </c>
      <c r="AD7" t="e" cm="1">
        <f t="array" aca="1" ref="AD7" ca="1">SWTEST(P4:P13)</f>
        <v>#NAME?</v>
      </c>
      <c r="AO7">
        <v>6.1</v>
      </c>
      <c r="AP7" t="e">
        <f ca="1"/>
        <v>#NAME?</v>
      </c>
      <c r="AQ7" t="e">
        <f t="shared" ca="1" si="2"/>
        <v>#NAME?</v>
      </c>
      <c r="AS7">
        <f t="shared" si="5"/>
        <v>4</v>
      </c>
      <c r="AT7">
        <f t="shared" si="3"/>
        <v>-0.38532046640756784</v>
      </c>
      <c r="AY7" t="s">
        <v>8</v>
      </c>
      <c r="AZ7" t="e">
        <f ca="1">AVERAGE(AQ4:AQ13)</f>
        <v>#NAME?</v>
      </c>
      <c r="BD7" t="s">
        <v>59</v>
      </c>
      <c r="BE7" t="e" cm="1">
        <f t="array" aca="1" ref="BE7" ca="1">SWTEST(AQ4:AQ13)</f>
        <v>#NAME?</v>
      </c>
    </row>
    <row r="8" spans="1:57" x14ac:dyDescent="0.35">
      <c r="B8">
        <v>8.1999999999999993</v>
      </c>
      <c r="D8" t="s">
        <v>88</v>
      </c>
      <c r="E8">
        <v>0.05</v>
      </c>
      <c r="N8">
        <v>8.1999999999999993</v>
      </c>
      <c r="O8" t="e">
        <f ca="1"/>
        <v>#NAME?</v>
      </c>
      <c r="P8" t="e">
        <f t="shared" ca="1" si="0"/>
        <v>#NAME?</v>
      </c>
      <c r="R8">
        <f t="shared" si="4"/>
        <v>5</v>
      </c>
      <c r="S8">
        <f t="shared" si="1"/>
        <v>-0.12566134685507402</v>
      </c>
      <c r="X8" t="s">
        <v>8</v>
      </c>
      <c r="Y8" t="e">
        <f ca="1">AVERAGE(P4:P13)</f>
        <v>#NAME?</v>
      </c>
      <c r="AC8" t="s">
        <v>88</v>
      </c>
      <c r="AD8">
        <v>0.05</v>
      </c>
      <c r="AO8">
        <v>8.1999999999999993</v>
      </c>
      <c r="AP8" t="e">
        <f ca="1"/>
        <v>#NAME?</v>
      </c>
      <c r="AQ8" t="e">
        <f t="shared" ca="1" si="2"/>
        <v>#NAME?</v>
      </c>
      <c r="AS8">
        <f t="shared" si="5"/>
        <v>5</v>
      </c>
      <c r="AT8">
        <f t="shared" si="3"/>
        <v>-0.12566134685507402</v>
      </c>
      <c r="AY8" t="s">
        <v>52</v>
      </c>
      <c r="AZ8" t="e">
        <f ca="1">STDEV(AQ4:AQ13)</f>
        <v>#NAME?</v>
      </c>
      <c r="BD8" t="s">
        <v>88</v>
      </c>
      <c r="BE8">
        <v>0.05</v>
      </c>
    </row>
    <row r="9" spans="1:57" x14ac:dyDescent="0.35">
      <c r="B9">
        <v>13.9</v>
      </c>
      <c r="D9" s="159" t="s">
        <v>347</v>
      </c>
      <c r="E9" s="188" t="e">
        <f ca="1">IF(E7&lt;E8,"no","yes")</f>
        <v>#NAME?</v>
      </c>
      <c r="N9">
        <v>13.9</v>
      </c>
      <c r="O9" t="e">
        <f ca="1"/>
        <v>#NAME?</v>
      </c>
      <c r="P9" t="e">
        <f t="shared" ca="1" si="0"/>
        <v>#NAME?</v>
      </c>
      <c r="R9">
        <f t="shared" si="4"/>
        <v>6</v>
      </c>
      <c r="S9">
        <f t="shared" si="1"/>
        <v>0.12566134685507416</v>
      </c>
      <c r="X9" t="s">
        <v>52</v>
      </c>
      <c r="Y9" t="e">
        <f ca="1">STDEV(P4:P13)</f>
        <v>#NAME?</v>
      </c>
      <c r="AC9" s="159" t="s">
        <v>347</v>
      </c>
      <c r="AD9" s="188" t="e">
        <f ca="1">IF(AD7&lt;AD8,"no","yes")</f>
        <v>#NAME?</v>
      </c>
      <c r="AO9">
        <v>13.9</v>
      </c>
      <c r="AP9" t="e">
        <f ca="1"/>
        <v>#NAME?</v>
      </c>
      <c r="AQ9" t="e">
        <f t="shared" ca="1" si="2"/>
        <v>#NAME?</v>
      </c>
      <c r="AS9">
        <f t="shared" si="5"/>
        <v>6</v>
      </c>
      <c r="AT9">
        <f t="shared" si="3"/>
        <v>0.12566134685507416</v>
      </c>
      <c r="BD9" s="159" t="s">
        <v>347</v>
      </c>
      <c r="BE9" s="188" t="e">
        <f ca="1">IF(BE7&lt;BE8,"no","yes")</f>
        <v>#NAME?</v>
      </c>
    </row>
    <row r="10" spans="1:57" x14ac:dyDescent="0.35">
      <c r="B10">
        <v>23.5</v>
      </c>
      <c r="N10">
        <v>23.5</v>
      </c>
      <c r="O10" t="e">
        <f ca="1"/>
        <v>#NAME?</v>
      </c>
      <c r="P10" t="e">
        <f t="shared" ca="1" si="0"/>
        <v>#NAME?</v>
      </c>
      <c r="R10">
        <f t="shared" si="4"/>
        <v>7</v>
      </c>
      <c r="S10">
        <f t="shared" si="1"/>
        <v>0.38532046640756784</v>
      </c>
      <c r="AO10">
        <v>23.5</v>
      </c>
      <c r="AP10" t="e">
        <f ca="1"/>
        <v>#NAME?</v>
      </c>
      <c r="AQ10" t="e">
        <f t="shared" ca="1" si="2"/>
        <v>#NAME?</v>
      </c>
      <c r="AS10">
        <f t="shared" si="5"/>
        <v>7</v>
      </c>
      <c r="AT10">
        <f t="shared" si="3"/>
        <v>0.38532046640756784</v>
      </c>
      <c r="AY10" t="s">
        <v>66</v>
      </c>
      <c r="AZ10" t="s">
        <v>67</v>
      </c>
      <c r="BA10" t="s">
        <v>247</v>
      </c>
      <c r="BB10" t="s">
        <v>68</v>
      </c>
    </row>
    <row r="11" spans="1:57" x14ac:dyDescent="0.35">
      <c r="B11">
        <v>3.2</v>
      </c>
      <c r="N11">
        <v>3.2</v>
      </c>
      <c r="O11" t="e">
        <f ca="1"/>
        <v>#NAME?</v>
      </c>
      <c r="P11" t="e">
        <f t="shared" ca="1" si="0"/>
        <v>#NAME?</v>
      </c>
      <c r="R11">
        <f t="shared" si="4"/>
        <v>8</v>
      </c>
      <c r="S11">
        <f t="shared" si="1"/>
        <v>0.67448975019608193</v>
      </c>
      <c r="X11" t="s">
        <v>66</v>
      </c>
      <c r="Y11" t="s">
        <v>67</v>
      </c>
      <c r="Z11" t="s">
        <v>247</v>
      </c>
      <c r="AA11" t="s">
        <v>68</v>
      </c>
      <c r="AO11">
        <v>3.2</v>
      </c>
      <c r="AP11" t="e">
        <f ca="1"/>
        <v>#NAME?</v>
      </c>
      <c r="AQ11" t="e">
        <f t="shared" ca="1" si="2"/>
        <v>#NAME?</v>
      </c>
      <c r="AS11">
        <f t="shared" si="5"/>
        <v>8</v>
      </c>
      <c r="AT11">
        <f t="shared" si="3"/>
        <v>0.67448975019608193</v>
      </c>
      <c r="AY11">
        <v>1</v>
      </c>
      <c r="AZ11" t="e">
        <f t="array" aca="1" ref="AZ11:AZ20" ca="1">QSORT(AQ4:AQ13)</f>
        <v>#NAME?</v>
      </c>
      <c r="BA11" t="e">
        <f ca="1">NORMSINV(AY11/BA$6)</f>
        <v>#DIV/0!</v>
      </c>
      <c r="BB11" t="e">
        <f ca="1">STANDARDIZE(AZ11,AZ$7,AZ$8)</f>
        <v>#NAME?</v>
      </c>
    </row>
    <row r="12" spans="1:57" x14ac:dyDescent="0.35">
      <c r="B12">
        <v>56.8</v>
      </c>
      <c r="N12">
        <v>56.8</v>
      </c>
      <c r="O12" t="e">
        <f ca="1"/>
        <v>#NAME?</v>
      </c>
      <c r="P12" t="e">
        <f t="shared" ca="1" si="0"/>
        <v>#NAME?</v>
      </c>
      <c r="R12">
        <f t="shared" si="4"/>
        <v>9</v>
      </c>
      <c r="S12">
        <f t="shared" si="1"/>
        <v>1.0364333894937898</v>
      </c>
      <c r="X12">
        <v>1</v>
      </c>
      <c r="Y12" t="e">
        <f t="array" aca="1" ref="Y12:Y21" ca="1">QSORT(P4:P13)</f>
        <v>#NAME?</v>
      </c>
      <c r="Z12" t="e">
        <f ca="1">NORMSINV(X12/Z$7)</f>
        <v>#DIV/0!</v>
      </c>
      <c r="AA12" t="e">
        <f ca="1">STANDARDIZE(Y12,Y$8,Y$9)</f>
        <v>#NAME?</v>
      </c>
      <c r="AO12">
        <v>56.8</v>
      </c>
      <c r="AP12" t="e">
        <f ca="1"/>
        <v>#NAME?</v>
      </c>
      <c r="AQ12" t="e">
        <f t="shared" ca="1" si="2"/>
        <v>#NAME?</v>
      </c>
      <c r="AS12">
        <f t="shared" si="5"/>
        <v>9</v>
      </c>
      <c r="AT12">
        <f t="shared" si="3"/>
        <v>1.0364333894937898</v>
      </c>
      <c r="AY12">
        <f>AY11+2</f>
        <v>3</v>
      </c>
      <c r="AZ12" t="e">
        <f ca="1"/>
        <v>#NAME?</v>
      </c>
      <c r="BA12" t="e">
        <f t="shared" ref="BA12:BA20" ca="1" si="6">NORMSINV(AY12/BA$6)</f>
        <v>#DIV/0!</v>
      </c>
      <c r="BB12" t="e">
        <f t="shared" ref="BB12:BB20" ca="1" si="7">STANDARDIZE(AZ12,AZ$7,AZ$8)</f>
        <v>#NAME?</v>
      </c>
    </row>
    <row r="13" spans="1:57" x14ac:dyDescent="0.35">
      <c r="B13" s="159">
        <v>80.7</v>
      </c>
      <c r="N13" s="159">
        <v>80.7</v>
      </c>
      <c r="O13" s="159" t="e">
        <f ca="1"/>
        <v>#NAME?</v>
      </c>
      <c r="P13" s="159" t="e">
        <f t="shared" ca="1" si="0"/>
        <v>#NAME?</v>
      </c>
      <c r="Q13" s="4"/>
      <c r="R13">
        <f t="shared" si="4"/>
        <v>10</v>
      </c>
      <c r="S13" s="159">
        <f t="shared" si="1"/>
        <v>1.6448536269514715</v>
      </c>
      <c r="X13">
        <f>X12+2</f>
        <v>3</v>
      </c>
      <c r="Y13" t="e">
        <f ca="1"/>
        <v>#NAME?</v>
      </c>
      <c r="Z13" t="e">
        <f t="shared" ref="Z13:Z21" ca="1" si="8">NORMSINV(X13/Z$7)</f>
        <v>#DIV/0!</v>
      </c>
      <c r="AA13" t="e">
        <f t="shared" ref="AA13:AA21" ca="1" si="9">STANDARDIZE(Y13,Y$8,Y$9)</f>
        <v>#NAME?</v>
      </c>
      <c r="AO13" s="159">
        <v>80.7</v>
      </c>
      <c r="AP13" s="159" t="e">
        <f ca="1"/>
        <v>#NAME?</v>
      </c>
      <c r="AQ13" s="159" t="e">
        <f t="shared" ca="1" si="2"/>
        <v>#NAME?</v>
      </c>
      <c r="AR13" s="4"/>
      <c r="AS13">
        <f t="shared" si="5"/>
        <v>10</v>
      </c>
      <c r="AT13" s="159">
        <f t="shared" si="3"/>
        <v>1.6448536269514715</v>
      </c>
      <c r="AY13">
        <f t="shared" ref="AY13:AY20" si="10">AY12+2</f>
        <v>5</v>
      </c>
      <c r="AZ13" t="e">
        <f ca="1"/>
        <v>#NAME?</v>
      </c>
      <c r="BA13" t="e">
        <f t="shared" ca="1" si="6"/>
        <v>#DIV/0!</v>
      </c>
      <c r="BB13" t="e">
        <f t="shared" ca="1" si="7"/>
        <v>#NAME?</v>
      </c>
    </row>
    <row r="14" spans="1:57" x14ac:dyDescent="0.35">
      <c r="X14">
        <f t="shared" ref="X14:X21" si="11">X13+2</f>
        <v>5</v>
      </c>
      <c r="Y14" t="e">
        <f ca="1"/>
        <v>#NAME?</v>
      </c>
      <c r="Z14" t="e">
        <f t="shared" ca="1" si="8"/>
        <v>#DIV/0!</v>
      </c>
      <c r="AA14" t="e">
        <f t="shared" ca="1" si="9"/>
        <v>#NAME?</v>
      </c>
      <c r="AY14">
        <f t="shared" si="10"/>
        <v>7</v>
      </c>
      <c r="AZ14" t="e">
        <f ca="1"/>
        <v>#NAME?</v>
      </c>
      <c r="BA14" t="e">
        <f t="shared" ca="1" si="6"/>
        <v>#DIV/0!</v>
      </c>
      <c r="BB14" t="e">
        <f t="shared" ca="1" si="7"/>
        <v>#NAME?</v>
      </c>
    </row>
    <row r="15" spans="1:57" x14ac:dyDescent="0.35">
      <c r="X15">
        <f t="shared" si="11"/>
        <v>7</v>
      </c>
      <c r="Y15" t="e">
        <f ca="1"/>
        <v>#NAME?</v>
      </c>
      <c r="Z15" t="e">
        <f t="shared" ca="1" si="8"/>
        <v>#DIV/0!</v>
      </c>
      <c r="AA15" t="e">
        <f t="shared" ca="1" si="9"/>
        <v>#NAME?</v>
      </c>
      <c r="AY15">
        <f t="shared" si="10"/>
        <v>9</v>
      </c>
      <c r="AZ15" t="e">
        <f ca="1"/>
        <v>#NAME?</v>
      </c>
      <c r="BA15" t="e">
        <f t="shared" ca="1" si="6"/>
        <v>#DIV/0!</v>
      </c>
      <c r="BB15" t="e">
        <f t="shared" ca="1" si="7"/>
        <v>#NAME?</v>
      </c>
    </row>
    <row r="16" spans="1:57" x14ac:dyDescent="0.35">
      <c r="X16">
        <f t="shared" si="11"/>
        <v>9</v>
      </c>
      <c r="Y16" t="e">
        <f ca="1"/>
        <v>#NAME?</v>
      </c>
      <c r="Z16" t="e">
        <f t="shared" ca="1" si="8"/>
        <v>#DIV/0!</v>
      </c>
      <c r="AA16" t="e">
        <f t="shared" ca="1" si="9"/>
        <v>#NAME?</v>
      </c>
      <c r="AY16">
        <f t="shared" si="10"/>
        <v>11</v>
      </c>
      <c r="AZ16" t="e">
        <f ca="1"/>
        <v>#NAME?</v>
      </c>
      <c r="BA16" t="e">
        <f t="shared" ca="1" si="6"/>
        <v>#DIV/0!</v>
      </c>
      <c r="BB16" t="e">
        <f t="shared" ca="1" si="7"/>
        <v>#NAME?</v>
      </c>
    </row>
    <row r="17" spans="4:54" x14ac:dyDescent="0.35">
      <c r="X17">
        <f t="shared" si="11"/>
        <v>11</v>
      </c>
      <c r="Y17" t="e">
        <f ca="1"/>
        <v>#NAME?</v>
      </c>
      <c r="Z17" t="e">
        <f t="shared" ca="1" si="8"/>
        <v>#DIV/0!</v>
      </c>
      <c r="AA17" t="e">
        <f t="shared" ca="1" si="9"/>
        <v>#NAME?</v>
      </c>
      <c r="AY17">
        <f t="shared" si="10"/>
        <v>13</v>
      </c>
      <c r="AZ17" t="e">
        <f ca="1"/>
        <v>#NAME?</v>
      </c>
      <c r="BA17" t="e">
        <f t="shared" ca="1" si="6"/>
        <v>#DIV/0!</v>
      </c>
      <c r="BB17" t="e">
        <f t="shared" ca="1" si="7"/>
        <v>#NAME?</v>
      </c>
    </row>
    <row r="18" spans="4:54" x14ac:dyDescent="0.35">
      <c r="X18">
        <f t="shared" si="11"/>
        <v>13</v>
      </c>
      <c r="Y18" t="e">
        <f ca="1"/>
        <v>#NAME?</v>
      </c>
      <c r="Z18" t="e">
        <f t="shared" ca="1" si="8"/>
        <v>#DIV/0!</v>
      </c>
      <c r="AA18" t="e">
        <f t="shared" ca="1" si="9"/>
        <v>#NAME?</v>
      </c>
      <c r="AY18">
        <f t="shared" si="10"/>
        <v>15</v>
      </c>
      <c r="AZ18" t="e">
        <f ca="1"/>
        <v>#NAME?</v>
      </c>
      <c r="BA18" t="e">
        <f t="shared" ca="1" si="6"/>
        <v>#DIV/0!</v>
      </c>
      <c r="BB18" t="e">
        <f t="shared" ca="1" si="7"/>
        <v>#NAME?</v>
      </c>
    </row>
    <row r="19" spans="4:54" x14ac:dyDescent="0.35">
      <c r="X19">
        <f t="shared" si="11"/>
        <v>15</v>
      </c>
      <c r="Y19" t="e">
        <f ca="1"/>
        <v>#NAME?</v>
      </c>
      <c r="Z19" t="e">
        <f t="shared" ca="1" si="8"/>
        <v>#DIV/0!</v>
      </c>
      <c r="AA19" t="e">
        <f t="shared" ca="1" si="9"/>
        <v>#NAME?</v>
      </c>
      <c r="AY19">
        <f t="shared" si="10"/>
        <v>17</v>
      </c>
      <c r="AZ19" t="e">
        <f ca="1"/>
        <v>#NAME?</v>
      </c>
      <c r="BA19" t="e">
        <f t="shared" ca="1" si="6"/>
        <v>#DIV/0!</v>
      </c>
      <c r="BB19" t="e">
        <f t="shared" ca="1" si="7"/>
        <v>#NAME?</v>
      </c>
    </row>
    <row r="20" spans="4:54" x14ac:dyDescent="0.35">
      <c r="X20">
        <f t="shared" si="11"/>
        <v>17</v>
      </c>
      <c r="Y20" t="e">
        <f ca="1"/>
        <v>#NAME?</v>
      </c>
      <c r="Z20" t="e">
        <f t="shared" ca="1" si="8"/>
        <v>#DIV/0!</v>
      </c>
      <c r="AA20" t="e">
        <f t="shared" ca="1" si="9"/>
        <v>#NAME?</v>
      </c>
      <c r="AY20">
        <f t="shared" si="10"/>
        <v>19</v>
      </c>
      <c r="AZ20" t="e">
        <f ca="1"/>
        <v>#NAME?</v>
      </c>
      <c r="BA20" t="e">
        <f t="shared" ca="1" si="6"/>
        <v>#DIV/0!</v>
      </c>
      <c r="BB20" t="e">
        <f t="shared" ca="1" si="7"/>
        <v>#NAME?</v>
      </c>
    </row>
    <row r="21" spans="4:54" x14ac:dyDescent="0.35">
      <c r="D21" t="s">
        <v>248</v>
      </c>
      <c r="J21" t="s">
        <v>345</v>
      </c>
      <c r="X21">
        <f t="shared" si="11"/>
        <v>19</v>
      </c>
      <c r="Y21" t="e">
        <f ca="1"/>
        <v>#NAME?</v>
      </c>
      <c r="Z21" t="e">
        <f t="shared" ca="1" si="8"/>
        <v>#DIV/0!</v>
      </c>
      <c r="AA21" t="e">
        <f t="shared" ca="1" si="9"/>
        <v>#NAME?</v>
      </c>
    </row>
    <row r="23" spans="4:54" x14ac:dyDescent="0.35">
      <c r="D23" t="s">
        <v>65</v>
      </c>
      <c r="K23" s="85" t="str">
        <f>B3</f>
        <v>Data</v>
      </c>
    </row>
    <row r="24" spans="4:54" x14ac:dyDescent="0.35">
      <c r="J24" t="s">
        <v>45</v>
      </c>
      <c r="K24" s="277">
        <f>MIN(B4:B13)</f>
        <v>1.8</v>
      </c>
    </row>
    <row r="25" spans="4:54" x14ac:dyDescent="0.35">
      <c r="D25" t="s">
        <v>20</v>
      </c>
      <c r="E25">
        <f>COUNT(B4:B13)</f>
        <v>10</v>
      </c>
      <c r="F25">
        <f>2*E25</f>
        <v>20</v>
      </c>
      <c r="J25" t="s">
        <v>46</v>
      </c>
      <c r="K25" s="147">
        <f>QUARTILE(B4:B13,1)-K24</f>
        <v>3.1000000000000005</v>
      </c>
    </row>
    <row r="26" spans="4:54" x14ac:dyDescent="0.35">
      <c r="D26" t="s">
        <v>8</v>
      </c>
      <c r="E26">
        <f>AVERAGE(B4:B13)</f>
        <v>20.8</v>
      </c>
      <c r="J26" t="s">
        <v>47</v>
      </c>
      <c r="K26" s="147">
        <f>MEDIAN(B4:B13)-QUARTILE(B4:B13,1)</f>
        <v>3.8499999999999996</v>
      </c>
    </row>
    <row r="27" spans="4:54" x14ac:dyDescent="0.35">
      <c r="D27" t="s">
        <v>52</v>
      </c>
      <c r="E27">
        <f>STDEV(B4:B13)</f>
        <v>26.630099928881648</v>
      </c>
      <c r="J27" t="s">
        <v>48</v>
      </c>
      <c r="K27" s="147">
        <f>QUARTILE(B4:B13,3)-MEDIAN(B4:B13)</f>
        <v>12.350000000000001</v>
      </c>
    </row>
    <row r="28" spans="4:54" x14ac:dyDescent="0.35">
      <c r="J28" t="s">
        <v>49</v>
      </c>
      <c r="K28" s="155">
        <f>MAX(B4:B13)-QUARTILE(B4:B13,3)</f>
        <v>59.6</v>
      </c>
    </row>
    <row r="29" spans="4:54" x14ac:dyDescent="0.35">
      <c r="D29" t="s">
        <v>66</v>
      </c>
      <c r="E29" t="s">
        <v>67</v>
      </c>
      <c r="F29" t="s">
        <v>247</v>
      </c>
      <c r="G29" t="s">
        <v>68</v>
      </c>
    </row>
    <row r="30" spans="4:54" x14ac:dyDescent="0.35">
      <c r="D30">
        <v>1</v>
      </c>
      <c r="E30" t="e">
        <f t="array" aca="1" ref="E30:E39" ca="1">QSORT(B4:B13)</f>
        <v>#NAME?</v>
      </c>
      <c r="F30">
        <f>NORMSINV(D30/F$25)</f>
        <v>-1.6448536269514726</v>
      </c>
      <c r="G30" t="e">
        <f ca="1">STANDARDIZE(E30,E$26,E$27)</f>
        <v>#NAME?</v>
      </c>
    </row>
    <row r="31" spans="4:54" x14ac:dyDescent="0.35">
      <c r="D31">
        <f>D30+2</f>
        <v>3</v>
      </c>
      <c r="E31" t="e">
        <f ca="1"/>
        <v>#NAME?</v>
      </c>
      <c r="F31">
        <f t="shared" ref="F31:F39" si="12">NORMSINV(D31/F$25)</f>
        <v>-1.0364333894937898</v>
      </c>
      <c r="G31" t="e">
        <f t="shared" ref="G31:G39" ca="1" si="13">STANDARDIZE(E31,E$26,E$27)</f>
        <v>#NAME?</v>
      </c>
    </row>
    <row r="32" spans="4:54" x14ac:dyDescent="0.35">
      <c r="D32">
        <f t="shared" ref="D32:D39" si="14">D31+2</f>
        <v>5</v>
      </c>
      <c r="E32" t="e">
        <f ca="1"/>
        <v>#NAME?</v>
      </c>
      <c r="F32">
        <f t="shared" si="12"/>
        <v>-0.67448975019608193</v>
      </c>
      <c r="G32" t="e">
        <f t="shared" ca="1" si="13"/>
        <v>#NAME?</v>
      </c>
    </row>
    <row r="33" spans="4:7" x14ac:dyDescent="0.35">
      <c r="D33">
        <f t="shared" si="14"/>
        <v>7</v>
      </c>
      <c r="E33" t="e">
        <f ca="1"/>
        <v>#NAME?</v>
      </c>
      <c r="F33">
        <f t="shared" si="12"/>
        <v>-0.38532046640756784</v>
      </c>
      <c r="G33" t="e">
        <f t="shared" ca="1" si="13"/>
        <v>#NAME?</v>
      </c>
    </row>
    <row r="34" spans="4:7" x14ac:dyDescent="0.35">
      <c r="D34">
        <f t="shared" si="14"/>
        <v>9</v>
      </c>
      <c r="E34" t="e">
        <f ca="1"/>
        <v>#NAME?</v>
      </c>
      <c r="F34">
        <f t="shared" si="12"/>
        <v>-0.12566134685507402</v>
      </c>
      <c r="G34" t="e">
        <f t="shared" ca="1" si="13"/>
        <v>#NAME?</v>
      </c>
    </row>
    <row r="35" spans="4:7" x14ac:dyDescent="0.35">
      <c r="D35">
        <f t="shared" si="14"/>
        <v>11</v>
      </c>
      <c r="E35" t="e">
        <f ca="1"/>
        <v>#NAME?</v>
      </c>
      <c r="F35">
        <f t="shared" si="12"/>
        <v>0.12566134685507416</v>
      </c>
      <c r="G35" t="e">
        <f t="shared" ca="1" si="13"/>
        <v>#NAME?</v>
      </c>
    </row>
    <row r="36" spans="4:7" x14ac:dyDescent="0.35">
      <c r="D36">
        <f t="shared" si="14"/>
        <v>13</v>
      </c>
      <c r="E36" t="e">
        <f ca="1"/>
        <v>#NAME?</v>
      </c>
      <c r="F36">
        <f t="shared" si="12"/>
        <v>0.38532046640756784</v>
      </c>
      <c r="G36" t="e">
        <f t="shared" ca="1" si="13"/>
        <v>#NAME?</v>
      </c>
    </row>
    <row r="37" spans="4:7" x14ac:dyDescent="0.35">
      <c r="D37">
        <f t="shared" si="14"/>
        <v>15</v>
      </c>
      <c r="E37" t="e">
        <f ca="1"/>
        <v>#NAME?</v>
      </c>
      <c r="F37">
        <f t="shared" si="12"/>
        <v>0.67448975019608193</v>
      </c>
      <c r="G37" t="e">
        <f t="shared" ca="1" si="13"/>
        <v>#NAME?</v>
      </c>
    </row>
    <row r="38" spans="4:7" x14ac:dyDescent="0.35">
      <c r="D38">
        <f t="shared" si="14"/>
        <v>17</v>
      </c>
      <c r="E38" t="e">
        <f ca="1"/>
        <v>#NAME?</v>
      </c>
      <c r="F38">
        <f t="shared" si="12"/>
        <v>1.0364333894937898</v>
      </c>
      <c r="G38" t="e">
        <f t="shared" ca="1" si="13"/>
        <v>#NAME?</v>
      </c>
    </row>
    <row r="39" spans="4:7" x14ac:dyDescent="0.35">
      <c r="D39">
        <f t="shared" si="14"/>
        <v>19</v>
      </c>
      <c r="E39" t="e">
        <f ca="1"/>
        <v>#NAME?</v>
      </c>
      <c r="F39">
        <f t="shared" si="12"/>
        <v>1.6448536269514715</v>
      </c>
      <c r="G39" t="e">
        <f t="shared" ca="1" si="13"/>
        <v>#NAME?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81"/>
  <dimension ref="A1:P17"/>
  <sheetViews>
    <sheetView workbookViewId="0"/>
  </sheetViews>
  <sheetFormatPr defaultRowHeight="14.5" x14ac:dyDescent="0.35"/>
  <cols>
    <col min="1" max="1" width="3.54296875" customWidth="1"/>
    <col min="2" max="2" width="6.7265625" customWidth="1"/>
    <col min="3" max="3" width="6.26953125" customWidth="1"/>
    <col min="13" max="13" width="4.7265625" customWidth="1"/>
    <col min="15" max="15" width="4.7265625" customWidth="1"/>
  </cols>
  <sheetData>
    <row r="1" spans="1:16" x14ac:dyDescent="0.35">
      <c r="A1" s="1" t="s">
        <v>530</v>
      </c>
    </row>
    <row r="3" spans="1:16" x14ac:dyDescent="0.35">
      <c r="B3" s="255" t="s">
        <v>67</v>
      </c>
      <c r="C3" s="23" t="s">
        <v>283</v>
      </c>
      <c r="D3">
        <v>-2</v>
      </c>
      <c r="E3">
        <f t="shared" ref="E3:L3" si="0">D3+0.5</f>
        <v>-1.5</v>
      </c>
      <c r="F3">
        <f t="shared" si="0"/>
        <v>-1</v>
      </c>
      <c r="G3">
        <f t="shared" si="0"/>
        <v>-0.5</v>
      </c>
      <c r="H3">
        <f t="shared" si="0"/>
        <v>0</v>
      </c>
      <c r="I3">
        <f t="shared" si="0"/>
        <v>0.5</v>
      </c>
      <c r="J3">
        <f t="shared" si="0"/>
        <v>1</v>
      </c>
      <c r="K3">
        <f t="shared" si="0"/>
        <v>1.5</v>
      </c>
      <c r="L3">
        <f t="shared" si="0"/>
        <v>2</v>
      </c>
      <c r="N3" t="e" cm="1">
        <f t="array" aca="1" ref="N3" ca="1">BOXCOXLambda(B4:B13)</f>
        <v>#NAME?</v>
      </c>
      <c r="P3">
        <f>'Box-Cox 2'!V4</f>
        <v>-0.2866286748293938</v>
      </c>
    </row>
    <row r="4" spans="1:16" x14ac:dyDescent="0.35">
      <c r="B4">
        <v>4.5</v>
      </c>
      <c r="D4" s="3" t="e">
        <f t="array" aca="1" ref="D4:D13" ca="1">BOXCOX($B$4:$B$13,D3)</f>
        <v>#NAME?</v>
      </c>
      <c r="E4" s="3" t="e">
        <f t="array" aca="1" ref="E4:E13" ca="1">BOXCOX($B$4:$B$13,E3)</f>
        <v>#NAME?</v>
      </c>
      <c r="F4" s="3" t="e">
        <f t="array" aca="1" ref="F4:F13" ca="1">BOXCOX($B$4:$B$13,F3)</f>
        <v>#NAME?</v>
      </c>
      <c r="G4" s="3" t="e">
        <f t="array" aca="1" ref="G4:G13" ca="1">BOXCOX($B$4:$B$13,G3)</f>
        <v>#NAME?</v>
      </c>
      <c r="H4" s="3" t="e">
        <f t="array" aca="1" ref="H4:H13" ca="1">BOXCOX($B$4:$B$13,H3)</f>
        <v>#NAME?</v>
      </c>
      <c r="I4" s="3" t="e">
        <f t="array" aca="1" ref="I4:I13" ca="1">BOXCOX($B$4:$B$13,I3)</f>
        <v>#NAME?</v>
      </c>
      <c r="J4" s="3" t="e">
        <f t="array" aca="1" ref="J4:J13" ca="1">BOXCOX($B$4:$B$13,J3)</f>
        <v>#NAME?</v>
      </c>
      <c r="K4" s="3" t="e">
        <f t="array" aca="1" ref="K4:K13" ca="1">BOXCOX($B$4:$B$13,K3)</f>
        <v>#NAME?</v>
      </c>
      <c r="L4" s="3" t="e">
        <f t="array" aca="1" ref="L4:L13" ca="1">BOXCOX($B$4:$B$13,L3)</f>
        <v>#NAME?</v>
      </c>
      <c r="N4" s="254" t="e">
        <f t="array" aca="1" ref="N4:N13" ca="1">BOXCOX(B4:B13)</f>
        <v>#NAME?</v>
      </c>
      <c r="P4" s="254" t="e">
        <f t="array" aca="1" ref="P4:P13" ca="1">BOXCOX(B4:B13,P3)</f>
        <v>#NAME?</v>
      </c>
    </row>
    <row r="5" spans="1:16" x14ac:dyDescent="0.35">
      <c r="B5">
        <v>1.8</v>
      </c>
      <c r="D5" s="4" t="e">
        <f ca="1"/>
        <v>#NAME?</v>
      </c>
      <c r="E5" s="4" t="e">
        <f ca="1"/>
        <v>#NAME?</v>
      </c>
      <c r="F5" s="4" t="e">
        <f ca="1"/>
        <v>#NAME?</v>
      </c>
      <c r="G5" s="4" t="e">
        <f ca="1"/>
        <v>#NAME?</v>
      </c>
      <c r="H5" s="4" t="e">
        <f ca="1"/>
        <v>#NAME?</v>
      </c>
      <c r="I5" s="4" t="e">
        <f ca="1"/>
        <v>#NAME?</v>
      </c>
      <c r="J5" s="4" t="e">
        <f ca="1"/>
        <v>#NAME?</v>
      </c>
      <c r="K5" s="4" t="e">
        <f ca="1"/>
        <v>#NAME?</v>
      </c>
      <c r="L5" s="4" t="e">
        <f ca="1"/>
        <v>#NAME?</v>
      </c>
      <c r="N5" s="100" t="e">
        <f ca="1"/>
        <v>#NAME?</v>
      </c>
      <c r="P5" s="100" t="e">
        <f ca="1"/>
        <v>#NAME?</v>
      </c>
    </row>
    <row r="6" spans="1:16" x14ac:dyDescent="0.35">
      <c r="B6">
        <v>9.3000000000000007</v>
      </c>
      <c r="D6" s="4" t="e">
        <f ca="1"/>
        <v>#NAME?</v>
      </c>
      <c r="E6" s="4" t="e">
        <f ca="1"/>
        <v>#NAME?</v>
      </c>
      <c r="F6" s="4" t="e">
        <f ca="1"/>
        <v>#NAME?</v>
      </c>
      <c r="G6" s="4" t="e">
        <f ca="1"/>
        <v>#NAME?</v>
      </c>
      <c r="H6" s="4" t="e">
        <f ca="1"/>
        <v>#NAME?</v>
      </c>
      <c r="I6" s="4" t="e">
        <f ca="1"/>
        <v>#NAME?</v>
      </c>
      <c r="J6" s="4" t="e">
        <f ca="1"/>
        <v>#NAME?</v>
      </c>
      <c r="K6" s="4" t="e">
        <f ca="1"/>
        <v>#NAME?</v>
      </c>
      <c r="L6" s="4" t="e">
        <f ca="1"/>
        <v>#NAME?</v>
      </c>
      <c r="N6" s="100" t="e">
        <f ca="1"/>
        <v>#NAME?</v>
      </c>
      <c r="P6" s="100" t="e">
        <f ca="1"/>
        <v>#NAME?</v>
      </c>
    </row>
    <row r="7" spans="1:16" x14ac:dyDescent="0.35">
      <c r="B7">
        <v>6.1</v>
      </c>
      <c r="D7" s="4" t="e">
        <f ca="1"/>
        <v>#NAME?</v>
      </c>
      <c r="E7" s="4" t="e">
        <f ca="1"/>
        <v>#NAME?</v>
      </c>
      <c r="F7" s="4" t="e">
        <f ca="1"/>
        <v>#NAME?</v>
      </c>
      <c r="G7" s="4" t="e">
        <f ca="1"/>
        <v>#NAME?</v>
      </c>
      <c r="H7" s="4" t="e">
        <f ca="1"/>
        <v>#NAME?</v>
      </c>
      <c r="I7" s="4" t="e">
        <f ca="1"/>
        <v>#NAME?</v>
      </c>
      <c r="J7" s="4" t="e">
        <f ca="1"/>
        <v>#NAME?</v>
      </c>
      <c r="K7" s="4" t="e">
        <f ca="1"/>
        <v>#NAME?</v>
      </c>
      <c r="L7" s="4" t="e">
        <f ca="1"/>
        <v>#NAME?</v>
      </c>
      <c r="N7" s="100" t="e">
        <f ca="1"/>
        <v>#NAME?</v>
      </c>
      <c r="P7" s="100" t="e">
        <f ca="1"/>
        <v>#NAME?</v>
      </c>
    </row>
    <row r="8" spans="1:16" x14ac:dyDescent="0.35">
      <c r="B8">
        <v>8.1999999999999993</v>
      </c>
      <c r="D8" s="4" t="e">
        <f ca="1"/>
        <v>#NAME?</v>
      </c>
      <c r="E8" s="4" t="e">
        <f ca="1"/>
        <v>#NAME?</v>
      </c>
      <c r="F8" s="4" t="e">
        <f ca="1"/>
        <v>#NAME?</v>
      </c>
      <c r="G8" s="4" t="e">
        <f ca="1"/>
        <v>#NAME?</v>
      </c>
      <c r="H8" s="4" t="e">
        <f ca="1"/>
        <v>#NAME?</v>
      </c>
      <c r="I8" s="4" t="e">
        <f ca="1"/>
        <v>#NAME?</v>
      </c>
      <c r="J8" s="4" t="e">
        <f ca="1"/>
        <v>#NAME?</v>
      </c>
      <c r="K8" s="4" t="e">
        <f ca="1"/>
        <v>#NAME?</v>
      </c>
      <c r="L8" s="4" t="e">
        <f ca="1"/>
        <v>#NAME?</v>
      </c>
      <c r="N8" s="100" t="e">
        <f ca="1"/>
        <v>#NAME?</v>
      </c>
      <c r="P8" s="100" t="e">
        <f ca="1"/>
        <v>#NAME?</v>
      </c>
    </row>
    <row r="9" spans="1:16" x14ac:dyDescent="0.35">
      <c r="B9">
        <v>13.9</v>
      </c>
      <c r="D9" s="4" t="e">
        <f ca="1"/>
        <v>#NAME?</v>
      </c>
      <c r="E9" s="4" t="e">
        <f ca="1"/>
        <v>#NAME?</v>
      </c>
      <c r="F9" s="4" t="e">
        <f ca="1"/>
        <v>#NAME?</v>
      </c>
      <c r="G9" s="4" t="e">
        <f ca="1"/>
        <v>#NAME?</v>
      </c>
      <c r="H9" s="4" t="e">
        <f ca="1"/>
        <v>#NAME?</v>
      </c>
      <c r="I9" s="4" t="e">
        <f ca="1"/>
        <v>#NAME?</v>
      </c>
      <c r="J9" s="4" t="e">
        <f ca="1"/>
        <v>#NAME?</v>
      </c>
      <c r="K9" s="4" t="e">
        <f ca="1"/>
        <v>#NAME?</v>
      </c>
      <c r="L9" s="4" t="e">
        <f ca="1"/>
        <v>#NAME?</v>
      </c>
      <c r="N9" s="100" t="e">
        <f ca="1"/>
        <v>#NAME?</v>
      </c>
      <c r="P9" s="100" t="e">
        <f ca="1"/>
        <v>#NAME?</v>
      </c>
    </row>
    <row r="10" spans="1:16" x14ac:dyDescent="0.35">
      <c r="B10">
        <v>23.5</v>
      </c>
      <c r="D10" s="4" t="e">
        <f ca="1"/>
        <v>#NAME?</v>
      </c>
      <c r="E10" s="4" t="e">
        <f ca="1"/>
        <v>#NAME?</v>
      </c>
      <c r="F10" s="4" t="e">
        <f ca="1"/>
        <v>#NAME?</v>
      </c>
      <c r="G10" s="4" t="e">
        <f ca="1"/>
        <v>#NAME?</v>
      </c>
      <c r="H10" s="4" t="e">
        <f ca="1"/>
        <v>#NAME?</v>
      </c>
      <c r="I10" s="4" t="e">
        <f ca="1"/>
        <v>#NAME?</v>
      </c>
      <c r="J10" s="4" t="e">
        <f ca="1"/>
        <v>#NAME?</v>
      </c>
      <c r="K10" s="4" t="e">
        <f ca="1"/>
        <v>#NAME?</v>
      </c>
      <c r="L10" s="4" t="e">
        <f ca="1"/>
        <v>#NAME?</v>
      </c>
      <c r="N10" s="100" t="e">
        <f ca="1"/>
        <v>#NAME?</v>
      </c>
      <c r="P10" s="100" t="e">
        <f ca="1"/>
        <v>#NAME?</v>
      </c>
    </row>
    <row r="11" spans="1:16" x14ac:dyDescent="0.35">
      <c r="B11">
        <v>3.2</v>
      </c>
      <c r="D11" s="4" t="e">
        <f ca="1"/>
        <v>#NAME?</v>
      </c>
      <c r="E11" s="4" t="e">
        <f ca="1"/>
        <v>#NAME?</v>
      </c>
      <c r="F11" s="4" t="e">
        <f ca="1"/>
        <v>#NAME?</v>
      </c>
      <c r="G11" s="4" t="e">
        <f ca="1"/>
        <v>#NAME?</v>
      </c>
      <c r="H11" s="4" t="e">
        <f ca="1"/>
        <v>#NAME?</v>
      </c>
      <c r="I11" s="4" t="e">
        <f ca="1"/>
        <v>#NAME?</v>
      </c>
      <c r="J11" s="4" t="e">
        <f ca="1"/>
        <v>#NAME?</v>
      </c>
      <c r="K11" s="4" t="e">
        <f ca="1"/>
        <v>#NAME?</v>
      </c>
      <c r="L11" s="4" t="e">
        <f ca="1"/>
        <v>#NAME?</v>
      </c>
      <c r="N11" s="100" t="e">
        <f ca="1"/>
        <v>#NAME?</v>
      </c>
      <c r="P11" s="100" t="e">
        <f ca="1"/>
        <v>#NAME?</v>
      </c>
    </row>
    <row r="12" spans="1:16" x14ac:dyDescent="0.35">
      <c r="B12">
        <v>56.8</v>
      </c>
      <c r="D12" s="4" t="e">
        <f ca="1"/>
        <v>#NAME?</v>
      </c>
      <c r="E12" s="4" t="e">
        <f ca="1"/>
        <v>#NAME?</v>
      </c>
      <c r="F12" s="4" t="e">
        <f ca="1"/>
        <v>#NAME?</v>
      </c>
      <c r="G12" s="4" t="e">
        <f ca="1"/>
        <v>#NAME?</v>
      </c>
      <c r="H12" s="4" t="e">
        <f ca="1"/>
        <v>#NAME?</v>
      </c>
      <c r="I12" s="4" t="e">
        <f ca="1"/>
        <v>#NAME?</v>
      </c>
      <c r="J12" s="4" t="e">
        <f ca="1"/>
        <v>#NAME?</v>
      </c>
      <c r="K12" s="4" t="e">
        <f ca="1"/>
        <v>#NAME?</v>
      </c>
      <c r="L12" s="4" t="e">
        <f ca="1"/>
        <v>#NAME?</v>
      </c>
      <c r="N12" s="100" t="e">
        <f ca="1"/>
        <v>#NAME?</v>
      </c>
      <c r="P12" s="100" t="e">
        <f ca="1"/>
        <v>#NAME?</v>
      </c>
    </row>
    <row r="13" spans="1:16" x14ac:dyDescent="0.35">
      <c r="B13" s="159">
        <v>80.7</v>
      </c>
      <c r="D13" s="159" t="e">
        <f ca="1"/>
        <v>#NAME?</v>
      </c>
      <c r="E13" s="159" t="e">
        <f ca="1"/>
        <v>#NAME?</v>
      </c>
      <c r="F13" s="159" t="e">
        <f ca="1"/>
        <v>#NAME?</v>
      </c>
      <c r="G13" s="159" t="e">
        <f ca="1"/>
        <v>#NAME?</v>
      </c>
      <c r="H13" s="159" t="e">
        <f ca="1"/>
        <v>#NAME?</v>
      </c>
      <c r="I13" s="159" t="e">
        <f ca="1"/>
        <v>#NAME?</v>
      </c>
      <c r="J13" s="159" t="e">
        <f ca="1"/>
        <v>#NAME?</v>
      </c>
      <c r="K13" s="159" t="e">
        <f ca="1"/>
        <v>#NAME?</v>
      </c>
      <c r="L13" s="159" t="e">
        <f ca="1"/>
        <v>#NAME?</v>
      </c>
      <c r="N13" s="94" t="e">
        <f ca="1"/>
        <v>#NAME?</v>
      </c>
      <c r="P13" s="94" t="e">
        <f ca="1"/>
        <v>#NAME?</v>
      </c>
    </row>
    <row r="14" spans="1:16" x14ac:dyDescent="0.35">
      <c r="C14" s="6" t="s">
        <v>534</v>
      </c>
      <c r="D14" t="e" cm="1">
        <f t="array" aca="1" ref="D14" ca="1">BOXCOXLL($B$4:$B$13,D3)</f>
        <v>#NAME?</v>
      </c>
      <c r="E14" t="e" cm="1">
        <f t="array" aca="1" ref="E14" ca="1">BOXCOXLL($B$4:$B$13,E3)</f>
        <v>#NAME?</v>
      </c>
      <c r="F14" t="e" cm="1">
        <f t="array" aca="1" ref="F14" ca="1">BOXCOXLL($B$4:$B$13,F3)</f>
        <v>#NAME?</v>
      </c>
      <c r="G14" t="e" cm="1">
        <f t="array" aca="1" ref="G14" ca="1">BOXCOXLL($B$4:$B$13,G3)</f>
        <v>#NAME?</v>
      </c>
      <c r="H14" t="e" cm="1">
        <f t="array" aca="1" ref="H14" ca="1">BOXCOXLL($B$4:$B$13,H3)</f>
        <v>#NAME?</v>
      </c>
      <c r="I14" t="e" cm="1">
        <f t="array" aca="1" ref="I14" ca="1">BOXCOXLL($B$4:$B$13,I3)</f>
        <v>#NAME?</v>
      </c>
      <c r="J14" t="e" cm="1">
        <f t="array" aca="1" ref="J14" ca="1">BOXCOXLL($B$4:$B$13,J3)</f>
        <v>#NAME?</v>
      </c>
      <c r="K14" t="e" cm="1">
        <f t="array" aca="1" ref="K14" ca="1">BOXCOXLL($B$4:$B$13,K3)</f>
        <v>#NAME?</v>
      </c>
      <c r="L14" t="e" cm="1">
        <f t="array" aca="1" ref="L14" ca="1">BOXCOXLL($B$4:$B$13,L3)</f>
        <v>#NAME?</v>
      </c>
      <c r="N14" t="e" cm="1">
        <f t="array" aca="1" ref="N14" ca="1">BOXCOXLL($B$4:$B$13,N3)</f>
        <v>#NAME?</v>
      </c>
      <c r="P14" t="e" cm="1">
        <f t="array" aca="1" ref="P14" ca="1">BOXCOXLL($B$4:$B$13,P3)</f>
        <v>#NAME?</v>
      </c>
    </row>
    <row r="16" spans="1:16" x14ac:dyDescent="0.35">
      <c r="A16" t="s">
        <v>535</v>
      </c>
      <c r="B16">
        <f>SUMPRODUCT(LN(B4:B13))</f>
        <v>23.616616359382526</v>
      </c>
      <c r="D16" t="e">
        <f t="shared" ref="D16:P16" ca="1" si="1">-$B17/2*LN(VARP(D4:D13))+(D3-1)*$B16</f>
        <v>#NAME?</v>
      </c>
      <c r="E16" t="e">
        <f t="shared" ca="1" si="1"/>
        <v>#NAME?</v>
      </c>
      <c r="F16" t="e">
        <f t="shared" ca="1" si="1"/>
        <v>#NAME?</v>
      </c>
      <c r="G16" t="e">
        <f t="shared" ca="1" si="1"/>
        <v>#NAME?</v>
      </c>
      <c r="H16" t="e">
        <f t="shared" ca="1" si="1"/>
        <v>#NAME?</v>
      </c>
      <c r="I16" t="e">
        <f t="shared" ca="1" si="1"/>
        <v>#NAME?</v>
      </c>
      <c r="J16" t="e">
        <f t="shared" ca="1" si="1"/>
        <v>#NAME?</v>
      </c>
      <c r="K16" t="e">
        <f t="shared" ca="1" si="1"/>
        <v>#NAME?</v>
      </c>
      <c r="L16" t="e">
        <f t="shared" ca="1" si="1"/>
        <v>#NAME?</v>
      </c>
      <c r="N16" t="e">
        <f t="shared" ca="1" si="1"/>
        <v>#NAME?</v>
      </c>
      <c r="P16" t="e">
        <f t="shared" ca="1" si="1"/>
        <v>#NAME?</v>
      </c>
    </row>
    <row r="17" spans="1:2" x14ac:dyDescent="0.35">
      <c r="A17" t="s">
        <v>31</v>
      </c>
      <c r="B17">
        <f>COUNT(B4:B13)</f>
        <v>10</v>
      </c>
    </row>
  </sheetData>
  <pageMargins left="0.7" right="0.7" top="0.75" bottom="0.75" header="0.3" footer="0.3"/>
  <pageSetup paperSize="9"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02"/>
  <dimension ref="A1:U43"/>
  <sheetViews>
    <sheetView workbookViewId="0"/>
  </sheetViews>
  <sheetFormatPr defaultRowHeight="14.5" x14ac:dyDescent="0.35"/>
  <cols>
    <col min="1" max="1" width="7.1796875" customWidth="1"/>
    <col min="2" max="4" width="7" customWidth="1"/>
    <col min="5" max="5" width="5" customWidth="1"/>
    <col min="6" max="6" width="4.7265625" customWidth="1"/>
    <col min="8" max="8" width="3.81640625" customWidth="1"/>
    <col min="9" max="9" width="12" bestFit="1" customWidth="1"/>
    <col min="10" max="10" width="4.26953125" customWidth="1"/>
    <col min="11" max="11" width="4.453125" customWidth="1"/>
    <col min="13" max="13" width="5.7265625" customWidth="1"/>
    <col min="14" max="14" width="6.26953125" customWidth="1"/>
    <col min="17" max="17" width="5.453125" customWidth="1"/>
    <col min="18" max="18" width="5" customWidth="1"/>
    <col min="19" max="19" width="4.54296875" customWidth="1"/>
  </cols>
  <sheetData>
    <row r="1" spans="1:21" x14ac:dyDescent="0.35">
      <c r="A1" s="1" t="s">
        <v>546</v>
      </c>
    </row>
    <row r="2" spans="1:21" x14ac:dyDescent="0.35">
      <c r="S2" s="266" t="s">
        <v>39</v>
      </c>
      <c r="T2" s="266" t="s">
        <v>95</v>
      </c>
      <c r="U2" s="266" t="s">
        <v>553</v>
      </c>
    </row>
    <row r="3" spans="1:21" x14ac:dyDescent="0.35">
      <c r="A3" s="280"/>
      <c r="B3" s="280" t="s">
        <v>547</v>
      </c>
      <c r="C3" s="280" t="s">
        <v>548</v>
      </c>
      <c r="O3" s="280" t="s">
        <v>547</v>
      </c>
      <c r="P3" s="280" t="s">
        <v>548</v>
      </c>
      <c r="S3" s="280">
        <v>0</v>
      </c>
      <c r="T3" s="8">
        <v>0.70710678118654757</v>
      </c>
      <c r="U3" s="8">
        <v>1</v>
      </c>
    </row>
    <row r="4" spans="1:21" x14ac:dyDescent="0.35">
      <c r="A4" s="280" t="s">
        <v>550</v>
      </c>
      <c r="B4" s="224">
        <f>B6-B5</f>
        <v>14</v>
      </c>
      <c r="C4" s="223">
        <f>C6-C5</f>
        <v>6</v>
      </c>
      <c r="D4" s="280">
        <v>20</v>
      </c>
      <c r="E4" s="280"/>
      <c r="F4" s="17" t="s">
        <v>44</v>
      </c>
      <c r="G4">
        <f>(B4*C5/(B5*C4))^(PI()/4)</f>
        <v>10.926186410477953</v>
      </c>
      <c r="I4">
        <f>1+SQRT(B4*C5/B5/C4)</f>
        <v>5.5825756949558398</v>
      </c>
      <c r="K4" t="s">
        <v>95</v>
      </c>
      <c r="L4" t="e" cm="1">
        <f t="array" aca="1" ref="L4" ca="1">SQRT(CHI_STAT(B4:C5)/D6)</f>
        <v>#NAME?</v>
      </c>
      <c r="N4" s="280" t="s">
        <v>550</v>
      </c>
      <c r="O4" s="224" t="s">
        <v>554</v>
      </c>
      <c r="P4" s="223" t="s">
        <v>555</v>
      </c>
      <c r="Q4" s="280">
        <v>25</v>
      </c>
      <c r="S4" s="280">
        <f>S3+1</f>
        <v>1</v>
      </c>
      <c r="T4" s="8">
        <v>0.56568542494923812</v>
      </c>
      <c r="U4" s="8">
        <f>G5</f>
        <v>0.83230179948865579</v>
      </c>
    </row>
    <row r="5" spans="1:21" x14ac:dyDescent="0.35">
      <c r="A5" s="280" t="s">
        <v>551</v>
      </c>
      <c r="B5" s="95">
        <v>1</v>
      </c>
      <c r="C5" s="283">
        <f>D5-B5</f>
        <v>9</v>
      </c>
      <c r="D5" s="280">
        <v>10</v>
      </c>
      <c r="E5" s="280"/>
      <c r="F5" s="17" t="s">
        <v>179</v>
      </c>
      <c r="G5">
        <f>(G4-1)/(G4+1)</f>
        <v>0.83230179948865579</v>
      </c>
      <c r="I5">
        <f>COS(PI()/I4)</f>
        <v>0.84579132094238862</v>
      </c>
      <c r="N5" s="280" t="s">
        <v>551</v>
      </c>
      <c r="O5" s="95" t="s">
        <v>39</v>
      </c>
      <c r="P5" s="284" t="s">
        <v>556</v>
      </c>
      <c r="Q5" s="280">
        <v>10</v>
      </c>
      <c r="S5" s="280">
        <f t="shared" ref="S5:S13" si="0">S4+1</f>
        <v>2</v>
      </c>
      <c r="T5" s="8">
        <v>0.42426406871192857</v>
      </c>
      <c r="U5" s="8">
        <f>G9</f>
        <v>0.65698628326893949</v>
      </c>
    </row>
    <row r="6" spans="1:21" x14ac:dyDescent="0.35">
      <c r="B6" s="280">
        <v>15</v>
      </c>
      <c r="C6" s="280">
        <v>15</v>
      </c>
      <c r="D6" s="280">
        <v>30</v>
      </c>
      <c r="E6" s="280"/>
      <c r="O6" s="280">
        <v>15</v>
      </c>
      <c r="P6" s="280">
        <v>20</v>
      </c>
      <c r="Q6" s="280">
        <v>35</v>
      </c>
      <c r="S6" s="280">
        <f t="shared" si="0"/>
        <v>3</v>
      </c>
      <c r="T6" s="8">
        <v>0.28284271247461906</v>
      </c>
      <c r="U6" s="8">
        <f>G13</f>
        <v>0.45576977697665788</v>
      </c>
    </row>
    <row r="7" spans="1:21" x14ac:dyDescent="0.35">
      <c r="A7" s="280"/>
      <c r="B7" s="280" t="s">
        <v>547</v>
      </c>
      <c r="C7" s="280" t="s">
        <v>548</v>
      </c>
      <c r="S7" s="280">
        <f t="shared" si="0"/>
        <v>4</v>
      </c>
      <c r="T7" s="8">
        <v>0.14142135623730953</v>
      </c>
      <c r="U7" s="8">
        <f>G17</f>
        <v>0.2336331705265132</v>
      </c>
    </row>
    <row r="8" spans="1:21" x14ac:dyDescent="0.35">
      <c r="A8" s="280" t="s">
        <v>550</v>
      </c>
      <c r="B8" s="224">
        <f>B10-B9</f>
        <v>13</v>
      </c>
      <c r="C8" s="223">
        <f>C10-C9</f>
        <v>7</v>
      </c>
      <c r="D8" s="280">
        <v>20</v>
      </c>
      <c r="F8" s="17" t="s">
        <v>44</v>
      </c>
      <c r="G8">
        <f>(B8*C9/(B9*C8))^(PI()/4)</f>
        <v>4.8306706188315429</v>
      </c>
      <c r="I8">
        <f>1+SQRT(B8*C9/B9/C8)</f>
        <v>3.7255405754769875</v>
      </c>
      <c r="K8" t="s">
        <v>95</v>
      </c>
      <c r="L8" t="e" cm="1">
        <f t="array" aca="1" ref="L8" ca="1">SQRT(CHI_STAT(B8:C9)/D10)</f>
        <v>#NAME?</v>
      </c>
      <c r="S8" s="280">
        <f t="shared" si="0"/>
        <v>5</v>
      </c>
      <c r="T8" s="8">
        <v>0</v>
      </c>
      <c r="U8" s="8">
        <v>0</v>
      </c>
    </row>
    <row r="9" spans="1:21" x14ac:dyDescent="0.35">
      <c r="A9" s="280" t="s">
        <v>551</v>
      </c>
      <c r="B9" s="95">
        <v>2</v>
      </c>
      <c r="C9" s="283">
        <f>D9-B9</f>
        <v>8</v>
      </c>
      <c r="D9" s="280">
        <v>10</v>
      </c>
      <c r="F9" s="17" t="s">
        <v>179</v>
      </c>
      <c r="G9">
        <f>(G8-1)/(G8+1)</f>
        <v>0.65698628326893949</v>
      </c>
      <c r="I9">
        <f>COS(PI()/I8)</f>
        <v>0.66503308829169494</v>
      </c>
      <c r="S9" s="280">
        <f t="shared" si="0"/>
        <v>6</v>
      </c>
      <c r="T9" s="8">
        <f>-T7</f>
        <v>-0.14142135623730953</v>
      </c>
      <c r="U9" s="8">
        <f>-U7</f>
        <v>-0.2336331705265132</v>
      </c>
    </row>
    <row r="10" spans="1:21" x14ac:dyDescent="0.35">
      <c r="B10" s="280">
        <v>15</v>
      </c>
      <c r="C10" s="280">
        <v>15</v>
      </c>
      <c r="D10" s="280">
        <v>30</v>
      </c>
      <c r="S10" s="280">
        <f t="shared" si="0"/>
        <v>7</v>
      </c>
      <c r="T10" s="8">
        <f>-T6</f>
        <v>-0.28284271247461906</v>
      </c>
      <c r="U10" s="8">
        <f>-U6</f>
        <v>-0.45576977697665788</v>
      </c>
    </row>
    <row r="11" spans="1:21" x14ac:dyDescent="0.35">
      <c r="A11" s="280"/>
      <c r="B11" s="280" t="s">
        <v>547</v>
      </c>
      <c r="C11" s="280" t="s">
        <v>548</v>
      </c>
      <c r="S11" s="280">
        <f t="shared" si="0"/>
        <v>8</v>
      </c>
      <c r="T11" s="8">
        <f>-T5</f>
        <v>-0.42426406871192857</v>
      </c>
      <c r="U11" s="8">
        <f>-U5</f>
        <v>-0.65698628326893949</v>
      </c>
    </row>
    <row r="12" spans="1:21" x14ac:dyDescent="0.35">
      <c r="A12" s="280" t="s">
        <v>550</v>
      </c>
      <c r="B12" s="224">
        <f>B14-B13</f>
        <v>12</v>
      </c>
      <c r="C12" s="223">
        <f>C14-C13</f>
        <v>8</v>
      </c>
      <c r="D12" s="280">
        <v>20</v>
      </c>
      <c r="F12" s="17" t="s">
        <v>44</v>
      </c>
      <c r="G12">
        <f>(B12*C13/(B13*C12))^(PI()/4)</f>
        <v>2.6749153490401061</v>
      </c>
      <c r="I12">
        <f>1+SQRT(B12*C13/B13/C12)</f>
        <v>2.8708286933869704</v>
      </c>
      <c r="K12" t="s">
        <v>95</v>
      </c>
      <c r="L12" t="e" cm="1">
        <f t="array" aca="1" ref="L12" ca="1">SQRT(CHI_STAT(B12:C13)/D14)</f>
        <v>#NAME?</v>
      </c>
      <c r="S12" s="280">
        <f t="shared" si="0"/>
        <v>9</v>
      </c>
      <c r="T12" s="8">
        <f>-T4</f>
        <v>-0.56568542494923812</v>
      </c>
      <c r="U12" s="8">
        <f>-U4</f>
        <v>-0.83230179948865579</v>
      </c>
    </row>
    <row r="13" spans="1:21" x14ac:dyDescent="0.35">
      <c r="A13" s="280" t="s">
        <v>551</v>
      </c>
      <c r="B13" s="95">
        <v>3</v>
      </c>
      <c r="C13" s="283">
        <f>D13-B13</f>
        <v>7</v>
      </c>
      <c r="D13" s="280">
        <v>10</v>
      </c>
      <c r="F13" s="17" t="s">
        <v>179</v>
      </c>
      <c r="G13">
        <f>(G12-1)/(G12+1)</f>
        <v>0.45576977697665788</v>
      </c>
      <c r="I13">
        <f>COS(PI()/I12)</f>
        <v>0.4586547357623979</v>
      </c>
      <c r="S13" s="282">
        <f t="shared" si="0"/>
        <v>10</v>
      </c>
      <c r="T13" s="285">
        <f>-T3</f>
        <v>-0.70710678118654757</v>
      </c>
      <c r="U13" s="285">
        <f>-U3</f>
        <v>-1</v>
      </c>
    </row>
    <row r="14" spans="1:21" x14ac:dyDescent="0.35">
      <c r="B14" s="280">
        <v>15</v>
      </c>
      <c r="C14" s="280">
        <v>15</v>
      </c>
      <c r="D14" s="280">
        <v>30</v>
      </c>
    </row>
    <row r="15" spans="1:21" x14ac:dyDescent="0.35">
      <c r="A15" s="280"/>
      <c r="B15" s="280" t="s">
        <v>547</v>
      </c>
      <c r="C15" s="280" t="s">
        <v>548</v>
      </c>
      <c r="R15" s="4"/>
    </row>
    <row r="16" spans="1:21" x14ac:dyDescent="0.35">
      <c r="A16" s="280" t="s">
        <v>550</v>
      </c>
      <c r="B16" s="224">
        <f>B18-B17</f>
        <v>11</v>
      </c>
      <c r="C16" s="223">
        <f>C18-C17</f>
        <v>9</v>
      </c>
      <c r="D16" s="280">
        <v>20</v>
      </c>
      <c r="F16" s="17" t="s">
        <v>44</v>
      </c>
      <c r="G16">
        <f>(B16*C17/(B17*C16))^(PI()/4)</f>
        <v>1.6097162913145002</v>
      </c>
      <c r="I16">
        <f>1+SQRT(B16*C17/B17/C16)</f>
        <v>2.35400640077266</v>
      </c>
      <c r="K16" t="s">
        <v>95</v>
      </c>
      <c r="L16" t="e" cm="1">
        <f t="array" aca="1" ref="L16" ca="1">SQRT(CHI_STAT(B16:C17)/D18)</f>
        <v>#NAME?</v>
      </c>
      <c r="R16" s="4"/>
    </row>
    <row r="17" spans="1:18" x14ac:dyDescent="0.35">
      <c r="A17" s="280" t="s">
        <v>551</v>
      </c>
      <c r="B17" s="95">
        <v>4</v>
      </c>
      <c r="C17" s="283">
        <f>D17-B17</f>
        <v>6</v>
      </c>
      <c r="D17" s="280">
        <v>10</v>
      </c>
      <c r="F17" s="17" t="s">
        <v>179</v>
      </c>
      <c r="G17">
        <f>(G16-1)/(G16+1)</f>
        <v>0.2336331705265132</v>
      </c>
      <c r="I17">
        <f>COS(PI()/I16)</f>
        <v>0.2340328156299197</v>
      </c>
      <c r="R17" s="4"/>
    </row>
    <row r="18" spans="1:18" x14ac:dyDescent="0.35">
      <c r="B18" s="280">
        <v>15</v>
      </c>
      <c r="C18" s="280">
        <v>15</v>
      </c>
      <c r="D18" s="280">
        <v>30</v>
      </c>
      <c r="R18" s="4"/>
    </row>
    <row r="19" spans="1:18" x14ac:dyDescent="0.35">
      <c r="A19" s="280"/>
      <c r="B19" s="280" t="s">
        <v>547</v>
      </c>
      <c r="C19" s="280" t="s">
        <v>548</v>
      </c>
    </row>
    <row r="20" spans="1:18" x14ac:dyDescent="0.35">
      <c r="A20" s="280" t="s">
        <v>550</v>
      </c>
      <c r="B20" s="224">
        <f>B22-B21</f>
        <v>10</v>
      </c>
      <c r="C20" s="223">
        <f>C22-C21</f>
        <v>10</v>
      </c>
      <c r="D20" s="280">
        <v>20</v>
      </c>
      <c r="F20" s="17" t="s">
        <v>44</v>
      </c>
      <c r="G20">
        <f>(B20*C21/(B21*C20))^(PI()/4)</f>
        <v>1</v>
      </c>
      <c r="I20">
        <f>1+SQRT(B20*C21/B21/C20)</f>
        <v>2</v>
      </c>
      <c r="K20" t="s">
        <v>95</v>
      </c>
      <c r="L20" t="e" cm="1">
        <f t="array" aca="1" ref="L20" ca="1">SQRT(CHI_STAT(B20:C21)/D22)</f>
        <v>#NAME?</v>
      </c>
    </row>
    <row r="21" spans="1:18" x14ac:dyDescent="0.35">
      <c r="A21" s="280" t="s">
        <v>551</v>
      </c>
      <c r="B21" s="95">
        <v>5</v>
      </c>
      <c r="C21" s="283">
        <f>D21-B21</f>
        <v>5</v>
      </c>
      <c r="D21" s="280">
        <v>10</v>
      </c>
      <c r="F21" s="17" t="s">
        <v>179</v>
      </c>
      <c r="G21">
        <f>(G20-1)/(G20+1)</f>
        <v>0</v>
      </c>
      <c r="I21">
        <f>COS(PI()/I20)</f>
        <v>6.1257422745431001E-17</v>
      </c>
    </row>
    <row r="22" spans="1:18" x14ac:dyDescent="0.35">
      <c r="B22" s="280">
        <v>15</v>
      </c>
      <c r="C22" s="280">
        <v>15</v>
      </c>
      <c r="D22" s="280">
        <v>30</v>
      </c>
    </row>
    <row r="24" spans="1:18" x14ac:dyDescent="0.35">
      <c r="A24" s="280"/>
      <c r="B24" s="280" t="s">
        <v>547</v>
      </c>
      <c r="C24" s="280" t="s">
        <v>548</v>
      </c>
    </row>
    <row r="25" spans="1:18" x14ac:dyDescent="0.35">
      <c r="A25" s="280" t="s">
        <v>550</v>
      </c>
      <c r="B25" s="224">
        <f>B27-B26</f>
        <v>9</v>
      </c>
      <c r="C25" s="223">
        <f>C27-C26</f>
        <v>11</v>
      </c>
      <c r="D25" s="280">
        <v>20</v>
      </c>
      <c r="E25" s="280"/>
      <c r="F25" s="17" t="s">
        <v>44</v>
      </c>
      <c r="G25">
        <f>(B25*C26/(B26*C25))^(PI()/4)</f>
        <v>0.62122748300161401</v>
      </c>
      <c r="I25">
        <f>1+SQRT(B25*C26/B26/C25)</f>
        <v>1.7385489458759964</v>
      </c>
      <c r="K25" t="s">
        <v>95</v>
      </c>
      <c r="L25" t="e" cm="1">
        <f t="array" aca="1" ref="L25" ca="1">SQRT(CHI_STAT(B25:C26)/D27)</f>
        <v>#NAME?</v>
      </c>
    </row>
    <row r="26" spans="1:18" x14ac:dyDescent="0.35">
      <c r="A26" s="280" t="s">
        <v>551</v>
      </c>
      <c r="B26" s="95">
        <v>6</v>
      </c>
      <c r="C26" s="283">
        <f>D26-B26</f>
        <v>4</v>
      </c>
      <c r="D26" s="280">
        <v>10</v>
      </c>
      <c r="E26" s="280"/>
      <c r="F26" s="17" t="s">
        <v>179</v>
      </c>
      <c r="G26">
        <f>(G25-1)/(G25+1)</f>
        <v>-0.23363317052651328</v>
      </c>
      <c r="I26">
        <f>COS(PI()/I25)</f>
        <v>-0.23403281562991959</v>
      </c>
    </row>
    <row r="27" spans="1:18" x14ac:dyDescent="0.35">
      <c r="B27" s="280">
        <v>15</v>
      </c>
      <c r="C27" s="280">
        <v>15</v>
      </c>
      <c r="D27" s="280">
        <v>30</v>
      </c>
      <c r="E27" s="280"/>
    </row>
    <row r="28" spans="1:18" x14ac:dyDescent="0.35">
      <c r="A28" s="280"/>
      <c r="B28" s="280" t="s">
        <v>547</v>
      </c>
      <c r="C28" s="280" t="s">
        <v>548</v>
      </c>
    </row>
    <row r="29" spans="1:18" x14ac:dyDescent="0.35">
      <c r="A29" s="280" t="s">
        <v>550</v>
      </c>
      <c r="B29" s="224">
        <f>B31-B30</f>
        <v>8</v>
      </c>
      <c r="C29" s="223">
        <f>C31-C30</f>
        <v>12</v>
      </c>
      <c r="D29" s="280">
        <v>20</v>
      </c>
      <c r="F29" s="17" t="s">
        <v>44</v>
      </c>
      <c r="G29">
        <f>(B29*C30/(B30*C29))^(PI()/4)</f>
        <v>0.37384360606359007</v>
      </c>
      <c r="I29">
        <f>1+SQRT(B29*C30/B30/C29)</f>
        <v>1.5345224838248488</v>
      </c>
      <c r="K29" t="s">
        <v>95</v>
      </c>
      <c r="L29" t="e" cm="1">
        <f t="array" aca="1" ref="L29" ca="1">SQRT(CHI_STAT(B29:C30)/D31)</f>
        <v>#NAME?</v>
      </c>
    </row>
    <row r="30" spans="1:18" x14ac:dyDescent="0.35">
      <c r="A30" s="280" t="s">
        <v>551</v>
      </c>
      <c r="B30" s="95">
        <v>7</v>
      </c>
      <c r="C30" s="283">
        <f>D30-B30</f>
        <v>3</v>
      </c>
      <c r="D30" s="280">
        <v>10</v>
      </c>
      <c r="F30" s="17" t="s">
        <v>179</v>
      </c>
      <c r="G30">
        <f>(G29-1)/(G29+1)</f>
        <v>-0.45576977697665788</v>
      </c>
      <c r="I30">
        <f>COS(PI()/I29)</f>
        <v>-0.45865473576239779</v>
      </c>
    </row>
    <row r="31" spans="1:18" x14ac:dyDescent="0.35">
      <c r="B31" s="280">
        <v>15</v>
      </c>
      <c r="C31" s="280">
        <v>15</v>
      </c>
      <c r="D31" s="280">
        <v>30</v>
      </c>
    </row>
    <row r="32" spans="1:18" x14ac:dyDescent="0.35">
      <c r="A32" s="280"/>
      <c r="B32" s="280" t="s">
        <v>547</v>
      </c>
      <c r="C32" s="280" t="s">
        <v>548</v>
      </c>
    </row>
    <row r="33" spans="1:12" x14ac:dyDescent="0.35">
      <c r="A33" s="280" t="s">
        <v>550</v>
      </c>
      <c r="B33" s="224">
        <f>B35-B34</f>
        <v>7</v>
      </c>
      <c r="C33" s="223">
        <f>C35-C34</f>
        <v>13</v>
      </c>
      <c r="D33" s="280">
        <v>20</v>
      </c>
      <c r="F33" s="17" t="s">
        <v>44</v>
      </c>
      <c r="G33">
        <f>(B33*C34/(B34*C33))^(PI()/4)</f>
        <v>0.20701059519596951</v>
      </c>
      <c r="I33">
        <f>1+SQRT(B33*C34/B34/C33)</f>
        <v>1.3668996928526713</v>
      </c>
      <c r="K33" t="s">
        <v>95</v>
      </c>
      <c r="L33" t="e" cm="1">
        <f t="array" aca="1" ref="L33" ca="1">SQRT(CHI_STAT(B33:C34)/D35)</f>
        <v>#NAME?</v>
      </c>
    </row>
    <row r="34" spans="1:12" x14ac:dyDescent="0.35">
      <c r="A34" s="280" t="s">
        <v>551</v>
      </c>
      <c r="B34" s="95">
        <v>8</v>
      </c>
      <c r="C34" s="283">
        <f>D34-B34</f>
        <v>2</v>
      </c>
      <c r="D34" s="280">
        <v>10</v>
      </c>
      <c r="F34" s="17" t="s">
        <v>179</v>
      </c>
      <c r="G34">
        <f>(G33-1)/(G33+1)</f>
        <v>-0.65698628326893949</v>
      </c>
      <c r="I34">
        <f>COS(PI()/I33)</f>
        <v>-0.66503308829169483</v>
      </c>
    </row>
    <row r="35" spans="1:12" x14ac:dyDescent="0.35">
      <c r="B35" s="280">
        <v>15</v>
      </c>
      <c r="C35" s="280">
        <v>15</v>
      </c>
      <c r="D35" s="280">
        <v>30</v>
      </c>
    </row>
    <row r="36" spans="1:12" x14ac:dyDescent="0.35">
      <c r="A36" s="280"/>
      <c r="B36" s="280" t="s">
        <v>547</v>
      </c>
      <c r="C36" s="280" t="s">
        <v>548</v>
      </c>
    </row>
    <row r="37" spans="1:12" x14ac:dyDescent="0.35">
      <c r="A37" s="280" t="s">
        <v>550</v>
      </c>
      <c r="B37" s="224">
        <f>B39-B38</f>
        <v>6</v>
      </c>
      <c r="C37" s="223">
        <f>C39-C38</f>
        <v>14</v>
      </c>
      <c r="D37" s="280">
        <v>20</v>
      </c>
      <c r="F37" s="17" t="s">
        <v>44</v>
      </c>
      <c r="G37">
        <f>(B37*C38/(B38*C37))^(PI()/4)</f>
        <v>9.1523241726960081E-2</v>
      </c>
      <c r="I37">
        <f>1+SQRT(B37*C38/B38/C37)</f>
        <v>1.2182178902359924</v>
      </c>
      <c r="K37" t="s">
        <v>95</v>
      </c>
      <c r="L37" t="e" cm="1">
        <f t="array" aca="1" ref="L37" ca="1">SQRT(CHI_STAT(B37:C38)/D39)</f>
        <v>#NAME?</v>
      </c>
    </row>
    <row r="38" spans="1:12" x14ac:dyDescent="0.35">
      <c r="A38" s="280" t="s">
        <v>551</v>
      </c>
      <c r="B38" s="95">
        <v>9</v>
      </c>
      <c r="C38" s="283">
        <f>D38-B38</f>
        <v>1</v>
      </c>
      <c r="D38" s="280">
        <v>10</v>
      </c>
      <c r="F38" s="17" t="s">
        <v>179</v>
      </c>
      <c r="G38">
        <f>(G37-1)/(G37+1)</f>
        <v>-0.8323017994886559</v>
      </c>
      <c r="I38">
        <f>COS(PI()/I37)</f>
        <v>-0.84579132094238874</v>
      </c>
    </row>
    <row r="39" spans="1:12" x14ac:dyDescent="0.35">
      <c r="B39" s="280">
        <v>15</v>
      </c>
      <c r="C39" s="280">
        <v>15</v>
      </c>
      <c r="D39" s="280">
        <v>30</v>
      </c>
    </row>
    <row r="40" spans="1:12" x14ac:dyDescent="0.35">
      <c r="A40" s="280"/>
      <c r="B40" s="280" t="s">
        <v>547</v>
      </c>
      <c r="C40" s="280" t="s">
        <v>548</v>
      </c>
    </row>
    <row r="41" spans="1:12" x14ac:dyDescent="0.35">
      <c r="A41" s="280" t="s">
        <v>550</v>
      </c>
      <c r="B41" s="224">
        <f>B43-B42</f>
        <v>5</v>
      </c>
      <c r="C41" s="223">
        <f>C43-C42</f>
        <v>15</v>
      </c>
      <c r="D41" s="280">
        <v>20</v>
      </c>
      <c r="F41" s="17" t="s">
        <v>44</v>
      </c>
      <c r="G41">
        <f>(B41*C42/(B42*C41))^(PI()/4)</f>
        <v>0</v>
      </c>
      <c r="I41">
        <f>1+SQRT(B41*C42/B42/C41)</f>
        <v>1</v>
      </c>
      <c r="K41" t="s">
        <v>95</v>
      </c>
      <c r="L41" t="e" cm="1">
        <f t="array" aca="1" ref="L41" ca="1">SQRT(CHI_STAT(B41:C42)/D43)</f>
        <v>#NAME?</v>
      </c>
    </row>
    <row r="42" spans="1:12" x14ac:dyDescent="0.35">
      <c r="A42" s="280" t="s">
        <v>551</v>
      </c>
      <c r="B42" s="95">
        <v>10</v>
      </c>
      <c r="C42" s="283">
        <f>D42-B42</f>
        <v>0</v>
      </c>
      <c r="D42" s="280">
        <v>10</v>
      </c>
      <c r="F42" s="17" t="s">
        <v>179</v>
      </c>
      <c r="G42">
        <f>(G41-1)/(G41+1)</f>
        <v>-1</v>
      </c>
      <c r="I42">
        <f>COS(PI()/I41)</f>
        <v>-1</v>
      </c>
    </row>
    <row r="43" spans="1:12" x14ac:dyDescent="0.35">
      <c r="B43" s="280">
        <v>15</v>
      </c>
      <c r="C43" s="280">
        <v>15</v>
      </c>
      <c r="D43" s="280">
        <v>30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01"/>
  <dimension ref="A1:M12"/>
  <sheetViews>
    <sheetView workbookViewId="0"/>
  </sheetViews>
  <sheetFormatPr defaultRowHeight="14.5" x14ac:dyDescent="0.35"/>
  <cols>
    <col min="1" max="1" width="5.26953125" customWidth="1"/>
    <col min="2" max="4" width="8.1796875" customWidth="1"/>
    <col min="5" max="5" width="5.7265625" customWidth="1"/>
    <col min="6" max="6" width="2.81640625" customWidth="1"/>
    <col min="7" max="7" width="10" customWidth="1"/>
    <col min="8" max="8" width="2.7265625" customWidth="1"/>
    <col min="9" max="9" width="5.26953125" customWidth="1"/>
    <col min="10" max="13" width="8.1796875" customWidth="1"/>
  </cols>
  <sheetData>
    <row r="1" spans="1:13" x14ac:dyDescent="0.35">
      <c r="A1" s="1" t="s">
        <v>546</v>
      </c>
    </row>
    <row r="3" spans="1:13" x14ac:dyDescent="0.35">
      <c r="A3" s="280"/>
      <c r="B3" s="280" t="s">
        <v>547</v>
      </c>
      <c r="C3" s="280" t="s">
        <v>548</v>
      </c>
      <c r="D3" s="280" t="s">
        <v>549</v>
      </c>
      <c r="E3" s="280"/>
      <c r="G3" s="280" t="s">
        <v>42</v>
      </c>
      <c r="I3" s="280"/>
      <c r="J3" s="280">
        <v>0</v>
      </c>
      <c r="K3" s="280">
        <v>1</v>
      </c>
      <c r="L3" s="280">
        <v>2</v>
      </c>
      <c r="M3" s="280">
        <v>3</v>
      </c>
    </row>
    <row r="4" spans="1:13" x14ac:dyDescent="0.35">
      <c r="A4" s="280" t="s">
        <v>550</v>
      </c>
      <c r="B4" s="224">
        <v>30</v>
      </c>
      <c r="C4" s="256">
        <v>13</v>
      </c>
      <c r="D4" s="223">
        <v>10</v>
      </c>
      <c r="E4" s="280">
        <f>SUM(B4:D4)</f>
        <v>53</v>
      </c>
      <c r="G4" s="254">
        <f>NORMSINV(E4/E7)</f>
        <v>-0.62800601443756987</v>
      </c>
      <c r="I4" s="280">
        <v>0</v>
      </c>
      <c r="J4" s="224">
        <v>0</v>
      </c>
      <c r="K4" s="256">
        <v>0</v>
      </c>
      <c r="L4" s="256">
        <v>0</v>
      </c>
      <c r="M4" s="223">
        <v>0</v>
      </c>
    </row>
    <row r="5" spans="1:13" x14ac:dyDescent="0.35">
      <c r="A5" s="280" t="s">
        <v>551</v>
      </c>
      <c r="B5" s="103">
        <v>12</v>
      </c>
      <c r="C5" s="281">
        <v>40</v>
      </c>
      <c r="D5" s="97">
        <v>23</v>
      </c>
      <c r="E5" s="280">
        <f>SUM(B5:D5)</f>
        <v>75</v>
      </c>
      <c r="G5" s="94">
        <f>NORMSINV((E4+E5)/E7)</f>
        <v>0.35845879325119384</v>
      </c>
      <c r="I5" s="280">
        <v>1</v>
      </c>
      <c r="J5" s="103">
        <v>0</v>
      </c>
      <c r="K5" s="281" t="e" cm="1">
        <f t="array" aca="1" ref="K5" ca="1">BNORMSDIST($G4,B$9,$G$9,TRUE)</f>
        <v>#NAME?</v>
      </c>
      <c r="L5" s="281" t="e" cm="1">
        <f t="array" aca="1" ref="L5" ca="1">BNORMSDIST($G4,C$9,$G$9,TRUE)</f>
        <v>#NAME?</v>
      </c>
      <c r="M5" s="97">
        <f>NORMSDIST(G4)</f>
        <v>0.2649999999999999</v>
      </c>
    </row>
    <row r="6" spans="1:13" x14ac:dyDescent="0.35">
      <c r="A6" s="280" t="s">
        <v>552</v>
      </c>
      <c r="B6" s="95">
        <v>20</v>
      </c>
      <c r="C6" s="282">
        <v>34</v>
      </c>
      <c r="D6" s="90">
        <v>18</v>
      </c>
      <c r="E6" s="280">
        <f>SUM(B6:D6)</f>
        <v>72</v>
      </c>
      <c r="I6" s="280">
        <v>2</v>
      </c>
      <c r="J6" s="103">
        <v>0</v>
      </c>
      <c r="K6" s="281" t="e" cm="1">
        <f t="array" aca="1" ref="K6" ca="1">BNORMSDIST($G5,B$9,$G$9,TRUE)</f>
        <v>#NAME?</v>
      </c>
      <c r="L6" s="281" t="e" cm="1">
        <f t="array" aca="1" ref="L6" ca="1">BNORMSDIST($G5,C$9,$G$9,TRUE)</f>
        <v>#NAME?</v>
      </c>
      <c r="M6" s="97">
        <f>NORMSDIST(G5)</f>
        <v>0.64000000000000012</v>
      </c>
    </row>
    <row r="7" spans="1:13" x14ac:dyDescent="0.35">
      <c r="A7" s="280"/>
      <c r="B7" s="280">
        <f>SUM(B4:B6)</f>
        <v>62</v>
      </c>
      <c r="C7" s="280">
        <f>SUM(C4:C6)</f>
        <v>87</v>
      </c>
      <c r="D7" s="280">
        <f>SUM(D4:D6)</f>
        <v>51</v>
      </c>
      <c r="E7" s="280">
        <f>SUM(B7:D7)</f>
        <v>200</v>
      </c>
      <c r="I7" s="74">
        <v>3</v>
      </c>
      <c r="J7" s="95">
        <v>0</v>
      </c>
      <c r="K7" s="282">
        <f>NORMSDIST(B9)</f>
        <v>0.30999999999999994</v>
      </c>
      <c r="L7" s="282">
        <f>NORMSDIST(C9)</f>
        <v>0.74500000000000011</v>
      </c>
      <c r="M7" s="90">
        <v>1</v>
      </c>
    </row>
    <row r="8" spans="1:13" x14ac:dyDescent="0.35">
      <c r="G8" s="57" t="s">
        <v>179</v>
      </c>
    </row>
    <row r="9" spans="1:13" x14ac:dyDescent="0.35">
      <c r="A9" s="74" t="s">
        <v>41</v>
      </c>
      <c r="B9" s="123">
        <f>NORMSINV(B7/E7)</f>
        <v>-0.49585034734745354</v>
      </c>
      <c r="C9" s="124">
        <f>NORMSINV((B7+C7)/E7)</f>
        <v>0.65883769273618775</v>
      </c>
      <c r="G9" s="109">
        <v>0.20306721505252001</v>
      </c>
      <c r="I9" s="280"/>
      <c r="J9" s="280" t="s">
        <v>547</v>
      </c>
      <c r="K9" s="280" t="s">
        <v>548</v>
      </c>
      <c r="L9" s="280" t="s">
        <v>549</v>
      </c>
    </row>
    <row r="10" spans="1:13" x14ac:dyDescent="0.35">
      <c r="I10" s="280" t="s">
        <v>550</v>
      </c>
      <c r="J10" s="224" t="e">
        <f ca="1">B4*LN(K5-K4-J5+J4)</f>
        <v>#NAME?</v>
      </c>
      <c r="K10" s="256" t="e">
        <f t="shared" ref="K10:L12" ca="1" si="0">C4*LN(L5-L4-K5+K4)</f>
        <v>#NAME?</v>
      </c>
      <c r="L10" s="223" t="e">
        <f t="shared" ca="1" si="0"/>
        <v>#NAME?</v>
      </c>
    </row>
    <row r="11" spans="1:13" x14ac:dyDescent="0.35">
      <c r="G11" s="280" t="s">
        <v>534</v>
      </c>
      <c r="I11" s="280" t="s">
        <v>551</v>
      </c>
      <c r="J11" s="103" t="e">
        <f ca="1">B5*LN(K6-K5-J6+J5)</f>
        <v>#NAME?</v>
      </c>
      <c r="K11" s="281" t="e">
        <f t="shared" ca="1" si="0"/>
        <v>#NAME?</v>
      </c>
      <c r="L11" s="97" t="e">
        <f t="shared" ca="1" si="0"/>
        <v>#NAME?</v>
      </c>
    </row>
    <row r="12" spans="1:13" x14ac:dyDescent="0.35">
      <c r="G12" s="109" t="e">
        <f ca="1">SUM(J10:L12)</f>
        <v>#NAME?</v>
      </c>
      <c r="I12" s="280" t="s">
        <v>552</v>
      </c>
      <c r="J12" s="95" t="e">
        <f ca="1">B6*LN(K7-K6-J7+J6)</f>
        <v>#NAME?</v>
      </c>
      <c r="K12" s="282" t="e">
        <f t="shared" ca="1" si="0"/>
        <v>#NAME?</v>
      </c>
      <c r="L12" s="90" t="e">
        <f t="shared" ca="1" si="0"/>
        <v>#NAME?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03"/>
  <dimension ref="A1:M12"/>
  <sheetViews>
    <sheetView workbookViewId="0"/>
  </sheetViews>
  <sheetFormatPr defaultRowHeight="14.5" x14ac:dyDescent="0.35"/>
  <cols>
    <col min="1" max="1" width="5.26953125" customWidth="1"/>
    <col min="2" max="4" width="8.1796875" customWidth="1"/>
    <col min="5" max="5" width="5.7265625" customWidth="1"/>
    <col min="6" max="6" width="2.81640625" customWidth="1"/>
    <col min="7" max="7" width="10" customWidth="1"/>
    <col min="8" max="8" width="2.7265625" customWidth="1"/>
    <col min="9" max="9" width="5.26953125" customWidth="1"/>
    <col min="10" max="13" width="8.1796875" customWidth="1"/>
  </cols>
  <sheetData>
    <row r="1" spans="1:13" x14ac:dyDescent="0.35">
      <c r="A1" s="1" t="s">
        <v>546</v>
      </c>
    </row>
    <row r="3" spans="1:13" x14ac:dyDescent="0.35">
      <c r="A3" s="280"/>
      <c r="B3" s="280" t="s">
        <v>547</v>
      </c>
      <c r="C3" s="280" t="s">
        <v>548</v>
      </c>
      <c r="D3" s="280" t="s">
        <v>549</v>
      </c>
      <c r="E3" s="280"/>
      <c r="G3" s="280" t="s">
        <v>42</v>
      </c>
      <c r="I3" s="280"/>
      <c r="J3" s="280">
        <v>0</v>
      </c>
      <c r="K3" s="280">
        <v>1</v>
      </c>
      <c r="L3" s="280">
        <v>2</v>
      </c>
      <c r="M3" s="280">
        <v>3</v>
      </c>
    </row>
    <row r="4" spans="1:13" x14ac:dyDescent="0.35">
      <c r="A4" s="280" t="s">
        <v>550</v>
      </c>
      <c r="B4" s="224">
        <v>30</v>
      </c>
      <c r="C4" s="256">
        <v>13</v>
      </c>
      <c r="D4" s="223">
        <v>10</v>
      </c>
      <c r="E4" s="280">
        <f>SUM(B4:D4)</f>
        <v>53</v>
      </c>
      <c r="G4" s="254">
        <v>-0.62312060795998125</v>
      </c>
      <c r="I4" s="280">
        <v>0</v>
      </c>
      <c r="J4" s="224">
        <v>0</v>
      </c>
      <c r="K4" s="256">
        <v>0</v>
      </c>
      <c r="L4" s="256">
        <v>0</v>
      </c>
      <c r="M4" s="223">
        <v>0</v>
      </c>
    </row>
    <row r="5" spans="1:13" x14ac:dyDescent="0.35">
      <c r="A5" s="280" t="s">
        <v>551</v>
      </c>
      <c r="B5" s="103">
        <v>12</v>
      </c>
      <c r="C5" s="281">
        <v>40</v>
      </c>
      <c r="D5" s="97">
        <v>23</v>
      </c>
      <c r="E5" s="280">
        <f>SUM(B5:D5)</f>
        <v>75</v>
      </c>
      <c r="G5" s="94">
        <v>0.36399197188778887</v>
      </c>
      <c r="I5" s="280">
        <v>1</v>
      </c>
      <c r="J5" s="103">
        <v>0</v>
      </c>
      <c r="K5" s="281" t="e" cm="1">
        <f t="array" aca="1" ref="K5" ca="1">BNORMSDIST($G4,B$9,$G$9,TRUE)</f>
        <v>#NAME?</v>
      </c>
      <c r="L5" s="281" t="e" cm="1">
        <f t="array" aca="1" ref="L5" ca="1">BNORMSDIST($G4,C$9,$G$9,TRUE)</f>
        <v>#NAME?</v>
      </c>
      <c r="M5" s="97">
        <f>NORMSDIST(G4)</f>
        <v>0.26660263415872121</v>
      </c>
    </row>
    <row r="6" spans="1:13" x14ac:dyDescent="0.35">
      <c r="A6" s="280" t="s">
        <v>552</v>
      </c>
      <c r="B6" s="95">
        <v>20</v>
      </c>
      <c r="C6" s="282">
        <v>34</v>
      </c>
      <c r="D6" s="90">
        <v>18</v>
      </c>
      <c r="E6" s="280">
        <f>SUM(B6:D6)</f>
        <v>72</v>
      </c>
      <c r="I6" s="280">
        <v>2</v>
      </c>
      <c r="J6" s="103">
        <v>0</v>
      </c>
      <c r="K6" s="281" t="e" cm="1">
        <f t="array" aca="1" ref="K6" ca="1">BNORMSDIST($G5,B$9,$G$9,TRUE)</f>
        <v>#NAME?</v>
      </c>
      <c r="L6" s="281" t="e" cm="1">
        <f t="array" aca="1" ref="L6" ca="1">BNORMSDIST($G5,C$9,$G$9,TRUE)</f>
        <v>#NAME?</v>
      </c>
      <c r="M6" s="97">
        <f>NORMSDIST(G5)</f>
        <v>0.64206799785236224</v>
      </c>
    </row>
    <row r="7" spans="1:13" x14ac:dyDescent="0.35">
      <c r="A7" s="280"/>
      <c r="B7" s="280">
        <f>SUM(B4:B6)</f>
        <v>62</v>
      </c>
      <c r="C7" s="280">
        <f>SUM(C4:C6)</f>
        <v>87</v>
      </c>
      <c r="D7" s="280">
        <f>SUM(D4:D6)</f>
        <v>51</v>
      </c>
      <c r="E7" s="280">
        <f>SUM(B7:D7)</f>
        <v>200</v>
      </c>
      <c r="I7" s="74">
        <v>3</v>
      </c>
      <c r="J7" s="95">
        <v>0</v>
      </c>
      <c r="K7" s="282">
        <f>NORMSDIST(B9)</f>
        <v>0.31135309178736126</v>
      </c>
      <c r="L7" s="282">
        <f>NORMSDIST(C9)</f>
        <v>0.74568315423644127</v>
      </c>
      <c r="M7" s="90">
        <v>1</v>
      </c>
    </row>
    <row r="8" spans="1:13" x14ac:dyDescent="0.35">
      <c r="G8" s="57" t="s">
        <v>179</v>
      </c>
    </row>
    <row r="9" spans="1:13" x14ac:dyDescent="0.35">
      <c r="A9" s="74" t="s">
        <v>41</v>
      </c>
      <c r="B9" s="123">
        <v>-0.49201861573746342</v>
      </c>
      <c r="C9" s="124">
        <v>0.66096666521677028</v>
      </c>
      <c r="G9" s="109">
        <v>0.20335786218207819</v>
      </c>
      <c r="I9" s="280"/>
      <c r="J9" s="280" t="s">
        <v>547</v>
      </c>
      <c r="K9" s="280" t="s">
        <v>548</v>
      </c>
      <c r="L9" s="280" t="s">
        <v>549</v>
      </c>
    </row>
    <row r="10" spans="1:13" x14ac:dyDescent="0.35">
      <c r="I10" s="280" t="s">
        <v>550</v>
      </c>
      <c r="J10" s="224" t="e">
        <f ca="1">B4*LN(K5-K4-J5+J4)</f>
        <v>#NAME?</v>
      </c>
      <c r="K10" s="256" t="e">
        <f t="shared" ref="K10:L12" ca="1" si="0">C4*LN(L5-L4-K5+K4)</f>
        <v>#NAME?</v>
      </c>
      <c r="L10" s="223" t="e">
        <f t="shared" ca="1" si="0"/>
        <v>#NAME?</v>
      </c>
    </row>
    <row r="11" spans="1:13" x14ac:dyDescent="0.35">
      <c r="G11" s="280" t="s">
        <v>534</v>
      </c>
      <c r="I11" s="280" t="s">
        <v>551</v>
      </c>
      <c r="J11" s="103" t="e">
        <f ca="1">B5*LN(K6-K5-J6+J5)</f>
        <v>#NAME?</v>
      </c>
      <c r="K11" s="281" t="e">
        <f t="shared" ca="1" si="0"/>
        <v>#NAME?</v>
      </c>
      <c r="L11" s="97" t="e">
        <f t="shared" ca="1" si="0"/>
        <v>#NAME?</v>
      </c>
    </row>
    <row r="12" spans="1:13" x14ac:dyDescent="0.35">
      <c r="G12" s="109" t="e">
        <f ca="1">SUM(J10:L12)</f>
        <v>#NAME?</v>
      </c>
      <c r="I12" s="280" t="s">
        <v>552</v>
      </c>
      <c r="J12" s="95" t="e">
        <f ca="1">B6*LN(K7-K6-J7+J6)</f>
        <v>#NAME?</v>
      </c>
      <c r="K12" s="282" t="e">
        <f t="shared" ca="1" si="0"/>
        <v>#NAME?</v>
      </c>
      <c r="L12" s="90" t="e">
        <f t="shared" ca="1" si="0"/>
        <v>#NAME?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04"/>
  <dimension ref="A1:W29"/>
  <sheetViews>
    <sheetView workbookViewId="0"/>
  </sheetViews>
  <sheetFormatPr defaultRowHeight="14.5" x14ac:dyDescent="0.35"/>
  <cols>
    <col min="1" max="1" width="5.26953125" customWidth="1"/>
    <col min="4" max="4" width="7.26953125" customWidth="1"/>
    <col min="5" max="5" width="4.26953125" customWidth="1"/>
    <col min="6" max="6" width="10.26953125" customWidth="1"/>
    <col min="7" max="7" width="4.453125" customWidth="1"/>
    <col min="13" max="13" width="6.1796875" customWidth="1"/>
    <col min="14" max="15" width="6.7265625" customWidth="1"/>
    <col min="16" max="16" width="4.54296875" customWidth="1"/>
    <col min="17" max="17" width="8.1796875" customWidth="1"/>
    <col min="19" max="19" width="2.54296875" customWidth="1"/>
    <col min="20" max="20" width="48.7265625" customWidth="1"/>
    <col min="21" max="21" width="4" customWidth="1"/>
  </cols>
  <sheetData>
    <row r="1" spans="1:23" x14ac:dyDescent="0.35">
      <c r="A1" s="1" t="s">
        <v>559</v>
      </c>
    </row>
    <row r="2" spans="1:23" x14ac:dyDescent="0.35">
      <c r="Q2" t="s">
        <v>560</v>
      </c>
    </row>
    <row r="3" spans="1:23" x14ac:dyDescent="0.35">
      <c r="A3" s="280"/>
      <c r="B3" s="280" t="s">
        <v>547</v>
      </c>
      <c r="C3" s="280" t="s">
        <v>548</v>
      </c>
      <c r="E3" s="280"/>
      <c r="F3" s="280" t="s">
        <v>42</v>
      </c>
      <c r="H3" s="280"/>
      <c r="I3" s="6">
        <v>0</v>
      </c>
      <c r="J3" s="6">
        <v>1</v>
      </c>
      <c r="K3" s="6">
        <v>2</v>
      </c>
    </row>
    <row r="4" spans="1:23" x14ac:dyDescent="0.35">
      <c r="A4" s="280" t="s">
        <v>550</v>
      </c>
      <c r="B4" s="224">
        <v>13</v>
      </c>
      <c r="C4" s="223">
        <v>24</v>
      </c>
      <c r="D4" s="280">
        <f>SUM(B4:C4)</f>
        <v>37</v>
      </c>
      <c r="F4" s="109">
        <f>NORMSINV(D4/D6)</f>
        <v>-0.32197089018198838</v>
      </c>
      <c r="H4" s="280">
        <v>0</v>
      </c>
      <c r="I4" s="286">
        <v>0</v>
      </c>
      <c r="J4" s="287">
        <v>0</v>
      </c>
      <c r="K4" s="288">
        <v>0</v>
      </c>
      <c r="M4" s="280"/>
      <c r="N4" s="280" t="s">
        <v>547</v>
      </c>
      <c r="O4" s="280" t="s">
        <v>548</v>
      </c>
      <c r="Q4" s="17" t="s">
        <v>44</v>
      </c>
      <c r="R4" s="254">
        <v>0.05</v>
      </c>
      <c r="V4" t="e">
        <f t="array" aca="1" ref="V4:W9" ca="1">TCORREL(N5:O6,TRUE)</f>
        <v>#NAME?</v>
      </c>
      <c r="W4" s="254" t="e">
        <f ca="1"/>
        <v>#NAME?</v>
      </c>
    </row>
    <row r="5" spans="1:23" x14ac:dyDescent="0.35">
      <c r="A5" s="280" t="s">
        <v>551</v>
      </c>
      <c r="B5" s="95">
        <v>10</v>
      </c>
      <c r="C5" s="90">
        <v>52</v>
      </c>
      <c r="D5" s="280">
        <f>SUM(B5:C5)</f>
        <v>62</v>
      </c>
      <c r="H5" s="280">
        <v>1</v>
      </c>
      <c r="I5" s="108">
        <v>0</v>
      </c>
      <c r="J5" s="281" t="e" cm="1">
        <f t="array" aca="1" ref="J5" ca="1">BNORMSDIST($F4,B$9,$F$7,TRUE)</f>
        <v>#NAME?</v>
      </c>
      <c r="K5" s="102">
        <f>NORMSDIST(F4)</f>
        <v>0.3737373737373737</v>
      </c>
      <c r="M5" s="280" t="s">
        <v>550</v>
      </c>
      <c r="N5" s="224">
        <v>13</v>
      </c>
      <c r="O5" s="223">
        <v>24</v>
      </c>
      <c r="Q5" s="17" t="s">
        <v>561</v>
      </c>
      <c r="R5" s="100">
        <f>(N5*O6/(N6*O5))^(PI()/4)</f>
        <v>2.2553886977991766</v>
      </c>
      <c r="T5" t="e" cm="1">
        <f t="array" aca="1" ref="T5" ca="1">FTEXT(R5)</f>
        <v>#NAME?</v>
      </c>
      <c r="V5" t="e">
        <f ca="1"/>
        <v>#NAME?</v>
      </c>
      <c r="W5" s="100" t="e">
        <f ca="1"/>
        <v>#NAME?</v>
      </c>
    </row>
    <row r="6" spans="1:23" x14ac:dyDescent="0.35">
      <c r="A6" s="280"/>
      <c r="B6" s="280">
        <f>SUM(B4:B5)</f>
        <v>23</v>
      </c>
      <c r="C6" s="280">
        <f>SUM(C4:C5)</f>
        <v>76</v>
      </c>
      <c r="D6" s="280">
        <f>SUM(B6:C6)</f>
        <v>99</v>
      </c>
      <c r="F6" s="57" t="s">
        <v>179</v>
      </c>
      <c r="H6" s="280">
        <v>2</v>
      </c>
      <c r="I6" s="289">
        <v>0</v>
      </c>
      <c r="J6" s="159">
        <f>NORMSDIST(B9)</f>
        <v>0.23232323232323215</v>
      </c>
      <c r="K6" s="93">
        <v>1</v>
      </c>
      <c r="M6" s="280" t="s">
        <v>551</v>
      </c>
      <c r="N6" s="95">
        <v>10</v>
      </c>
      <c r="O6" s="90">
        <v>52</v>
      </c>
      <c r="Q6" s="17" t="s">
        <v>179</v>
      </c>
      <c r="R6" s="100">
        <f>(R5-1)/(R5+1)</f>
        <v>0.38563404076689489</v>
      </c>
      <c r="T6" t="e" cm="1">
        <f t="array" aca="1" ref="T6" ca="1">FTEXT(R6)</f>
        <v>#NAME?</v>
      </c>
      <c r="V6" t="e">
        <f ca="1"/>
        <v>#NAME?</v>
      </c>
      <c r="W6" s="100" t="e">
        <f ca="1"/>
        <v>#NAME?</v>
      </c>
    </row>
    <row r="7" spans="1:23" x14ac:dyDescent="0.35">
      <c r="A7" s="280"/>
      <c r="F7" s="109">
        <v>0.36429624338959593</v>
      </c>
      <c r="Q7" t="s">
        <v>265</v>
      </c>
      <c r="R7" s="100">
        <f>PI()*R5*SQRT(SUMPRODUCT(1/N5:O6))/(2*(1+R5)^2)</f>
        <v>0.16302726011749352</v>
      </c>
      <c r="T7" t="e" cm="1">
        <f t="array" aca="1" ref="T7" ca="1">FTEXT(R7)</f>
        <v>#NAME?</v>
      </c>
      <c r="V7" t="e">
        <f ca="1"/>
        <v>#NAME?</v>
      </c>
      <c r="W7" s="100" t="e">
        <f ca="1"/>
        <v>#NAME?</v>
      </c>
    </row>
    <row r="8" spans="1:23" x14ac:dyDescent="0.35">
      <c r="H8" s="280"/>
      <c r="I8" s="280" t="s">
        <v>547</v>
      </c>
      <c r="J8" s="280" t="s">
        <v>548</v>
      </c>
      <c r="Q8" t="s">
        <v>36</v>
      </c>
      <c r="R8" s="100">
        <f>R6/R7</f>
        <v>2.365457411778674</v>
      </c>
      <c r="T8" t="e" cm="1">
        <f t="array" aca="1" ref="T8" ca="1">FTEXT(R8)</f>
        <v>#NAME?</v>
      </c>
      <c r="U8" s="7"/>
      <c r="V8" t="e">
        <f ca="1"/>
        <v>#NAME?</v>
      </c>
      <c r="W8" s="100" t="e">
        <f ca="1"/>
        <v>#NAME?</v>
      </c>
    </row>
    <row r="9" spans="1:23" x14ac:dyDescent="0.35">
      <c r="A9" s="74" t="s">
        <v>41</v>
      </c>
      <c r="B9" s="109">
        <f>NORMSINV(B6/D6)</f>
        <v>-0.73121725112971703</v>
      </c>
      <c r="F9" s="280" t="s">
        <v>534</v>
      </c>
      <c r="H9" s="280" t="s">
        <v>550</v>
      </c>
      <c r="I9" s="224" t="e">
        <f ca="1">B4*LN(J5-J4-I5+I4)</f>
        <v>#NAME?</v>
      </c>
      <c r="J9" s="223" t="e">
        <f ca="1">C4*LN(K5-K4-J5+J4)</f>
        <v>#NAME?</v>
      </c>
      <c r="Q9" t="s">
        <v>59</v>
      </c>
      <c r="R9" s="100">
        <f>2*(1-NORMSDIST(R8))</f>
        <v>1.8007814315140092E-2</v>
      </c>
      <c r="T9" s="7" t="s">
        <v>562</v>
      </c>
      <c r="V9" t="e">
        <f ca="1"/>
        <v>#NAME?</v>
      </c>
      <c r="W9" s="94" t="e">
        <f ca="1"/>
        <v>#NAME?</v>
      </c>
    </row>
    <row r="10" spans="1:23" x14ac:dyDescent="0.35">
      <c r="F10" s="109" t="e">
        <f ca="1">SUM(I9:J10)</f>
        <v>#NAME?</v>
      </c>
      <c r="H10" s="280" t="s">
        <v>551</v>
      </c>
      <c r="I10" s="95" t="e">
        <f ca="1">B5*LN(J6-J5-I6+I5)</f>
        <v>#NAME?</v>
      </c>
      <c r="J10" s="90" t="e">
        <f ca="1">C5*LN(K6-K5-J6+J5)</f>
        <v>#NAME?</v>
      </c>
      <c r="Q10" t="s">
        <v>29</v>
      </c>
      <c r="R10" s="100">
        <f>R6-NORMSINV(1-R4/2)*R7</f>
        <v>6.6106482438364533E-2</v>
      </c>
      <c r="T10" s="7" t="s">
        <v>563</v>
      </c>
      <c r="U10" s="7"/>
    </row>
    <row r="11" spans="1:23" x14ac:dyDescent="0.35">
      <c r="Q11" t="s">
        <v>30</v>
      </c>
      <c r="R11" s="94">
        <f>R6+NORMSINV(1-R4/2)*R7</f>
        <v>0.7051615990954252</v>
      </c>
      <c r="T11" s="7" t="s">
        <v>564</v>
      </c>
      <c r="U11" s="7"/>
    </row>
    <row r="13" spans="1:23" x14ac:dyDescent="0.35">
      <c r="Q13" t="s">
        <v>565</v>
      </c>
    </row>
    <row r="15" spans="1:23" x14ac:dyDescent="0.35">
      <c r="M15" s="280"/>
      <c r="N15" s="280" t="s">
        <v>547</v>
      </c>
      <c r="O15" s="280" t="s">
        <v>548</v>
      </c>
      <c r="Q15" s="17" t="s">
        <v>384</v>
      </c>
      <c r="R15" s="254">
        <f>1+SQRT(N16*O17/N17/O16)</f>
        <v>2.6782927833565475</v>
      </c>
      <c r="T15" t="e" cm="1">
        <f t="array" aca="1" ref="T15" ca="1">FTEXT(R15)</f>
        <v>#NAME?</v>
      </c>
      <c r="V15" t="e">
        <f t="array" aca="1" ref="V15:W20" ca="1">TCORREL(N16:O17,TRUE,FALSE)</f>
        <v>#NAME?</v>
      </c>
      <c r="W15" s="254" t="e">
        <f ca="1"/>
        <v>#NAME?</v>
      </c>
    </row>
    <row r="16" spans="1:23" x14ac:dyDescent="0.35">
      <c r="M16" s="280" t="s">
        <v>550</v>
      </c>
      <c r="N16" s="224">
        <v>13</v>
      </c>
      <c r="O16" s="223">
        <v>24</v>
      </c>
      <c r="Q16" s="17" t="s">
        <v>179</v>
      </c>
      <c r="R16" s="100">
        <f>COS(PI()/R15)</f>
        <v>0.38740309545357382</v>
      </c>
      <c r="T16" t="e" cm="1">
        <f t="array" aca="1" ref="T16" ca="1">FTEXT(R16)</f>
        <v>#NAME?</v>
      </c>
      <c r="V16" t="e">
        <f ca="1"/>
        <v>#NAME?</v>
      </c>
      <c r="W16" s="100" t="e">
        <f ca="1"/>
        <v>#NAME?</v>
      </c>
    </row>
    <row r="17" spans="13:23" x14ac:dyDescent="0.35">
      <c r="M17" s="280" t="s">
        <v>551</v>
      </c>
      <c r="N17" s="95">
        <v>10</v>
      </c>
      <c r="O17" s="90">
        <v>52</v>
      </c>
      <c r="Q17" t="s">
        <v>265</v>
      </c>
      <c r="R17" s="100">
        <f>R29</f>
        <v>0.1775308875680412</v>
      </c>
      <c r="T17" t="e" cm="1">
        <f t="array" aca="1" ref="T17" ca="1">FTEXT(R17)</f>
        <v>#NAME?</v>
      </c>
      <c r="V17" t="e">
        <f ca="1"/>
        <v>#NAME?</v>
      </c>
      <c r="W17" s="100" t="e">
        <f ca="1"/>
        <v>#NAME?</v>
      </c>
    </row>
    <row r="18" spans="13:23" x14ac:dyDescent="0.35">
      <c r="Q18" t="s">
        <v>36</v>
      </c>
      <c r="R18" s="100">
        <f>R16/R17</f>
        <v>2.1821729207831293</v>
      </c>
      <c r="T18" t="e" cm="1">
        <f t="array" aca="1" ref="T18" ca="1">FTEXT(R18)</f>
        <v>#NAME?</v>
      </c>
      <c r="V18" t="e">
        <f ca="1"/>
        <v>#NAME?</v>
      </c>
      <c r="W18" s="100" t="e">
        <f ca="1"/>
        <v>#NAME?</v>
      </c>
    </row>
    <row r="19" spans="13:23" x14ac:dyDescent="0.35">
      <c r="Q19" t="s">
        <v>59</v>
      </c>
      <c r="R19" s="100">
        <f>2*(1-NORMSDIST(R18))</f>
        <v>2.9096773031264345E-2</v>
      </c>
      <c r="T19" s="7" t="s">
        <v>566</v>
      </c>
      <c r="U19" s="7"/>
      <c r="V19" t="e">
        <f ca="1"/>
        <v>#NAME?</v>
      </c>
      <c r="W19" s="100" t="e">
        <f ca="1"/>
        <v>#NAME?</v>
      </c>
    </row>
    <row r="20" spans="13:23" x14ac:dyDescent="0.35">
      <c r="Q20" s="17" t="s">
        <v>44</v>
      </c>
      <c r="R20" s="100">
        <v>0.05</v>
      </c>
      <c r="V20" t="e">
        <f ca="1"/>
        <v>#NAME?</v>
      </c>
      <c r="W20" s="94" t="e">
        <f ca="1"/>
        <v>#NAME?</v>
      </c>
    </row>
    <row r="21" spans="13:23" x14ac:dyDescent="0.35">
      <c r="Q21" t="s">
        <v>29</v>
      </c>
      <c r="R21" s="100">
        <f>R16-NORMSINV(1-R20/2)*R17</f>
        <v>3.9448949676783529E-2</v>
      </c>
      <c r="T21" s="7" t="s">
        <v>567</v>
      </c>
      <c r="U21" s="7"/>
    </row>
    <row r="22" spans="13:23" x14ac:dyDescent="0.35">
      <c r="Q22" t="s">
        <v>30</v>
      </c>
      <c r="R22" s="94">
        <f>R16+NORMSINV(1-R20/2)*R17</f>
        <v>0.73535724123036417</v>
      </c>
      <c r="T22" s="7" t="s">
        <v>568</v>
      </c>
      <c r="U22" s="7"/>
    </row>
    <row r="24" spans="13:23" x14ac:dyDescent="0.35">
      <c r="Q24" t="s">
        <v>31</v>
      </c>
      <c r="R24" s="254">
        <f>SUM(N16:O17)</f>
        <v>99</v>
      </c>
      <c r="T24" t="e" cm="1">
        <f t="array" aca="1" ref="T24" ca="1">FTEXT(R24)</f>
        <v>#NAME?</v>
      </c>
    </row>
    <row r="25" spans="13:23" x14ac:dyDescent="0.35">
      <c r="Q25" t="s">
        <v>390</v>
      </c>
      <c r="R25" s="100">
        <f>(N16+O16)/R24</f>
        <v>0.37373737373737376</v>
      </c>
      <c r="T25" t="e" cm="1">
        <f t="array" aca="1" ref="T25" ca="1">FTEXT(R25)</f>
        <v>#NAME?</v>
      </c>
    </row>
    <row r="26" spans="13:23" x14ac:dyDescent="0.35">
      <c r="Q26" t="s">
        <v>288</v>
      </c>
      <c r="R26" s="100">
        <f>(N16+N17)/R24</f>
        <v>0.23232323232323232</v>
      </c>
      <c r="T26" t="e" cm="1">
        <f t="array" aca="1" ref="T26" ca="1">FTEXT(R26)</f>
        <v>#NAME?</v>
      </c>
    </row>
    <row r="27" spans="13:23" x14ac:dyDescent="0.35">
      <c r="Q27" t="s">
        <v>569</v>
      </c>
      <c r="R27" s="100">
        <f>NORMDIST(NORMSINV(R25),0,1,FALSE)</f>
        <v>0.37879081701566131</v>
      </c>
      <c r="T27" s="7" t="s">
        <v>570</v>
      </c>
      <c r="U27" s="7"/>
    </row>
    <row r="28" spans="13:23" x14ac:dyDescent="0.35">
      <c r="Q28" t="s">
        <v>571</v>
      </c>
      <c r="R28" s="100">
        <f>NORMDIST(NORMSINV(R26),0,1,FALSE)</f>
        <v>0.30535572595657151</v>
      </c>
      <c r="T28" s="7" t="s">
        <v>572</v>
      </c>
      <c r="U28" s="7"/>
    </row>
    <row r="29" spans="13:23" x14ac:dyDescent="0.35">
      <c r="Q29" t="s">
        <v>573</v>
      </c>
      <c r="R29" s="94">
        <f>SQRT(R25*R26*(1-R25)*(1-R26)/R24)/(R27*R28)</f>
        <v>0.1775308875680412</v>
      </c>
      <c r="T29" t="e" cm="1">
        <f t="array" aca="1" ref="T29" ca="1">FTEXT(R29)</f>
        <v>#NAME?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05"/>
  <dimension ref="A1:M17"/>
  <sheetViews>
    <sheetView workbookViewId="0"/>
  </sheetViews>
  <sheetFormatPr defaultRowHeight="14.5" x14ac:dyDescent="0.35"/>
  <sheetData>
    <row r="1" spans="1:13" x14ac:dyDescent="0.35">
      <c r="A1" s="1" t="s">
        <v>546</v>
      </c>
    </row>
    <row r="3" spans="1:13" x14ac:dyDescent="0.35">
      <c r="A3" s="280"/>
      <c r="B3" s="280" t="s">
        <v>547</v>
      </c>
      <c r="C3" s="280" t="s">
        <v>548</v>
      </c>
      <c r="D3" s="280" t="s">
        <v>549</v>
      </c>
      <c r="E3" s="280"/>
      <c r="G3" t="s">
        <v>546</v>
      </c>
    </row>
    <row r="4" spans="1:13" x14ac:dyDescent="0.35">
      <c r="A4" s="280" t="s">
        <v>550</v>
      </c>
      <c r="B4" s="224">
        <v>30</v>
      </c>
      <c r="C4" s="256">
        <v>13</v>
      </c>
      <c r="D4" s="223">
        <v>10</v>
      </c>
      <c r="E4" s="280">
        <f>SUM(B4:D4)</f>
        <v>53</v>
      </c>
    </row>
    <row r="5" spans="1:13" x14ac:dyDescent="0.35">
      <c r="A5" s="280" t="s">
        <v>551</v>
      </c>
      <c r="B5" s="103">
        <v>12</v>
      </c>
      <c r="C5" s="281">
        <v>40</v>
      </c>
      <c r="D5" s="97">
        <v>23</v>
      </c>
      <c r="E5" s="280">
        <f>SUM(B5:D5)</f>
        <v>75</v>
      </c>
      <c r="G5" t="str">
        <f>IF(A3="","",A3)</f>
        <v/>
      </c>
      <c r="H5" s="6" t="str">
        <f t="shared" ref="H5:J8" si="0">B3</f>
        <v>y=0</v>
      </c>
      <c r="I5" s="6" t="str">
        <f t="shared" si="0"/>
        <v>y=1</v>
      </c>
      <c r="J5" s="6" t="str">
        <f t="shared" si="0"/>
        <v>y=2</v>
      </c>
      <c r="M5" t="s">
        <v>576</v>
      </c>
    </row>
    <row r="6" spans="1:13" x14ac:dyDescent="0.35">
      <c r="A6" s="280" t="s">
        <v>552</v>
      </c>
      <c r="B6" s="95">
        <v>20</v>
      </c>
      <c r="C6" s="282">
        <v>34</v>
      </c>
      <c r="D6" s="90">
        <v>18</v>
      </c>
      <c r="E6" s="280">
        <f>SUM(B6:D6)</f>
        <v>72</v>
      </c>
      <c r="G6" t="str">
        <f t="shared" ref="G6:G8" si="1">A4</f>
        <v>x=0</v>
      </c>
      <c r="H6" s="290">
        <f t="shared" si="0"/>
        <v>30</v>
      </c>
      <c r="I6" s="291">
        <f t="shared" si="0"/>
        <v>13</v>
      </c>
      <c r="J6" s="292">
        <f t="shared" si="0"/>
        <v>10</v>
      </c>
      <c r="K6">
        <f>SUM(H6:J6)</f>
        <v>53</v>
      </c>
      <c r="M6" s="295">
        <f>NORMSINV(SUM($K$6:K6)/$K$9)</f>
        <v>-0.62800601443756987</v>
      </c>
    </row>
    <row r="7" spans="1:13" x14ac:dyDescent="0.35">
      <c r="A7" s="280"/>
      <c r="B7" s="280">
        <f>SUM(B4:B6)</f>
        <v>62</v>
      </c>
      <c r="C7" s="280">
        <f>SUM(C4:C6)</f>
        <v>87</v>
      </c>
      <c r="D7" s="280">
        <f>SUM(D4:D6)</f>
        <v>51</v>
      </c>
      <c r="E7" s="280">
        <f>SUM(B7:D7)</f>
        <v>200</v>
      </c>
      <c r="G7" t="str">
        <f t="shared" si="1"/>
        <v>x=1</v>
      </c>
      <c r="H7" s="99">
        <f t="shared" si="0"/>
        <v>12</v>
      </c>
      <c r="I7" s="4">
        <f t="shared" si="0"/>
        <v>40</v>
      </c>
      <c r="J7" s="32">
        <f t="shared" si="0"/>
        <v>23</v>
      </c>
      <c r="K7">
        <f t="shared" ref="K7:K9" si="2">SUM(H7:J7)</f>
        <v>75</v>
      </c>
      <c r="M7" s="155">
        <f>NORMSINV(SUM($K$6:K7)/$K$9)</f>
        <v>0.35845879325119384</v>
      </c>
    </row>
    <row r="8" spans="1:13" x14ac:dyDescent="0.35">
      <c r="G8" t="str">
        <f t="shared" si="1"/>
        <v>x=2</v>
      </c>
      <c r="H8" s="156">
        <f t="shared" si="0"/>
        <v>20</v>
      </c>
      <c r="I8" s="157">
        <f t="shared" si="0"/>
        <v>34</v>
      </c>
      <c r="J8" s="158">
        <f t="shared" si="0"/>
        <v>18</v>
      </c>
      <c r="K8">
        <f t="shared" si="2"/>
        <v>72</v>
      </c>
    </row>
    <row r="9" spans="1:13" x14ac:dyDescent="0.35">
      <c r="H9">
        <f>SUM(H6:H8)</f>
        <v>62</v>
      </c>
      <c r="I9">
        <f t="shared" ref="I9:J9" si="3">SUM(I6:I8)</f>
        <v>87</v>
      </c>
      <c r="J9">
        <f t="shared" si="3"/>
        <v>51</v>
      </c>
      <c r="K9">
        <f t="shared" si="2"/>
        <v>200</v>
      </c>
    </row>
    <row r="10" spans="1:13" x14ac:dyDescent="0.35">
      <c r="M10" s="280" t="s">
        <v>577</v>
      </c>
    </row>
    <row r="11" spans="1:13" x14ac:dyDescent="0.35">
      <c r="G11" t="s">
        <v>575</v>
      </c>
      <c r="H11" s="293">
        <f>NORMSINV(SUM($H$9:H9)/$K$9)</f>
        <v>-0.49585034734745354</v>
      </c>
      <c r="I11" s="294">
        <f>NORMSINV(SUM($H$9:I9)/$K$9)</f>
        <v>0.65883769273618775</v>
      </c>
      <c r="M11" s="296">
        <v>0.20306696106422689</v>
      </c>
    </row>
    <row r="13" spans="1:13" x14ac:dyDescent="0.35">
      <c r="M13" s="280" t="s">
        <v>534</v>
      </c>
    </row>
    <row r="14" spans="1:13" x14ac:dyDescent="0.35">
      <c r="M14" s="296" t="e" cm="1">
        <f t="array" aca="1" ref="M14" ca="1">PolyChorLL(H6:J8,M11)</f>
        <v>#NAME?</v>
      </c>
    </row>
    <row r="16" spans="1:13" x14ac:dyDescent="0.35">
      <c r="M16" s="280" t="s">
        <v>578</v>
      </c>
    </row>
    <row r="17" spans="13:13" x14ac:dyDescent="0.35">
      <c r="M17" s="297" t="s">
        <v>579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3"/>
  <dimension ref="A1:V10"/>
  <sheetViews>
    <sheetView workbookViewId="0"/>
  </sheetViews>
  <sheetFormatPr defaultRowHeight="14.5" x14ac:dyDescent="0.35"/>
  <cols>
    <col min="1" max="1" width="10" customWidth="1"/>
    <col min="2" max="6" width="9.7265625" customWidth="1"/>
    <col min="7" max="7" width="9.1796875" customWidth="1"/>
    <col min="8" max="8" width="5.7265625" customWidth="1"/>
    <col min="9" max="9" width="8.1796875" customWidth="1"/>
    <col min="10" max="14" width="9.7265625" customWidth="1"/>
    <col min="15" max="15" width="7.81640625" customWidth="1"/>
    <col min="16" max="16" width="4.7265625" customWidth="1"/>
    <col min="17" max="17" width="9.1796875" customWidth="1"/>
    <col min="18" max="20" width="9.54296875" customWidth="1"/>
    <col min="21" max="21" width="6.7265625" customWidth="1"/>
    <col min="22" max="22" width="9.54296875" customWidth="1"/>
  </cols>
  <sheetData>
    <row r="1" spans="1:22" x14ac:dyDescent="0.35">
      <c r="A1" s="1" t="s">
        <v>859</v>
      </c>
      <c r="I1" t="s">
        <v>860</v>
      </c>
      <c r="Q1" t="s">
        <v>861</v>
      </c>
    </row>
    <row r="3" spans="1:22" ht="15" thickBot="1" x14ac:dyDescent="0.4">
      <c r="A3" s="416"/>
      <c r="B3" s="416" t="s">
        <v>862</v>
      </c>
      <c r="C3" s="416" t="s">
        <v>863</v>
      </c>
      <c r="D3" s="416" t="s">
        <v>864</v>
      </c>
      <c r="E3" s="416" t="s">
        <v>865</v>
      </c>
      <c r="F3" s="416" t="s">
        <v>866</v>
      </c>
      <c r="G3" s="416"/>
      <c r="I3" t="str">
        <f t="shared" ref="I3:N3" si="0">IF(A3="","",A3)</f>
        <v/>
      </c>
      <c r="J3" s="416" t="str">
        <f t="shared" si="0"/>
        <v>very dissat</v>
      </c>
      <c r="K3" s="416" t="str">
        <f t="shared" si="0"/>
        <v>dissat</v>
      </c>
      <c r="L3" s="416" t="str">
        <f t="shared" si="0"/>
        <v>neutral</v>
      </c>
      <c r="M3" s="416" t="str">
        <f t="shared" si="0"/>
        <v>satis</v>
      </c>
      <c r="N3" s="416" t="str">
        <f t="shared" si="0"/>
        <v>very satis</v>
      </c>
      <c r="O3" s="6" t="s">
        <v>1</v>
      </c>
      <c r="Q3" t="s">
        <v>55</v>
      </c>
      <c r="S3" t="s">
        <v>35</v>
      </c>
      <c r="T3">
        <v>0.05</v>
      </c>
    </row>
    <row r="4" spans="1:22" ht="15" thickTop="1" x14ac:dyDescent="0.35">
      <c r="A4" s="416" t="s">
        <v>867</v>
      </c>
      <c r="B4" s="418">
        <v>5</v>
      </c>
      <c r="C4" s="346">
        <v>9</v>
      </c>
      <c r="D4" s="346">
        <v>8</v>
      </c>
      <c r="E4" s="346">
        <v>12</v>
      </c>
      <c r="F4" s="350">
        <v>7</v>
      </c>
      <c r="G4" s="299">
        <f>SUM(B4:F4)</f>
        <v>41</v>
      </c>
      <c r="I4" s="416" t="str">
        <f>IF(A4="","",A4)</f>
        <v>older</v>
      </c>
      <c r="J4" s="419">
        <f t="array" ref="J4:N6">MMULT(O4:O6,J7:N7)/O7</f>
        <v>3.2283464566929134</v>
      </c>
      <c r="K4" s="420">
        <v>6.4566929133858268</v>
      </c>
      <c r="L4" s="420">
        <v>9.6850393700787407</v>
      </c>
      <c r="M4" s="420">
        <v>12.913385826771654</v>
      </c>
      <c r="N4" s="421">
        <v>8.7165354330708666</v>
      </c>
      <c r="O4">
        <f>SUM(B4:F4)</f>
        <v>41</v>
      </c>
      <c r="Q4" s="164" t="s">
        <v>20</v>
      </c>
      <c r="R4" s="164" t="s">
        <v>102</v>
      </c>
      <c r="S4" s="164" t="s">
        <v>868</v>
      </c>
      <c r="T4" s="164" t="s">
        <v>53</v>
      </c>
    </row>
    <row r="5" spans="1:22" x14ac:dyDescent="0.35">
      <c r="A5" s="416" t="s">
        <v>869</v>
      </c>
      <c r="B5" s="103">
        <v>3</v>
      </c>
      <c r="C5" s="299">
        <v>5</v>
      </c>
      <c r="D5" s="74">
        <v>11</v>
      </c>
      <c r="E5" s="299">
        <v>13</v>
      </c>
      <c r="F5" s="97">
        <v>6</v>
      </c>
      <c r="G5" s="299">
        <f t="shared" ref="G5:G6" si="1">SUM(B5:F5)</f>
        <v>38</v>
      </c>
      <c r="I5" s="416" t="str">
        <f>IF(A5="","",A5)</f>
        <v>middle</v>
      </c>
      <c r="J5" s="99">
        <v>2.9921259842519685</v>
      </c>
      <c r="K5" s="4">
        <v>5.984251968503937</v>
      </c>
      <c r="L5" s="4">
        <v>8.9763779527559056</v>
      </c>
      <c r="M5" s="4">
        <v>11.968503937007874</v>
      </c>
      <c r="N5" s="32">
        <v>8.0787401574803148</v>
      </c>
      <c r="O5">
        <f>SUM(B5:F5)</f>
        <v>38</v>
      </c>
      <c r="Q5">
        <f>O7</f>
        <v>127</v>
      </c>
      <c r="R5">
        <f>COUNT(B4:B6)</f>
        <v>3</v>
      </c>
      <c r="S5">
        <f>COUNT(B4:F4)</f>
        <v>5</v>
      </c>
      <c r="T5">
        <f>(R5-1)*(S5-1)</f>
        <v>8</v>
      </c>
    </row>
    <row r="6" spans="1:22" x14ac:dyDescent="0.35">
      <c r="A6" s="416" t="s">
        <v>870</v>
      </c>
      <c r="B6" s="95">
        <v>2</v>
      </c>
      <c r="C6" s="417">
        <v>6</v>
      </c>
      <c r="D6" s="422">
        <v>11</v>
      </c>
      <c r="E6" s="417">
        <v>15</v>
      </c>
      <c r="F6" s="90">
        <v>14</v>
      </c>
      <c r="G6" s="299">
        <f t="shared" si="1"/>
        <v>48</v>
      </c>
      <c r="I6" s="416" t="str">
        <f>IF(A6="","",A6)</f>
        <v>young</v>
      </c>
      <c r="J6" s="156">
        <v>3.7795275590551181</v>
      </c>
      <c r="K6" s="157">
        <v>7.5590551181102361</v>
      </c>
      <c r="L6" s="157">
        <v>11.338582677165354</v>
      </c>
      <c r="M6" s="157">
        <v>15.118110236220472</v>
      </c>
      <c r="N6" s="158">
        <v>10.204724409448819</v>
      </c>
      <c r="O6">
        <f>SUM(B6:F6)</f>
        <v>48</v>
      </c>
    </row>
    <row r="7" spans="1:22" ht="15" thickBot="1" x14ac:dyDescent="0.4">
      <c r="A7" s="416"/>
      <c r="B7" s="416">
        <f>SUM(B4:B6)</f>
        <v>10</v>
      </c>
      <c r="C7" s="416">
        <f t="shared" ref="C7:G7" si="2">SUM(C4:C6)</f>
        <v>20</v>
      </c>
      <c r="D7" s="416">
        <f t="shared" si="2"/>
        <v>30</v>
      </c>
      <c r="E7" s="416">
        <f t="shared" si="2"/>
        <v>40</v>
      </c>
      <c r="F7" s="416">
        <f t="shared" si="2"/>
        <v>27</v>
      </c>
      <c r="G7" s="416">
        <f t="shared" si="2"/>
        <v>127</v>
      </c>
      <c r="I7" s="416" t="s">
        <v>1</v>
      </c>
      <c r="J7">
        <f>SUM(B4:B6)</f>
        <v>10</v>
      </c>
      <c r="K7">
        <f>SUM(C4:C6)</f>
        <v>20</v>
      </c>
      <c r="L7">
        <f>SUM(D4:D6)</f>
        <v>30</v>
      </c>
      <c r="M7">
        <f>SUM(E4:E6)</f>
        <v>40</v>
      </c>
      <c r="N7">
        <f>SUM(F4:F6)</f>
        <v>27</v>
      </c>
      <c r="O7">
        <f>SUM(O4:O6)</f>
        <v>127</v>
      </c>
      <c r="Q7" t="s">
        <v>871</v>
      </c>
    </row>
    <row r="8" spans="1:22" ht="15" thickTop="1" x14ac:dyDescent="0.35">
      <c r="Q8" s="164" t="s">
        <v>58</v>
      </c>
      <c r="R8" s="164" t="s">
        <v>89</v>
      </c>
      <c r="S8" s="164" t="s">
        <v>59</v>
      </c>
      <c r="T8" s="164" t="s">
        <v>872</v>
      </c>
      <c r="U8" s="164" t="s">
        <v>270</v>
      </c>
      <c r="V8" s="164" t="s">
        <v>873</v>
      </c>
    </row>
    <row r="9" spans="1:22" x14ac:dyDescent="0.35">
      <c r="Q9" t="s">
        <v>874</v>
      </c>
      <c r="R9" t="e" cm="1">
        <f t="array" aca="1" ref="R9" ca="1">CHI_STAT2(B4:F6,J4:N6)</f>
        <v>#NAME?</v>
      </c>
      <c r="S9" t="e">
        <f ca="1">_xlfn.CHISQ.DIST.RT(R9,T5)</f>
        <v>#NAME?</v>
      </c>
      <c r="T9" t="e" cm="1">
        <f t="array" aca="1" ref="T9" ca="1">CHISQ_INV_RT(T3,T5)</f>
        <v>#NAME?</v>
      </c>
      <c r="U9" s="416" t="e">
        <f ca="1">IF(T9&lt;R9,"yes","no")</f>
        <v>#NAME?</v>
      </c>
      <c r="V9" t="e">
        <f ca="1">SQRT(R9/(Q5*(MIN(R5,S5)-1)))</f>
        <v>#NAME?</v>
      </c>
    </row>
    <row r="10" spans="1:22" x14ac:dyDescent="0.35">
      <c r="Q10" s="159" t="s">
        <v>875</v>
      </c>
      <c r="R10" s="159" t="e" cm="1">
        <f t="array" aca="1" ref="R10" ca="1">CHI_MAX2(B4:F6,J4:N6)</f>
        <v>#NAME?</v>
      </c>
      <c r="S10" s="159" t="e">
        <f ca="1">_xlfn.CHISQ.DIST.RT(R10,T5)</f>
        <v>#NAME?</v>
      </c>
      <c r="T10" s="159" t="e" cm="1">
        <f t="array" aca="1" ref="T10" ca="1">CHISQ_INV_RT(T3,T5)</f>
        <v>#NAME?</v>
      </c>
      <c r="U10" s="417" t="e">
        <f ca="1">IF(T10&lt;R10,"yes","no")</f>
        <v>#NAME?</v>
      </c>
      <c r="V10" s="159" t="e">
        <f ca="1">SQRT(R10/(Q5*(MIN(R5,S5)-1)))</f>
        <v>#NAME?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34"/>
  <dimension ref="A1:V17"/>
  <sheetViews>
    <sheetView workbookViewId="0"/>
  </sheetViews>
  <sheetFormatPr defaultRowHeight="14.5" x14ac:dyDescent="0.35"/>
  <cols>
    <col min="1" max="7" width="5" customWidth="1"/>
    <col min="8" max="8" width="4.453125" customWidth="1"/>
    <col min="9" max="11" width="8.1796875" customWidth="1"/>
    <col min="14" max="14" width="12" bestFit="1" customWidth="1"/>
    <col min="15" max="15" width="3.7265625" customWidth="1"/>
    <col min="16" max="16" width="43.7265625" customWidth="1"/>
  </cols>
  <sheetData>
    <row r="1" spans="1:22" x14ac:dyDescent="0.35">
      <c r="A1" s="1" t="s">
        <v>859</v>
      </c>
      <c r="I1" t="s">
        <v>876</v>
      </c>
      <c r="M1" t="s">
        <v>877</v>
      </c>
      <c r="R1" t="s">
        <v>878</v>
      </c>
    </row>
    <row r="3" spans="1:22" x14ac:dyDescent="0.35">
      <c r="A3" s="416"/>
      <c r="B3" s="416">
        <v>-2</v>
      </c>
      <c r="C3" s="416">
        <v>-1</v>
      </c>
      <c r="D3" s="416">
        <v>0</v>
      </c>
      <c r="E3" s="416">
        <v>1</v>
      </c>
      <c r="F3" s="416">
        <v>2</v>
      </c>
      <c r="G3" s="416"/>
      <c r="I3" s="423" t="e">
        <f t="array" aca="1" ref="I3:K17" ca="1">Anova2Std(A3:F6)</f>
        <v>#NAME?</v>
      </c>
      <c r="J3" s="424" t="e">
        <f ca="1"/>
        <v>#NAME?</v>
      </c>
      <c r="K3" s="425" t="e">
        <f ca="1"/>
        <v>#NAME?</v>
      </c>
      <c r="M3" t="s">
        <v>246</v>
      </c>
      <c r="N3" s="426">
        <f>SUM(B4:F6)</f>
        <v>127</v>
      </c>
      <c r="O3" s="4"/>
      <c r="P3" s="4" t="e" cm="1">
        <f t="array" aca="1" ref="P3" ca="1">FTEXT(N3)</f>
        <v>#NAME?</v>
      </c>
      <c r="R3" t="s">
        <v>88</v>
      </c>
      <c r="S3" s="426">
        <v>0.05</v>
      </c>
    </row>
    <row r="4" spans="1:22" x14ac:dyDescent="0.35">
      <c r="A4" s="416">
        <v>2</v>
      </c>
      <c r="B4" s="427">
        <v>5</v>
      </c>
      <c r="C4" s="428">
        <v>9</v>
      </c>
      <c r="D4" s="428">
        <v>8</v>
      </c>
      <c r="E4" s="428">
        <v>12</v>
      </c>
      <c r="F4" s="429">
        <v>7</v>
      </c>
      <c r="G4" s="299">
        <f>SUM(B4:F4)</f>
        <v>41</v>
      </c>
      <c r="I4" s="101" t="e">
        <f ca="1"/>
        <v>#NAME?</v>
      </c>
      <c r="J4" s="4" t="e">
        <f ca="1"/>
        <v>#NAME?</v>
      </c>
      <c r="K4" s="102" t="e">
        <f ca="1"/>
        <v>#NAME?</v>
      </c>
      <c r="M4" t="s">
        <v>879</v>
      </c>
      <c r="N4" s="100" t="e">
        <f ca="1">SUMPRODUCT(I3:I17,K3:K17)/N3</f>
        <v>#NAME?</v>
      </c>
      <c r="P4" s="4" t="e" cm="1">
        <f t="array" aca="1" ref="P4" ca="1">FTEXT(N4)</f>
        <v>#NAME?</v>
      </c>
      <c r="R4" t="e">
        <f t="array" aca="1" ref="R4:S10" ca="1">KCORREL(Freq2RAW(I3:I17,K3:K17),Freq2RAW(J3:K17),TRUE,,S3)</f>
        <v>#NAME?</v>
      </c>
      <c r="S4" s="100" t="e">
        <f ca="1"/>
        <v>#NAME?</v>
      </c>
    </row>
    <row r="5" spans="1:22" x14ac:dyDescent="0.35">
      <c r="A5" s="416">
        <v>1</v>
      </c>
      <c r="B5" s="103">
        <v>3</v>
      </c>
      <c r="C5" s="299">
        <v>5</v>
      </c>
      <c r="D5" s="74">
        <v>11</v>
      </c>
      <c r="E5" s="299">
        <v>13</v>
      </c>
      <c r="F5" s="97">
        <v>6</v>
      </c>
      <c r="G5" s="299">
        <f t="shared" ref="G5:G6" si="0">SUM(B5:F5)</f>
        <v>38</v>
      </c>
      <c r="I5" s="101" t="e">
        <f ca="1"/>
        <v>#NAME?</v>
      </c>
      <c r="J5" s="4" t="e">
        <f ca="1"/>
        <v>#NAME?</v>
      </c>
      <c r="K5" s="102" t="e">
        <f ca="1"/>
        <v>#NAME?</v>
      </c>
      <c r="M5" t="s">
        <v>880</v>
      </c>
      <c r="N5" s="100" t="e">
        <f ca="1">SUMPRODUCT(J3:J17,K3:K17)/N3</f>
        <v>#NAME?</v>
      </c>
      <c r="P5" s="4" t="e" cm="1">
        <f t="array" aca="1" ref="P5" ca="1">FTEXT(N5)</f>
        <v>#NAME?</v>
      </c>
      <c r="R5" t="e">
        <f ca="1"/>
        <v>#NAME?</v>
      </c>
      <c r="S5" s="100" t="e">
        <f ca="1"/>
        <v>#NAME?</v>
      </c>
      <c r="V5" s="7"/>
    </row>
    <row r="6" spans="1:22" x14ac:dyDescent="0.35">
      <c r="A6" s="416">
        <v>0</v>
      </c>
      <c r="B6" s="95">
        <v>2</v>
      </c>
      <c r="C6" s="417">
        <v>6</v>
      </c>
      <c r="D6" s="422">
        <v>11</v>
      </c>
      <c r="E6" s="417">
        <v>15</v>
      </c>
      <c r="F6" s="90">
        <v>14</v>
      </c>
      <c r="G6" s="299">
        <f t="shared" si="0"/>
        <v>48</v>
      </c>
      <c r="I6" s="101" t="e">
        <f ca="1"/>
        <v>#NAME?</v>
      </c>
      <c r="J6" s="4" t="e">
        <f ca="1"/>
        <v>#NAME?</v>
      </c>
      <c r="K6" s="102" t="e">
        <f ca="1"/>
        <v>#NAME?</v>
      </c>
      <c r="M6" t="s">
        <v>881</v>
      </c>
      <c r="N6" s="100" t="e">
        <f ca="1">SQRT(SUMPRODUCT((I3:I17-N4)^2,K3:K17)/N3)</f>
        <v>#NAME?</v>
      </c>
      <c r="P6" s="4" t="e" cm="1">
        <f t="array" aca="1" ref="P6" ca="1">FTEXT(N6)</f>
        <v>#NAME?</v>
      </c>
      <c r="R6" t="e">
        <f ca="1"/>
        <v>#NAME?</v>
      </c>
      <c r="S6" s="100" t="e">
        <f ca="1"/>
        <v>#NAME?</v>
      </c>
    </row>
    <row r="7" spans="1:22" x14ac:dyDescent="0.35">
      <c r="A7" s="416"/>
      <c r="B7" s="416">
        <f>SUM(B4:B6)</f>
        <v>10</v>
      </c>
      <c r="C7" s="416">
        <f t="shared" ref="C7:G7" si="1">SUM(C4:C6)</f>
        <v>20</v>
      </c>
      <c r="D7" s="416">
        <f t="shared" si="1"/>
        <v>30</v>
      </c>
      <c r="E7" s="416">
        <f t="shared" si="1"/>
        <v>40</v>
      </c>
      <c r="F7" s="416">
        <f t="shared" si="1"/>
        <v>27</v>
      </c>
      <c r="G7" s="416">
        <f t="shared" si="1"/>
        <v>127</v>
      </c>
      <c r="I7" s="101" t="e">
        <f ca="1"/>
        <v>#NAME?</v>
      </c>
      <c r="J7" s="4" t="e">
        <f ca="1"/>
        <v>#NAME?</v>
      </c>
      <c r="K7" s="102" t="e">
        <f ca="1"/>
        <v>#NAME?</v>
      </c>
      <c r="M7" t="s">
        <v>882</v>
      </c>
      <c r="N7" s="100" t="e">
        <f ca="1">SQRT(SUMPRODUCT((J3:J17-N5)^2,K3:K17)/N3)</f>
        <v>#NAME?</v>
      </c>
      <c r="P7" s="4" t="e" cm="1">
        <f t="array" aca="1" ref="P7" ca="1">FTEXT(N7)</f>
        <v>#NAME?</v>
      </c>
      <c r="R7" t="e">
        <f ca="1"/>
        <v>#NAME?</v>
      </c>
      <c r="S7" s="100" t="e">
        <f ca="1"/>
        <v>#NAME?</v>
      </c>
    </row>
    <row r="8" spans="1:22" x14ac:dyDescent="0.35">
      <c r="I8" s="101" t="e">
        <f ca="1"/>
        <v>#NAME?</v>
      </c>
      <c r="J8" s="4" t="e">
        <f ca="1"/>
        <v>#NAME?</v>
      </c>
      <c r="K8" s="102" t="e">
        <f ca="1"/>
        <v>#NAME?</v>
      </c>
      <c r="M8" t="s">
        <v>883</v>
      </c>
      <c r="N8" s="100" t="e">
        <f ca="1">SUMPRODUCT(I3:I17-N4,J3:J17-N5,K3:K17)/N3</f>
        <v>#NAME?</v>
      </c>
      <c r="P8" s="4" t="e" cm="1">
        <f t="array" aca="1" ref="P8" ca="1">FTEXT(N8)</f>
        <v>#NAME?</v>
      </c>
      <c r="R8" t="e">
        <f ca="1"/>
        <v>#NAME?</v>
      </c>
      <c r="S8" s="100" t="e">
        <f ca="1"/>
        <v>#NAME?</v>
      </c>
    </row>
    <row r="9" spans="1:22" x14ac:dyDescent="0.35">
      <c r="I9" s="101" t="e">
        <f ca="1"/>
        <v>#NAME?</v>
      </c>
      <c r="J9" s="4" t="e">
        <f ca="1"/>
        <v>#NAME?</v>
      </c>
      <c r="K9" s="102" t="e">
        <f ca="1"/>
        <v>#NAME?</v>
      </c>
      <c r="M9" t="s">
        <v>884</v>
      </c>
      <c r="N9" s="100" t="e">
        <f ca="1">N8/(N6*N7)</f>
        <v>#NAME?</v>
      </c>
      <c r="O9" s="4"/>
      <c r="P9" s="4" t="e" cm="1">
        <f t="array" aca="1" ref="P9" ca="1">FTEXT(N9)</f>
        <v>#NAME?</v>
      </c>
      <c r="R9" t="e">
        <f ca="1"/>
        <v>#NAME?</v>
      </c>
      <c r="S9" s="100" t="e">
        <f ca="1"/>
        <v>#NAME?</v>
      </c>
    </row>
    <row r="10" spans="1:22" x14ac:dyDescent="0.35">
      <c r="I10" s="101" t="e">
        <f ca="1"/>
        <v>#NAME?</v>
      </c>
      <c r="J10" s="4" t="e">
        <f ca="1"/>
        <v>#NAME?</v>
      </c>
      <c r="K10" s="102" t="e">
        <f ca="1"/>
        <v>#NAME?</v>
      </c>
      <c r="M10" t="s">
        <v>885</v>
      </c>
      <c r="N10" s="100" t="e">
        <f ca="1">(N3-1)*N9^2</f>
        <v>#NAME?</v>
      </c>
      <c r="O10" s="4"/>
      <c r="P10" s="4" t="e" cm="1">
        <f t="array" aca="1" ref="P10" ca="1">FTEXT(N10)</f>
        <v>#NAME?</v>
      </c>
      <c r="R10" t="e">
        <f ca="1"/>
        <v>#NAME?</v>
      </c>
      <c r="S10" s="94" t="e">
        <f ca="1"/>
        <v>#NAME?</v>
      </c>
    </row>
    <row r="11" spans="1:22" x14ac:dyDescent="0.35">
      <c r="I11" s="101" t="e">
        <f ca="1"/>
        <v>#NAME?</v>
      </c>
      <c r="J11" s="4" t="e">
        <f ca="1"/>
        <v>#NAME?</v>
      </c>
      <c r="K11" s="102" t="e">
        <f ca="1"/>
        <v>#NAME?</v>
      </c>
      <c r="M11" t="s">
        <v>53</v>
      </c>
      <c r="N11" s="100">
        <v>1</v>
      </c>
      <c r="O11" s="4"/>
      <c r="P11" s="4" t="e" cm="1">
        <f t="array" aca="1" ref="P11" ca="1">FTEXT(N11)</f>
        <v>#NAME?</v>
      </c>
    </row>
    <row r="12" spans="1:22" x14ac:dyDescent="0.35">
      <c r="I12" s="101" t="e">
        <f ca="1"/>
        <v>#NAME?</v>
      </c>
      <c r="J12" s="4" t="e">
        <f ca="1"/>
        <v>#NAME?</v>
      </c>
      <c r="K12" s="102" t="e">
        <f ca="1"/>
        <v>#NAME?</v>
      </c>
      <c r="M12" t="s">
        <v>59</v>
      </c>
      <c r="N12" s="94" t="e">
        <f ca="1">CHIDIST(N10,N11)</f>
        <v>#NAME?</v>
      </c>
      <c r="O12" s="4"/>
      <c r="P12" s="430" t="s">
        <v>886</v>
      </c>
    </row>
    <row r="13" spans="1:22" x14ac:dyDescent="0.35">
      <c r="I13" s="101" t="e">
        <f ca="1"/>
        <v>#NAME?</v>
      </c>
      <c r="J13" s="4" t="e">
        <f ca="1"/>
        <v>#NAME?</v>
      </c>
      <c r="K13" s="102" t="e">
        <f ca="1"/>
        <v>#NAME?</v>
      </c>
    </row>
    <row r="14" spans="1:22" x14ac:dyDescent="0.35">
      <c r="I14" s="101" t="e">
        <f ca="1"/>
        <v>#NAME?</v>
      </c>
      <c r="J14" s="4" t="e">
        <f ca="1"/>
        <v>#NAME?</v>
      </c>
      <c r="K14" s="102" t="e">
        <f ca="1"/>
        <v>#NAME?</v>
      </c>
      <c r="M14" t="s">
        <v>884</v>
      </c>
      <c r="N14" t="e">
        <f ca="1">CORREL(Freq2RAW(I3:I17,K3:K17),Freq2RAW(J3:K17))</f>
        <v>#NAME?</v>
      </c>
      <c r="P14" t="e" cm="1">
        <f t="array" aca="1" ref="P14" ca="1">FTEXT(N14)</f>
        <v>#NAME?</v>
      </c>
    </row>
    <row r="15" spans="1:22" x14ac:dyDescent="0.35">
      <c r="I15" s="101" t="e">
        <f ca="1"/>
        <v>#NAME?</v>
      </c>
      <c r="J15" s="4" t="e">
        <f ca="1"/>
        <v>#NAME?</v>
      </c>
      <c r="K15" s="102" t="e">
        <f ca="1"/>
        <v>#NAME?</v>
      </c>
    </row>
    <row r="16" spans="1:22" x14ac:dyDescent="0.35">
      <c r="I16" s="101" t="e">
        <f ca="1"/>
        <v>#NAME?</v>
      </c>
      <c r="J16" s="4" t="e">
        <f ca="1"/>
        <v>#NAME?</v>
      </c>
      <c r="K16" s="102" t="e">
        <f ca="1"/>
        <v>#NAME?</v>
      </c>
    </row>
    <row r="17" spans="9:11" x14ac:dyDescent="0.35">
      <c r="I17" s="89" t="e">
        <f ca="1"/>
        <v>#NAME?</v>
      </c>
      <c r="J17" s="159" t="e">
        <f ca="1"/>
        <v>#NAME?</v>
      </c>
      <c r="K17" s="93" t="e">
        <f ca="1"/>
        <v>#NAME?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35"/>
  <dimension ref="A1:AB10"/>
  <sheetViews>
    <sheetView workbookViewId="0"/>
  </sheetViews>
  <sheetFormatPr defaultRowHeight="14.5" x14ac:dyDescent="0.35"/>
  <cols>
    <col min="1" max="7" width="5" customWidth="1"/>
    <col min="8" max="8" width="5.7265625" customWidth="1"/>
    <col min="9" max="9" width="6.26953125" customWidth="1"/>
    <col min="15" max="15" width="6.54296875" customWidth="1"/>
    <col min="17" max="17" width="9.1796875" customWidth="1"/>
    <col min="18" max="22" width="9.54296875" customWidth="1"/>
    <col min="26" max="26" width="9.1796875" customWidth="1"/>
  </cols>
  <sheetData>
    <row r="1" spans="1:28" x14ac:dyDescent="0.35">
      <c r="A1" s="1" t="s">
        <v>859</v>
      </c>
      <c r="I1" t="s">
        <v>860</v>
      </c>
      <c r="Q1" t="s">
        <v>861</v>
      </c>
      <c r="X1" t="s">
        <v>887</v>
      </c>
      <c r="AA1" t="s">
        <v>888</v>
      </c>
    </row>
    <row r="3" spans="1:28" ht="15" thickBot="1" x14ac:dyDescent="0.4">
      <c r="A3" s="416"/>
      <c r="B3" s="416">
        <v>-2</v>
      </c>
      <c r="C3" s="416">
        <v>-1</v>
      </c>
      <c r="D3" s="416">
        <v>0</v>
      </c>
      <c r="E3" s="416">
        <v>1</v>
      </c>
      <c r="F3" s="416">
        <v>2</v>
      </c>
      <c r="G3" s="416"/>
      <c r="I3" t="str">
        <f t="shared" ref="I3:N3" si="0">IF(A3="","",A3)</f>
        <v/>
      </c>
      <c r="J3">
        <f t="shared" si="0"/>
        <v>-2</v>
      </c>
      <c r="K3">
        <f t="shared" si="0"/>
        <v>-1</v>
      </c>
      <c r="L3">
        <f t="shared" si="0"/>
        <v>0</v>
      </c>
      <c r="M3">
        <f t="shared" si="0"/>
        <v>1</v>
      </c>
      <c r="N3">
        <f t="shared" si="0"/>
        <v>2</v>
      </c>
      <c r="O3" s="6" t="s">
        <v>1</v>
      </c>
      <c r="Q3" t="s">
        <v>55</v>
      </c>
      <c r="S3" t="s">
        <v>35</v>
      </c>
      <c r="T3">
        <v>0.05</v>
      </c>
      <c r="X3" t="s">
        <v>884</v>
      </c>
      <c r="Y3" s="431" t="e">
        <f t="array" aca="1" ref="Y3" ca="1">CORREL(Freq2RAW(SelectCols(Anova2Std(A3:F6),"1,3")),Freq2RAW(SelectCols(Anova2Std(A3:F6),"2,3")))</f>
        <v>#NAME?</v>
      </c>
      <c r="AA3" t="e">
        <f t="array" aca="1" ref="AA3:AB4" ca="1">KCORREL(Freq2RAW(SelectCols(Anova2Std(A3:F6),"1,3")),Freq2RAW(SelectCols(Anova2Std(A3:F6),"2,3")),TRUE)</f>
        <v>#NAME?</v>
      </c>
      <c r="AB3" s="431" t="e">
        <f ca="1"/>
        <v>#NAME?</v>
      </c>
    </row>
    <row r="4" spans="1:28" ht="15" thickTop="1" x14ac:dyDescent="0.35">
      <c r="A4" s="416">
        <v>2</v>
      </c>
      <c r="B4" s="427">
        <v>5</v>
      </c>
      <c r="C4" s="428">
        <v>9</v>
      </c>
      <c r="D4" s="428">
        <v>8</v>
      </c>
      <c r="E4" s="428">
        <v>12</v>
      </c>
      <c r="F4" s="429">
        <v>7</v>
      </c>
      <c r="G4" s="299">
        <f>SUM(B4:F4)</f>
        <v>41</v>
      </c>
      <c r="I4" s="416">
        <f>IF(A4="","",A4)</f>
        <v>2</v>
      </c>
      <c r="J4" s="419">
        <f t="array" ref="J4:N6">MMULT(O4:O6,J7:N7)/O7</f>
        <v>3.2283464566929134</v>
      </c>
      <c r="K4" s="420">
        <v>6.4566929133858268</v>
      </c>
      <c r="L4" s="420">
        <v>9.6850393700787407</v>
      </c>
      <c r="M4" s="420">
        <v>12.913385826771654</v>
      </c>
      <c r="N4" s="421">
        <v>8.7165354330708666</v>
      </c>
      <c r="O4">
        <f>SUM(B4:F4)</f>
        <v>41</v>
      </c>
      <c r="Q4" s="164" t="s">
        <v>20</v>
      </c>
      <c r="R4" s="164" t="s">
        <v>102</v>
      </c>
      <c r="S4" s="164" t="s">
        <v>868</v>
      </c>
      <c r="T4" s="164" t="s">
        <v>53</v>
      </c>
      <c r="X4" t="s">
        <v>246</v>
      </c>
      <c r="Y4" s="147">
        <f>SUM(B4:F6)</f>
        <v>127</v>
      </c>
      <c r="AA4" t="e">
        <f ca="1"/>
        <v>#NAME?</v>
      </c>
      <c r="AB4" s="147" t="e">
        <f ca="1"/>
        <v>#NAME?</v>
      </c>
    </row>
    <row r="5" spans="1:28" x14ac:dyDescent="0.35">
      <c r="A5" s="416">
        <v>1</v>
      </c>
      <c r="B5" s="103">
        <v>3</v>
      </c>
      <c r="C5" s="299">
        <v>5</v>
      </c>
      <c r="D5" s="74">
        <v>11</v>
      </c>
      <c r="E5" s="299">
        <v>13</v>
      </c>
      <c r="F5" s="97">
        <v>6</v>
      </c>
      <c r="G5" s="299">
        <f t="shared" ref="G5:G6" si="1">SUM(B5:F5)</f>
        <v>38</v>
      </c>
      <c r="I5" s="416">
        <f>IF(A5="","",A5)</f>
        <v>1</v>
      </c>
      <c r="J5" s="99">
        <v>2.9921259842519685</v>
      </c>
      <c r="K5" s="4">
        <v>5.984251968503937</v>
      </c>
      <c r="L5" s="4">
        <v>8.9763779527559056</v>
      </c>
      <c r="M5" s="4">
        <v>11.968503937007874</v>
      </c>
      <c r="N5" s="32">
        <v>8.0787401574803148</v>
      </c>
      <c r="O5">
        <f>SUM(B5:F5)</f>
        <v>38</v>
      </c>
      <c r="Q5">
        <f>O7</f>
        <v>127</v>
      </c>
      <c r="R5">
        <f>COUNT(B4:B6)</f>
        <v>3</v>
      </c>
      <c r="S5">
        <f>COUNT(B4:F4)</f>
        <v>5</v>
      </c>
      <c r="T5">
        <f>(R5-1)*(S5-1)</f>
        <v>8</v>
      </c>
      <c r="X5" t="s">
        <v>889</v>
      </c>
      <c r="Y5" s="147" t="e">
        <f ca="1">(Y4-1)*Y3^2</f>
        <v>#NAME?</v>
      </c>
      <c r="AA5" t="s">
        <v>890</v>
      </c>
      <c r="AB5" s="147" t="e">
        <f ca="1">AB3/AB4</f>
        <v>#NAME?</v>
      </c>
    </row>
    <row r="6" spans="1:28" x14ac:dyDescent="0.35">
      <c r="A6" s="416">
        <v>0</v>
      </c>
      <c r="B6" s="95">
        <v>2</v>
      </c>
      <c r="C6" s="417">
        <v>6</v>
      </c>
      <c r="D6" s="422">
        <v>11</v>
      </c>
      <c r="E6" s="417">
        <v>15</v>
      </c>
      <c r="F6" s="90">
        <v>14</v>
      </c>
      <c r="G6" s="299">
        <f t="shared" si="1"/>
        <v>48</v>
      </c>
      <c r="I6" s="416">
        <f>IF(A6="","",A6)</f>
        <v>0</v>
      </c>
      <c r="J6" s="156">
        <v>3.7795275590551181</v>
      </c>
      <c r="K6" s="157">
        <v>7.5590551181102361</v>
      </c>
      <c r="L6" s="157">
        <v>11.338582677165354</v>
      </c>
      <c r="M6" s="157">
        <v>15.118110236220472</v>
      </c>
      <c r="N6" s="158">
        <v>10.204724409448819</v>
      </c>
      <c r="O6">
        <f>SUM(B6:F6)</f>
        <v>48</v>
      </c>
      <c r="X6" t="s">
        <v>59</v>
      </c>
      <c r="Y6" s="155" t="e">
        <f ca="1">_xlfn.CHISQ.DIST.RT(Y5,1)</f>
        <v>#NAME?</v>
      </c>
      <c r="AA6" t="s">
        <v>59</v>
      </c>
      <c r="AB6" s="155" t="e">
        <f ca="1">2*_xlfn.NORM.S.DIST(-ABS(AB5),TRUE)</f>
        <v>#NAME?</v>
      </c>
    </row>
    <row r="7" spans="1:28" ht="15" thickBot="1" x14ac:dyDescent="0.4">
      <c r="A7" s="416"/>
      <c r="B7" s="416">
        <f>SUM(B4:B6)</f>
        <v>10</v>
      </c>
      <c r="C7" s="416">
        <f t="shared" ref="C7:G7" si="2">SUM(C4:C6)</f>
        <v>20</v>
      </c>
      <c r="D7" s="416">
        <f t="shared" si="2"/>
        <v>30</v>
      </c>
      <c r="E7" s="416">
        <f t="shared" si="2"/>
        <v>40</v>
      </c>
      <c r="F7" s="416">
        <f t="shared" si="2"/>
        <v>27</v>
      </c>
      <c r="G7" s="416">
        <f t="shared" si="2"/>
        <v>127</v>
      </c>
      <c r="I7" s="416" t="s">
        <v>1</v>
      </c>
      <c r="J7">
        <f>SUM(B4:B6)</f>
        <v>10</v>
      </c>
      <c r="K7">
        <f>SUM(C4:C6)</f>
        <v>20</v>
      </c>
      <c r="L7">
        <f>SUM(D4:D6)</f>
        <v>30</v>
      </c>
      <c r="M7">
        <f>SUM(E4:E6)</f>
        <v>40</v>
      </c>
      <c r="N7">
        <f>SUM(F4:F6)</f>
        <v>27</v>
      </c>
      <c r="O7">
        <f>SUM(O4:O6)</f>
        <v>127</v>
      </c>
      <c r="Q7" t="s">
        <v>871</v>
      </c>
    </row>
    <row r="8" spans="1:28" ht="15" thickTop="1" x14ac:dyDescent="0.35">
      <c r="Q8" s="164" t="s">
        <v>58</v>
      </c>
      <c r="R8" s="164" t="s">
        <v>89</v>
      </c>
      <c r="S8" s="164" t="s">
        <v>59</v>
      </c>
      <c r="T8" s="164" t="s">
        <v>872</v>
      </c>
      <c r="U8" s="164" t="s">
        <v>270</v>
      </c>
      <c r="V8" s="164" t="s">
        <v>873</v>
      </c>
    </row>
    <row r="9" spans="1:28" x14ac:dyDescent="0.35">
      <c r="Q9" t="s">
        <v>874</v>
      </c>
      <c r="R9" t="e" cm="1">
        <f t="array" aca="1" ref="R9" ca="1">CHI_STAT2(B4:F6,J4:N6)</f>
        <v>#NAME?</v>
      </c>
      <c r="S9" t="e">
        <f ca="1">_xlfn.CHISQ.DIST.RT(R9,T5)</f>
        <v>#NAME?</v>
      </c>
      <c r="T9" t="e" cm="1">
        <f t="array" aca="1" ref="T9" ca="1">CHISQ_INV_RT(T3,T5)</f>
        <v>#NAME?</v>
      </c>
      <c r="U9" s="416" t="e">
        <f ca="1">IF(T9&lt;R9,"yes","no")</f>
        <v>#NAME?</v>
      </c>
      <c r="V9" t="e">
        <f ca="1">SQRT(R9/(Q5*(MIN(R5,S5)-1)))</f>
        <v>#NAME?</v>
      </c>
    </row>
    <row r="10" spans="1:28" x14ac:dyDescent="0.35">
      <c r="Q10" s="159" t="s">
        <v>875</v>
      </c>
      <c r="R10" s="159" t="e" cm="1">
        <f t="array" aca="1" ref="R10" ca="1">CHI_MAX2(B4:F6,J4:N6)</f>
        <v>#NAME?</v>
      </c>
      <c r="S10" s="159" t="e">
        <f ca="1">_xlfn.CHISQ.DIST.RT(R10,T5)</f>
        <v>#NAME?</v>
      </c>
      <c r="T10" s="159" t="e" cm="1">
        <f t="array" aca="1" ref="T10" ca="1">CHISQ_INV_RT(T3,T5)</f>
        <v>#NAME?</v>
      </c>
      <c r="U10" s="417" t="e">
        <f ca="1">IF(T10&lt;R10,"yes","no")</f>
        <v>#NAME?</v>
      </c>
      <c r="V10" s="159" t="e">
        <f ca="1">SQRT(R10/(Q5*(MIN(R5,S5)-1)))</f>
        <v>#NAME?</v>
      </c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19"/>
  <dimension ref="A1:Y66"/>
  <sheetViews>
    <sheetView zoomScaleNormal="100" workbookViewId="0"/>
  </sheetViews>
  <sheetFormatPr defaultRowHeight="14.5" x14ac:dyDescent="0.35"/>
  <cols>
    <col min="25" max="25" width="9.1796875" customWidth="1"/>
  </cols>
  <sheetData>
    <row r="1" spans="1:25" x14ac:dyDescent="0.35">
      <c r="A1" s="1" t="s">
        <v>483</v>
      </c>
    </row>
    <row r="3" spans="1:25" ht="24" x14ac:dyDescent="0.5">
      <c r="A3" s="6" t="s">
        <v>486</v>
      </c>
      <c r="B3">
        <v>0.2</v>
      </c>
      <c r="C3">
        <v>0.1</v>
      </c>
      <c r="D3">
        <v>0.05</v>
      </c>
      <c r="E3">
        <v>0.02</v>
      </c>
      <c r="F3">
        <v>0.01</v>
      </c>
      <c r="G3">
        <v>1E-3</v>
      </c>
      <c r="K3" s="6" t="s">
        <v>486</v>
      </c>
      <c r="L3">
        <v>0.2</v>
      </c>
      <c r="M3">
        <v>0.1</v>
      </c>
      <c r="N3">
        <v>0.05</v>
      </c>
      <c r="O3">
        <v>0.02</v>
      </c>
      <c r="P3">
        <v>0.01</v>
      </c>
      <c r="Q3">
        <v>1E-3</v>
      </c>
      <c r="S3" s="6" t="s">
        <v>486</v>
      </c>
      <c r="T3">
        <v>0.2</v>
      </c>
      <c r="U3">
        <v>0.1</v>
      </c>
      <c r="V3">
        <v>0.05</v>
      </c>
      <c r="W3">
        <v>0.02</v>
      </c>
      <c r="X3">
        <v>0.01</v>
      </c>
      <c r="Y3">
        <v>1E-3</v>
      </c>
    </row>
    <row r="4" spans="1:25" x14ac:dyDescent="0.35">
      <c r="A4">
        <v>1</v>
      </c>
      <c r="B4" s="238">
        <f>TINV(B$3,$A4)/SQRT(TINV(B$3,$A4)^2+$A4)</f>
        <v>0.95105651629515364</v>
      </c>
      <c r="C4" s="239">
        <f t="shared" ref="C4:G19" si="0">TINV(C$3,$A4)/SQRT(TINV(C$3,$A4)^2+$A4)</f>
        <v>0.98768834059513766</v>
      </c>
      <c r="D4" s="239">
        <f t="shared" si="0"/>
        <v>0.99691733373312796</v>
      </c>
      <c r="E4" s="239">
        <f t="shared" si="0"/>
        <v>0.9995065603657316</v>
      </c>
      <c r="F4" s="239">
        <f t="shared" si="0"/>
        <v>0.9998766324816607</v>
      </c>
      <c r="G4" s="240">
        <f t="shared" si="0"/>
        <v>0.99999876629970352</v>
      </c>
      <c r="K4">
        <v>1</v>
      </c>
      <c r="L4" s="238">
        <f>TINV(L$3,$A4)/SQRT(TINV(L$3,$A4)^2+$A4)</f>
        <v>0.95105651629515364</v>
      </c>
      <c r="M4" s="239">
        <f t="shared" ref="M4:Q19" si="1">TINV(M$3,$A4)/SQRT(TINV(M$3,$A4)^2+$A4)</f>
        <v>0.98768834059513766</v>
      </c>
      <c r="N4" s="239">
        <f t="shared" si="1"/>
        <v>0.99691733373312796</v>
      </c>
      <c r="O4" s="239">
        <f t="shared" si="1"/>
        <v>0.9995065603657316</v>
      </c>
      <c r="P4" s="239">
        <f t="shared" si="1"/>
        <v>0.9998766324816607</v>
      </c>
      <c r="Q4" s="240">
        <f t="shared" si="1"/>
        <v>0.99999876629970352</v>
      </c>
      <c r="S4">
        <v>35</v>
      </c>
      <c r="T4" s="238">
        <f>TINV(T$3,$S4)/SQRT(TINV(T$3,$S4)^2+$S4)</f>
        <v>0.21559761566067975</v>
      </c>
      <c r="U4" s="239">
        <f t="shared" ref="U4:Y19" si="2">TINV(U$3,$S4)/SQRT(TINV(U$3,$S4)^2+$S4)</f>
        <v>0.2746105225799027</v>
      </c>
      <c r="V4" s="239">
        <f t="shared" si="2"/>
        <v>0.32457291523666998</v>
      </c>
      <c r="W4" s="239">
        <f t="shared" si="2"/>
        <v>0.38097558270616944</v>
      </c>
      <c r="X4" s="239">
        <f t="shared" si="2"/>
        <v>0.418210849426567</v>
      </c>
      <c r="Y4" s="240">
        <f t="shared" si="2"/>
        <v>0.51889802017825537</v>
      </c>
    </row>
    <row r="5" spans="1:25" x14ac:dyDescent="0.35">
      <c r="A5">
        <f t="shared" ref="A5:A33" si="3">A4+1</f>
        <v>2</v>
      </c>
      <c r="B5" s="241">
        <f t="shared" ref="B5:G34" si="4">TINV(B$3,$A5)/SQRT(TINV(B$3,$A5)^2+$A5)</f>
        <v>0.79999999999999993</v>
      </c>
      <c r="C5" s="242">
        <f t="shared" si="0"/>
        <v>0.90000000000000013</v>
      </c>
      <c r="D5" s="242">
        <f t="shared" si="0"/>
        <v>0.95</v>
      </c>
      <c r="E5" s="242">
        <f t="shared" si="0"/>
        <v>0.98</v>
      </c>
      <c r="F5" s="242">
        <f t="shared" si="0"/>
        <v>0.9900000000000001</v>
      </c>
      <c r="G5" s="243">
        <f t="shared" si="0"/>
        <v>0.999</v>
      </c>
      <c r="K5">
        <f t="shared" ref="K5:K33" si="5">K4+1</f>
        <v>2</v>
      </c>
      <c r="L5" s="241">
        <f t="shared" ref="L5:Q29" si="6">TINV(L$3,$A5)/SQRT(TINV(L$3,$A5)^2+$A5)</f>
        <v>0.79999999999999993</v>
      </c>
      <c r="M5" s="242">
        <f t="shared" si="1"/>
        <v>0.90000000000000013</v>
      </c>
      <c r="N5" s="242">
        <f t="shared" si="1"/>
        <v>0.95</v>
      </c>
      <c r="O5" s="242">
        <f t="shared" si="1"/>
        <v>0.98</v>
      </c>
      <c r="P5" s="242">
        <f t="shared" si="1"/>
        <v>0.9900000000000001</v>
      </c>
      <c r="Q5" s="243">
        <f t="shared" si="1"/>
        <v>0.999</v>
      </c>
      <c r="S5">
        <v>40</v>
      </c>
      <c r="T5" s="241">
        <f t="shared" ref="T5:Y32" si="7">TINV(T$3,$S5)/SQRT(TINV(T$3,$S5)^2+$S5)</f>
        <v>0.2017959441926199</v>
      </c>
      <c r="U5" s="242">
        <f t="shared" si="2"/>
        <v>0.25727789942971147</v>
      </c>
      <c r="V5" s="242">
        <f t="shared" si="2"/>
        <v>0.30439558128531835</v>
      </c>
      <c r="W5" s="242">
        <f t="shared" si="2"/>
        <v>0.35778718208168625</v>
      </c>
      <c r="X5" s="242">
        <f t="shared" si="2"/>
        <v>0.39317432821060738</v>
      </c>
      <c r="Y5" s="243">
        <f t="shared" si="2"/>
        <v>0.48957021110841931</v>
      </c>
    </row>
    <row r="6" spans="1:25" x14ac:dyDescent="0.35">
      <c r="A6">
        <f t="shared" si="3"/>
        <v>3</v>
      </c>
      <c r="B6" s="241">
        <f t="shared" si="4"/>
        <v>0.68704882613254048</v>
      </c>
      <c r="C6" s="242">
        <f t="shared" si="0"/>
        <v>0.80538363652011968</v>
      </c>
      <c r="D6" s="242">
        <f t="shared" si="0"/>
        <v>0.87833944815980525</v>
      </c>
      <c r="E6" s="242">
        <f t="shared" si="0"/>
        <v>0.93433299339680809</v>
      </c>
      <c r="F6" s="242">
        <f t="shared" si="0"/>
        <v>0.95873500358707509</v>
      </c>
      <c r="G6" s="243">
        <f t="shared" si="0"/>
        <v>0.99113872604579734</v>
      </c>
      <c r="K6">
        <f t="shared" si="5"/>
        <v>3</v>
      </c>
      <c r="L6" s="241">
        <f t="shared" si="6"/>
        <v>0.68704882613254048</v>
      </c>
      <c r="M6" s="242">
        <f t="shared" si="1"/>
        <v>0.80538363652011968</v>
      </c>
      <c r="N6" s="242">
        <f t="shared" si="1"/>
        <v>0.87833944815980525</v>
      </c>
      <c r="O6" s="242">
        <f t="shared" si="1"/>
        <v>0.93433299339680809</v>
      </c>
      <c r="P6" s="242">
        <f t="shared" si="1"/>
        <v>0.95873500358707509</v>
      </c>
      <c r="Q6" s="243">
        <f t="shared" si="1"/>
        <v>0.99113872604579734</v>
      </c>
      <c r="S6">
        <v>45</v>
      </c>
      <c r="T6" s="241">
        <f t="shared" si="7"/>
        <v>0.19034454352119981</v>
      </c>
      <c r="U6" s="242">
        <f t="shared" si="2"/>
        <v>0.24285904535313621</v>
      </c>
      <c r="V6" s="242">
        <f t="shared" si="2"/>
        <v>0.28756298464830221</v>
      </c>
      <c r="W6" s="242">
        <f t="shared" si="2"/>
        <v>0.33836706778165565</v>
      </c>
      <c r="X6" s="242">
        <f t="shared" si="2"/>
        <v>0.37214242670274456</v>
      </c>
      <c r="Y6" s="243">
        <f t="shared" si="2"/>
        <v>0.46467291999933047</v>
      </c>
    </row>
    <row r="7" spans="1:25" x14ac:dyDescent="0.35">
      <c r="A7">
        <f t="shared" si="3"/>
        <v>4</v>
      </c>
      <c r="B7" s="241">
        <f t="shared" si="4"/>
        <v>0.60839978868181666</v>
      </c>
      <c r="C7" s="242">
        <f t="shared" si="0"/>
        <v>0.72929927565683239</v>
      </c>
      <c r="D7" s="242">
        <f t="shared" si="0"/>
        <v>0.81140135189950779</v>
      </c>
      <c r="E7" s="242">
        <f t="shared" si="0"/>
        <v>0.88219372844360944</v>
      </c>
      <c r="F7" s="242">
        <f t="shared" si="0"/>
        <v>0.91719969856791372</v>
      </c>
      <c r="G7" s="243">
        <f t="shared" si="0"/>
        <v>0.97406778782801806</v>
      </c>
      <c r="K7">
        <f t="shared" si="5"/>
        <v>4</v>
      </c>
      <c r="L7" s="241">
        <f t="shared" si="6"/>
        <v>0.60839978868181666</v>
      </c>
      <c r="M7" s="242">
        <f t="shared" si="1"/>
        <v>0.72929927565683239</v>
      </c>
      <c r="N7" s="242">
        <f t="shared" si="1"/>
        <v>0.81140135189950779</v>
      </c>
      <c r="O7" s="242">
        <f t="shared" si="1"/>
        <v>0.88219372844360944</v>
      </c>
      <c r="P7" s="242">
        <f t="shared" si="1"/>
        <v>0.91719969856791372</v>
      </c>
      <c r="Q7" s="243">
        <f t="shared" si="1"/>
        <v>0.97406778782801806</v>
      </c>
      <c r="S7">
        <v>50</v>
      </c>
      <c r="T7" s="241">
        <f t="shared" si="7"/>
        <v>0.18064427275379205</v>
      </c>
      <c r="U7" s="242">
        <f t="shared" si="2"/>
        <v>0.23061993163052222</v>
      </c>
      <c r="V7" s="242">
        <f t="shared" si="2"/>
        <v>0.27324348372243595</v>
      </c>
      <c r="W7" s="242">
        <f t="shared" si="2"/>
        <v>0.32179577287168387</v>
      </c>
      <c r="X7" s="242">
        <f t="shared" si="2"/>
        <v>0.35415286456158074</v>
      </c>
      <c r="Y7" s="243">
        <f t="shared" si="2"/>
        <v>0.44320093791691934</v>
      </c>
    </row>
    <row r="8" spans="1:25" x14ac:dyDescent="0.35">
      <c r="A8">
        <f t="shared" si="3"/>
        <v>5</v>
      </c>
      <c r="B8" s="241">
        <f t="shared" si="4"/>
        <v>0.55086279517928693</v>
      </c>
      <c r="C8" s="242">
        <f t="shared" si="0"/>
        <v>0.66943946668868382</v>
      </c>
      <c r="D8" s="242">
        <f t="shared" si="0"/>
        <v>0.75449223446096447</v>
      </c>
      <c r="E8" s="242">
        <f t="shared" si="0"/>
        <v>0.83287402450932924</v>
      </c>
      <c r="F8" s="242">
        <f t="shared" si="0"/>
        <v>0.87452637990131199</v>
      </c>
      <c r="G8" s="243">
        <f t="shared" si="0"/>
        <v>0.950883419159121</v>
      </c>
      <c r="K8">
        <f t="shared" si="5"/>
        <v>5</v>
      </c>
      <c r="L8" s="241">
        <f t="shared" si="6"/>
        <v>0.55086279517928693</v>
      </c>
      <c r="M8" s="242">
        <f t="shared" si="1"/>
        <v>0.66943946668868382</v>
      </c>
      <c r="N8" s="242">
        <f t="shared" si="1"/>
        <v>0.75449223446096447</v>
      </c>
      <c r="O8" s="242">
        <f t="shared" si="1"/>
        <v>0.83287402450932924</v>
      </c>
      <c r="P8" s="242">
        <f t="shared" si="1"/>
        <v>0.87452637990131199</v>
      </c>
      <c r="Q8" s="243">
        <f t="shared" si="1"/>
        <v>0.950883419159121</v>
      </c>
      <c r="S8">
        <f>S7+10</f>
        <v>60</v>
      </c>
      <c r="T8" s="241">
        <f t="shared" si="7"/>
        <v>0.16499692368305058</v>
      </c>
      <c r="U8" s="242">
        <f t="shared" si="2"/>
        <v>0.21083186294286677</v>
      </c>
      <c r="V8" s="242">
        <f t="shared" si="2"/>
        <v>0.25003490053004712</v>
      </c>
      <c r="W8" s="242">
        <f t="shared" si="2"/>
        <v>0.29484587061675299</v>
      </c>
      <c r="X8" s="242">
        <f t="shared" si="2"/>
        <v>0.32481844735718168</v>
      </c>
      <c r="Y8" s="243">
        <f t="shared" si="2"/>
        <v>0.40786505388898686</v>
      </c>
    </row>
    <row r="9" spans="1:25" x14ac:dyDescent="0.35">
      <c r="A9">
        <f t="shared" si="3"/>
        <v>6</v>
      </c>
      <c r="B9" s="241">
        <f t="shared" si="4"/>
        <v>0.50672709342306665</v>
      </c>
      <c r="C9" s="242">
        <f t="shared" si="0"/>
        <v>0.62148924512445836</v>
      </c>
      <c r="D9" s="242">
        <f t="shared" si="0"/>
        <v>0.70673440073065374</v>
      </c>
      <c r="E9" s="242">
        <f t="shared" si="0"/>
        <v>0.78872031289845124</v>
      </c>
      <c r="F9" s="242">
        <f t="shared" si="0"/>
        <v>0.83434162559704639</v>
      </c>
      <c r="G9" s="243">
        <f t="shared" si="0"/>
        <v>0.9249041986562635</v>
      </c>
      <c r="K9">
        <f t="shared" si="5"/>
        <v>6</v>
      </c>
      <c r="L9" s="241">
        <f t="shared" si="6"/>
        <v>0.50672709342306665</v>
      </c>
      <c r="M9" s="242">
        <f t="shared" si="1"/>
        <v>0.62148924512445836</v>
      </c>
      <c r="N9" s="242">
        <f t="shared" si="1"/>
        <v>0.70673440073065374</v>
      </c>
      <c r="O9" s="242">
        <f t="shared" si="1"/>
        <v>0.78872031289845124</v>
      </c>
      <c r="P9" s="242">
        <f t="shared" si="1"/>
        <v>0.83434162559704639</v>
      </c>
      <c r="Q9" s="243">
        <f t="shared" si="1"/>
        <v>0.9249041986562635</v>
      </c>
      <c r="S9">
        <f>S8+10</f>
        <v>70</v>
      </c>
      <c r="T9" s="241">
        <f t="shared" si="7"/>
        <v>0.15281796398579284</v>
      </c>
      <c r="U9" s="242">
        <f t="shared" si="2"/>
        <v>0.19539410582602304</v>
      </c>
      <c r="V9" s="242">
        <f t="shared" si="2"/>
        <v>0.23188342228064182</v>
      </c>
      <c r="W9" s="242">
        <f t="shared" si="2"/>
        <v>0.27369536968550651</v>
      </c>
      <c r="X9" s="242">
        <f t="shared" si="2"/>
        <v>0.30173440413830327</v>
      </c>
      <c r="Y9" s="243">
        <f t="shared" si="2"/>
        <v>0.37979891352259842</v>
      </c>
    </row>
    <row r="10" spans="1:25" x14ac:dyDescent="0.35">
      <c r="A10">
        <f t="shared" si="3"/>
        <v>7</v>
      </c>
      <c r="B10" s="241">
        <f t="shared" si="4"/>
        <v>0.47158865873098793</v>
      </c>
      <c r="C10" s="242">
        <f t="shared" si="0"/>
        <v>0.58220559656116022</v>
      </c>
      <c r="D10" s="242">
        <f t="shared" si="0"/>
        <v>0.66638360533630914</v>
      </c>
      <c r="E10" s="242">
        <f t="shared" si="0"/>
        <v>0.74977582349440275</v>
      </c>
      <c r="F10" s="242">
        <f t="shared" si="0"/>
        <v>0.7976812046498164</v>
      </c>
      <c r="G10" s="243">
        <f t="shared" si="0"/>
        <v>0.89825995312843854</v>
      </c>
      <c r="K10">
        <f t="shared" si="5"/>
        <v>7</v>
      </c>
      <c r="L10" s="241">
        <f t="shared" si="6"/>
        <v>0.47158865873098793</v>
      </c>
      <c r="M10" s="242">
        <f t="shared" si="1"/>
        <v>0.58220559656116022</v>
      </c>
      <c r="N10" s="242">
        <f t="shared" si="1"/>
        <v>0.66638360533630914</v>
      </c>
      <c r="O10" s="242">
        <f t="shared" si="1"/>
        <v>0.74977582349440275</v>
      </c>
      <c r="P10" s="242">
        <f t="shared" si="1"/>
        <v>0.7976812046498164</v>
      </c>
      <c r="Q10" s="243">
        <f t="shared" si="1"/>
        <v>0.89825995312843854</v>
      </c>
      <c r="S10">
        <f>S9+10</f>
        <v>80</v>
      </c>
      <c r="T10" s="241">
        <f t="shared" si="7"/>
        <v>0.14299037512715537</v>
      </c>
      <c r="U10" s="242">
        <f t="shared" si="2"/>
        <v>0.18291577693299502</v>
      </c>
      <c r="V10" s="242">
        <f t="shared" si="2"/>
        <v>0.21718498177239087</v>
      </c>
      <c r="W10" s="242">
        <f t="shared" si="2"/>
        <v>0.2565253741189355</v>
      </c>
      <c r="X10" s="242">
        <f t="shared" si="2"/>
        <v>0.28295800939897592</v>
      </c>
      <c r="Y10" s="243">
        <f t="shared" si="2"/>
        <v>0.35681567249818064</v>
      </c>
    </row>
    <row r="11" spans="1:25" x14ac:dyDescent="0.35">
      <c r="A11">
        <f t="shared" si="3"/>
        <v>8</v>
      </c>
      <c r="B11" s="241">
        <f t="shared" si="4"/>
        <v>0.44279590283657388</v>
      </c>
      <c r="C11" s="242">
        <f t="shared" si="0"/>
        <v>0.54935683193510454</v>
      </c>
      <c r="D11" s="242">
        <f t="shared" si="0"/>
        <v>0.63189686471983397</v>
      </c>
      <c r="E11" s="242">
        <f t="shared" si="0"/>
        <v>0.71545924598628541</v>
      </c>
      <c r="F11" s="242">
        <f t="shared" si="0"/>
        <v>0.76459249666209594</v>
      </c>
      <c r="G11" s="243">
        <f t="shared" si="0"/>
        <v>0.8721151568058807</v>
      </c>
      <c r="K11">
        <f t="shared" si="5"/>
        <v>8</v>
      </c>
      <c r="L11" s="241">
        <f t="shared" si="6"/>
        <v>0.44279590283657388</v>
      </c>
      <c r="M11" s="242">
        <f t="shared" si="1"/>
        <v>0.54935683193510454</v>
      </c>
      <c r="N11" s="242">
        <f t="shared" si="1"/>
        <v>0.63189686471983397</v>
      </c>
      <c r="O11" s="242">
        <f t="shared" si="1"/>
        <v>0.71545924598628541</v>
      </c>
      <c r="P11" s="242">
        <f t="shared" si="1"/>
        <v>0.76459249666209594</v>
      </c>
      <c r="Q11" s="243">
        <f t="shared" si="1"/>
        <v>0.8721151568058807</v>
      </c>
      <c r="S11">
        <f>S10+10</f>
        <v>90</v>
      </c>
      <c r="T11" s="241">
        <f t="shared" si="7"/>
        <v>0.13484350525419964</v>
      </c>
      <c r="U11" s="242">
        <f t="shared" si="2"/>
        <v>0.17255817145670982</v>
      </c>
      <c r="V11" s="242">
        <f t="shared" si="2"/>
        <v>0.2049677602033336</v>
      </c>
      <c r="W11" s="242">
        <f t="shared" si="2"/>
        <v>0.24222656258815348</v>
      </c>
      <c r="X11" s="242">
        <f t="shared" si="2"/>
        <v>0.26729813042398426</v>
      </c>
      <c r="Y11" s="243">
        <f t="shared" si="2"/>
        <v>0.33754879383725117</v>
      </c>
    </row>
    <row r="12" spans="1:25" x14ac:dyDescent="0.35">
      <c r="A12">
        <f t="shared" si="3"/>
        <v>9</v>
      </c>
      <c r="B12" s="241">
        <f t="shared" si="4"/>
        <v>0.41866218294036861</v>
      </c>
      <c r="C12" s="242">
        <f t="shared" si="0"/>
        <v>0.52140436474283314</v>
      </c>
      <c r="D12" s="242">
        <f t="shared" si="0"/>
        <v>0.60206877743700837</v>
      </c>
      <c r="E12" s="242">
        <f t="shared" si="0"/>
        <v>0.68509535175164049</v>
      </c>
      <c r="F12" s="242">
        <f t="shared" si="0"/>
        <v>0.73478633739105792</v>
      </c>
      <c r="G12" s="243">
        <f t="shared" si="0"/>
        <v>0.84704700710630709</v>
      </c>
      <c r="K12">
        <f t="shared" si="5"/>
        <v>9</v>
      </c>
      <c r="L12" s="241">
        <f t="shared" si="6"/>
        <v>0.41866218294036861</v>
      </c>
      <c r="M12" s="242">
        <f t="shared" si="1"/>
        <v>0.52140436474283314</v>
      </c>
      <c r="N12" s="242">
        <f t="shared" si="1"/>
        <v>0.60206877743700837</v>
      </c>
      <c r="O12" s="242">
        <f t="shared" si="1"/>
        <v>0.68509535175164049</v>
      </c>
      <c r="P12" s="242">
        <f t="shared" si="1"/>
        <v>0.73478633739105792</v>
      </c>
      <c r="Q12" s="243">
        <f t="shared" si="1"/>
        <v>0.84704700710630709</v>
      </c>
      <c r="S12">
        <f>S11+10</f>
        <v>100</v>
      </c>
      <c r="T12" s="241">
        <f t="shared" si="7"/>
        <v>0.12794716185501773</v>
      </c>
      <c r="U12" s="242">
        <f t="shared" si="2"/>
        <v>0.16378155682346876</v>
      </c>
      <c r="V12" s="242">
        <f t="shared" si="2"/>
        <v>0.19460416681988521</v>
      </c>
      <c r="W12" s="242">
        <f t="shared" si="2"/>
        <v>0.23007900341476181</v>
      </c>
      <c r="X12" s="242">
        <f t="shared" si="2"/>
        <v>0.25397870719557492</v>
      </c>
      <c r="Y12" s="243">
        <f t="shared" si="2"/>
        <v>0.321095411706106</v>
      </c>
    </row>
    <row r="13" spans="1:25" x14ac:dyDescent="0.35">
      <c r="A13">
        <f t="shared" si="3"/>
        <v>10</v>
      </c>
      <c r="B13" s="241">
        <f t="shared" si="4"/>
        <v>0.39806247281357082</v>
      </c>
      <c r="C13" s="242">
        <f t="shared" si="0"/>
        <v>0.49726474518364544</v>
      </c>
      <c r="D13" s="242">
        <f t="shared" si="0"/>
        <v>0.57598298644226398</v>
      </c>
      <c r="E13" s="242">
        <f t="shared" si="0"/>
        <v>0.65806978903508184</v>
      </c>
      <c r="F13" s="242">
        <f t="shared" si="0"/>
        <v>0.70788755132997161</v>
      </c>
      <c r="G13" s="243">
        <f t="shared" si="0"/>
        <v>0.82330483467491422</v>
      </c>
      <c r="K13">
        <f t="shared" si="5"/>
        <v>10</v>
      </c>
      <c r="L13" s="241">
        <f t="shared" si="6"/>
        <v>0.39806247281357082</v>
      </c>
      <c r="M13" s="242">
        <f t="shared" si="1"/>
        <v>0.49726474518364544</v>
      </c>
      <c r="N13" s="242">
        <f t="shared" si="1"/>
        <v>0.57598298644226398</v>
      </c>
      <c r="O13" s="242">
        <f t="shared" si="1"/>
        <v>0.65806978903508184</v>
      </c>
      <c r="P13" s="242">
        <f t="shared" si="1"/>
        <v>0.70788755132997161</v>
      </c>
      <c r="Q13" s="243">
        <f t="shared" si="1"/>
        <v>0.82330483467491422</v>
      </c>
      <c r="S13">
        <f>S12+25</f>
        <v>125</v>
      </c>
      <c r="T13" s="241">
        <f t="shared" si="7"/>
        <v>0.1144769407688755</v>
      </c>
      <c r="U13" s="242">
        <f t="shared" si="2"/>
        <v>0.14661692834547321</v>
      </c>
      <c r="V13" s="242">
        <f t="shared" si="2"/>
        <v>0.17430829232765008</v>
      </c>
      <c r="W13" s="242">
        <f t="shared" si="2"/>
        <v>0.20624464656332464</v>
      </c>
      <c r="X13" s="242">
        <f t="shared" si="2"/>
        <v>0.2278066943304505</v>
      </c>
      <c r="Y13" s="243">
        <f t="shared" si="2"/>
        <v>0.28860176157275269</v>
      </c>
    </row>
    <row r="14" spans="1:25" x14ac:dyDescent="0.35">
      <c r="A14">
        <f t="shared" si="3"/>
        <v>11</v>
      </c>
      <c r="B14" s="241">
        <f t="shared" si="4"/>
        <v>0.38021594374092721</v>
      </c>
      <c r="C14" s="242">
        <f t="shared" si="0"/>
        <v>0.47615599190716135</v>
      </c>
      <c r="D14" s="242">
        <f t="shared" si="0"/>
        <v>0.55294265949458932</v>
      </c>
      <c r="E14" s="242">
        <f t="shared" si="0"/>
        <v>0.63386299002859847</v>
      </c>
      <c r="F14" s="242">
        <f t="shared" si="0"/>
        <v>0.68352763288746587</v>
      </c>
      <c r="G14" s="243">
        <f t="shared" si="0"/>
        <v>0.80096162028229501</v>
      </c>
      <c r="K14">
        <f t="shared" si="5"/>
        <v>11</v>
      </c>
      <c r="L14" s="241">
        <f t="shared" si="6"/>
        <v>0.38021594374092721</v>
      </c>
      <c r="M14" s="242">
        <f t="shared" si="1"/>
        <v>0.47615599190716135</v>
      </c>
      <c r="N14" s="242">
        <f t="shared" si="1"/>
        <v>0.55294265949458932</v>
      </c>
      <c r="O14" s="242">
        <f t="shared" si="1"/>
        <v>0.63386299002859847</v>
      </c>
      <c r="P14" s="242">
        <f t="shared" si="1"/>
        <v>0.68352763288746587</v>
      </c>
      <c r="Q14" s="243">
        <f t="shared" si="1"/>
        <v>0.80096162028229501</v>
      </c>
      <c r="S14">
        <f>S13+25</f>
        <v>150</v>
      </c>
      <c r="T14" s="241">
        <f t="shared" si="7"/>
        <v>0.10452542595509187</v>
      </c>
      <c r="U14" s="242">
        <f t="shared" si="2"/>
        <v>0.13391907707446343</v>
      </c>
      <c r="V14" s="242">
        <f t="shared" si="2"/>
        <v>0.15927253573777034</v>
      </c>
      <c r="W14" s="242">
        <f t="shared" si="2"/>
        <v>0.18855246455312138</v>
      </c>
      <c r="X14" s="242">
        <f t="shared" si="2"/>
        <v>0.2083492442330328</v>
      </c>
      <c r="Y14" s="243">
        <f t="shared" si="2"/>
        <v>0.2643159810361016</v>
      </c>
    </row>
    <row r="15" spans="1:25" x14ac:dyDescent="0.35">
      <c r="A15">
        <f t="shared" si="3"/>
        <v>12</v>
      </c>
      <c r="B15" s="241">
        <f t="shared" si="4"/>
        <v>0.3645623621208009</v>
      </c>
      <c r="C15" s="242">
        <f t="shared" si="0"/>
        <v>0.45750017184466218</v>
      </c>
      <c r="D15" s="242">
        <f t="shared" si="0"/>
        <v>0.53241280468130958</v>
      </c>
      <c r="E15" s="242">
        <f t="shared" si="0"/>
        <v>0.61204655884284376</v>
      </c>
      <c r="F15" s="242">
        <f t="shared" si="0"/>
        <v>0.66137560424951858</v>
      </c>
      <c r="G15" s="243">
        <f t="shared" si="0"/>
        <v>0.77999842535356212</v>
      </c>
      <c r="K15">
        <f t="shared" si="5"/>
        <v>12</v>
      </c>
      <c r="L15" s="241">
        <f t="shared" si="6"/>
        <v>0.3645623621208009</v>
      </c>
      <c r="M15" s="242">
        <f t="shared" si="1"/>
        <v>0.45750017184466218</v>
      </c>
      <c r="N15" s="242">
        <f t="shared" si="1"/>
        <v>0.53241280468130958</v>
      </c>
      <c r="O15" s="242">
        <f t="shared" si="1"/>
        <v>0.61204655884284376</v>
      </c>
      <c r="P15" s="242">
        <f t="shared" si="1"/>
        <v>0.66137560424951858</v>
      </c>
      <c r="Q15" s="243">
        <f t="shared" si="1"/>
        <v>0.77999842535356212</v>
      </c>
      <c r="S15">
        <f>S14+25</f>
        <v>175</v>
      </c>
      <c r="T15" s="241">
        <f t="shared" si="7"/>
        <v>9.6786751954998612E-2</v>
      </c>
      <c r="U15" s="242">
        <f t="shared" si="2"/>
        <v>0.12403568493254062</v>
      </c>
      <c r="V15" s="242">
        <f t="shared" si="2"/>
        <v>0.14755794561590824</v>
      </c>
      <c r="W15" s="242">
        <f t="shared" si="2"/>
        <v>0.17474948809836638</v>
      </c>
      <c r="X15" s="242">
        <f t="shared" si="2"/>
        <v>0.19315298025632507</v>
      </c>
      <c r="Y15" s="243">
        <f t="shared" si="2"/>
        <v>0.24527973305040951</v>
      </c>
    </row>
    <row r="16" spans="1:25" x14ac:dyDescent="0.35">
      <c r="A16">
        <f t="shared" si="3"/>
        <v>13</v>
      </c>
      <c r="B16" s="241">
        <f t="shared" si="4"/>
        <v>0.35068836998914571</v>
      </c>
      <c r="C16" s="242">
        <f t="shared" si="0"/>
        <v>0.4408608415078501</v>
      </c>
      <c r="D16" s="242">
        <f t="shared" si="0"/>
        <v>0.51397748425605627</v>
      </c>
      <c r="E16" s="242">
        <f t="shared" si="0"/>
        <v>0.59226979060214402</v>
      </c>
      <c r="F16" s="242">
        <f t="shared" si="0"/>
        <v>0.64114480897833814</v>
      </c>
      <c r="G16" s="243">
        <f t="shared" si="0"/>
        <v>0.76035076885789643</v>
      </c>
      <c r="K16">
        <f t="shared" si="5"/>
        <v>13</v>
      </c>
      <c r="L16" s="241">
        <f t="shared" si="6"/>
        <v>0.35068836998914571</v>
      </c>
      <c r="M16" s="242">
        <f t="shared" si="1"/>
        <v>0.4408608415078501</v>
      </c>
      <c r="N16" s="242">
        <f t="shared" si="1"/>
        <v>0.51397748425605627</v>
      </c>
      <c r="O16" s="242">
        <f t="shared" si="1"/>
        <v>0.59226979060214402</v>
      </c>
      <c r="P16" s="242">
        <f t="shared" si="1"/>
        <v>0.64114480897833814</v>
      </c>
      <c r="Q16" s="243">
        <f t="shared" si="1"/>
        <v>0.76035076885789643</v>
      </c>
      <c r="S16">
        <f>S15+25</f>
        <v>200</v>
      </c>
      <c r="T16" s="241">
        <f t="shared" si="7"/>
        <v>9.0546229536893605E-2</v>
      </c>
      <c r="U16" s="242">
        <f t="shared" si="2"/>
        <v>0.11606031588468257</v>
      </c>
      <c r="V16" s="242">
        <f t="shared" si="2"/>
        <v>0.13809813811636562</v>
      </c>
      <c r="W16" s="242">
        <f t="shared" si="2"/>
        <v>0.16359222971365275</v>
      </c>
      <c r="X16" s="242">
        <f t="shared" si="2"/>
        <v>0.18086002310726396</v>
      </c>
      <c r="Y16" s="243">
        <f t="shared" si="2"/>
        <v>0.2298396190952039</v>
      </c>
    </row>
    <row r="17" spans="1:25" x14ac:dyDescent="0.35">
      <c r="A17">
        <f t="shared" si="3"/>
        <v>14</v>
      </c>
      <c r="B17" s="241">
        <f t="shared" si="4"/>
        <v>0.33828163935601402</v>
      </c>
      <c r="C17" s="242">
        <f t="shared" si="0"/>
        <v>0.42590199441122212</v>
      </c>
      <c r="D17" s="242">
        <f t="shared" si="0"/>
        <v>0.49730903545939303</v>
      </c>
      <c r="E17" s="242">
        <f t="shared" si="0"/>
        <v>0.57424534998737287</v>
      </c>
      <c r="F17" s="242">
        <f t="shared" si="0"/>
        <v>0.62259073052884983</v>
      </c>
      <c r="G17" s="243">
        <f t="shared" si="0"/>
        <v>0.74193394441544158</v>
      </c>
      <c r="K17">
        <f t="shared" si="5"/>
        <v>14</v>
      </c>
      <c r="L17" s="241">
        <f t="shared" si="6"/>
        <v>0.33828163935601402</v>
      </c>
      <c r="M17" s="242">
        <f t="shared" si="1"/>
        <v>0.42590199441122212</v>
      </c>
      <c r="N17" s="242">
        <f t="shared" si="1"/>
        <v>0.49730903545939303</v>
      </c>
      <c r="O17" s="242">
        <f t="shared" si="1"/>
        <v>0.57424534998737287</v>
      </c>
      <c r="P17" s="242">
        <f t="shared" si="1"/>
        <v>0.62259073052884983</v>
      </c>
      <c r="Q17" s="243">
        <f t="shared" si="1"/>
        <v>0.74193394441544158</v>
      </c>
      <c r="S17">
        <f t="shared" ref="S17:S22" si="8">S16+50</f>
        <v>250</v>
      </c>
      <c r="T17" s="241">
        <f t="shared" si="7"/>
        <v>8.1000150628123976E-2</v>
      </c>
      <c r="U17" s="242">
        <f t="shared" si="2"/>
        <v>0.10385199975675062</v>
      </c>
      <c r="V17" s="242">
        <f t="shared" si="2"/>
        <v>0.12360678381255608</v>
      </c>
      <c r="W17" s="242">
        <f t="shared" si="2"/>
        <v>0.14648304684506064</v>
      </c>
      <c r="X17" s="242">
        <f t="shared" si="2"/>
        <v>0.16199423064152654</v>
      </c>
      <c r="Y17" s="243">
        <f t="shared" si="2"/>
        <v>0.2060788611174254</v>
      </c>
    </row>
    <row r="18" spans="1:25" x14ac:dyDescent="0.35">
      <c r="A18">
        <f t="shared" si="3"/>
        <v>15</v>
      </c>
      <c r="B18" s="241">
        <f t="shared" si="4"/>
        <v>0.32710130942171872</v>
      </c>
      <c r="C18" s="242">
        <f t="shared" si="0"/>
        <v>0.41236048101042416</v>
      </c>
      <c r="D18" s="242">
        <f t="shared" si="0"/>
        <v>0.48214601690033215</v>
      </c>
      <c r="E18" s="242">
        <f t="shared" si="0"/>
        <v>0.55773676605126832</v>
      </c>
      <c r="F18" s="242">
        <f t="shared" si="0"/>
        <v>0.60550591965385336</v>
      </c>
      <c r="G18" s="243">
        <f t="shared" si="0"/>
        <v>0.72465671411219446</v>
      </c>
      <c r="K18">
        <f t="shared" si="5"/>
        <v>15</v>
      </c>
      <c r="L18" s="241">
        <f t="shared" si="6"/>
        <v>0.32710130942171872</v>
      </c>
      <c r="M18" s="242">
        <f t="shared" si="1"/>
        <v>0.41236048101042416</v>
      </c>
      <c r="N18" s="242">
        <f t="shared" si="1"/>
        <v>0.48214601690033215</v>
      </c>
      <c r="O18" s="242">
        <f t="shared" si="1"/>
        <v>0.55773676605126832</v>
      </c>
      <c r="P18" s="242">
        <f t="shared" si="1"/>
        <v>0.60550591965385336</v>
      </c>
      <c r="Q18" s="243">
        <f t="shared" si="1"/>
        <v>0.72465671411219446</v>
      </c>
      <c r="S18">
        <f t="shared" si="8"/>
        <v>300</v>
      </c>
      <c r="T18" s="241">
        <f t="shared" si="7"/>
        <v>7.3950666032808129E-2</v>
      </c>
      <c r="U18" s="242">
        <f t="shared" si="2"/>
        <v>9.4830536020309802E-2</v>
      </c>
      <c r="V18" s="242">
        <f t="shared" si="2"/>
        <v>0.11289062805166837</v>
      </c>
      <c r="W18" s="242">
        <f t="shared" si="2"/>
        <v>0.13381859274457628</v>
      </c>
      <c r="X18" s="242">
        <f t="shared" si="2"/>
        <v>0.14801880289975514</v>
      </c>
      <c r="Y18" s="243">
        <f t="shared" si="2"/>
        <v>0.18843097555223301</v>
      </c>
    </row>
    <row r="19" spans="1:25" x14ac:dyDescent="0.35">
      <c r="A19">
        <f t="shared" si="3"/>
        <v>16</v>
      </c>
      <c r="B19" s="241">
        <f t="shared" si="4"/>
        <v>0.31695831457261503</v>
      </c>
      <c r="C19" s="242">
        <f t="shared" si="0"/>
        <v>0.4000270517244609</v>
      </c>
      <c r="D19" s="242">
        <f t="shared" si="0"/>
        <v>0.4682773054452069</v>
      </c>
      <c r="E19" s="242">
        <f t="shared" si="0"/>
        <v>0.54254823124784335</v>
      </c>
      <c r="F19" s="242">
        <f t="shared" si="0"/>
        <v>0.58971444840568088</v>
      </c>
      <c r="G19" s="243">
        <f t="shared" si="0"/>
        <v>0.70842856169061341</v>
      </c>
      <c r="K19">
        <f t="shared" si="5"/>
        <v>16</v>
      </c>
      <c r="L19" s="241">
        <f t="shared" si="6"/>
        <v>0.31695831457261503</v>
      </c>
      <c r="M19" s="242">
        <f t="shared" si="1"/>
        <v>0.4000270517244609</v>
      </c>
      <c r="N19" s="242">
        <f t="shared" si="1"/>
        <v>0.4682773054452069</v>
      </c>
      <c r="O19" s="242">
        <f t="shared" si="1"/>
        <v>0.54254823124784335</v>
      </c>
      <c r="P19" s="242">
        <f t="shared" si="1"/>
        <v>0.58971444840568088</v>
      </c>
      <c r="Q19" s="243">
        <f t="shared" si="1"/>
        <v>0.70842856169061341</v>
      </c>
      <c r="S19">
        <f t="shared" si="8"/>
        <v>350</v>
      </c>
      <c r="T19" s="241">
        <f t="shared" si="7"/>
        <v>6.8470285980430881E-2</v>
      </c>
      <c r="U19" s="242">
        <f t="shared" si="2"/>
        <v>8.781390691393666E-2</v>
      </c>
      <c r="V19" s="242">
        <f t="shared" si="2"/>
        <v>0.1045518507497795</v>
      </c>
      <c r="W19" s="242">
        <f t="shared" si="2"/>
        <v>0.12395709560726106</v>
      </c>
      <c r="X19" s="242">
        <f t="shared" si="2"/>
        <v>0.13713076074392011</v>
      </c>
      <c r="Y19" s="243">
        <f t="shared" si="2"/>
        <v>0.17465695339467069</v>
      </c>
    </row>
    <row r="20" spans="1:25" x14ac:dyDescent="0.35">
      <c r="A20">
        <f t="shared" si="3"/>
        <v>17</v>
      </c>
      <c r="B20" s="241">
        <f t="shared" si="4"/>
        <v>0.30770192980360767</v>
      </c>
      <c r="C20" s="242">
        <f t="shared" si="4"/>
        <v>0.38873304602714126</v>
      </c>
      <c r="D20" s="242">
        <f t="shared" si="4"/>
        <v>0.45553050576304221</v>
      </c>
      <c r="E20" s="242">
        <f t="shared" si="4"/>
        <v>0.52851650321914767</v>
      </c>
      <c r="F20" s="242">
        <f t="shared" si="4"/>
        <v>0.57506679104198366</v>
      </c>
      <c r="G20" s="243">
        <f t="shared" si="4"/>
        <v>0.69316336285211155</v>
      </c>
      <c r="K20">
        <f t="shared" si="5"/>
        <v>17</v>
      </c>
      <c r="L20" s="241">
        <f t="shared" si="6"/>
        <v>0.30770192980360767</v>
      </c>
      <c r="M20" s="242">
        <f t="shared" si="6"/>
        <v>0.38873304602714126</v>
      </c>
      <c r="N20" s="242">
        <f t="shared" si="6"/>
        <v>0.45553050576304221</v>
      </c>
      <c r="O20" s="242">
        <f t="shared" si="6"/>
        <v>0.52851650321914767</v>
      </c>
      <c r="P20" s="242">
        <f t="shared" si="6"/>
        <v>0.57506679104198366</v>
      </c>
      <c r="Q20" s="243">
        <f t="shared" si="6"/>
        <v>0.69316336285211155</v>
      </c>
      <c r="S20">
        <f t="shared" si="8"/>
        <v>400</v>
      </c>
      <c r="T20" s="241">
        <f t="shared" si="7"/>
        <v>6.4051783888826819E-2</v>
      </c>
      <c r="U20" s="242">
        <f t="shared" si="7"/>
        <v>8.2154936034726872E-2</v>
      </c>
      <c r="V20" s="242">
        <f t="shared" si="7"/>
        <v>9.7824163304302089E-2</v>
      </c>
      <c r="W20" s="242">
        <f t="shared" si="7"/>
        <v>0.11599696922670055</v>
      </c>
      <c r="X20" s="242">
        <f t="shared" si="7"/>
        <v>0.12833864533647396</v>
      </c>
      <c r="Y20" s="243">
        <f t="shared" si="7"/>
        <v>0.16351976555767439</v>
      </c>
    </row>
    <row r="21" spans="1:25" x14ac:dyDescent="0.35">
      <c r="A21">
        <f t="shared" si="3"/>
        <v>18</v>
      </c>
      <c r="B21" s="241">
        <f t="shared" si="4"/>
        <v>0.29921034404094482</v>
      </c>
      <c r="C21" s="242">
        <f t="shared" si="4"/>
        <v>0.37834086104351955</v>
      </c>
      <c r="D21" s="242">
        <f t="shared" si="4"/>
        <v>0.4437633993377868</v>
      </c>
      <c r="E21" s="242">
        <f t="shared" si="4"/>
        <v>0.5155045398035073</v>
      </c>
      <c r="F21" s="242">
        <f t="shared" si="4"/>
        <v>0.56143540415619153</v>
      </c>
      <c r="G21" s="243">
        <f t="shared" si="4"/>
        <v>0.67878106271128347</v>
      </c>
      <c r="K21">
        <f t="shared" si="5"/>
        <v>18</v>
      </c>
      <c r="L21" s="241">
        <f t="shared" si="6"/>
        <v>0.29921034404094482</v>
      </c>
      <c r="M21" s="242">
        <f t="shared" si="6"/>
        <v>0.37834086104351955</v>
      </c>
      <c r="N21" s="242">
        <f t="shared" si="6"/>
        <v>0.4437633993377868</v>
      </c>
      <c r="O21" s="242">
        <f t="shared" si="6"/>
        <v>0.5155045398035073</v>
      </c>
      <c r="P21" s="242">
        <f t="shared" si="6"/>
        <v>0.56143540415619153</v>
      </c>
      <c r="Q21" s="243">
        <f t="shared" si="6"/>
        <v>0.67878106271128347</v>
      </c>
      <c r="S21">
        <f t="shared" si="8"/>
        <v>450</v>
      </c>
      <c r="T21" s="241">
        <f t="shared" si="7"/>
        <v>6.0391309469038618E-2</v>
      </c>
      <c r="U21" s="242">
        <f t="shared" si="7"/>
        <v>7.746561560519577E-2</v>
      </c>
      <c r="V21" s="242">
        <f t="shared" si="7"/>
        <v>9.224773698840015E-2</v>
      </c>
      <c r="W21" s="242">
        <f t="shared" si="7"/>
        <v>0.10939652871244213</v>
      </c>
      <c r="X21" s="242">
        <f t="shared" si="7"/>
        <v>0.12104620025664652</v>
      </c>
      <c r="Y21" s="243">
        <f t="shared" si="7"/>
        <v>0.15427298739892661</v>
      </c>
    </row>
    <row r="22" spans="1:25" x14ac:dyDescent="0.35">
      <c r="A22">
        <f t="shared" si="3"/>
        <v>19</v>
      </c>
      <c r="B22" s="241">
        <f t="shared" si="4"/>
        <v>0.29138391332034036</v>
      </c>
      <c r="C22" s="242">
        <f t="shared" si="4"/>
        <v>0.36873700336416487</v>
      </c>
      <c r="D22" s="242">
        <f t="shared" si="4"/>
        <v>0.43285755631652884</v>
      </c>
      <c r="E22" s="242">
        <f t="shared" si="4"/>
        <v>0.50339650502134026</v>
      </c>
      <c r="F22" s="242">
        <f t="shared" si="4"/>
        <v>0.54871102602494792</v>
      </c>
      <c r="G22" s="243">
        <f t="shared" si="4"/>
        <v>0.66520825361501978</v>
      </c>
      <c r="K22">
        <f t="shared" si="5"/>
        <v>19</v>
      </c>
      <c r="L22" s="241">
        <f t="shared" si="6"/>
        <v>0.29138391332034036</v>
      </c>
      <c r="M22" s="242">
        <f t="shared" si="6"/>
        <v>0.36873700336416487</v>
      </c>
      <c r="N22" s="242">
        <f t="shared" si="6"/>
        <v>0.43285755631652884</v>
      </c>
      <c r="O22" s="242">
        <f t="shared" si="6"/>
        <v>0.50339650502134026</v>
      </c>
      <c r="P22" s="242">
        <f t="shared" si="6"/>
        <v>0.54871102602494792</v>
      </c>
      <c r="Q22" s="243">
        <f t="shared" si="6"/>
        <v>0.66520825361501978</v>
      </c>
      <c r="S22">
        <f t="shared" si="8"/>
        <v>500</v>
      </c>
      <c r="T22" s="241">
        <f t="shared" si="7"/>
        <v>5.7294281153597686E-2</v>
      </c>
      <c r="U22" s="242">
        <f t="shared" si="7"/>
        <v>7.3497316096765755E-2</v>
      </c>
      <c r="V22" s="242">
        <f t="shared" si="7"/>
        <v>8.7527723995665538E-2</v>
      </c>
      <c r="W22" s="242">
        <f t="shared" si="7"/>
        <v>0.10380811770315304</v>
      </c>
      <c r="X22" s="242">
        <f t="shared" si="7"/>
        <v>0.11487046812576791</v>
      </c>
      <c r="Y22" s="243">
        <f t="shared" si="7"/>
        <v>0.14643601530551412</v>
      </c>
    </row>
    <row r="23" spans="1:25" x14ac:dyDescent="0.35">
      <c r="A23">
        <f t="shared" si="3"/>
        <v>20</v>
      </c>
      <c r="B23" s="241">
        <f t="shared" si="4"/>
        <v>0.28414023961308471</v>
      </c>
      <c r="C23" s="242">
        <f t="shared" si="4"/>
        <v>0.35982694082255157</v>
      </c>
      <c r="D23" s="242">
        <f t="shared" si="4"/>
        <v>0.4227135041660024</v>
      </c>
      <c r="E23" s="242">
        <f t="shared" si="4"/>
        <v>0.49209384097096587</v>
      </c>
      <c r="F23" s="242">
        <f t="shared" si="4"/>
        <v>0.53679962276175341</v>
      </c>
      <c r="G23" s="243">
        <f t="shared" si="4"/>
        <v>0.6523781589654627</v>
      </c>
      <c r="K23">
        <f t="shared" si="5"/>
        <v>20</v>
      </c>
      <c r="L23" s="241">
        <f t="shared" si="6"/>
        <v>0.28414023961308471</v>
      </c>
      <c r="M23" s="242">
        <f t="shared" si="6"/>
        <v>0.35982694082255157</v>
      </c>
      <c r="N23" s="242">
        <f t="shared" si="6"/>
        <v>0.4227135041660024</v>
      </c>
      <c r="O23" s="242">
        <f t="shared" si="6"/>
        <v>0.49209384097096587</v>
      </c>
      <c r="P23" s="242">
        <f t="shared" si="6"/>
        <v>0.53679962276175341</v>
      </c>
      <c r="Q23" s="243">
        <f t="shared" si="6"/>
        <v>0.6523781589654627</v>
      </c>
      <c r="S23">
        <f>S22+100</f>
        <v>600</v>
      </c>
      <c r="T23" s="241">
        <f t="shared" si="7"/>
        <v>5.2305095278837511E-2</v>
      </c>
      <c r="U23" s="242">
        <f t="shared" si="7"/>
        <v>6.7103119672374145E-2</v>
      </c>
      <c r="V23" s="242">
        <f t="shared" si="7"/>
        <v>7.9920461343623211E-2</v>
      </c>
      <c r="W23" s="242">
        <f t="shared" si="7"/>
        <v>9.4798280340258306E-2</v>
      </c>
      <c r="X23" s="242">
        <f t="shared" si="7"/>
        <v>0.1049111691589201</v>
      </c>
      <c r="Y23" s="243">
        <f t="shared" si="7"/>
        <v>0.13378656041787315</v>
      </c>
    </row>
    <row r="24" spans="1:25" x14ac:dyDescent="0.35">
      <c r="A24">
        <f t="shared" si="3"/>
        <v>21</v>
      </c>
      <c r="B24" s="241">
        <f t="shared" si="4"/>
        <v>0.2774105199275036</v>
      </c>
      <c r="C24" s="242">
        <f t="shared" si="4"/>
        <v>0.3515312309435395</v>
      </c>
      <c r="D24" s="242">
        <f t="shared" si="4"/>
        <v>0.41324703053361178</v>
      </c>
      <c r="E24" s="242">
        <f t="shared" si="4"/>
        <v>0.48151216353032611</v>
      </c>
      <c r="F24" s="242">
        <f t="shared" si="4"/>
        <v>0.52561988377533719</v>
      </c>
      <c r="G24" s="243">
        <f t="shared" si="4"/>
        <v>0.64023031043406387</v>
      </c>
      <c r="K24">
        <f t="shared" si="5"/>
        <v>21</v>
      </c>
      <c r="L24" s="241">
        <f t="shared" si="6"/>
        <v>0.2774105199275036</v>
      </c>
      <c r="M24" s="242">
        <f t="shared" si="6"/>
        <v>0.3515312309435395</v>
      </c>
      <c r="N24" s="242">
        <f t="shared" si="6"/>
        <v>0.41324703053361178</v>
      </c>
      <c r="O24" s="242">
        <f t="shared" si="6"/>
        <v>0.48151216353032611</v>
      </c>
      <c r="P24" s="242">
        <f t="shared" si="6"/>
        <v>0.52561988377533719</v>
      </c>
      <c r="Q24" s="243">
        <f t="shared" si="6"/>
        <v>0.64023031043406387</v>
      </c>
      <c r="S24">
        <f>S23+100</f>
        <v>700</v>
      </c>
      <c r="T24" s="241">
        <f t="shared" si="7"/>
        <v>4.8426966721150051E-2</v>
      </c>
      <c r="U24" s="242">
        <f t="shared" si="7"/>
        <v>6.2131735348783391E-2</v>
      </c>
      <c r="V24" s="242">
        <f t="shared" si="7"/>
        <v>7.4004498903004548E-2</v>
      </c>
      <c r="W24" s="242">
        <f t="shared" si="7"/>
        <v>8.7789216396850778E-2</v>
      </c>
      <c r="X24" s="242">
        <f t="shared" si="7"/>
        <v>9.7161456054638773E-2</v>
      </c>
      <c r="Y24" s="243">
        <f t="shared" si="7"/>
        <v>0.1239346846420966</v>
      </c>
    </row>
    <row r="25" spans="1:25" x14ac:dyDescent="0.35">
      <c r="A25">
        <f t="shared" si="3"/>
        <v>22</v>
      </c>
      <c r="B25" s="241">
        <f t="shared" si="4"/>
        <v>0.27113679618510478</v>
      </c>
      <c r="C25" s="242">
        <f t="shared" si="4"/>
        <v>0.34378256979728666</v>
      </c>
      <c r="D25" s="242">
        <f t="shared" si="4"/>
        <v>0.40438632243271405</v>
      </c>
      <c r="E25" s="242">
        <f t="shared" si="4"/>
        <v>0.47157879467347769</v>
      </c>
      <c r="F25" s="242">
        <f t="shared" si="4"/>
        <v>0.51510117099625907</v>
      </c>
      <c r="G25" s="243">
        <f t="shared" si="4"/>
        <v>0.62871008165836961</v>
      </c>
      <c r="K25">
        <f t="shared" si="5"/>
        <v>22</v>
      </c>
      <c r="L25" s="241">
        <f t="shared" si="6"/>
        <v>0.27113679618510478</v>
      </c>
      <c r="M25" s="242">
        <f t="shared" si="6"/>
        <v>0.34378256979728666</v>
      </c>
      <c r="N25" s="242">
        <f t="shared" si="6"/>
        <v>0.40438632243271405</v>
      </c>
      <c r="O25" s="242">
        <f t="shared" si="6"/>
        <v>0.47157879467347769</v>
      </c>
      <c r="P25" s="242">
        <f t="shared" si="6"/>
        <v>0.51510117099625907</v>
      </c>
      <c r="Q25" s="243">
        <f t="shared" si="6"/>
        <v>0.62871008165836961</v>
      </c>
      <c r="S25">
        <f>S24+100</f>
        <v>800</v>
      </c>
      <c r="T25" s="241">
        <f t="shared" si="7"/>
        <v>4.5300582497303649E-2</v>
      </c>
      <c r="U25" s="242">
        <f t="shared" si="7"/>
        <v>5.8123348719305586E-2</v>
      </c>
      <c r="V25" s="242">
        <f t="shared" si="7"/>
        <v>6.9233660139906936E-2</v>
      </c>
      <c r="W25" s="242">
        <f t="shared" si="7"/>
        <v>8.2135475263956786E-2</v>
      </c>
      <c r="X25" s="242">
        <f t="shared" si="7"/>
        <v>9.0909088068169205E-2</v>
      </c>
      <c r="Y25" s="243">
        <f t="shared" si="7"/>
        <v>0.11598110715331028</v>
      </c>
    </row>
    <row r="26" spans="1:25" x14ac:dyDescent="0.35">
      <c r="A26">
        <f t="shared" si="3"/>
        <v>23</v>
      </c>
      <c r="B26" s="241">
        <f t="shared" si="4"/>
        <v>0.26526985487737703</v>
      </c>
      <c r="C26" s="242">
        <f t="shared" si="4"/>
        <v>0.33652351442796452</v>
      </c>
      <c r="D26" s="242">
        <f t="shared" si="4"/>
        <v>0.39606972934697227</v>
      </c>
      <c r="E26" s="242">
        <f t="shared" si="4"/>
        <v>0.46223078824465863</v>
      </c>
      <c r="F26" s="242">
        <f t="shared" si="4"/>
        <v>0.50518183787747406</v>
      </c>
      <c r="G26" s="243">
        <f t="shared" si="4"/>
        <v>0.61776817007897922</v>
      </c>
      <c r="K26">
        <f t="shared" si="5"/>
        <v>23</v>
      </c>
      <c r="L26" s="241">
        <f t="shared" si="6"/>
        <v>0.26526985487737703</v>
      </c>
      <c r="M26" s="242">
        <f t="shared" si="6"/>
        <v>0.33652351442796452</v>
      </c>
      <c r="N26" s="242">
        <f t="shared" si="6"/>
        <v>0.39606972934697227</v>
      </c>
      <c r="O26" s="242">
        <f t="shared" si="6"/>
        <v>0.46223078824465863</v>
      </c>
      <c r="P26" s="242">
        <f t="shared" si="6"/>
        <v>0.50518183787747406</v>
      </c>
      <c r="Q26" s="243">
        <f t="shared" si="6"/>
        <v>0.61776817007897922</v>
      </c>
      <c r="S26">
        <f>S25+100</f>
        <v>900</v>
      </c>
      <c r="T26" s="241">
        <f t="shared" si="7"/>
        <v>4.2710753974507625E-2</v>
      </c>
      <c r="U26" s="242">
        <f t="shared" si="7"/>
        <v>5.4802468368278109E-2</v>
      </c>
      <c r="V26" s="242">
        <f t="shared" si="7"/>
        <v>6.5280566542414681E-2</v>
      </c>
      <c r="W26" s="242">
        <f t="shared" si="7"/>
        <v>7.7449936941264966E-2</v>
      </c>
      <c r="X26" s="242">
        <f t="shared" si="7"/>
        <v>8.5726682872253282E-2</v>
      </c>
      <c r="Y26" s="243">
        <f t="shared" si="7"/>
        <v>0.1093853250487606</v>
      </c>
    </row>
    <row r="27" spans="1:25" x14ac:dyDescent="0.35">
      <c r="A27">
        <f t="shared" si="3"/>
        <v>24</v>
      </c>
      <c r="B27" s="241">
        <f t="shared" si="4"/>
        <v>0.25976760277446009</v>
      </c>
      <c r="C27" s="242">
        <f t="shared" si="4"/>
        <v>0.32970470505691396</v>
      </c>
      <c r="D27" s="242">
        <f t="shared" si="4"/>
        <v>0.38824399701725298</v>
      </c>
      <c r="E27" s="242">
        <f t="shared" si="4"/>
        <v>0.45341334005871187</v>
      </c>
      <c r="F27" s="242">
        <f t="shared" si="4"/>
        <v>0.49580784787634397</v>
      </c>
      <c r="G27" s="243">
        <f t="shared" si="4"/>
        <v>0.60736007727186414</v>
      </c>
      <c r="K27">
        <f t="shared" si="5"/>
        <v>24</v>
      </c>
      <c r="L27" s="241">
        <f t="shared" si="6"/>
        <v>0.25976760277446009</v>
      </c>
      <c r="M27" s="242">
        <f t="shared" si="6"/>
        <v>0.32970470505691396</v>
      </c>
      <c r="N27" s="242">
        <f t="shared" si="6"/>
        <v>0.38824399701725298</v>
      </c>
      <c r="O27" s="242">
        <f t="shared" si="6"/>
        <v>0.45341334005871187</v>
      </c>
      <c r="P27" s="242">
        <f t="shared" si="6"/>
        <v>0.49580784787634397</v>
      </c>
      <c r="Q27" s="243">
        <f t="shared" si="6"/>
        <v>0.60736007727186414</v>
      </c>
      <c r="S27">
        <f>S26+100</f>
        <v>1000</v>
      </c>
      <c r="T27" s="241">
        <f t="shared" si="7"/>
        <v>4.0519703702088045E-2</v>
      </c>
      <c r="U27" s="242">
        <f t="shared" si="7"/>
        <v>5.1992652540319546E-2</v>
      </c>
      <c r="V27" s="242">
        <f t="shared" si="7"/>
        <v>6.1935475170805367E-2</v>
      </c>
      <c r="W27" s="242">
        <f t="shared" si="7"/>
        <v>7.3484469843800485E-2</v>
      </c>
      <c r="X27" s="242">
        <f t="shared" si="7"/>
        <v>8.1340203942399394E-2</v>
      </c>
      <c r="Y27" s="243">
        <f t="shared" si="7"/>
        <v>0.1038003421662871</v>
      </c>
    </row>
    <row r="28" spans="1:25" x14ac:dyDescent="0.35">
      <c r="A28">
        <f t="shared" si="3"/>
        <v>25</v>
      </c>
      <c r="B28" s="241">
        <f t="shared" si="4"/>
        <v>0.25459379636607349</v>
      </c>
      <c r="C28" s="242">
        <f t="shared" si="4"/>
        <v>0.32328346283808579</v>
      </c>
      <c r="D28" s="242">
        <f t="shared" si="4"/>
        <v>0.38086286008598491</v>
      </c>
      <c r="E28" s="242">
        <f t="shared" si="4"/>
        <v>0.4450784990488566</v>
      </c>
      <c r="F28" s="242">
        <f t="shared" si="4"/>
        <v>0.48693163503495163</v>
      </c>
      <c r="G28" s="243">
        <f t="shared" si="4"/>
        <v>0.59744561420444209</v>
      </c>
      <c r="K28">
        <f t="shared" si="5"/>
        <v>25</v>
      </c>
      <c r="L28" s="241">
        <f t="shared" si="6"/>
        <v>0.25459379636607349</v>
      </c>
      <c r="M28" s="242">
        <f t="shared" si="6"/>
        <v>0.32328346283808579</v>
      </c>
      <c r="N28" s="242">
        <f t="shared" si="6"/>
        <v>0.38086286008598491</v>
      </c>
      <c r="O28" s="242">
        <f t="shared" si="6"/>
        <v>0.4450784990488566</v>
      </c>
      <c r="P28" s="242">
        <f t="shared" si="6"/>
        <v>0.48693163503495163</v>
      </c>
      <c r="Q28" s="243">
        <f t="shared" si="6"/>
        <v>0.59744561420444209</v>
      </c>
      <c r="S28">
        <v>1500</v>
      </c>
      <c r="T28" s="241">
        <f t="shared" si="7"/>
        <v>3.3085973987874669E-2</v>
      </c>
      <c r="U28" s="242">
        <f t="shared" si="7"/>
        <v>4.2457862788634136E-2</v>
      </c>
      <c r="V28" s="242">
        <f t="shared" si="7"/>
        <v>5.0582086634079697E-2</v>
      </c>
      <c r="W28" s="242">
        <f t="shared" si="7"/>
        <v>6.0021887785457265E-2</v>
      </c>
      <c r="X28" s="242">
        <f t="shared" si="7"/>
        <v>6.6445193885425927E-2</v>
      </c>
      <c r="Y28" s="243">
        <f t="shared" si="7"/>
        <v>8.4822021374157466E-2</v>
      </c>
    </row>
    <row r="29" spans="1:25" x14ac:dyDescent="0.35">
      <c r="A29">
        <f t="shared" si="3"/>
        <v>26</v>
      </c>
      <c r="B29" s="241">
        <f t="shared" si="4"/>
        <v>0.24971703755907582</v>
      </c>
      <c r="C29" s="242">
        <f t="shared" si="4"/>
        <v>0.31722267314185132</v>
      </c>
      <c r="D29" s="242">
        <f t="shared" si="4"/>
        <v>0.37388591108593572</v>
      </c>
      <c r="E29" s="242">
        <f t="shared" si="4"/>
        <v>0.43718411569164783</v>
      </c>
      <c r="F29" s="242">
        <f t="shared" si="4"/>
        <v>0.47851116040367758</v>
      </c>
      <c r="G29" s="243">
        <f t="shared" si="4"/>
        <v>0.58798844403250328</v>
      </c>
      <c r="K29">
        <f t="shared" si="5"/>
        <v>26</v>
      </c>
      <c r="L29" s="241">
        <f t="shared" si="6"/>
        <v>0.24971703755907582</v>
      </c>
      <c r="M29" s="242">
        <f t="shared" si="6"/>
        <v>0.31722267314185132</v>
      </c>
      <c r="N29" s="242">
        <f t="shared" si="6"/>
        <v>0.37388591108593572</v>
      </c>
      <c r="O29" s="242">
        <f t="shared" si="6"/>
        <v>0.43718411569164783</v>
      </c>
      <c r="P29" s="242">
        <f t="shared" si="6"/>
        <v>0.47851116040367758</v>
      </c>
      <c r="Q29" s="243">
        <f t="shared" si="6"/>
        <v>0.58798844403250328</v>
      </c>
      <c r="S29">
        <v>2000</v>
      </c>
      <c r="T29" s="241">
        <f t="shared" si="7"/>
        <v>2.8654061936924644E-2</v>
      </c>
      <c r="U29" s="242">
        <f t="shared" si="7"/>
        <v>3.6772202594071726E-2</v>
      </c>
      <c r="V29" s="242">
        <f t="shared" si="7"/>
        <v>4.3810560758632384E-2</v>
      </c>
      <c r="W29" s="242">
        <f t="shared" si="7"/>
        <v>5.1990037804664657E-2</v>
      </c>
      <c r="X29" s="242">
        <f t="shared" si="7"/>
        <v>5.7556738427373591E-2</v>
      </c>
      <c r="Y29" s="243">
        <f t="shared" si="7"/>
        <v>7.3488098827359766E-2</v>
      </c>
    </row>
    <row r="30" spans="1:25" x14ac:dyDescent="0.35">
      <c r="A30">
        <f t="shared" si="3"/>
        <v>27</v>
      </c>
      <c r="B30" s="241">
        <f t="shared" si="4"/>
        <v>0.24510997217524003</v>
      </c>
      <c r="C30" s="242">
        <f t="shared" si="4"/>
        <v>0.31148988828505264</v>
      </c>
      <c r="D30" s="242">
        <f t="shared" si="4"/>
        <v>0.3672776842415274</v>
      </c>
      <c r="E30" s="242">
        <f t="shared" si="4"/>
        <v>0.42969297864188305</v>
      </c>
      <c r="F30" s="242">
        <f t="shared" si="4"/>
        <v>0.47050912724460858</v>
      </c>
      <c r="G30" s="243">
        <f t="shared" si="4"/>
        <v>0.5789556671741769</v>
      </c>
      <c r="K30">
        <f t="shared" si="5"/>
        <v>27</v>
      </c>
      <c r="L30" s="241">
        <f t="shared" ref="L30:Q33" si="9">TINV(L$3,$A30)/SQRT(TINV(L$3,$A30)^2+$A30)</f>
        <v>0.24510997217524003</v>
      </c>
      <c r="M30" s="242">
        <f t="shared" si="9"/>
        <v>0.31148988828505264</v>
      </c>
      <c r="N30" s="242">
        <f t="shared" si="9"/>
        <v>0.3672776842415274</v>
      </c>
      <c r="O30" s="242">
        <f t="shared" si="9"/>
        <v>0.42969297864188305</v>
      </c>
      <c r="P30" s="242">
        <f t="shared" si="9"/>
        <v>0.47050912724460858</v>
      </c>
      <c r="Q30" s="243">
        <f t="shared" si="9"/>
        <v>0.5789556671741769</v>
      </c>
      <c r="S30">
        <v>3000</v>
      </c>
      <c r="T30" s="241">
        <f t="shared" si="7"/>
        <v>2.339657041183545E-2</v>
      </c>
      <c r="U30" s="242">
        <f t="shared" si="7"/>
        <v>3.0026512438107323E-2</v>
      </c>
      <c r="V30" s="242">
        <f t="shared" si="7"/>
        <v>3.5775409670453576E-2</v>
      </c>
      <c r="W30" s="242">
        <f t="shared" si="7"/>
        <v>4.2457493361706268E-2</v>
      </c>
      <c r="X30" s="242">
        <f t="shared" si="7"/>
        <v>4.7005915559858898E-2</v>
      </c>
      <c r="Y30" s="243">
        <f t="shared" si="7"/>
        <v>6.0027349302545628E-2</v>
      </c>
    </row>
    <row r="31" spans="1:25" x14ac:dyDescent="0.35">
      <c r="A31">
        <f t="shared" si="3"/>
        <v>28</v>
      </c>
      <c r="B31" s="241">
        <f t="shared" si="4"/>
        <v>0.2407486446090919</v>
      </c>
      <c r="C31" s="242">
        <f t="shared" si="4"/>
        <v>0.30605660061930101</v>
      </c>
      <c r="D31" s="242">
        <f t="shared" si="4"/>
        <v>0.36100690773323302</v>
      </c>
      <c r="E31" s="242">
        <f t="shared" si="4"/>
        <v>0.42257210161189263</v>
      </c>
      <c r="F31" s="242">
        <f t="shared" si="4"/>
        <v>0.46289232537625097</v>
      </c>
      <c r="G31" s="243">
        <f t="shared" si="4"/>
        <v>0.57031744900653614</v>
      </c>
      <c r="K31">
        <f t="shared" si="5"/>
        <v>28</v>
      </c>
      <c r="L31" s="241">
        <f t="shared" si="9"/>
        <v>0.2407486446090919</v>
      </c>
      <c r="M31" s="242">
        <f t="shared" si="9"/>
        <v>0.30605660061930101</v>
      </c>
      <c r="N31" s="242">
        <f t="shared" si="9"/>
        <v>0.36100690773323302</v>
      </c>
      <c r="O31" s="242">
        <f t="shared" si="9"/>
        <v>0.42257210161189263</v>
      </c>
      <c r="P31" s="242">
        <f t="shared" si="9"/>
        <v>0.46289232537625097</v>
      </c>
      <c r="Q31" s="243">
        <f t="shared" si="9"/>
        <v>0.57031744900653614</v>
      </c>
      <c r="S31">
        <v>4000</v>
      </c>
      <c r="T31" s="241">
        <f t="shared" si="7"/>
        <v>2.0262295683097106E-2</v>
      </c>
      <c r="U31" s="242">
        <f t="shared" si="7"/>
        <v>2.6004646849137378E-2</v>
      </c>
      <c r="V31" s="242">
        <f t="shared" si="7"/>
        <v>3.098424810803899E-2</v>
      </c>
      <c r="W31" s="242">
        <f t="shared" si="7"/>
        <v>3.6772647934839087E-2</v>
      </c>
      <c r="X31" s="242">
        <f t="shared" si="7"/>
        <v>4.071309628162588E-2</v>
      </c>
      <c r="Y31" s="243">
        <f t="shared" si="7"/>
        <v>5.1995851823566759E-2</v>
      </c>
    </row>
    <row r="32" spans="1:25" x14ac:dyDescent="0.35">
      <c r="A32">
        <f t="shared" si="3"/>
        <v>29</v>
      </c>
      <c r="B32" s="241">
        <f t="shared" si="4"/>
        <v>0.23661197394842895</v>
      </c>
      <c r="C32" s="242">
        <f t="shared" si="4"/>
        <v>0.30089764910801486</v>
      </c>
      <c r="D32" s="242">
        <f t="shared" si="4"/>
        <v>0.35504588917776814</v>
      </c>
      <c r="E32" s="242">
        <f t="shared" si="4"/>
        <v>0.41579213094342787</v>
      </c>
      <c r="F32" s="242">
        <f t="shared" si="4"/>
        <v>0.45563108094903298</v>
      </c>
      <c r="G32" s="243">
        <f t="shared" si="4"/>
        <v>0.56204668819390202</v>
      </c>
      <c r="K32">
        <f t="shared" si="5"/>
        <v>29</v>
      </c>
      <c r="L32" s="241">
        <f t="shared" si="9"/>
        <v>0.23661197394842895</v>
      </c>
      <c r="M32" s="242">
        <f t="shared" si="9"/>
        <v>0.30089764910801486</v>
      </c>
      <c r="N32" s="242">
        <f t="shared" si="9"/>
        <v>0.35504588917776814</v>
      </c>
      <c r="O32" s="242">
        <f t="shared" si="9"/>
        <v>0.41579213094342787</v>
      </c>
      <c r="P32" s="242">
        <f t="shared" si="9"/>
        <v>0.45563108094903298</v>
      </c>
      <c r="Q32" s="243">
        <f t="shared" si="9"/>
        <v>0.56204668819390202</v>
      </c>
      <c r="S32">
        <v>5000</v>
      </c>
      <c r="T32" s="244">
        <f t="shared" si="7"/>
        <v>1.812329380946991E-2</v>
      </c>
      <c r="U32" s="245">
        <f t="shared" si="7"/>
        <v>2.3259759237230133E-2</v>
      </c>
      <c r="V32" s="245">
        <f t="shared" si="7"/>
        <v>2.771413849789953E-2</v>
      </c>
      <c r="W32" s="245">
        <f t="shared" si="7"/>
        <v>3.2892270245626173E-2</v>
      </c>
      <c r="X32" s="245">
        <f t="shared" si="7"/>
        <v>3.6417465402970993E-2</v>
      </c>
      <c r="Y32" s="246">
        <f t="shared" si="7"/>
        <v>4.6512216208249697E-2</v>
      </c>
    </row>
    <row r="33" spans="1:17" x14ac:dyDescent="0.35">
      <c r="A33">
        <f t="shared" si="3"/>
        <v>30</v>
      </c>
      <c r="B33" s="241">
        <f t="shared" si="4"/>
        <v>0.23268132545447071</v>
      </c>
      <c r="C33" s="242">
        <f t="shared" si="4"/>
        <v>0.29599073141338156</v>
      </c>
      <c r="D33" s="242">
        <f t="shared" si="4"/>
        <v>0.34937000727708711</v>
      </c>
      <c r="E33" s="242">
        <f t="shared" si="4"/>
        <v>0.40932685072785913</v>
      </c>
      <c r="F33" s="242">
        <f t="shared" si="4"/>
        <v>0.44869879264711943</v>
      </c>
      <c r="G33" s="243">
        <f t="shared" si="4"/>
        <v>0.55411872252272498</v>
      </c>
      <c r="K33">
        <f t="shared" si="5"/>
        <v>30</v>
      </c>
      <c r="L33" s="244">
        <f t="shared" si="9"/>
        <v>0.23268132545447071</v>
      </c>
      <c r="M33" s="245">
        <f t="shared" si="9"/>
        <v>0.29599073141338156</v>
      </c>
      <c r="N33" s="245">
        <f t="shared" si="9"/>
        <v>0.34937000727708711</v>
      </c>
      <c r="O33" s="245">
        <f t="shared" si="9"/>
        <v>0.40932685072785913</v>
      </c>
      <c r="P33" s="245">
        <f t="shared" si="9"/>
        <v>0.44869879264711943</v>
      </c>
      <c r="Q33" s="246">
        <f t="shared" si="9"/>
        <v>0.55411872252272498</v>
      </c>
    </row>
    <row r="34" spans="1:17" x14ac:dyDescent="0.35">
      <c r="A34">
        <v>35</v>
      </c>
      <c r="B34" s="241">
        <f t="shared" si="4"/>
        <v>0.21559761566067975</v>
      </c>
      <c r="C34" s="242">
        <f t="shared" si="4"/>
        <v>0.2746105225799027</v>
      </c>
      <c r="D34" s="242">
        <f t="shared" si="4"/>
        <v>0.32457291523666998</v>
      </c>
      <c r="E34" s="242">
        <f t="shared" si="4"/>
        <v>0.38097558270616944</v>
      </c>
      <c r="F34" s="242">
        <f t="shared" si="4"/>
        <v>0.418210849426567</v>
      </c>
      <c r="G34" s="243">
        <f t="shared" si="4"/>
        <v>0.51889802017825537</v>
      </c>
    </row>
    <row r="35" spans="1:17" x14ac:dyDescent="0.35">
      <c r="A35">
        <v>40</v>
      </c>
      <c r="B35" s="241">
        <f t="shared" ref="B35:G50" si="10">TINV(B$3,$A35)/SQRT(TINV(B$3,$A35)^2+$A35)</f>
        <v>0.2017959441926199</v>
      </c>
      <c r="C35" s="242">
        <f t="shared" si="10"/>
        <v>0.25727789942971147</v>
      </c>
      <c r="D35" s="242">
        <f t="shared" si="10"/>
        <v>0.30439558128531835</v>
      </c>
      <c r="E35" s="242">
        <f t="shared" si="10"/>
        <v>0.35778718208168625</v>
      </c>
      <c r="F35" s="242">
        <f t="shared" si="10"/>
        <v>0.39317432821060738</v>
      </c>
      <c r="G35" s="243">
        <f t="shared" si="10"/>
        <v>0.48957021110841931</v>
      </c>
    </row>
    <row r="36" spans="1:17" x14ac:dyDescent="0.35">
      <c r="A36">
        <v>45</v>
      </c>
      <c r="B36" s="241">
        <f t="shared" si="10"/>
        <v>0.19034454352119981</v>
      </c>
      <c r="C36" s="242">
        <f t="shared" si="10"/>
        <v>0.24285904535313621</v>
      </c>
      <c r="D36" s="242">
        <f t="shared" si="10"/>
        <v>0.28756298464830221</v>
      </c>
      <c r="E36" s="242">
        <f t="shared" si="10"/>
        <v>0.33836706778165565</v>
      </c>
      <c r="F36" s="242">
        <f t="shared" si="10"/>
        <v>0.37214242670274456</v>
      </c>
      <c r="G36" s="243">
        <f t="shared" si="10"/>
        <v>0.46467291999933047</v>
      </c>
    </row>
    <row r="37" spans="1:17" x14ac:dyDescent="0.35">
      <c r="A37">
        <v>50</v>
      </c>
      <c r="B37" s="241">
        <f t="shared" si="10"/>
        <v>0.18064427275379205</v>
      </c>
      <c r="C37" s="242">
        <f t="shared" si="10"/>
        <v>0.23061993163052222</v>
      </c>
      <c r="D37" s="242">
        <f t="shared" si="10"/>
        <v>0.27324348372243595</v>
      </c>
      <c r="E37" s="242">
        <f t="shared" si="10"/>
        <v>0.32179577287168387</v>
      </c>
      <c r="F37" s="242">
        <f t="shared" si="10"/>
        <v>0.35415286456158074</v>
      </c>
      <c r="G37" s="243">
        <f t="shared" si="10"/>
        <v>0.44320093791691934</v>
      </c>
    </row>
    <row r="38" spans="1:17" x14ac:dyDescent="0.35">
      <c r="A38">
        <f>A37+10</f>
        <v>60</v>
      </c>
      <c r="B38" s="241">
        <f t="shared" si="10"/>
        <v>0.16499692368305058</v>
      </c>
      <c r="C38" s="242">
        <f t="shared" si="10"/>
        <v>0.21083186294286677</v>
      </c>
      <c r="D38" s="242">
        <f t="shared" si="10"/>
        <v>0.25003490053004712</v>
      </c>
      <c r="E38" s="242">
        <f t="shared" si="10"/>
        <v>0.29484587061675299</v>
      </c>
      <c r="F38" s="242">
        <f t="shared" si="10"/>
        <v>0.32481844735718168</v>
      </c>
      <c r="G38" s="243">
        <f t="shared" si="10"/>
        <v>0.40786505388898686</v>
      </c>
    </row>
    <row r="39" spans="1:17" x14ac:dyDescent="0.35">
      <c r="A39">
        <f>A38+10</f>
        <v>70</v>
      </c>
      <c r="B39" s="241">
        <f t="shared" si="10"/>
        <v>0.15281796398579284</v>
      </c>
      <c r="C39" s="242">
        <f t="shared" si="10"/>
        <v>0.19539410582602304</v>
      </c>
      <c r="D39" s="242">
        <f t="shared" si="10"/>
        <v>0.23188342228064182</v>
      </c>
      <c r="E39" s="242">
        <f t="shared" si="10"/>
        <v>0.27369536968550651</v>
      </c>
      <c r="F39" s="242">
        <f t="shared" si="10"/>
        <v>0.30173440413830327</v>
      </c>
      <c r="G39" s="243">
        <f t="shared" si="10"/>
        <v>0.37979891352259842</v>
      </c>
    </row>
    <row r="40" spans="1:17" x14ac:dyDescent="0.35">
      <c r="A40">
        <f>A39+10</f>
        <v>80</v>
      </c>
      <c r="B40" s="241">
        <f t="shared" si="10"/>
        <v>0.14299037512715537</v>
      </c>
      <c r="C40" s="242">
        <f t="shared" si="10"/>
        <v>0.18291577693299502</v>
      </c>
      <c r="D40" s="242">
        <f t="shared" si="10"/>
        <v>0.21718498177239087</v>
      </c>
      <c r="E40" s="242">
        <f t="shared" si="10"/>
        <v>0.2565253741189355</v>
      </c>
      <c r="F40" s="242">
        <f t="shared" si="10"/>
        <v>0.28295800939897592</v>
      </c>
      <c r="G40" s="243">
        <f t="shared" si="10"/>
        <v>0.35681567249818064</v>
      </c>
    </row>
    <row r="41" spans="1:17" x14ac:dyDescent="0.35">
      <c r="A41">
        <f>A40+10</f>
        <v>90</v>
      </c>
      <c r="B41" s="241">
        <f t="shared" si="10"/>
        <v>0.13484350525419964</v>
      </c>
      <c r="C41" s="242">
        <f t="shared" si="10"/>
        <v>0.17255817145670982</v>
      </c>
      <c r="D41" s="242">
        <f t="shared" si="10"/>
        <v>0.2049677602033336</v>
      </c>
      <c r="E41" s="242">
        <f t="shared" si="10"/>
        <v>0.24222656258815348</v>
      </c>
      <c r="F41" s="242">
        <f t="shared" si="10"/>
        <v>0.26729813042398426</v>
      </c>
      <c r="G41" s="243">
        <f t="shared" si="10"/>
        <v>0.33754879383725117</v>
      </c>
    </row>
    <row r="42" spans="1:17" x14ac:dyDescent="0.35">
      <c r="A42">
        <f>A41+10</f>
        <v>100</v>
      </c>
      <c r="B42" s="241">
        <f t="shared" si="10"/>
        <v>0.12794716185501773</v>
      </c>
      <c r="C42" s="242">
        <f t="shared" si="10"/>
        <v>0.16378155682346876</v>
      </c>
      <c r="D42" s="242">
        <f t="shared" si="10"/>
        <v>0.19460416681988521</v>
      </c>
      <c r="E42" s="242">
        <f t="shared" si="10"/>
        <v>0.23007900341476181</v>
      </c>
      <c r="F42" s="242">
        <f t="shared" si="10"/>
        <v>0.25397870719557492</v>
      </c>
      <c r="G42" s="243">
        <f t="shared" si="10"/>
        <v>0.321095411706106</v>
      </c>
    </row>
    <row r="43" spans="1:17" x14ac:dyDescent="0.35">
      <c r="A43">
        <f>A42+25</f>
        <v>125</v>
      </c>
      <c r="B43" s="241">
        <f t="shared" si="10"/>
        <v>0.1144769407688755</v>
      </c>
      <c r="C43" s="242">
        <f t="shared" si="10"/>
        <v>0.14661692834547321</v>
      </c>
      <c r="D43" s="242">
        <f t="shared" si="10"/>
        <v>0.17430829232765008</v>
      </c>
      <c r="E43" s="242">
        <f t="shared" si="10"/>
        <v>0.20624464656332464</v>
      </c>
      <c r="F43" s="242">
        <f t="shared" si="10"/>
        <v>0.2278066943304505</v>
      </c>
      <c r="G43" s="243">
        <f t="shared" si="10"/>
        <v>0.28860176157275269</v>
      </c>
    </row>
    <row r="44" spans="1:17" x14ac:dyDescent="0.35">
      <c r="A44">
        <f>A43+25</f>
        <v>150</v>
      </c>
      <c r="B44" s="241">
        <f t="shared" si="10"/>
        <v>0.10452542595509187</v>
      </c>
      <c r="C44" s="242">
        <f t="shared" si="10"/>
        <v>0.13391907707446343</v>
      </c>
      <c r="D44" s="242">
        <f t="shared" si="10"/>
        <v>0.15927253573777034</v>
      </c>
      <c r="E44" s="242">
        <f t="shared" si="10"/>
        <v>0.18855246455312138</v>
      </c>
      <c r="F44" s="242">
        <f t="shared" si="10"/>
        <v>0.2083492442330328</v>
      </c>
      <c r="G44" s="243">
        <f t="shared" si="10"/>
        <v>0.2643159810361016</v>
      </c>
    </row>
    <row r="45" spans="1:17" x14ac:dyDescent="0.35">
      <c r="A45">
        <f>A44+25</f>
        <v>175</v>
      </c>
      <c r="B45" s="241">
        <f t="shared" si="10"/>
        <v>9.6786751954998612E-2</v>
      </c>
      <c r="C45" s="242">
        <f t="shared" si="10"/>
        <v>0.12403568493254062</v>
      </c>
      <c r="D45" s="242">
        <f t="shared" si="10"/>
        <v>0.14755794561590824</v>
      </c>
      <c r="E45" s="242">
        <f t="shared" si="10"/>
        <v>0.17474948809836638</v>
      </c>
      <c r="F45" s="242">
        <f t="shared" si="10"/>
        <v>0.19315298025632507</v>
      </c>
      <c r="G45" s="243">
        <f t="shared" si="10"/>
        <v>0.24527973305040951</v>
      </c>
    </row>
    <row r="46" spans="1:17" x14ac:dyDescent="0.35">
      <c r="A46">
        <f>A45+25</f>
        <v>200</v>
      </c>
      <c r="B46" s="241">
        <f t="shared" si="10"/>
        <v>9.0546229536893605E-2</v>
      </c>
      <c r="C46" s="242">
        <f t="shared" si="10"/>
        <v>0.11606031588468257</v>
      </c>
      <c r="D46" s="242">
        <f t="shared" si="10"/>
        <v>0.13809813811636562</v>
      </c>
      <c r="E46" s="242">
        <f t="shared" si="10"/>
        <v>0.16359222971365275</v>
      </c>
      <c r="F46" s="242">
        <f t="shared" si="10"/>
        <v>0.18086002310726396</v>
      </c>
      <c r="G46" s="243">
        <f t="shared" si="10"/>
        <v>0.2298396190952039</v>
      </c>
    </row>
    <row r="47" spans="1:17" x14ac:dyDescent="0.35">
      <c r="A47">
        <f t="shared" ref="A47:A52" si="11">A46+50</f>
        <v>250</v>
      </c>
      <c r="B47" s="241">
        <f t="shared" si="10"/>
        <v>8.1000150628123976E-2</v>
      </c>
      <c r="C47" s="242">
        <f t="shared" si="10"/>
        <v>0.10385199975675062</v>
      </c>
      <c r="D47" s="242">
        <f t="shared" si="10"/>
        <v>0.12360678381255608</v>
      </c>
      <c r="E47" s="242">
        <f t="shared" si="10"/>
        <v>0.14648304684506064</v>
      </c>
      <c r="F47" s="242">
        <f t="shared" si="10"/>
        <v>0.16199423064152654</v>
      </c>
      <c r="G47" s="243">
        <f t="shared" si="10"/>
        <v>0.2060788611174254</v>
      </c>
    </row>
    <row r="48" spans="1:17" x14ac:dyDescent="0.35">
      <c r="A48">
        <f t="shared" si="11"/>
        <v>300</v>
      </c>
      <c r="B48" s="241">
        <f t="shared" si="10"/>
        <v>7.3950666032808129E-2</v>
      </c>
      <c r="C48" s="242">
        <f t="shared" si="10"/>
        <v>9.4830536020309802E-2</v>
      </c>
      <c r="D48" s="242">
        <f t="shared" si="10"/>
        <v>0.11289062805166837</v>
      </c>
      <c r="E48" s="242">
        <f t="shared" si="10"/>
        <v>0.13381859274457628</v>
      </c>
      <c r="F48" s="242">
        <f t="shared" si="10"/>
        <v>0.14801880289975514</v>
      </c>
      <c r="G48" s="243">
        <f t="shared" si="10"/>
        <v>0.18843097555223301</v>
      </c>
    </row>
    <row r="49" spans="1:7" x14ac:dyDescent="0.35">
      <c r="A49">
        <f t="shared" si="11"/>
        <v>350</v>
      </c>
      <c r="B49" s="241">
        <f t="shared" si="10"/>
        <v>6.8470285980430881E-2</v>
      </c>
      <c r="C49" s="242">
        <f t="shared" si="10"/>
        <v>8.781390691393666E-2</v>
      </c>
      <c r="D49" s="242">
        <f t="shared" si="10"/>
        <v>0.1045518507497795</v>
      </c>
      <c r="E49" s="242">
        <f t="shared" si="10"/>
        <v>0.12395709560726106</v>
      </c>
      <c r="F49" s="242">
        <f t="shared" si="10"/>
        <v>0.13713076074392011</v>
      </c>
      <c r="G49" s="243">
        <f t="shared" si="10"/>
        <v>0.17465695339467069</v>
      </c>
    </row>
    <row r="50" spans="1:7" x14ac:dyDescent="0.35">
      <c r="A50">
        <f t="shared" si="11"/>
        <v>400</v>
      </c>
      <c r="B50" s="241">
        <f t="shared" si="10"/>
        <v>6.4051783888826819E-2</v>
      </c>
      <c r="C50" s="242">
        <f t="shared" si="10"/>
        <v>8.2154936034726872E-2</v>
      </c>
      <c r="D50" s="242">
        <f t="shared" si="10"/>
        <v>9.7824163304302089E-2</v>
      </c>
      <c r="E50" s="242">
        <f t="shared" si="10"/>
        <v>0.11599696922670055</v>
      </c>
      <c r="F50" s="242">
        <f t="shared" si="10"/>
        <v>0.12833864533647396</v>
      </c>
      <c r="G50" s="243">
        <f t="shared" si="10"/>
        <v>0.16351976555767439</v>
      </c>
    </row>
    <row r="51" spans="1:7" x14ac:dyDescent="0.35">
      <c r="A51">
        <f t="shared" si="11"/>
        <v>450</v>
      </c>
      <c r="B51" s="241">
        <f t="shared" ref="B51:G62" si="12">TINV(B$3,$A51)/SQRT(TINV(B$3,$A51)^2+$A51)</f>
        <v>6.0391309469038618E-2</v>
      </c>
      <c r="C51" s="242">
        <f t="shared" si="12"/>
        <v>7.746561560519577E-2</v>
      </c>
      <c r="D51" s="242">
        <f t="shared" si="12"/>
        <v>9.224773698840015E-2</v>
      </c>
      <c r="E51" s="242">
        <f t="shared" si="12"/>
        <v>0.10939652871244213</v>
      </c>
      <c r="F51" s="242">
        <f t="shared" si="12"/>
        <v>0.12104620025664652</v>
      </c>
      <c r="G51" s="243">
        <f t="shared" si="12"/>
        <v>0.15427298739892661</v>
      </c>
    </row>
    <row r="52" spans="1:7" x14ac:dyDescent="0.35">
      <c r="A52">
        <f t="shared" si="11"/>
        <v>500</v>
      </c>
      <c r="B52" s="241">
        <f t="shared" si="12"/>
        <v>5.7294281153597686E-2</v>
      </c>
      <c r="C52" s="242">
        <f t="shared" si="12"/>
        <v>7.3497316096765755E-2</v>
      </c>
      <c r="D52" s="242">
        <f t="shared" si="12"/>
        <v>8.7527723995665538E-2</v>
      </c>
      <c r="E52" s="242">
        <f t="shared" si="12"/>
        <v>0.10380811770315304</v>
      </c>
      <c r="F52" s="242">
        <f t="shared" si="12"/>
        <v>0.11487046812576791</v>
      </c>
      <c r="G52" s="243">
        <f t="shared" si="12"/>
        <v>0.14643601530551412</v>
      </c>
    </row>
    <row r="53" spans="1:7" x14ac:dyDescent="0.35">
      <c r="A53">
        <f>A52+100</f>
        <v>600</v>
      </c>
      <c r="B53" s="241">
        <f t="shared" si="12"/>
        <v>5.2305095278837511E-2</v>
      </c>
      <c r="C53" s="242">
        <f t="shared" si="12"/>
        <v>6.7103119672374145E-2</v>
      </c>
      <c r="D53" s="242">
        <f t="shared" si="12"/>
        <v>7.9920461343623211E-2</v>
      </c>
      <c r="E53" s="242">
        <f t="shared" si="12"/>
        <v>9.4798280340258306E-2</v>
      </c>
      <c r="F53" s="242">
        <f t="shared" si="12"/>
        <v>0.1049111691589201</v>
      </c>
      <c r="G53" s="243">
        <f t="shared" si="12"/>
        <v>0.13378656041787315</v>
      </c>
    </row>
    <row r="54" spans="1:7" x14ac:dyDescent="0.35">
      <c r="A54">
        <f>A53+100</f>
        <v>700</v>
      </c>
      <c r="B54" s="241">
        <f t="shared" si="12"/>
        <v>4.8426966721150051E-2</v>
      </c>
      <c r="C54" s="242">
        <f t="shared" si="12"/>
        <v>6.2131735348783391E-2</v>
      </c>
      <c r="D54" s="242">
        <f t="shared" si="12"/>
        <v>7.4004498903004548E-2</v>
      </c>
      <c r="E54" s="242">
        <f t="shared" si="12"/>
        <v>8.7789216396850778E-2</v>
      </c>
      <c r="F54" s="242">
        <f t="shared" si="12"/>
        <v>9.7161456054638773E-2</v>
      </c>
      <c r="G54" s="243">
        <f t="shared" si="12"/>
        <v>0.1239346846420966</v>
      </c>
    </row>
    <row r="55" spans="1:7" x14ac:dyDescent="0.35">
      <c r="A55">
        <f>A54+100</f>
        <v>800</v>
      </c>
      <c r="B55" s="241">
        <f t="shared" si="12"/>
        <v>4.5300582497303649E-2</v>
      </c>
      <c r="C55" s="242">
        <f t="shared" si="12"/>
        <v>5.8123348719305586E-2</v>
      </c>
      <c r="D55" s="242">
        <f t="shared" si="12"/>
        <v>6.9233660139906936E-2</v>
      </c>
      <c r="E55" s="242">
        <f t="shared" si="12"/>
        <v>8.2135475263956786E-2</v>
      </c>
      <c r="F55" s="242">
        <f t="shared" si="12"/>
        <v>9.0909088068169205E-2</v>
      </c>
      <c r="G55" s="243">
        <f t="shared" si="12"/>
        <v>0.11598110715331028</v>
      </c>
    </row>
    <row r="56" spans="1:7" x14ac:dyDescent="0.35">
      <c r="A56">
        <f>A55+100</f>
        <v>900</v>
      </c>
      <c r="B56" s="241">
        <f t="shared" si="12"/>
        <v>4.2710753974507625E-2</v>
      </c>
      <c r="C56" s="242">
        <f t="shared" si="12"/>
        <v>5.4802468368278109E-2</v>
      </c>
      <c r="D56" s="242">
        <f t="shared" si="12"/>
        <v>6.5280566542414681E-2</v>
      </c>
      <c r="E56" s="242">
        <f t="shared" si="12"/>
        <v>7.7449936941264966E-2</v>
      </c>
      <c r="F56" s="242">
        <f t="shared" si="12"/>
        <v>8.5726682872253282E-2</v>
      </c>
      <c r="G56" s="243">
        <f t="shared" si="12"/>
        <v>0.1093853250487606</v>
      </c>
    </row>
    <row r="57" spans="1:7" x14ac:dyDescent="0.35">
      <c r="A57">
        <f>A56+100</f>
        <v>1000</v>
      </c>
      <c r="B57" s="241">
        <f t="shared" si="12"/>
        <v>4.0519703702088045E-2</v>
      </c>
      <c r="C57" s="242">
        <f t="shared" si="12"/>
        <v>5.1992652540319546E-2</v>
      </c>
      <c r="D57" s="242">
        <f t="shared" si="12"/>
        <v>6.1935475170805367E-2</v>
      </c>
      <c r="E57" s="242">
        <f t="shared" si="12"/>
        <v>7.3484469843800485E-2</v>
      </c>
      <c r="F57" s="242">
        <f t="shared" si="12"/>
        <v>8.1340203942399394E-2</v>
      </c>
      <c r="G57" s="243">
        <f t="shared" si="12"/>
        <v>0.1038003421662871</v>
      </c>
    </row>
    <row r="58" spans="1:7" x14ac:dyDescent="0.35">
      <c r="A58">
        <v>1500</v>
      </c>
      <c r="B58" s="241">
        <f t="shared" si="12"/>
        <v>3.3085973987874669E-2</v>
      </c>
      <c r="C58" s="242">
        <f t="shared" si="12"/>
        <v>4.2457862788634136E-2</v>
      </c>
      <c r="D58" s="242">
        <f t="shared" si="12"/>
        <v>5.0582086634079697E-2</v>
      </c>
      <c r="E58" s="242">
        <f t="shared" si="12"/>
        <v>6.0021887785457265E-2</v>
      </c>
      <c r="F58" s="242">
        <f t="shared" si="12"/>
        <v>6.6445193885425927E-2</v>
      </c>
      <c r="G58" s="243">
        <f t="shared" si="12"/>
        <v>8.4822021374157466E-2</v>
      </c>
    </row>
    <row r="59" spans="1:7" x14ac:dyDescent="0.35">
      <c r="A59">
        <v>2000</v>
      </c>
      <c r="B59" s="241">
        <f t="shared" si="12"/>
        <v>2.8654061936924644E-2</v>
      </c>
      <c r="C59" s="242">
        <f t="shared" si="12"/>
        <v>3.6772202594071726E-2</v>
      </c>
      <c r="D59" s="242">
        <f t="shared" si="12"/>
        <v>4.3810560758632384E-2</v>
      </c>
      <c r="E59" s="242">
        <f t="shared" si="12"/>
        <v>5.1990037804664657E-2</v>
      </c>
      <c r="F59" s="242">
        <f t="shared" si="12"/>
        <v>5.7556738427373591E-2</v>
      </c>
      <c r="G59" s="243">
        <f t="shared" si="12"/>
        <v>7.3488098827359766E-2</v>
      </c>
    </row>
    <row r="60" spans="1:7" x14ac:dyDescent="0.35">
      <c r="A60">
        <v>3000</v>
      </c>
      <c r="B60" s="241">
        <f t="shared" si="12"/>
        <v>2.339657041183545E-2</v>
      </c>
      <c r="C60" s="242">
        <f t="shared" si="12"/>
        <v>3.0026512438107323E-2</v>
      </c>
      <c r="D60" s="242">
        <f t="shared" si="12"/>
        <v>3.5775409670453576E-2</v>
      </c>
      <c r="E60" s="242">
        <f t="shared" si="12"/>
        <v>4.2457493361706268E-2</v>
      </c>
      <c r="F60" s="242">
        <f t="shared" si="12"/>
        <v>4.7005915559858898E-2</v>
      </c>
      <c r="G60" s="243">
        <f t="shared" si="12"/>
        <v>6.0027349302545628E-2</v>
      </c>
    </row>
    <row r="61" spans="1:7" x14ac:dyDescent="0.35">
      <c r="A61">
        <v>4000</v>
      </c>
      <c r="B61" s="241">
        <f t="shared" si="12"/>
        <v>2.0262295683097106E-2</v>
      </c>
      <c r="C61" s="242">
        <f t="shared" si="12"/>
        <v>2.6004646849137378E-2</v>
      </c>
      <c r="D61" s="242">
        <f t="shared" si="12"/>
        <v>3.098424810803899E-2</v>
      </c>
      <c r="E61" s="242">
        <f t="shared" si="12"/>
        <v>3.6772647934839087E-2</v>
      </c>
      <c r="F61" s="242">
        <f t="shared" si="12"/>
        <v>4.071309628162588E-2</v>
      </c>
      <c r="G61" s="243">
        <f t="shared" si="12"/>
        <v>5.1995851823566759E-2</v>
      </c>
    </row>
    <row r="62" spans="1:7" x14ac:dyDescent="0.35">
      <c r="A62">
        <v>5000</v>
      </c>
      <c r="B62" s="244">
        <f t="shared" si="12"/>
        <v>1.812329380946991E-2</v>
      </c>
      <c r="C62" s="245">
        <f t="shared" si="12"/>
        <v>2.3259759237230133E-2</v>
      </c>
      <c r="D62" s="245">
        <f t="shared" si="12"/>
        <v>2.771413849789953E-2</v>
      </c>
      <c r="E62" s="245">
        <f t="shared" si="12"/>
        <v>3.2892270245626173E-2</v>
      </c>
      <c r="F62" s="245">
        <f t="shared" si="12"/>
        <v>3.6417465402970993E-2</v>
      </c>
      <c r="G62" s="246">
        <f t="shared" si="12"/>
        <v>4.6512216208249697E-2</v>
      </c>
    </row>
    <row r="64" spans="1:7" x14ac:dyDescent="0.35">
      <c r="A64" t="s">
        <v>83</v>
      </c>
    </row>
    <row r="65" spans="1:1" x14ac:dyDescent="0.35">
      <c r="A65" t="s">
        <v>484</v>
      </c>
    </row>
    <row r="66" spans="1:1" x14ac:dyDescent="0.35">
      <c r="A66" t="s">
        <v>485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Z34"/>
  <sheetViews>
    <sheetView workbookViewId="0"/>
  </sheetViews>
  <sheetFormatPr defaultRowHeight="14.5" x14ac:dyDescent="0.35"/>
  <cols>
    <col min="19" max="19" width="6.7265625" customWidth="1"/>
  </cols>
  <sheetData>
    <row r="1" spans="1:26" x14ac:dyDescent="0.35">
      <c r="A1" s="1" t="s">
        <v>81</v>
      </c>
    </row>
    <row r="3" spans="1:26" ht="24" x14ac:dyDescent="0.5">
      <c r="A3" s="6" t="s">
        <v>82</v>
      </c>
      <c r="B3">
        <v>0.2</v>
      </c>
      <c r="C3">
        <v>0.1</v>
      </c>
      <c r="D3">
        <v>0.05</v>
      </c>
      <c r="E3">
        <v>0.02</v>
      </c>
      <c r="F3">
        <v>0.01</v>
      </c>
      <c r="G3">
        <v>2E-3</v>
      </c>
      <c r="L3" s="6" t="s">
        <v>82</v>
      </c>
      <c r="M3">
        <v>0.2</v>
      </c>
      <c r="N3">
        <v>0.1</v>
      </c>
      <c r="O3">
        <v>0.05</v>
      </c>
      <c r="P3">
        <v>0.02</v>
      </c>
      <c r="Q3">
        <v>0.01</v>
      </c>
      <c r="R3">
        <v>2E-3</v>
      </c>
      <c r="T3" s="6" t="s">
        <v>82</v>
      </c>
      <c r="U3">
        <v>0.2</v>
      </c>
      <c r="V3">
        <v>0.1</v>
      </c>
      <c r="W3">
        <v>0.05</v>
      </c>
      <c r="X3">
        <v>0.02</v>
      </c>
      <c r="Y3">
        <v>0.01</v>
      </c>
      <c r="Z3">
        <v>2E-3</v>
      </c>
    </row>
    <row r="4" spans="1:26" x14ac:dyDescent="0.35">
      <c r="A4">
        <v>4</v>
      </c>
      <c r="B4" s="216">
        <v>1</v>
      </c>
      <c r="C4" s="207">
        <v>1</v>
      </c>
      <c r="D4" s="219" t="s">
        <v>78</v>
      </c>
      <c r="E4" s="219" t="s">
        <v>78</v>
      </c>
      <c r="F4" s="219" t="s">
        <v>78</v>
      </c>
      <c r="G4" s="220" t="s">
        <v>78</v>
      </c>
      <c r="L4">
        <v>4</v>
      </c>
      <c r="M4" s="216">
        <v>1</v>
      </c>
      <c r="N4" s="207">
        <v>1</v>
      </c>
      <c r="O4" s="219" t="s">
        <v>78</v>
      </c>
      <c r="P4" s="219" t="s">
        <v>78</v>
      </c>
      <c r="Q4" s="219" t="s">
        <v>78</v>
      </c>
      <c r="R4" s="220" t="s">
        <v>78</v>
      </c>
      <c r="T4">
        <v>18</v>
      </c>
      <c r="U4" s="216">
        <v>0.317</v>
      </c>
      <c r="V4" s="207">
        <v>0.40100000000000002</v>
      </c>
      <c r="W4" s="207">
        <v>0.47199999999999998</v>
      </c>
      <c r="X4" s="207">
        <v>0.55000000000000004</v>
      </c>
      <c r="Y4" s="207">
        <v>0.6</v>
      </c>
      <c r="Z4" s="208">
        <v>0.69199999999999995</v>
      </c>
    </row>
    <row r="5" spans="1:26" x14ac:dyDescent="0.35">
      <c r="A5">
        <f t="shared" ref="A5:A30" si="0">A4+1</f>
        <v>5</v>
      </c>
      <c r="B5" s="132">
        <v>0.8</v>
      </c>
      <c r="C5" s="26">
        <v>0.9</v>
      </c>
      <c r="D5" s="26">
        <v>1</v>
      </c>
      <c r="E5" s="26">
        <v>1</v>
      </c>
      <c r="F5" s="218" t="s">
        <v>78</v>
      </c>
      <c r="G5" s="221" t="s">
        <v>78</v>
      </c>
      <c r="L5">
        <f t="shared" ref="L5:L17" si="1">L4+1</f>
        <v>5</v>
      </c>
      <c r="M5" s="132">
        <v>0.8</v>
      </c>
      <c r="N5" s="26">
        <v>0.9</v>
      </c>
      <c r="O5" s="26">
        <v>1</v>
      </c>
      <c r="P5" s="26">
        <v>1</v>
      </c>
      <c r="Q5" s="218" t="s">
        <v>78</v>
      </c>
      <c r="R5" s="221" t="s">
        <v>78</v>
      </c>
      <c r="T5">
        <f t="shared" ref="T5:T16" si="2">T4+1</f>
        <v>19</v>
      </c>
      <c r="U5" s="132">
        <v>0.309</v>
      </c>
      <c r="V5" s="26">
        <v>0.39100000000000001</v>
      </c>
      <c r="W5" s="26">
        <v>0.46</v>
      </c>
      <c r="X5" s="26">
        <v>0.53500000000000003</v>
      </c>
      <c r="Y5" s="26">
        <v>0.58399999999999996</v>
      </c>
      <c r="Z5" s="133">
        <v>0.67500000000000004</v>
      </c>
    </row>
    <row r="6" spans="1:26" x14ac:dyDescent="0.35">
      <c r="A6">
        <f t="shared" si="0"/>
        <v>6</v>
      </c>
      <c r="B6" s="132">
        <v>0.65700000000000003</v>
      </c>
      <c r="C6" s="26">
        <v>0.82899999999999996</v>
      </c>
      <c r="D6" s="26">
        <v>0.88600000000000001</v>
      </c>
      <c r="E6" s="26">
        <v>0.94299999999999995</v>
      </c>
      <c r="F6" s="26">
        <v>1</v>
      </c>
      <c r="G6" s="221" t="s">
        <v>78</v>
      </c>
      <c r="L6">
        <f t="shared" si="1"/>
        <v>6</v>
      </c>
      <c r="M6" s="132">
        <v>0.65700000000000003</v>
      </c>
      <c r="N6" s="26">
        <v>0.82899999999999996</v>
      </c>
      <c r="O6" s="26">
        <v>0.88600000000000001</v>
      </c>
      <c r="P6" s="26">
        <v>0.94299999999999995</v>
      </c>
      <c r="Q6" s="26">
        <v>1</v>
      </c>
      <c r="R6" s="221" t="s">
        <v>78</v>
      </c>
      <c r="T6">
        <f t="shared" si="2"/>
        <v>20</v>
      </c>
      <c r="U6" s="132">
        <v>0.29899999999999999</v>
      </c>
      <c r="V6" s="26">
        <v>0.38</v>
      </c>
      <c r="W6" s="26">
        <v>0.44700000000000001</v>
      </c>
      <c r="X6" s="26">
        <v>0.52200000000000002</v>
      </c>
      <c r="Y6" s="26">
        <v>0.56999999999999995</v>
      </c>
      <c r="Z6" s="133">
        <v>0.66200000000000003</v>
      </c>
    </row>
    <row r="7" spans="1:26" x14ac:dyDescent="0.35">
      <c r="A7">
        <f t="shared" si="0"/>
        <v>7</v>
      </c>
      <c r="B7" s="132">
        <v>0.57099999999999995</v>
      </c>
      <c r="C7" s="26">
        <v>0.71399999999999997</v>
      </c>
      <c r="D7" s="26">
        <v>0.78600000000000003</v>
      </c>
      <c r="E7" s="26">
        <v>0.89300000000000002</v>
      </c>
      <c r="F7" s="26">
        <v>0.92900000000000005</v>
      </c>
      <c r="G7" s="133">
        <v>1</v>
      </c>
      <c r="L7">
        <f t="shared" si="1"/>
        <v>7</v>
      </c>
      <c r="M7" s="132">
        <v>0.57099999999999995</v>
      </c>
      <c r="N7" s="26">
        <v>0.71399999999999997</v>
      </c>
      <c r="O7" s="26">
        <v>0.78600000000000003</v>
      </c>
      <c r="P7" s="26">
        <v>0.89300000000000002</v>
      </c>
      <c r="Q7" s="26">
        <v>0.92900000000000005</v>
      </c>
      <c r="R7" s="133">
        <v>1</v>
      </c>
      <c r="T7">
        <f t="shared" si="2"/>
        <v>21</v>
      </c>
      <c r="U7" s="132">
        <v>0.29199999999999998</v>
      </c>
      <c r="V7" s="26">
        <v>0.37</v>
      </c>
      <c r="W7" s="26">
        <v>0.436</v>
      </c>
      <c r="X7" s="26">
        <v>0.50900000000000001</v>
      </c>
      <c r="Y7" s="26">
        <v>0.55600000000000005</v>
      </c>
      <c r="Z7" s="133">
        <v>0.64700000000000002</v>
      </c>
    </row>
    <row r="8" spans="1:26" x14ac:dyDescent="0.35">
      <c r="A8">
        <f t="shared" si="0"/>
        <v>8</v>
      </c>
      <c r="B8" s="132">
        <v>0.52400000000000002</v>
      </c>
      <c r="C8" s="26">
        <v>0.64300000000000002</v>
      </c>
      <c r="D8" s="26">
        <v>0.73799999999999999</v>
      </c>
      <c r="E8" s="26">
        <v>0.83299999999999996</v>
      </c>
      <c r="F8" s="26">
        <v>0.88100000000000001</v>
      </c>
      <c r="G8" s="133">
        <v>0.95199999999999996</v>
      </c>
      <c r="L8">
        <f t="shared" si="1"/>
        <v>8</v>
      </c>
      <c r="M8" s="132">
        <v>0.52400000000000002</v>
      </c>
      <c r="N8" s="26">
        <v>0.64300000000000002</v>
      </c>
      <c r="O8" s="26">
        <v>0.73799999999999999</v>
      </c>
      <c r="P8" s="26">
        <v>0.83299999999999996</v>
      </c>
      <c r="Q8" s="26">
        <v>0.88100000000000001</v>
      </c>
      <c r="R8" s="133">
        <v>0.95199999999999996</v>
      </c>
      <c r="T8">
        <f t="shared" si="2"/>
        <v>22</v>
      </c>
      <c r="U8" s="132">
        <v>0.28399999999999997</v>
      </c>
      <c r="V8" s="26">
        <v>0.36099999999999999</v>
      </c>
      <c r="W8" s="26">
        <v>0.42499999999999999</v>
      </c>
      <c r="X8" s="26">
        <v>0.497</v>
      </c>
      <c r="Y8" s="26">
        <v>0.54400000000000004</v>
      </c>
      <c r="Z8" s="133">
        <v>0.63300000000000001</v>
      </c>
    </row>
    <row r="9" spans="1:26" x14ac:dyDescent="0.35">
      <c r="A9">
        <f t="shared" si="0"/>
        <v>9</v>
      </c>
      <c r="B9" s="132">
        <v>0.48299999999999998</v>
      </c>
      <c r="C9" s="26">
        <v>0.6</v>
      </c>
      <c r="D9" s="26">
        <v>0.7</v>
      </c>
      <c r="E9" s="26">
        <v>0.78300000000000003</v>
      </c>
      <c r="F9" s="26">
        <v>0.83299999999999996</v>
      </c>
      <c r="G9" s="133">
        <v>0.91700000000000004</v>
      </c>
      <c r="L9">
        <f t="shared" si="1"/>
        <v>9</v>
      </c>
      <c r="M9" s="132">
        <v>0.48299999999999998</v>
      </c>
      <c r="N9" s="26">
        <v>0.6</v>
      </c>
      <c r="O9" s="26">
        <v>0.7</v>
      </c>
      <c r="P9" s="26">
        <v>0.78300000000000003</v>
      </c>
      <c r="Q9" s="26">
        <v>0.83299999999999996</v>
      </c>
      <c r="R9" s="133">
        <v>0.91700000000000004</v>
      </c>
      <c r="T9">
        <f t="shared" si="2"/>
        <v>23</v>
      </c>
      <c r="U9" s="132">
        <v>0.27800000000000002</v>
      </c>
      <c r="V9" s="26">
        <v>0.35299999999999998</v>
      </c>
      <c r="W9" s="26">
        <v>0.41599999999999998</v>
      </c>
      <c r="X9" s="26">
        <v>0.48599999999999999</v>
      </c>
      <c r="Y9" s="26">
        <v>0.53200000000000003</v>
      </c>
      <c r="Z9" s="133">
        <v>0.621</v>
      </c>
    </row>
    <row r="10" spans="1:26" x14ac:dyDescent="0.35">
      <c r="A10">
        <f t="shared" si="0"/>
        <v>10</v>
      </c>
      <c r="B10" s="132">
        <v>0.45500000000000002</v>
      </c>
      <c r="C10" s="26">
        <v>0.56399999999999995</v>
      </c>
      <c r="D10" s="26">
        <v>0.64800000000000002</v>
      </c>
      <c r="E10" s="26">
        <v>0.745</v>
      </c>
      <c r="F10" s="26">
        <v>0.79400000000000004</v>
      </c>
      <c r="G10" s="133">
        <v>0.879</v>
      </c>
      <c r="L10">
        <f t="shared" si="1"/>
        <v>10</v>
      </c>
      <c r="M10" s="132">
        <v>0.45500000000000002</v>
      </c>
      <c r="N10" s="26">
        <v>0.56399999999999995</v>
      </c>
      <c r="O10" s="26">
        <v>0.64800000000000002</v>
      </c>
      <c r="P10" s="26">
        <v>0.745</v>
      </c>
      <c r="Q10" s="26">
        <v>0.79400000000000004</v>
      </c>
      <c r="R10" s="133">
        <v>0.879</v>
      </c>
      <c r="T10">
        <f t="shared" si="2"/>
        <v>24</v>
      </c>
      <c r="U10" s="132">
        <v>0.27100000000000002</v>
      </c>
      <c r="V10" s="26">
        <v>0.34399999999999997</v>
      </c>
      <c r="W10" s="26">
        <v>0.40699999999999997</v>
      </c>
      <c r="X10" s="26">
        <v>0.47599999999999998</v>
      </c>
      <c r="Y10" s="26">
        <v>0.52100000000000002</v>
      </c>
      <c r="Z10" s="133">
        <v>0.60899999999999999</v>
      </c>
    </row>
    <row r="11" spans="1:26" x14ac:dyDescent="0.35">
      <c r="A11">
        <f t="shared" si="0"/>
        <v>11</v>
      </c>
      <c r="B11" s="132">
        <v>0.42699999999999999</v>
      </c>
      <c r="C11" s="26">
        <v>0.53600000000000003</v>
      </c>
      <c r="D11" s="26">
        <v>0.61799999999999999</v>
      </c>
      <c r="E11" s="26">
        <v>0.70899999999999996</v>
      </c>
      <c r="F11" s="26">
        <v>0.755</v>
      </c>
      <c r="G11" s="133">
        <v>0.84499999999999997</v>
      </c>
      <c r="L11">
        <f t="shared" si="1"/>
        <v>11</v>
      </c>
      <c r="M11" s="132">
        <v>0.42699999999999999</v>
      </c>
      <c r="N11" s="26">
        <v>0.53600000000000003</v>
      </c>
      <c r="O11" s="26">
        <v>0.61799999999999999</v>
      </c>
      <c r="P11" s="26">
        <v>0.70899999999999996</v>
      </c>
      <c r="Q11" s="26">
        <v>0.755</v>
      </c>
      <c r="R11" s="133">
        <v>0.84499999999999997</v>
      </c>
      <c r="T11">
        <f t="shared" si="2"/>
        <v>25</v>
      </c>
      <c r="U11" s="132">
        <v>0.26500000000000001</v>
      </c>
      <c r="V11" s="26">
        <v>0.33700000000000002</v>
      </c>
      <c r="W11" s="26">
        <v>0.39800000000000002</v>
      </c>
      <c r="X11" s="26">
        <v>0.46600000000000003</v>
      </c>
      <c r="Y11" s="26">
        <v>0.51100000000000001</v>
      </c>
      <c r="Z11" s="133">
        <v>0.59699999999999998</v>
      </c>
    </row>
    <row r="12" spans="1:26" x14ac:dyDescent="0.35">
      <c r="A12">
        <f t="shared" si="0"/>
        <v>12</v>
      </c>
      <c r="B12" s="132">
        <v>0.40600000000000003</v>
      </c>
      <c r="C12" s="26">
        <v>0.503</v>
      </c>
      <c r="D12" s="26">
        <v>0.58699999999999997</v>
      </c>
      <c r="E12" s="26">
        <v>0.67800000000000005</v>
      </c>
      <c r="F12" s="26">
        <v>0.72699999999999998</v>
      </c>
      <c r="G12" s="133">
        <v>0.81799999999999995</v>
      </c>
      <c r="L12">
        <f t="shared" si="1"/>
        <v>12</v>
      </c>
      <c r="M12" s="132">
        <v>0.40600000000000003</v>
      </c>
      <c r="N12" s="26">
        <v>0.503</v>
      </c>
      <c r="O12" s="26">
        <v>0.58699999999999997</v>
      </c>
      <c r="P12" s="26">
        <v>0.67800000000000005</v>
      </c>
      <c r="Q12" s="26">
        <v>0.72699999999999998</v>
      </c>
      <c r="R12" s="133">
        <v>0.81799999999999995</v>
      </c>
      <c r="T12">
        <f t="shared" si="2"/>
        <v>26</v>
      </c>
      <c r="U12" s="132">
        <v>0.25900000000000001</v>
      </c>
      <c r="V12" s="26">
        <v>0.33100000000000002</v>
      </c>
      <c r="W12" s="26">
        <v>0.39</v>
      </c>
      <c r="X12" s="26">
        <v>0.45700000000000002</v>
      </c>
      <c r="Y12" s="26">
        <v>0.501</v>
      </c>
      <c r="Z12" s="133">
        <v>0.58599999999999997</v>
      </c>
    </row>
    <row r="13" spans="1:26" x14ac:dyDescent="0.35">
      <c r="A13">
        <f t="shared" si="0"/>
        <v>13</v>
      </c>
      <c r="B13" s="132">
        <v>0.38500000000000001</v>
      </c>
      <c r="C13" s="26">
        <v>0.48399999999999999</v>
      </c>
      <c r="D13" s="26">
        <v>0.56000000000000005</v>
      </c>
      <c r="E13" s="26">
        <v>0.64800000000000002</v>
      </c>
      <c r="F13" s="26">
        <v>0.70299999999999996</v>
      </c>
      <c r="G13" s="133">
        <v>0.79100000000000004</v>
      </c>
      <c r="L13">
        <f t="shared" si="1"/>
        <v>13</v>
      </c>
      <c r="M13" s="132">
        <v>0.38500000000000001</v>
      </c>
      <c r="N13" s="26">
        <v>0.48399999999999999</v>
      </c>
      <c r="O13" s="26">
        <v>0.56000000000000005</v>
      </c>
      <c r="P13" s="26">
        <v>0.64800000000000002</v>
      </c>
      <c r="Q13" s="26">
        <v>0.70299999999999996</v>
      </c>
      <c r="R13" s="133">
        <v>0.79100000000000004</v>
      </c>
      <c r="T13">
        <f t="shared" si="2"/>
        <v>27</v>
      </c>
      <c r="U13" s="132">
        <v>0.255</v>
      </c>
      <c r="V13" s="26">
        <v>0.32400000000000001</v>
      </c>
      <c r="W13" s="26">
        <v>0.38300000000000001</v>
      </c>
      <c r="X13" s="26">
        <v>0.44900000000000001</v>
      </c>
      <c r="Y13" s="26">
        <v>0.49199999999999999</v>
      </c>
      <c r="Z13" s="133">
        <v>0.57599999999999996</v>
      </c>
    </row>
    <row r="14" spans="1:26" x14ac:dyDescent="0.35">
      <c r="A14">
        <f t="shared" si="0"/>
        <v>14</v>
      </c>
      <c r="B14" s="132">
        <v>0.36699999999999999</v>
      </c>
      <c r="C14" s="26">
        <v>0.46400000000000002</v>
      </c>
      <c r="D14" s="26">
        <v>0.53800000000000003</v>
      </c>
      <c r="E14" s="26">
        <v>0.626</v>
      </c>
      <c r="F14" s="26">
        <v>0.67900000000000005</v>
      </c>
      <c r="G14" s="133">
        <v>0.77100000000000002</v>
      </c>
      <c r="L14">
        <f t="shared" si="1"/>
        <v>14</v>
      </c>
      <c r="M14" s="132">
        <v>0.36699999999999999</v>
      </c>
      <c r="N14" s="26">
        <v>0.46400000000000002</v>
      </c>
      <c r="O14" s="26">
        <v>0.53800000000000003</v>
      </c>
      <c r="P14" s="26">
        <v>0.626</v>
      </c>
      <c r="Q14" s="26">
        <v>0.67900000000000005</v>
      </c>
      <c r="R14" s="133">
        <v>0.77100000000000002</v>
      </c>
      <c r="T14">
        <f t="shared" si="2"/>
        <v>28</v>
      </c>
      <c r="U14" s="132">
        <v>0.25</v>
      </c>
      <c r="V14" s="26">
        <v>0.318</v>
      </c>
      <c r="W14" s="26">
        <v>0.375</v>
      </c>
      <c r="X14" s="26">
        <v>0.441</v>
      </c>
      <c r="Y14" s="26">
        <v>0.48299999999999998</v>
      </c>
      <c r="Z14" s="133">
        <v>0.56699999999999995</v>
      </c>
    </row>
    <row r="15" spans="1:26" x14ac:dyDescent="0.35">
      <c r="A15">
        <f t="shared" si="0"/>
        <v>15</v>
      </c>
      <c r="B15" s="132">
        <v>0.35399999999999998</v>
      </c>
      <c r="C15" s="26">
        <v>0.44600000000000001</v>
      </c>
      <c r="D15" s="26">
        <v>0.52100000000000002</v>
      </c>
      <c r="E15" s="26">
        <v>0.60399999999999998</v>
      </c>
      <c r="F15" s="26">
        <v>0.65400000000000003</v>
      </c>
      <c r="G15" s="133">
        <v>0.75</v>
      </c>
      <c r="L15">
        <f t="shared" si="1"/>
        <v>15</v>
      </c>
      <c r="M15" s="132">
        <v>0.35399999999999998</v>
      </c>
      <c r="N15" s="26">
        <v>0.44600000000000001</v>
      </c>
      <c r="O15" s="26">
        <v>0.52100000000000002</v>
      </c>
      <c r="P15" s="26">
        <v>0.60399999999999998</v>
      </c>
      <c r="Q15" s="26">
        <v>0.65400000000000003</v>
      </c>
      <c r="R15" s="133">
        <v>0.75</v>
      </c>
      <c r="T15">
        <f t="shared" si="2"/>
        <v>29</v>
      </c>
      <c r="U15" s="132">
        <v>0.245</v>
      </c>
      <c r="V15" s="26">
        <v>0.312</v>
      </c>
      <c r="W15" s="26">
        <v>0.36799999999999999</v>
      </c>
      <c r="X15" s="26">
        <v>0.433</v>
      </c>
      <c r="Y15" s="26">
        <v>0.47499999999999998</v>
      </c>
      <c r="Z15" s="133">
        <v>0.55800000000000005</v>
      </c>
    </row>
    <row r="16" spans="1:26" x14ac:dyDescent="0.35">
      <c r="A16">
        <f t="shared" si="0"/>
        <v>16</v>
      </c>
      <c r="B16" s="132">
        <v>0.34100000000000003</v>
      </c>
      <c r="C16" s="26">
        <v>0.42899999999999999</v>
      </c>
      <c r="D16" s="26">
        <v>0.503</v>
      </c>
      <c r="E16" s="26">
        <v>0.58199999999999996</v>
      </c>
      <c r="F16" s="26">
        <v>0.63500000000000001</v>
      </c>
      <c r="G16" s="133">
        <v>0.72899999999999998</v>
      </c>
      <c r="L16">
        <f t="shared" si="1"/>
        <v>16</v>
      </c>
      <c r="M16" s="132">
        <v>0.34100000000000003</v>
      </c>
      <c r="N16" s="26">
        <v>0.42899999999999999</v>
      </c>
      <c r="O16" s="26">
        <v>0.503</v>
      </c>
      <c r="P16" s="26">
        <v>0.58199999999999996</v>
      </c>
      <c r="Q16" s="26">
        <v>0.63500000000000001</v>
      </c>
      <c r="R16" s="133">
        <v>0.72899999999999998</v>
      </c>
      <c r="T16">
        <f t="shared" si="2"/>
        <v>30</v>
      </c>
      <c r="U16" s="134">
        <v>0.24</v>
      </c>
      <c r="V16" s="209">
        <v>0.30599999999999999</v>
      </c>
      <c r="W16" s="209">
        <v>0.36199999999999999</v>
      </c>
      <c r="X16" s="209">
        <v>0.42499999999999999</v>
      </c>
      <c r="Y16" s="209">
        <v>0.46700000000000003</v>
      </c>
      <c r="Z16" s="135">
        <v>0.54900000000000004</v>
      </c>
    </row>
    <row r="17" spans="1:18" x14ac:dyDescent="0.35">
      <c r="A17">
        <f t="shared" si="0"/>
        <v>17</v>
      </c>
      <c r="B17" s="132">
        <v>0.32800000000000001</v>
      </c>
      <c r="C17" s="26">
        <v>0.41399999999999998</v>
      </c>
      <c r="D17" s="26">
        <v>0.48799999999999999</v>
      </c>
      <c r="E17" s="26">
        <v>0.56599999999999995</v>
      </c>
      <c r="F17" s="26">
        <v>0.61799999999999999</v>
      </c>
      <c r="G17" s="133">
        <v>0.71099999999999997</v>
      </c>
      <c r="L17">
        <f t="shared" si="1"/>
        <v>17</v>
      </c>
      <c r="M17" s="134">
        <v>0.32800000000000001</v>
      </c>
      <c r="N17" s="209">
        <v>0.41399999999999998</v>
      </c>
      <c r="O17" s="209">
        <v>0.48799999999999999</v>
      </c>
      <c r="P17" s="209">
        <v>0.56599999999999995</v>
      </c>
      <c r="Q17" s="209">
        <v>0.61799999999999999</v>
      </c>
      <c r="R17" s="135">
        <v>0.71099999999999997</v>
      </c>
    </row>
    <row r="18" spans="1:18" x14ac:dyDescent="0.35">
      <c r="A18">
        <f t="shared" si="0"/>
        <v>18</v>
      </c>
      <c r="B18" s="132">
        <v>0.317</v>
      </c>
      <c r="C18" s="26">
        <v>0.40100000000000002</v>
      </c>
      <c r="D18" s="26">
        <v>0.47199999999999998</v>
      </c>
      <c r="E18" s="26">
        <v>0.55000000000000004</v>
      </c>
      <c r="F18" s="26">
        <v>0.6</v>
      </c>
      <c r="G18" s="133">
        <v>0.69199999999999995</v>
      </c>
    </row>
    <row r="19" spans="1:18" x14ac:dyDescent="0.35">
      <c r="A19">
        <f t="shared" si="0"/>
        <v>19</v>
      </c>
      <c r="B19" s="132">
        <v>0.309</v>
      </c>
      <c r="C19" s="26">
        <v>0.39100000000000001</v>
      </c>
      <c r="D19" s="26">
        <v>0.46</v>
      </c>
      <c r="E19" s="26">
        <v>0.53500000000000003</v>
      </c>
      <c r="F19" s="26">
        <v>0.58399999999999996</v>
      </c>
      <c r="G19" s="133">
        <v>0.67500000000000004</v>
      </c>
    </row>
    <row r="20" spans="1:18" x14ac:dyDescent="0.35">
      <c r="A20">
        <f t="shared" si="0"/>
        <v>20</v>
      </c>
      <c r="B20" s="132">
        <v>0.29899999999999999</v>
      </c>
      <c r="C20" s="26">
        <v>0.38</v>
      </c>
      <c r="D20" s="26">
        <v>0.44700000000000001</v>
      </c>
      <c r="E20" s="26">
        <v>0.52200000000000002</v>
      </c>
      <c r="F20" s="26">
        <v>0.56999999999999995</v>
      </c>
      <c r="G20" s="133">
        <v>0.66200000000000003</v>
      </c>
    </row>
    <row r="21" spans="1:18" x14ac:dyDescent="0.35">
      <c r="A21">
        <f t="shared" si="0"/>
        <v>21</v>
      </c>
      <c r="B21" s="132">
        <v>0.29199999999999998</v>
      </c>
      <c r="C21" s="26">
        <v>0.37</v>
      </c>
      <c r="D21" s="26">
        <v>0.436</v>
      </c>
      <c r="E21" s="26">
        <v>0.50900000000000001</v>
      </c>
      <c r="F21" s="26">
        <v>0.55600000000000005</v>
      </c>
      <c r="G21" s="133">
        <v>0.64700000000000002</v>
      </c>
    </row>
    <row r="22" spans="1:18" x14ac:dyDescent="0.35">
      <c r="A22">
        <f t="shared" si="0"/>
        <v>22</v>
      </c>
      <c r="B22" s="132">
        <v>0.28399999999999997</v>
      </c>
      <c r="C22" s="26">
        <v>0.36099999999999999</v>
      </c>
      <c r="D22" s="26">
        <v>0.42499999999999999</v>
      </c>
      <c r="E22" s="26">
        <v>0.497</v>
      </c>
      <c r="F22" s="26">
        <v>0.54400000000000004</v>
      </c>
      <c r="G22" s="133">
        <v>0.63300000000000001</v>
      </c>
    </row>
    <row r="23" spans="1:18" x14ac:dyDescent="0.35">
      <c r="A23">
        <f t="shared" si="0"/>
        <v>23</v>
      </c>
      <c r="B23" s="132">
        <v>0.27800000000000002</v>
      </c>
      <c r="C23" s="26">
        <v>0.35299999999999998</v>
      </c>
      <c r="D23" s="26">
        <v>0.41599999999999998</v>
      </c>
      <c r="E23" s="26">
        <v>0.48599999999999999</v>
      </c>
      <c r="F23" s="26">
        <v>0.53200000000000003</v>
      </c>
      <c r="G23" s="133">
        <v>0.621</v>
      </c>
    </row>
    <row r="24" spans="1:18" x14ac:dyDescent="0.35">
      <c r="A24">
        <f t="shared" si="0"/>
        <v>24</v>
      </c>
      <c r="B24" s="132">
        <v>0.27100000000000002</v>
      </c>
      <c r="C24" s="26">
        <v>0.34399999999999997</v>
      </c>
      <c r="D24" s="26">
        <v>0.40699999999999997</v>
      </c>
      <c r="E24" s="26">
        <v>0.47599999999999998</v>
      </c>
      <c r="F24" s="26">
        <v>0.52100000000000002</v>
      </c>
      <c r="G24" s="133">
        <v>0.60899999999999999</v>
      </c>
    </row>
    <row r="25" spans="1:18" x14ac:dyDescent="0.35">
      <c r="A25">
        <f t="shared" si="0"/>
        <v>25</v>
      </c>
      <c r="B25" s="132">
        <v>0.26500000000000001</v>
      </c>
      <c r="C25" s="26">
        <v>0.33700000000000002</v>
      </c>
      <c r="D25" s="26">
        <v>0.39800000000000002</v>
      </c>
      <c r="E25" s="26">
        <v>0.46600000000000003</v>
      </c>
      <c r="F25" s="26">
        <v>0.51100000000000001</v>
      </c>
      <c r="G25" s="133">
        <v>0.59699999999999998</v>
      </c>
    </row>
    <row r="26" spans="1:18" x14ac:dyDescent="0.35">
      <c r="A26">
        <f t="shared" si="0"/>
        <v>26</v>
      </c>
      <c r="B26" s="132">
        <v>0.25900000000000001</v>
      </c>
      <c r="C26" s="26">
        <v>0.33100000000000002</v>
      </c>
      <c r="D26" s="26">
        <v>0.39</v>
      </c>
      <c r="E26" s="26">
        <v>0.45700000000000002</v>
      </c>
      <c r="F26" s="26">
        <v>0.501</v>
      </c>
      <c r="G26" s="133">
        <v>0.58599999999999997</v>
      </c>
    </row>
    <row r="27" spans="1:18" x14ac:dyDescent="0.35">
      <c r="A27">
        <f t="shared" si="0"/>
        <v>27</v>
      </c>
      <c r="B27" s="132">
        <v>0.255</v>
      </c>
      <c r="C27" s="26">
        <v>0.32400000000000001</v>
      </c>
      <c r="D27" s="26">
        <v>0.38300000000000001</v>
      </c>
      <c r="E27" s="26">
        <v>0.44900000000000001</v>
      </c>
      <c r="F27" s="26">
        <v>0.49199999999999999</v>
      </c>
      <c r="G27" s="133">
        <v>0.57599999999999996</v>
      </c>
    </row>
    <row r="28" spans="1:18" x14ac:dyDescent="0.35">
      <c r="A28">
        <f t="shared" si="0"/>
        <v>28</v>
      </c>
      <c r="B28" s="132">
        <v>0.25</v>
      </c>
      <c r="C28" s="26">
        <v>0.318</v>
      </c>
      <c r="D28" s="26">
        <v>0.375</v>
      </c>
      <c r="E28" s="26">
        <v>0.441</v>
      </c>
      <c r="F28" s="26">
        <v>0.48299999999999998</v>
      </c>
      <c r="G28" s="133">
        <v>0.56699999999999995</v>
      </c>
    </row>
    <row r="29" spans="1:18" x14ac:dyDescent="0.35">
      <c r="A29">
        <f t="shared" si="0"/>
        <v>29</v>
      </c>
      <c r="B29" s="132">
        <v>0.245</v>
      </c>
      <c r="C29" s="26">
        <v>0.312</v>
      </c>
      <c r="D29" s="26">
        <v>0.36799999999999999</v>
      </c>
      <c r="E29" s="26">
        <v>0.433</v>
      </c>
      <c r="F29" s="26">
        <v>0.47499999999999998</v>
      </c>
      <c r="G29" s="133">
        <v>0.55800000000000005</v>
      </c>
    </row>
    <row r="30" spans="1:18" x14ac:dyDescent="0.35">
      <c r="A30">
        <f t="shared" si="0"/>
        <v>30</v>
      </c>
      <c r="B30" s="134">
        <v>0.24</v>
      </c>
      <c r="C30" s="209">
        <v>0.30599999999999999</v>
      </c>
      <c r="D30" s="209">
        <v>0.36199999999999999</v>
      </c>
      <c r="E30" s="209">
        <v>0.42499999999999999</v>
      </c>
      <c r="F30" s="209">
        <v>0.46700000000000003</v>
      </c>
      <c r="G30" s="135">
        <v>0.54900000000000004</v>
      </c>
    </row>
    <row r="32" spans="1:18" x14ac:dyDescent="0.35">
      <c r="A32" t="s">
        <v>83</v>
      </c>
    </row>
    <row r="33" spans="1:1" x14ac:dyDescent="0.35">
      <c r="A33" t="s">
        <v>84</v>
      </c>
    </row>
    <row r="34" spans="1:1" x14ac:dyDescent="0.35">
      <c r="A34" t="s">
        <v>455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Y34"/>
  <sheetViews>
    <sheetView workbookViewId="0"/>
  </sheetViews>
  <sheetFormatPr defaultRowHeight="14.5" x14ac:dyDescent="0.35"/>
  <cols>
    <col min="18" max="18" width="6" customWidth="1"/>
  </cols>
  <sheetData>
    <row r="1" spans="1:25" x14ac:dyDescent="0.35">
      <c r="A1" s="1" t="s">
        <v>85</v>
      </c>
    </row>
    <row r="3" spans="1:25" ht="24" x14ac:dyDescent="0.5">
      <c r="A3" s="6" t="s">
        <v>82</v>
      </c>
      <c r="B3">
        <v>0.2</v>
      </c>
      <c r="C3">
        <v>0.1</v>
      </c>
      <c r="D3">
        <v>0.05</v>
      </c>
      <c r="E3">
        <v>0.02</v>
      </c>
      <c r="F3">
        <v>0.01</v>
      </c>
      <c r="G3">
        <v>2E-3</v>
      </c>
      <c r="K3" s="6" t="s">
        <v>82</v>
      </c>
      <c r="L3">
        <v>0.2</v>
      </c>
      <c r="M3">
        <v>0.1</v>
      </c>
      <c r="N3">
        <v>0.05</v>
      </c>
      <c r="O3">
        <v>0.02</v>
      </c>
      <c r="P3">
        <v>0.01</v>
      </c>
      <c r="Q3">
        <v>2E-3</v>
      </c>
      <c r="S3" s="6" t="s">
        <v>82</v>
      </c>
      <c r="T3">
        <v>0.2</v>
      </c>
      <c r="U3">
        <v>0.1</v>
      </c>
      <c r="V3">
        <v>0.05</v>
      </c>
      <c r="W3">
        <v>0.02</v>
      </c>
      <c r="X3">
        <v>0.01</v>
      </c>
      <c r="Y3">
        <v>2E-3</v>
      </c>
    </row>
    <row r="4" spans="1:25" x14ac:dyDescent="0.35">
      <c r="A4">
        <v>4</v>
      </c>
      <c r="B4" s="216">
        <v>1</v>
      </c>
      <c r="C4" s="207">
        <v>1</v>
      </c>
      <c r="D4" s="212" t="s">
        <v>78</v>
      </c>
      <c r="E4" s="212" t="s">
        <v>78</v>
      </c>
      <c r="F4" s="212" t="s">
        <v>78</v>
      </c>
      <c r="G4" s="213" t="s">
        <v>78</v>
      </c>
      <c r="K4">
        <v>4</v>
      </c>
      <c r="L4" s="216">
        <v>1</v>
      </c>
      <c r="M4" s="207">
        <v>1</v>
      </c>
      <c r="N4" s="212" t="s">
        <v>78</v>
      </c>
      <c r="O4" s="212" t="s">
        <v>78</v>
      </c>
      <c r="P4" s="212" t="s">
        <v>78</v>
      </c>
      <c r="Q4" s="213" t="s">
        <v>78</v>
      </c>
      <c r="S4">
        <v>18</v>
      </c>
      <c r="T4" s="216">
        <v>0.24199999999999999</v>
      </c>
      <c r="U4" s="207">
        <v>0.29399999999999998</v>
      </c>
      <c r="V4" s="207">
        <v>0.34599999999999997</v>
      </c>
      <c r="W4" s="207">
        <v>0.41199999999999998</v>
      </c>
      <c r="X4" s="207">
        <v>0.45100000000000001</v>
      </c>
      <c r="Y4" s="217">
        <v>0.52900000000000003</v>
      </c>
    </row>
    <row r="5" spans="1:25" x14ac:dyDescent="0.35">
      <c r="A5">
        <f t="shared" ref="A5:A10" si="0">A4+1</f>
        <v>5</v>
      </c>
      <c r="B5" s="132">
        <v>0.8</v>
      </c>
      <c r="C5" s="26">
        <v>0.8</v>
      </c>
      <c r="D5" s="26">
        <v>1</v>
      </c>
      <c r="E5" s="26">
        <v>1</v>
      </c>
      <c r="F5" s="214" t="s">
        <v>78</v>
      </c>
      <c r="G5" s="215" t="s">
        <v>78</v>
      </c>
      <c r="K5">
        <f t="shared" ref="K5:K10" si="1">K4+1</f>
        <v>5</v>
      </c>
      <c r="L5" s="132">
        <v>0.8</v>
      </c>
      <c r="M5" s="26">
        <v>0.8</v>
      </c>
      <c r="N5" s="26">
        <v>1</v>
      </c>
      <c r="O5" s="26">
        <v>1</v>
      </c>
      <c r="P5" s="214" t="s">
        <v>78</v>
      </c>
      <c r="Q5" s="215" t="s">
        <v>78</v>
      </c>
      <c r="S5">
        <f t="shared" ref="S5:S16" si="2">S4+1</f>
        <v>19</v>
      </c>
      <c r="T5" s="132">
        <v>0.22800000000000001</v>
      </c>
      <c r="U5" s="26">
        <v>0.28699999999999998</v>
      </c>
      <c r="V5" s="26">
        <v>0.33300000000000002</v>
      </c>
      <c r="W5" s="26">
        <v>0.39200000000000002</v>
      </c>
      <c r="X5" s="26">
        <v>0.439</v>
      </c>
      <c r="Y5" s="210">
        <v>0.50900000000000001</v>
      </c>
    </row>
    <row r="6" spans="1:25" x14ac:dyDescent="0.35">
      <c r="A6">
        <f t="shared" si="0"/>
        <v>6</v>
      </c>
      <c r="B6" s="132">
        <v>0.6</v>
      </c>
      <c r="C6" s="26">
        <v>0.73299999999999998</v>
      </c>
      <c r="D6" s="26">
        <v>0.86699999999999999</v>
      </c>
      <c r="E6" s="26">
        <v>0.86699999999999999</v>
      </c>
      <c r="F6" s="26">
        <v>1</v>
      </c>
      <c r="G6" s="215" t="s">
        <v>78</v>
      </c>
      <c r="K6">
        <f t="shared" si="1"/>
        <v>6</v>
      </c>
      <c r="L6" s="132">
        <v>0.6</v>
      </c>
      <c r="M6" s="26">
        <v>0.73299999999999998</v>
      </c>
      <c r="N6" s="26">
        <v>0.86699999999999999</v>
      </c>
      <c r="O6" s="26">
        <v>0.86699999999999999</v>
      </c>
      <c r="P6" s="26">
        <v>1</v>
      </c>
      <c r="Q6" s="215" t="s">
        <v>78</v>
      </c>
      <c r="S6">
        <f t="shared" si="2"/>
        <v>20</v>
      </c>
      <c r="T6" s="132">
        <v>0.221</v>
      </c>
      <c r="U6" s="26">
        <v>0.27400000000000002</v>
      </c>
      <c r="V6" s="26">
        <v>0.32600000000000001</v>
      </c>
      <c r="W6" s="26">
        <v>0.379</v>
      </c>
      <c r="X6" s="26">
        <v>0.42099999999999999</v>
      </c>
      <c r="Y6" s="210">
        <v>0.495</v>
      </c>
    </row>
    <row r="7" spans="1:25" x14ac:dyDescent="0.35">
      <c r="A7">
        <f t="shared" si="0"/>
        <v>7</v>
      </c>
      <c r="B7" s="132">
        <v>0.52400000000000002</v>
      </c>
      <c r="C7" s="26">
        <v>0.61899999999999999</v>
      </c>
      <c r="D7" s="26">
        <v>0.71399999999999997</v>
      </c>
      <c r="E7" s="26">
        <v>0.81</v>
      </c>
      <c r="F7" s="26">
        <v>0.90500000000000003</v>
      </c>
      <c r="G7" s="210">
        <v>1</v>
      </c>
      <c r="K7">
        <f t="shared" si="1"/>
        <v>7</v>
      </c>
      <c r="L7" s="132">
        <v>0.52400000000000002</v>
      </c>
      <c r="M7" s="26">
        <v>0.61899999999999999</v>
      </c>
      <c r="N7" s="26">
        <v>0.71399999999999997</v>
      </c>
      <c r="O7" s="26">
        <v>0.81</v>
      </c>
      <c r="P7" s="26">
        <v>0.90500000000000003</v>
      </c>
      <c r="Q7" s="210">
        <v>1</v>
      </c>
      <c r="S7">
        <f t="shared" si="2"/>
        <v>21</v>
      </c>
      <c r="T7" s="132">
        <v>0.21</v>
      </c>
      <c r="U7" s="26">
        <v>0.26700000000000002</v>
      </c>
      <c r="V7" s="26">
        <v>0.314</v>
      </c>
      <c r="W7" s="26">
        <v>0.371</v>
      </c>
      <c r="X7" s="26">
        <v>0.41</v>
      </c>
      <c r="Y7" s="210">
        <v>0.48599999999999999</v>
      </c>
    </row>
    <row r="8" spans="1:25" x14ac:dyDescent="0.35">
      <c r="A8">
        <f t="shared" si="0"/>
        <v>8</v>
      </c>
      <c r="B8" s="132">
        <v>0.42899999999999999</v>
      </c>
      <c r="C8" s="26">
        <v>0.57099999999999995</v>
      </c>
      <c r="D8" s="26">
        <v>0.64300000000000002</v>
      </c>
      <c r="E8" s="26">
        <v>0.71399999999999997</v>
      </c>
      <c r="F8" s="26">
        <v>0.78600000000000003</v>
      </c>
      <c r="G8" s="210">
        <v>0.85699999999999998</v>
      </c>
      <c r="K8">
        <f t="shared" si="1"/>
        <v>8</v>
      </c>
      <c r="L8" s="132">
        <v>0.42899999999999999</v>
      </c>
      <c r="M8" s="26">
        <v>0.57099999999999995</v>
      </c>
      <c r="N8" s="26">
        <v>0.64300000000000002</v>
      </c>
      <c r="O8" s="26">
        <v>0.71399999999999997</v>
      </c>
      <c r="P8" s="26">
        <v>0.78600000000000003</v>
      </c>
      <c r="Q8" s="210">
        <v>0.85699999999999998</v>
      </c>
      <c r="S8">
        <f t="shared" si="2"/>
        <v>22</v>
      </c>
      <c r="T8" s="132">
        <v>0.20300000000000001</v>
      </c>
      <c r="U8" s="26">
        <v>0.26400000000000001</v>
      </c>
      <c r="V8" s="26">
        <v>0.307</v>
      </c>
      <c r="W8" s="26">
        <v>0.35899999999999999</v>
      </c>
      <c r="X8" s="26">
        <v>0.39400000000000002</v>
      </c>
      <c r="Y8" s="210">
        <v>0.47199999999999998</v>
      </c>
    </row>
    <row r="9" spans="1:25" x14ac:dyDescent="0.35">
      <c r="A9">
        <f t="shared" si="0"/>
        <v>9</v>
      </c>
      <c r="B9" s="132">
        <v>0.38900000000000001</v>
      </c>
      <c r="C9" s="26">
        <v>0.5</v>
      </c>
      <c r="D9" s="26">
        <v>0.55600000000000005</v>
      </c>
      <c r="E9" s="26">
        <v>0.66700000000000004</v>
      </c>
      <c r="F9" s="26">
        <v>0.72199999999999998</v>
      </c>
      <c r="G9" s="210">
        <v>0.83299999999999996</v>
      </c>
      <c r="K9">
        <f t="shared" si="1"/>
        <v>9</v>
      </c>
      <c r="L9" s="132">
        <v>0.38900000000000001</v>
      </c>
      <c r="M9" s="26">
        <v>0.5</v>
      </c>
      <c r="N9" s="26">
        <v>0.55600000000000005</v>
      </c>
      <c r="O9" s="26">
        <v>0.66700000000000004</v>
      </c>
      <c r="P9" s="26">
        <v>0.72199999999999998</v>
      </c>
      <c r="Q9" s="210">
        <v>0.83299999999999996</v>
      </c>
      <c r="S9">
        <f t="shared" si="2"/>
        <v>23</v>
      </c>
      <c r="T9" s="132">
        <v>0.20200000000000001</v>
      </c>
      <c r="U9" s="26">
        <v>0.25700000000000001</v>
      </c>
      <c r="V9" s="26">
        <v>0.29599999999999999</v>
      </c>
      <c r="W9" s="26">
        <v>0.35199999999999998</v>
      </c>
      <c r="X9" s="26">
        <v>0.39100000000000001</v>
      </c>
      <c r="Y9" s="210">
        <v>0.45500000000000002</v>
      </c>
    </row>
    <row r="10" spans="1:25" x14ac:dyDescent="0.35">
      <c r="A10">
        <f t="shared" si="0"/>
        <v>10</v>
      </c>
      <c r="B10" s="132">
        <v>0.378</v>
      </c>
      <c r="C10" s="26">
        <v>0.46700000000000003</v>
      </c>
      <c r="D10" s="26">
        <v>0.55100000000000005</v>
      </c>
      <c r="E10" s="26">
        <v>0.6</v>
      </c>
      <c r="F10" s="26">
        <v>0.64400000000000002</v>
      </c>
      <c r="G10" s="210">
        <v>0.77800000000000002</v>
      </c>
      <c r="K10">
        <f t="shared" si="1"/>
        <v>10</v>
      </c>
      <c r="L10" s="132">
        <v>0.378</v>
      </c>
      <c r="M10" s="26">
        <v>0.46700000000000003</v>
      </c>
      <c r="N10" s="26">
        <v>0.55100000000000005</v>
      </c>
      <c r="O10" s="26">
        <v>0.6</v>
      </c>
      <c r="P10" s="26">
        <v>0.64400000000000002</v>
      </c>
      <c r="Q10" s="210">
        <v>0.77800000000000002</v>
      </c>
      <c r="S10">
        <f t="shared" si="2"/>
        <v>24</v>
      </c>
      <c r="T10" s="132">
        <v>0.19600000000000001</v>
      </c>
      <c r="U10" s="26">
        <v>0.246</v>
      </c>
      <c r="V10" s="26">
        <v>0.28999999999999998</v>
      </c>
      <c r="W10" s="26">
        <v>0.34100000000000003</v>
      </c>
      <c r="X10" s="26">
        <v>0.377</v>
      </c>
      <c r="Y10" s="210">
        <v>0.44900000000000001</v>
      </c>
    </row>
    <row r="11" spans="1:25" x14ac:dyDescent="0.35">
      <c r="A11">
        <f t="shared" ref="A11:A30" si="3">A10+1</f>
        <v>11</v>
      </c>
      <c r="B11" s="132">
        <v>0.34499999999999997</v>
      </c>
      <c r="C11" s="26">
        <v>0.41799999999999998</v>
      </c>
      <c r="D11" s="26">
        <v>0.49099999999999999</v>
      </c>
      <c r="E11" s="26">
        <v>0.56399999999999995</v>
      </c>
      <c r="F11" s="26">
        <v>0.6</v>
      </c>
      <c r="G11" s="210">
        <v>0.70899999999999996</v>
      </c>
      <c r="K11">
        <f t="shared" ref="K11:K17" si="4">K10+1</f>
        <v>11</v>
      </c>
      <c r="L11" s="132">
        <v>0.34499999999999997</v>
      </c>
      <c r="M11" s="26">
        <v>0.41799999999999998</v>
      </c>
      <c r="N11" s="26">
        <v>0.49099999999999999</v>
      </c>
      <c r="O11" s="26">
        <v>0.56399999999999995</v>
      </c>
      <c r="P11" s="26">
        <v>0.6</v>
      </c>
      <c r="Q11" s="210">
        <v>0.70899999999999996</v>
      </c>
      <c r="S11">
        <f t="shared" si="2"/>
        <v>25</v>
      </c>
      <c r="T11" s="132">
        <v>0.193</v>
      </c>
      <c r="U11" s="26">
        <v>0.24</v>
      </c>
      <c r="V11" s="26">
        <v>0.28699999999999998</v>
      </c>
      <c r="W11" s="26">
        <v>0.33300000000000002</v>
      </c>
      <c r="X11" s="26">
        <v>0.36699999999999999</v>
      </c>
      <c r="Y11" s="210">
        <v>0.44</v>
      </c>
    </row>
    <row r="12" spans="1:25" x14ac:dyDescent="0.35">
      <c r="A12">
        <f t="shared" si="3"/>
        <v>12</v>
      </c>
      <c r="B12" s="132">
        <v>0.30299999999999999</v>
      </c>
      <c r="C12" s="26">
        <v>0.39400000000000002</v>
      </c>
      <c r="D12" s="26">
        <v>0.45500000000000002</v>
      </c>
      <c r="E12" s="26">
        <v>0.54500000000000004</v>
      </c>
      <c r="F12" s="26">
        <v>0.57599999999999996</v>
      </c>
      <c r="G12" s="210">
        <v>0.66700000000000004</v>
      </c>
      <c r="K12">
        <f t="shared" si="4"/>
        <v>12</v>
      </c>
      <c r="L12" s="132">
        <v>0.30299999999999999</v>
      </c>
      <c r="M12" s="26">
        <v>0.39400000000000002</v>
      </c>
      <c r="N12" s="26">
        <v>0.45500000000000002</v>
      </c>
      <c r="O12" s="26">
        <v>0.54500000000000004</v>
      </c>
      <c r="P12" s="26">
        <v>0.57599999999999996</v>
      </c>
      <c r="Q12" s="210">
        <v>0.66700000000000004</v>
      </c>
      <c r="S12">
        <f t="shared" si="2"/>
        <v>26</v>
      </c>
      <c r="T12" s="132">
        <v>0.188</v>
      </c>
      <c r="U12" s="26">
        <v>0.23699999999999999</v>
      </c>
      <c r="V12" s="26">
        <v>0.28000000000000003</v>
      </c>
      <c r="W12" s="26">
        <v>0.32900000000000001</v>
      </c>
      <c r="X12" s="26">
        <v>0.36</v>
      </c>
      <c r="Y12" s="210">
        <v>0.42799999999999999</v>
      </c>
    </row>
    <row r="13" spans="1:25" x14ac:dyDescent="0.35">
      <c r="A13">
        <f t="shared" si="3"/>
        <v>13</v>
      </c>
      <c r="B13" s="132">
        <v>0.308</v>
      </c>
      <c r="C13" s="26">
        <v>0.35899999999999999</v>
      </c>
      <c r="D13" s="26">
        <v>0.436</v>
      </c>
      <c r="E13" s="26">
        <v>0.51300000000000001</v>
      </c>
      <c r="F13" s="26">
        <v>0.56399999999999995</v>
      </c>
      <c r="G13" s="210">
        <v>0.64100000000000001</v>
      </c>
      <c r="K13">
        <f t="shared" si="4"/>
        <v>13</v>
      </c>
      <c r="L13" s="132">
        <v>0.308</v>
      </c>
      <c r="M13" s="26">
        <v>0.35899999999999999</v>
      </c>
      <c r="N13" s="26">
        <v>0.436</v>
      </c>
      <c r="O13" s="26">
        <v>0.51300000000000001</v>
      </c>
      <c r="P13" s="26">
        <v>0.56399999999999995</v>
      </c>
      <c r="Q13" s="210">
        <v>0.64100000000000001</v>
      </c>
      <c r="S13">
        <f t="shared" si="2"/>
        <v>27</v>
      </c>
      <c r="T13" s="132">
        <v>0.17899999999999999</v>
      </c>
      <c r="U13" s="26">
        <v>0.23100000000000001</v>
      </c>
      <c r="V13" s="26">
        <v>0.27100000000000002</v>
      </c>
      <c r="W13" s="26">
        <v>0.32200000000000001</v>
      </c>
      <c r="X13" s="26">
        <v>0.35599999999999998</v>
      </c>
      <c r="Y13" s="210">
        <v>0.41899999999999998</v>
      </c>
    </row>
    <row r="14" spans="1:25" x14ac:dyDescent="0.35">
      <c r="A14">
        <f t="shared" si="3"/>
        <v>14</v>
      </c>
      <c r="B14" s="132">
        <v>0.27500000000000002</v>
      </c>
      <c r="C14" s="26">
        <v>0.36299999999999999</v>
      </c>
      <c r="D14" s="26">
        <v>0.40699999999999997</v>
      </c>
      <c r="E14" s="26">
        <v>0.47299999999999998</v>
      </c>
      <c r="F14" s="26">
        <v>0.51600000000000001</v>
      </c>
      <c r="G14" s="210">
        <v>0.60399999999999998</v>
      </c>
      <c r="K14">
        <f t="shared" si="4"/>
        <v>14</v>
      </c>
      <c r="L14" s="132">
        <v>0.27500000000000002</v>
      </c>
      <c r="M14" s="26">
        <v>0.36299999999999999</v>
      </c>
      <c r="N14" s="26">
        <v>0.40699999999999997</v>
      </c>
      <c r="O14" s="26">
        <v>0.47299999999999998</v>
      </c>
      <c r="P14" s="26">
        <v>0.51600000000000001</v>
      </c>
      <c r="Q14" s="210">
        <v>0.60399999999999998</v>
      </c>
      <c r="S14">
        <f t="shared" si="2"/>
        <v>28</v>
      </c>
      <c r="T14" s="132">
        <v>0.18</v>
      </c>
      <c r="U14" s="26">
        <v>0.22800000000000001</v>
      </c>
      <c r="V14" s="26">
        <v>0.26500000000000001</v>
      </c>
      <c r="W14" s="26">
        <v>0.312</v>
      </c>
      <c r="X14" s="26">
        <v>0.34399999999999997</v>
      </c>
      <c r="Y14" s="210">
        <v>0.41299999999999998</v>
      </c>
    </row>
    <row r="15" spans="1:25" x14ac:dyDescent="0.35">
      <c r="A15">
        <f t="shared" si="3"/>
        <v>15</v>
      </c>
      <c r="B15" s="132">
        <v>0.27600000000000002</v>
      </c>
      <c r="C15" s="26">
        <v>0.33300000000000002</v>
      </c>
      <c r="D15" s="26">
        <v>0.39</v>
      </c>
      <c r="E15" s="26">
        <v>0.46700000000000003</v>
      </c>
      <c r="F15" s="26">
        <v>0.505</v>
      </c>
      <c r="G15" s="210">
        <v>0.58099999999999996</v>
      </c>
      <c r="K15">
        <f t="shared" si="4"/>
        <v>15</v>
      </c>
      <c r="L15" s="132">
        <v>0.27600000000000002</v>
      </c>
      <c r="M15" s="26">
        <v>0.33300000000000002</v>
      </c>
      <c r="N15" s="26">
        <v>0.39</v>
      </c>
      <c r="O15" s="26">
        <v>0.46700000000000003</v>
      </c>
      <c r="P15" s="26">
        <v>0.505</v>
      </c>
      <c r="Q15" s="210">
        <v>0.58099999999999996</v>
      </c>
      <c r="S15">
        <f t="shared" si="2"/>
        <v>29</v>
      </c>
      <c r="T15" s="132">
        <v>0.17199999999999999</v>
      </c>
      <c r="U15" s="26">
        <v>0.222</v>
      </c>
      <c r="V15" s="26">
        <v>0.26100000000000001</v>
      </c>
      <c r="W15" s="26">
        <v>0.31</v>
      </c>
      <c r="X15" s="26">
        <v>0.34</v>
      </c>
      <c r="Y15" s="210">
        <v>0.40400000000000003</v>
      </c>
    </row>
    <row r="16" spans="1:25" x14ac:dyDescent="0.35">
      <c r="A16">
        <f t="shared" si="3"/>
        <v>16</v>
      </c>
      <c r="B16" s="132">
        <v>0.25</v>
      </c>
      <c r="C16" s="26">
        <v>0.317</v>
      </c>
      <c r="D16" s="26">
        <v>0.38300000000000001</v>
      </c>
      <c r="E16" s="26">
        <v>0.433</v>
      </c>
      <c r="F16" s="26">
        <v>0.48299999999999998</v>
      </c>
      <c r="G16" s="210">
        <v>0.56699999999999995</v>
      </c>
      <c r="K16">
        <f t="shared" si="4"/>
        <v>16</v>
      </c>
      <c r="L16" s="132">
        <v>0.25</v>
      </c>
      <c r="M16" s="26">
        <v>0.317</v>
      </c>
      <c r="N16" s="26">
        <v>0.38300000000000001</v>
      </c>
      <c r="O16" s="26">
        <v>0.433</v>
      </c>
      <c r="P16" s="26">
        <v>0.48299999999999998</v>
      </c>
      <c r="Q16" s="210">
        <v>0.56699999999999995</v>
      </c>
      <c r="S16">
        <f t="shared" si="2"/>
        <v>30</v>
      </c>
      <c r="T16" s="134">
        <v>0.17199999999999999</v>
      </c>
      <c r="U16" s="209">
        <v>0.218</v>
      </c>
      <c r="V16" s="209">
        <v>0.255</v>
      </c>
      <c r="W16" s="209">
        <v>0.30099999999999999</v>
      </c>
      <c r="X16" s="209">
        <v>0.33300000000000002</v>
      </c>
      <c r="Y16" s="211">
        <v>0.39300000000000002</v>
      </c>
    </row>
    <row r="17" spans="1:17" x14ac:dyDescent="0.35">
      <c r="A17">
        <f t="shared" si="3"/>
        <v>17</v>
      </c>
      <c r="B17" s="132">
        <v>0.25</v>
      </c>
      <c r="C17" s="26">
        <v>0.309</v>
      </c>
      <c r="D17" s="26">
        <v>0.36799999999999999</v>
      </c>
      <c r="E17" s="26">
        <v>0.42599999999999999</v>
      </c>
      <c r="F17" s="26">
        <v>0.47099999999999997</v>
      </c>
      <c r="G17" s="210">
        <v>0.54400000000000004</v>
      </c>
      <c r="K17">
        <f t="shared" si="4"/>
        <v>17</v>
      </c>
      <c r="L17" s="134">
        <v>0.25</v>
      </c>
      <c r="M17" s="209">
        <v>0.309</v>
      </c>
      <c r="N17" s="209">
        <v>0.36799999999999999</v>
      </c>
      <c r="O17" s="209">
        <v>0.42599999999999999</v>
      </c>
      <c r="P17" s="209">
        <v>0.47099999999999997</v>
      </c>
      <c r="Q17" s="211">
        <v>0.54400000000000004</v>
      </c>
    </row>
    <row r="18" spans="1:17" x14ac:dyDescent="0.35">
      <c r="A18">
        <f t="shared" si="3"/>
        <v>18</v>
      </c>
      <c r="B18" s="132">
        <v>0.24199999999999999</v>
      </c>
      <c r="C18" s="26">
        <v>0.29399999999999998</v>
      </c>
      <c r="D18" s="26">
        <v>0.34599999999999997</v>
      </c>
      <c r="E18" s="26">
        <v>0.41199999999999998</v>
      </c>
      <c r="F18" s="26">
        <v>0.45100000000000001</v>
      </c>
      <c r="G18" s="210">
        <v>0.52900000000000003</v>
      </c>
    </row>
    <row r="19" spans="1:17" x14ac:dyDescent="0.35">
      <c r="A19">
        <f t="shared" si="3"/>
        <v>19</v>
      </c>
      <c r="B19" s="132">
        <v>0.22800000000000001</v>
      </c>
      <c r="C19" s="26">
        <v>0.28699999999999998</v>
      </c>
      <c r="D19" s="26">
        <v>0.33300000000000002</v>
      </c>
      <c r="E19" s="26">
        <v>0.39200000000000002</v>
      </c>
      <c r="F19" s="26">
        <v>0.439</v>
      </c>
      <c r="G19" s="210">
        <v>0.50900000000000001</v>
      </c>
    </row>
    <row r="20" spans="1:17" x14ac:dyDescent="0.35">
      <c r="A20">
        <f t="shared" si="3"/>
        <v>20</v>
      </c>
      <c r="B20" s="132">
        <v>0.221</v>
      </c>
      <c r="C20" s="26">
        <v>0.27400000000000002</v>
      </c>
      <c r="D20" s="26">
        <v>0.32600000000000001</v>
      </c>
      <c r="E20" s="26">
        <v>0.379</v>
      </c>
      <c r="F20" s="26">
        <v>0.42099999999999999</v>
      </c>
      <c r="G20" s="210">
        <v>0.495</v>
      </c>
    </row>
    <row r="21" spans="1:17" x14ac:dyDescent="0.35">
      <c r="A21">
        <f t="shared" si="3"/>
        <v>21</v>
      </c>
      <c r="B21" s="132">
        <v>0.21</v>
      </c>
      <c r="C21" s="26">
        <v>0.26700000000000002</v>
      </c>
      <c r="D21" s="26">
        <v>0.314</v>
      </c>
      <c r="E21" s="26">
        <v>0.371</v>
      </c>
      <c r="F21" s="26">
        <v>0.41</v>
      </c>
      <c r="G21" s="210">
        <v>0.48599999999999999</v>
      </c>
    </row>
    <row r="22" spans="1:17" x14ac:dyDescent="0.35">
      <c r="A22">
        <f t="shared" si="3"/>
        <v>22</v>
      </c>
      <c r="B22" s="132">
        <v>0.20300000000000001</v>
      </c>
      <c r="C22" s="26">
        <v>0.26400000000000001</v>
      </c>
      <c r="D22" s="26">
        <v>0.307</v>
      </c>
      <c r="E22" s="26">
        <v>0.35899999999999999</v>
      </c>
      <c r="F22" s="26">
        <v>0.39400000000000002</v>
      </c>
      <c r="G22" s="210">
        <v>0.47199999999999998</v>
      </c>
    </row>
    <row r="23" spans="1:17" x14ac:dyDescent="0.35">
      <c r="A23">
        <f t="shared" si="3"/>
        <v>23</v>
      </c>
      <c r="B23" s="132">
        <v>0.20200000000000001</v>
      </c>
      <c r="C23" s="26">
        <v>0.25700000000000001</v>
      </c>
      <c r="D23" s="26">
        <v>0.29599999999999999</v>
      </c>
      <c r="E23" s="26">
        <v>0.35199999999999998</v>
      </c>
      <c r="F23" s="26">
        <v>0.39100000000000001</v>
      </c>
      <c r="G23" s="210">
        <v>0.45500000000000002</v>
      </c>
    </row>
    <row r="24" spans="1:17" x14ac:dyDescent="0.35">
      <c r="A24">
        <f t="shared" si="3"/>
        <v>24</v>
      </c>
      <c r="B24" s="132">
        <v>0.19600000000000001</v>
      </c>
      <c r="C24" s="26">
        <v>0.246</v>
      </c>
      <c r="D24" s="26">
        <v>0.28999999999999998</v>
      </c>
      <c r="E24" s="26">
        <v>0.34100000000000003</v>
      </c>
      <c r="F24" s="26">
        <v>0.377</v>
      </c>
      <c r="G24" s="210">
        <v>0.44900000000000001</v>
      </c>
    </row>
    <row r="25" spans="1:17" x14ac:dyDescent="0.35">
      <c r="A25">
        <f t="shared" si="3"/>
        <v>25</v>
      </c>
      <c r="B25" s="132">
        <v>0.193</v>
      </c>
      <c r="C25" s="26">
        <v>0.24</v>
      </c>
      <c r="D25" s="26">
        <v>0.28699999999999998</v>
      </c>
      <c r="E25" s="26">
        <v>0.33300000000000002</v>
      </c>
      <c r="F25" s="26">
        <v>0.36699999999999999</v>
      </c>
      <c r="G25" s="210">
        <v>0.44</v>
      </c>
    </row>
    <row r="26" spans="1:17" x14ac:dyDescent="0.35">
      <c r="A26">
        <f t="shared" si="3"/>
        <v>26</v>
      </c>
      <c r="B26" s="132">
        <v>0.188</v>
      </c>
      <c r="C26" s="26">
        <v>0.23699999999999999</v>
      </c>
      <c r="D26" s="26">
        <v>0.28000000000000003</v>
      </c>
      <c r="E26" s="26">
        <v>0.32900000000000001</v>
      </c>
      <c r="F26" s="26">
        <v>0.36</v>
      </c>
      <c r="G26" s="210">
        <v>0.42799999999999999</v>
      </c>
    </row>
    <row r="27" spans="1:17" x14ac:dyDescent="0.35">
      <c r="A27">
        <f t="shared" si="3"/>
        <v>27</v>
      </c>
      <c r="B27" s="132">
        <v>0.17899999999999999</v>
      </c>
      <c r="C27" s="26">
        <v>0.23100000000000001</v>
      </c>
      <c r="D27" s="26">
        <v>0.27100000000000002</v>
      </c>
      <c r="E27" s="26">
        <v>0.32200000000000001</v>
      </c>
      <c r="F27" s="26">
        <v>0.35599999999999998</v>
      </c>
      <c r="G27" s="210">
        <v>0.41899999999999998</v>
      </c>
    </row>
    <row r="28" spans="1:17" x14ac:dyDescent="0.35">
      <c r="A28">
        <f t="shared" si="3"/>
        <v>28</v>
      </c>
      <c r="B28" s="132">
        <v>0.18</v>
      </c>
      <c r="C28" s="26">
        <v>0.22800000000000001</v>
      </c>
      <c r="D28" s="26">
        <v>0.26500000000000001</v>
      </c>
      <c r="E28" s="26">
        <v>0.312</v>
      </c>
      <c r="F28" s="26">
        <v>0.34399999999999997</v>
      </c>
      <c r="G28" s="210">
        <v>0.41299999999999998</v>
      </c>
    </row>
    <row r="29" spans="1:17" x14ac:dyDescent="0.35">
      <c r="A29">
        <f t="shared" si="3"/>
        <v>29</v>
      </c>
      <c r="B29" s="132">
        <v>0.17199999999999999</v>
      </c>
      <c r="C29" s="26">
        <v>0.222</v>
      </c>
      <c r="D29" s="26">
        <v>0.26100000000000001</v>
      </c>
      <c r="E29" s="26">
        <v>0.31</v>
      </c>
      <c r="F29" s="26">
        <v>0.34</v>
      </c>
      <c r="G29" s="210">
        <v>0.40400000000000003</v>
      </c>
    </row>
    <row r="30" spans="1:17" x14ac:dyDescent="0.35">
      <c r="A30">
        <f t="shared" si="3"/>
        <v>30</v>
      </c>
      <c r="B30" s="134">
        <v>0.17199999999999999</v>
      </c>
      <c r="C30" s="209">
        <v>0.218</v>
      </c>
      <c r="D30" s="209">
        <v>0.255</v>
      </c>
      <c r="E30" s="209">
        <v>0.30099999999999999</v>
      </c>
      <c r="F30" s="209">
        <v>0.33300000000000002</v>
      </c>
      <c r="G30" s="211">
        <v>0.39300000000000002</v>
      </c>
    </row>
    <row r="32" spans="1:17" x14ac:dyDescent="0.35">
      <c r="A32" t="s">
        <v>83</v>
      </c>
    </row>
    <row r="33" spans="1:1" x14ac:dyDescent="0.35">
      <c r="A33" t="s">
        <v>456</v>
      </c>
    </row>
    <row r="34" spans="1:1" x14ac:dyDescent="0.35">
      <c r="A34" s="2" t="s">
        <v>455</v>
      </c>
    </row>
  </sheetData>
  <hyperlinks>
    <hyperlink ref="A34" r:id="rId1" xr:uid="{00000000-0004-0000-31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2"/>
  <dimension ref="A1:H16"/>
  <sheetViews>
    <sheetView workbookViewId="0">
      <selection activeCell="G6" sqref="G6"/>
    </sheetView>
  </sheetViews>
  <sheetFormatPr defaultRowHeight="14.5" x14ac:dyDescent="0.35"/>
  <cols>
    <col min="6" max="6" width="26.1796875" customWidth="1"/>
  </cols>
  <sheetData>
    <row r="1" spans="1:8" ht="15.5" x14ac:dyDescent="0.35">
      <c r="A1" s="1" t="s">
        <v>629</v>
      </c>
    </row>
    <row r="3" spans="1:8" x14ac:dyDescent="0.35">
      <c r="A3" s="304" t="s">
        <v>628</v>
      </c>
      <c r="B3" s="304" t="s">
        <v>37</v>
      </c>
      <c r="C3" s="304" t="s">
        <v>627</v>
      </c>
      <c r="D3" s="304" t="s">
        <v>626</v>
      </c>
      <c r="F3" s="303" t="s">
        <v>625</v>
      </c>
      <c r="G3" s="254">
        <f>CORREL(C4:C15,D4:D15)</f>
        <v>0.66727701559191543</v>
      </c>
    </row>
    <row r="4" spans="1:8" x14ac:dyDescent="0.35">
      <c r="A4" s="301">
        <v>1</v>
      </c>
      <c r="B4" s="301">
        <f t="shared" ref="B4:B15" si="0">C4+D4</f>
        <v>42</v>
      </c>
      <c r="C4" s="301">
        <v>22</v>
      </c>
      <c r="D4" s="301">
        <v>20</v>
      </c>
      <c r="F4" s="9" t="s">
        <v>624</v>
      </c>
      <c r="G4" s="94">
        <f>2*G3/(1+G3)</f>
        <v>0.8004392903539419</v>
      </c>
    </row>
    <row r="5" spans="1:8" x14ac:dyDescent="0.35">
      <c r="A5" s="301">
        <f t="shared" ref="A5:A15" si="1">A4+1</f>
        <v>2</v>
      </c>
      <c r="B5" s="301">
        <f t="shared" si="0"/>
        <v>33</v>
      </c>
      <c r="C5" s="301">
        <v>18</v>
      </c>
      <c r="D5" s="301">
        <v>15</v>
      </c>
    </row>
    <row r="6" spans="1:8" x14ac:dyDescent="0.35">
      <c r="A6" s="301">
        <f t="shared" si="1"/>
        <v>3</v>
      </c>
      <c r="B6" s="301">
        <f t="shared" si="0"/>
        <v>44</v>
      </c>
      <c r="C6" s="301">
        <v>23</v>
      </c>
      <c r="D6" s="301">
        <v>21</v>
      </c>
      <c r="F6" t="s">
        <v>435</v>
      </c>
      <c r="G6" s="109" t="e" cm="1">
        <f t="array" aca="1" ref="G6" ca="1">SPLIT_HALF(C4:C15,D4:D15)</f>
        <v>#NAME?</v>
      </c>
    </row>
    <row r="7" spans="1:8" x14ac:dyDescent="0.35">
      <c r="A7" s="301">
        <f t="shared" si="1"/>
        <v>4</v>
      </c>
      <c r="B7" s="301">
        <f t="shared" si="0"/>
        <v>45</v>
      </c>
      <c r="C7" s="301">
        <v>21</v>
      </c>
      <c r="D7" s="301">
        <v>24</v>
      </c>
    </row>
    <row r="8" spans="1:8" x14ac:dyDescent="0.35">
      <c r="A8" s="301">
        <f t="shared" si="1"/>
        <v>5</v>
      </c>
      <c r="B8" s="301">
        <f t="shared" si="0"/>
        <v>30</v>
      </c>
      <c r="C8" s="301">
        <v>14</v>
      </c>
      <c r="D8" s="301">
        <v>16</v>
      </c>
    </row>
    <row r="9" spans="1:8" x14ac:dyDescent="0.35">
      <c r="A9" s="301">
        <f t="shared" si="1"/>
        <v>6</v>
      </c>
      <c r="B9" s="301">
        <f t="shared" si="0"/>
        <v>26</v>
      </c>
      <c r="C9" s="301">
        <v>15</v>
      </c>
      <c r="D9" s="301">
        <v>11</v>
      </c>
    </row>
    <row r="10" spans="1:8" x14ac:dyDescent="0.35">
      <c r="A10" s="301">
        <f t="shared" si="1"/>
        <v>7</v>
      </c>
      <c r="B10" s="301">
        <f t="shared" si="0"/>
        <v>45</v>
      </c>
      <c r="C10" s="301">
        <v>21</v>
      </c>
      <c r="D10" s="301">
        <v>24</v>
      </c>
    </row>
    <row r="11" spans="1:8" x14ac:dyDescent="0.35">
      <c r="A11" s="301">
        <f t="shared" si="1"/>
        <v>8</v>
      </c>
      <c r="B11" s="301">
        <f t="shared" si="0"/>
        <v>35</v>
      </c>
      <c r="C11" s="301">
        <v>17</v>
      </c>
      <c r="D11" s="301">
        <v>18</v>
      </c>
    </row>
    <row r="12" spans="1:8" x14ac:dyDescent="0.35">
      <c r="A12" s="301">
        <f t="shared" si="1"/>
        <v>9</v>
      </c>
      <c r="B12" s="301">
        <f t="shared" si="0"/>
        <v>40</v>
      </c>
      <c r="C12" s="301">
        <v>17</v>
      </c>
      <c r="D12" s="301">
        <v>23</v>
      </c>
    </row>
    <row r="13" spans="1:8" x14ac:dyDescent="0.35">
      <c r="A13" s="301">
        <f t="shared" si="1"/>
        <v>10</v>
      </c>
      <c r="B13" s="301">
        <f t="shared" si="0"/>
        <v>32</v>
      </c>
      <c r="C13" s="301">
        <v>16</v>
      </c>
      <c r="D13" s="301">
        <v>16</v>
      </c>
    </row>
    <row r="14" spans="1:8" x14ac:dyDescent="0.35">
      <c r="A14" s="301">
        <f t="shared" si="1"/>
        <v>11</v>
      </c>
      <c r="B14" s="301">
        <f t="shared" si="0"/>
        <v>34</v>
      </c>
      <c r="C14" s="301">
        <v>19</v>
      </c>
      <c r="D14" s="301">
        <v>15</v>
      </c>
    </row>
    <row r="15" spans="1:8" x14ac:dyDescent="0.35">
      <c r="A15" s="302">
        <f t="shared" si="1"/>
        <v>12</v>
      </c>
      <c r="B15" s="302">
        <f t="shared" si="0"/>
        <v>45</v>
      </c>
      <c r="C15" s="302">
        <v>23</v>
      </c>
      <c r="D15" s="302">
        <v>22</v>
      </c>
    </row>
    <row r="16" spans="1:8" x14ac:dyDescent="0.35">
      <c r="A16" s="301"/>
      <c r="B16" s="301"/>
      <c r="C16" s="301"/>
      <c r="D16" s="301"/>
      <c r="E16" s="301"/>
      <c r="F16" s="301"/>
      <c r="G16" s="301"/>
      <c r="H16" s="301"/>
    </row>
  </sheetData>
  <pageMargins left="0.7" right="0.7" top="0.75" bottom="0.75" header="0.3" footer="0.3"/>
  <pageSetup paperSize="9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3"/>
  <dimension ref="A1:R37"/>
  <sheetViews>
    <sheetView workbookViewId="0"/>
  </sheetViews>
  <sheetFormatPr defaultRowHeight="14.5" x14ac:dyDescent="0.35"/>
  <sheetData>
    <row r="1" spans="1:15" x14ac:dyDescent="0.35">
      <c r="A1" s="1" t="s">
        <v>641</v>
      </c>
    </row>
    <row r="3" spans="1:15" x14ac:dyDescent="0.35">
      <c r="B3" s="298" t="s">
        <v>50</v>
      </c>
      <c r="C3" s="298" t="s">
        <v>640</v>
      </c>
      <c r="D3" s="298" t="s">
        <v>282</v>
      </c>
      <c r="E3" s="298" t="s">
        <v>639</v>
      </c>
      <c r="F3" s="298" t="s">
        <v>638</v>
      </c>
      <c r="G3" s="298" t="s">
        <v>637</v>
      </c>
      <c r="H3" s="298" t="s">
        <v>636</v>
      </c>
      <c r="I3" s="298" t="s">
        <v>635</v>
      </c>
      <c r="J3" s="298" t="s">
        <v>634</v>
      </c>
      <c r="K3" s="298" t="s">
        <v>633</v>
      </c>
    </row>
    <row r="4" spans="1:15" x14ac:dyDescent="0.35">
      <c r="A4" s="305">
        <v>1</v>
      </c>
      <c r="B4" s="314">
        <v>3</v>
      </c>
      <c r="C4" s="313">
        <v>2</v>
      </c>
      <c r="D4" s="313">
        <v>4</v>
      </c>
      <c r="E4" s="313">
        <v>1</v>
      </c>
      <c r="F4" s="313">
        <v>4</v>
      </c>
      <c r="G4" s="313">
        <v>5</v>
      </c>
      <c r="H4" s="313">
        <v>1</v>
      </c>
      <c r="I4" s="313">
        <v>4</v>
      </c>
      <c r="J4" s="313">
        <v>3</v>
      </c>
      <c r="K4" s="312">
        <v>2</v>
      </c>
      <c r="M4" t="s">
        <v>435</v>
      </c>
    </row>
    <row r="5" spans="1:15" x14ac:dyDescent="0.35">
      <c r="A5" s="305">
        <f t="shared" ref="A5:A18" si="0">A4+1</f>
        <v>2</v>
      </c>
      <c r="B5" s="311">
        <v>5</v>
      </c>
      <c r="C5" s="305">
        <v>4</v>
      </c>
      <c r="D5" s="305">
        <v>6</v>
      </c>
      <c r="E5" s="305">
        <v>3</v>
      </c>
      <c r="F5" s="305">
        <v>5</v>
      </c>
      <c r="G5" s="305">
        <v>1</v>
      </c>
      <c r="H5" s="305">
        <v>2</v>
      </c>
      <c r="I5" s="305">
        <v>5</v>
      </c>
      <c r="J5" s="305">
        <v>5</v>
      </c>
      <c r="K5" s="310">
        <v>5</v>
      </c>
    </row>
    <row r="6" spans="1:15" x14ac:dyDescent="0.35">
      <c r="A6" s="305">
        <f t="shared" si="0"/>
        <v>3</v>
      </c>
      <c r="B6" s="311">
        <v>7</v>
      </c>
      <c r="C6" s="305">
        <v>3</v>
      </c>
      <c r="D6" s="305">
        <v>5</v>
      </c>
      <c r="E6" s="305">
        <v>5</v>
      </c>
      <c r="F6" s="305">
        <v>6</v>
      </c>
      <c r="G6" s="305">
        <v>4</v>
      </c>
      <c r="H6" s="305">
        <v>3</v>
      </c>
      <c r="I6" s="305">
        <v>3</v>
      </c>
      <c r="J6" s="305">
        <v>6</v>
      </c>
      <c r="K6" s="310">
        <v>5</v>
      </c>
      <c r="M6" t="s">
        <v>632</v>
      </c>
      <c r="O6" s="426" t="e" cm="1">
        <f t="array" aca="1" ref="O6" ca="1">SPLITHALF(B4:K18,0)</f>
        <v>#NAME?</v>
      </c>
    </row>
    <row r="7" spans="1:15" x14ac:dyDescent="0.35">
      <c r="A7" s="305">
        <f t="shared" si="0"/>
        <v>4</v>
      </c>
      <c r="B7" s="311">
        <v>2</v>
      </c>
      <c r="C7" s="305">
        <v>4</v>
      </c>
      <c r="D7" s="305">
        <v>3</v>
      </c>
      <c r="E7" s="305">
        <v>3</v>
      </c>
      <c r="F7" s="305">
        <v>2</v>
      </c>
      <c r="G7" s="305">
        <v>2</v>
      </c>
      <c r="H7" s="305">
        <v>2</v>
      </c>
      <c r="I7" s="305">
        <v>6</v>
      </c>
      <c r="J7" s="305">
        <v>6</v>
      </c>
      <c r="K7" s="310">
        <v>3</v>
      </c>
      <c r="M7" t="s">
        <v>631</v>
      </c>
      <c r="O7" s="94" t="e" cm="1">
        <f t="array" aca="1" ref="O7" ca="1">SPLITHALF(B4:K18,1)</f>
        <v>#NAME?</v>
      </c>
    </row>
    <row r="8" spans="1:15" x14ac:dyDescent="0.35">
      <c r="A8" s="305">
        <f t="shared" si="0"/>
        <v>5</v>
      </c>
      <c r="B8" s="311">
        <v>6</v>
      </c>
      <c r="C8" s="305">
        <v>5</v>
      </c>
      <c r="D8" s="305">
        <v>6</v>
      </c>
      <c r="E8" s="305">
        <v>5</v>
      </c>
      <c r="F8" s="305">
        <v>4</v>
      </c>
      <c r="G8" s="305">
        <v>4</v>
      </c>
      <c r="H8" s="305">
        <v>4</v>
      </c>
      <c r="I8" s="305">
        <v>6</v>
      </c>
      <c r="J8" s="305">
        <v>7</v>
      </c>
      <c r="K8" s="310">
        <v>5</v>
      </c>
    </row>
    <row r="9" spans="1:15" x14ac:dyDescent="0.35">
      <c r="A9" s="305">
        <f t="shared" si="0"/>
        <v>6</v>
      </c>
      <c r="B9" s="311">
        <v>1</v>
      </c>
      <c r="C9" s="305">
        <v>2</v>
      </c>
      <c r="D9" s="305">
        <v>3</v>
      </c>
      <c r="E9" s="305">
        <v>4</v>
      </c>
      <c r="F9" s="305">
        <v>2</v>
      </c>
      <c r="G9" s="305">
        <v>5</v>
      </c>
      <c r="H9" s="305">
        <v>2</v>
      </c>
      <c r="I9" s="305">
        <v>3</v>
      </c>
      <c r="J9" s="305">
        <v>5</v>
      </c>
      <c r="K9" s="310">
        <v>2</v>
      </c>
    </row>
    <row r="10" spans="1:15" x14ac:dyDescent="0.35">
      <c r="A10" s="305">
        <f t="shared" si="0"/>
        <v>7</v>
      </c>
      <c r="B10" s="311">
        <v>4</v>
      </c>
      <c r="C10" s="305">
        <v>3</v>
      </c>
      <c r="D10" s="305">
        <v>5</v>
      </c>
      <c r="E10" s="305">
        <v>3</v>
      </c>
      <c r="F10" s="305">
        <v>5</v>
      </c>
      <c r="G10" s="305">
        <v>2</v>
      </c>
      <c r="H10" s="305">
        <v>1</v>
      </c>
      <c r="I10" s="305">
        <v>2</v>
      </c>
      <c r="J10" s="305">
        <v>4</v>
      </c>
      <c r="K10" s="310">
        <v>3</v>
      </c>
    </row>
    <row r="11" spans="1:15" x14ac:dyDescent="0.35">
      <c r="A11" s="305">
        <f t="shared" si="0"/>
        <v>8</v>
      </c>
      <c r="B11" s="311">
        <v>2</v>
      </c>
      <c r="C11" s="305">
        <v>4</v>
      </c>
      <c r="D11" s="305">
        <v>4</v>
      </c>
      <c r="E11" s="305">
        <v>3</v>
      </c>
      <c r="F11" s="305">
        <v>7</v>
      </c>
      <c r="G11" s="305">
        <v>2</v>
      </c>
      <c r="H11" s="305">
        <v>2</v>
      </c>
      <c r="I11" s="305">
        <v>4</v>
      </c>
      <c r="J11" s="305">
        <v>6</v>
      </c>
      <c r="K11" s="310">
        <v>5</v>
      </c>
    </row>
    <row r="12" spans="1:15" x14ac:dyDescent="0.35">
      <c r="A12" s="305">
        <f t="shared" si="0"/>
        <v>9</v>
      </c>
      <c r="B12" s="311">
        <v>6</v>
      </c>
      <c r="C12" s="305">
        <v>5</v>
      </c>
      <c r="D12" s="305">
        <v>5</v>
      </c>
      <c r="E12" s="305">
        <v>5</v>
      </c>
      <c r="F12" s="305">
        <v>1</v>
      </c>
      <c r="G12" s="305">
        <v>6</v>
      </c>
      <c r="H12" s="305">
        <v>5</v>
      </c>
      <c r="I12" s="305">
        <v>2</v>
      </c>
      <c r="J12" s="305">
        <v>3</v>
      </c>
      <c r="K12" s="310">
        <v>2</v>
      </c>
    </row>
    <row r="13" spans="1:15" x14ac:dyDescent="0.35">
      <c r="A13" s="305">
        <f t="shared" si="0"/>
        <v>10</v>
      </c>
      <c r="B13" s="311">
        <v>5</v>
      </c>
      <c r="C13" s="305">
        <v>4</v>
      </c>
      <c r="D13" s="305">
        <v>6</v>
      </c>
      <c r="E13" s="305">
        <v>4</v>
      </c>
      <c r="F13" s="305">
        <v>3</v>
      </c>
      <c r="G13" s="305">
        <v>5</v>
      </c>
      <c r="H13" s="305">
        <v>3</v>
      </c>
      <c r="I13" s="305">
        <v>1</v>
      </c>
      <c r="J13" s="305">
        <v>7</v>
      </c>
      <c r="K13" s="310">
        <v>2</v>
      </c>
    </row>
    <row r="14" spans="1:15" x14ac:dyDescent="0.35">
      <c r="A14" s="305">
        <f t="shared" si="0"/>
        <v>11</v>
      </c>
      <c r="B14" s="311">
        <v>4</v>
      </c>
      <c r="C14" s="305">
        <v>3</v>
      </c>
      <c r="D14" s="305">
        <v>5</v>
      </c>
      <c r="E14" s="305">
        <v>2</v>
      </c>
      <c r="F14" s="305">
        <v>5</v>
      </c>
      <c r="G14" s="305">
        <v>3</v>
      </c>
      <c r="H14" s="305">
        <v>2</v>
      </c>
      <c r="I14" s="305">
        <v>3</v>
      </c>
      <c r="J14" s="305">
        <v>4</v>
      </c>
      <c r="K14" s="310">
        <v>1</v>
      </c>
    </row>
    <row r="15" spans="1:15" x14ac:dyDescent="0.35">
      <c r="A15" s="305">
        <f t="shared" si="0"/>
        <v>12</v>
      </c>
      <c r="B15" s="311">
        <v>4</v>
      </c>
      <c r="C15" s="305">
        <v>2</v>
      </c>
      <c r="D15" s="305">
        <v>3</v>
      </c>
      <c r="E15" s="305">
        <v>2</v>
      </c>
      <c r="F15" s="305">
        <v>5</v>
      </c>
      <c r="G15" s="305">
        <v>3</v>
      </c>
      <c r="H15" s="305">
        <v>4</v>
      </c>
      <c r="I15" s="305">
        <v>2</v>
      </c>
      <c r="J15" s="305">
        <v>3</v>
      </c>
      <c r="K15" s="310">
        <v>4</v>
      </c>
    </row>
    <row r="16" spans="1:15" x14ac:dyDescent="0.35">
      <c r="A16" s="305">
        <f t="shared" si="0"/>
        <v>13</v>
      </c>
      <c r="B16" s="311">
        <v>5</v>
      </c>
      <c r="C16" s="305">
        <v>5</v>
      </c>
      <c r="D16" s="305">
        <v>6</v>
      </c>
      <c r="E16" s="305">
        <v>2</v>
      </c>
      <c r="F16" s="305">
        <v>3</v>
      </c>
      <c r="G16" s="305">
        <v>3</v>
      </c>
      <c r="H16" s="305">
        <v>2</v>
      </c>
      <c r="I16" s="305">
        <v>4</v>
      </c>
      <c r="J16" s="305">
        <v>4</v>
      </c>
      <c r="K16" s="310">
        <v>5</v>
      </c>
    </row>
    <row r="17" spans="1:18" x14ac:dyDescent="0.35">
      <c r="A17" s="305">
        <f t="shared" si="0"/>
        <v>14</v>
      </c>
      <c r="B17" s="311">
        <v>6</v>
      </c>
      <c r="C17" s="305">
        <v>5</v>
      </c>
      <c r="D17" s="305">
        <v>5</v>
      </c>
      <c r="E17" s="305">
        <v>4</v>
      </c>
      <c r="F17" s="305">
        <v>2</v>
      </c>
      <c r="G17" s="305">
        <v>2</v>
      </c>
      <c r="H17" s="305">
        <v>1</v>
      </c>
      <c r="I17" s="305">
        <v>4</v>
      </c>
      <c r="J17" s="305">
        <v>6</v>
      </c>
      <c r="K17" s="310">
        <v>5</v>
      </c>
    </row>
    <row r="18" spans="1:18" x14ac:dyDescent="0.35">
      <c r="A18" s="305">
        <f t="shared" si="0"/>
        <v>15</v>
      </c>
      <c r="B18" s="309">
        <v>4</v>
      </c>
      <c r="C18" s="308">
        <v>3</v>
      </c>
      <c r="D18" s="308">
        <v>5</v>
      </c>
      <c r="E18" s="308">
        <v>5</v>
      </c>
      <c r="F18" s="308">
        <v>3</v>
      </c>
      <c r="G18" s="308">
        <v>1</v>
      </c>
      <c r="H18" s="308">
        <v>3</v>
      </c>
      <c r="I18" s="308">
        <v>2</v>
      </c>
      <c r="J18" s="308">
        <v>3</v>
      </c>
      <c r="K18" s="307">
        <v>4</v>
      </c>
    </row>
    <row r="20" spans="1:18" x14ac:dyDescent="0.35">
      <c r="A20" t="s">
        <v>632</v>
      </c>
      <c r="K20" t="s">
        <v>631</v>
      </c>
    </row>
    <row r="22" spans="1:18" x14ac:dyDescent="0.35">
      <c r="B22" s="298" t="s">
        <v>386</v>
      </c>
      <c r="C22" s="298" t="s">
        <v>630</v>
      </c>
      <c r="L22" s="298" t="s">
        <v>626</v>
      </c>
      <c r="M22" s="298" t="s">
        <v>627</v>
      </c>
    </row>
    <row r="23" spans="1:18" ht="15" customHeight="1" x14ac:dyDescent="0.35">
      <c r="A23" s="305">
        <v>1</v>
      </c>
      <c r="B23" s="186">
        <f t="shared" ref="B23:B37" si="1">SUM(B4:F4)</f>
        <v>14</v>
      </c>
      <c r="C23" s="187">
        <f t="shared" ref="C23:C37" si="2">SUM(G4:K4)</f>
        <v>15</v>
      </c>
      <c r="E23" s="306" t="s">
        <v>625</v>
      </c>
      <c r="H23" s="254">
        <f>CORREL(B23:B37,C23:C37)</f>
        <v>0.47548080490631189</v>
      </c>
      <c r="K23" s="305">
        <v>1</v>
      </c>
      <c r="L23" s="224">
        <f t="shared" ref="L23:L37" si="3">B4+D4+F4+H4+J4</f>
        <v>15</v>
      </c>
      <c r="M23" s="223">
        <f>C4+E4+G4+I4+K4</f>
        <v>14</v>
      </c>
      <c r="O23" s="306" t="s">
        <v>625</v>
      </c>
      <c r="R23" s="254">
        <f>CORREL(L23:L37,M23:M37)</f>
        <v>0.53705795401524947</v>
      </c>
    </row>
    <row r="24" spans="1:18" x14ac:dyDescent="0.35">
      <c r="A24" s="305">
        <f t="shared" ref="A24:A37" si="4">A23+1</f>
        <v>2</v>
      </c>
      <c r="B24" s="101">
        <f t="shared" si="1"/>
        <v>23</v>
      </c>
      <c r="C24" s="102">
        <f t="shared" si="2"/>
        <v>18</v>
      </c>
      <c r="E24" s="9" t="s">
        <v>624</v>
      </c>
      <c r="H24" s="94">
        <f>2*H23/(1+H23)</f>
        <v>0.64450964502585084</v>
      </c>
      <c r="K24" s="305">
        <f t="shared" ref="K24:K37" si="5">K23+1</f>
        <v>2</v>
      </c>
      <c r="L24" s="103">
        <f t="shared" si="3"/>
        <v>23</v>
      </c>
      <c r="M24" s="97">
        <f t="shared" ref="M24:M37" si="6">C5+E5+G5+I5+K5</f>
        <v>18</v>
      </c>
      <c r="O24" s="9" t="s">
        <v>624</v>
      </c>
      <c r="R24" s="94">
        <f>2*R23/(1+R23)</f>
        <v>0.69881288810522135</v>
      </c>
    </row>
    <row r="25" spans="1:18" x14ac:dyDescent="0.35">
      <c r="A25" s="305">
        <f t="shared" si="4"/>
        <v>3</v>
      </c>
      <c r="B25" s="101">
        <f t="shared" si="1"/>
        <v>26</v>
      </c>
      <c r="C25" s="102">
        <f t="shared" si="2"/>
        <v>21</v>
      </c>
      <c r="K25" s="305">
        <f t="shared" si="5"/>
        <v>3</v>
      </c>
      <c r="L25" s="103">
        <f t="shared" si="3"/>
        <v>27</v>
      </c>
      <c r="M25" s="97">
        <f t="shared" si="6"/>
        <v>20</v>
      </c>
    </row>
    <row r="26" spans="1:18" x14ac:dyDescent="0.35">
      <c r="A26" s="305">
        <f t="shared" si="4"/>
        <v>4</v>
      </c>
      <c r="B26" s="101">
        <f t="shared" si="1"/>
        <v>14</v>
      </c>
      <c r="C26" s="102">
        <f t="shared" si="2"/>
        <v>19</v>
      </c>
      <c r="E26" t="s">
        <v>435</v>
      </c>
      <c r="H26" s="109" t="e" cm="1">
        <f t="array" aca="1" ref="H26" ca="1">SPLIT_HALF(B23:B37,C23:C37)</f>
        <v>#NAME?</v>
      </c>
      <c r="K26" s="305">
        <f t="shared" si="5"/>
        <v>4</v>
      </c>
      <c r="L26" s="103">
        <f t="shared" si="3"/>
        <v>15</v>
      </c>
      <c r="M26" s="97">
        <f t="shared" si="6"/>
        <v>18</v>
      </c>
      <c r="O26" t="s">
        <v>435</v>
      </c>
      <c r="R26" s="109" t="e" cm="1">
        <f t="array" aca="1" ref="R26" ca="1">SPLIT_HALF(L23:L37,M23:M37)</f>
        <v>#NAME?</v>
      </c>
    </row>
    <row r="27" spans="1:18" x14ac:dyDescent="0.35">
      <c r="A27" s="305">
        <f t="shared" si="4"/>
        <v>5</v>
      </c>
      <c r="B27" s="101">
        <f t="shared" si="1"/>
        <v>26</v>
      </c>
      <c r="C27" s="102">
        <f t="shared" si="2"/>
        <v>26</v>
      </c>
      <c r="K27" s="305">
        <f t="shared" si="5"/>
        <v>5</v>
      </c>
      <c r="L27" s="103">
        <f t="shared" si="3"/>
        <v>27</v>
      </c>
      <c r="M27" s="97">
        <f t="shared" si="6"/>
        <v>25</v>
      </c>
    </row>
    <row r="28" spans="1:18" x14ac:dyDescent="0.35">
      <c r="A28" s="305">
        <f t="shared" si="4"/>
        <v>6</v>
      </c>
      <c r="B28" s="101">
        <f t="shared" si="1"/>
        <v>12</v>
      </c>
      <c r="C28" s="102">
        <f t="shared" si="2"/>
        <v>17</v>
      </c>
      <c r="K28" s="305">
        <f t="shared" si="5"/>
        <v>6</v>
      </c>
      <c r="L28" s="103">
        <f t="shared" si="3"/>
        <v>13</v>
      </c>
      <c r="M28" s="97">
        <f t="shared" si="6"/>
        <v>16</v>
      </c>
      <c r="R28" t="e" cm="1">
        <f t="array" aca="1" ref="R28" ca="1">SB_CORRECTION(R23,10,5)</f>
        <v>#NAME?</v>
      </c>
    </row>
    <row r="29" spans="1:18" x14ac:dyDescent="0.35">
      <c r="A29" s="305">
        <f t="shared" si="4"/>
        <v>7</v>
      </c>
      <c r="B29" s="101">
        <f t="shared" si="1"/>
        <v>20</v>
      </c>
      <c r="C29" s="102">
        <f t="shared" si="2"/>
        <v>12</v>
      </c>
      <c r="K29" s="305">
        <f t="shared" si="5"/>
        <v>7</v>
      </c>
      <c r="L29" s="103">
        <f t="shared" si="3"/>
        <v>19</v>
      </c>
      <c r="M29" s="97">
        <f t="shared" si="6"/>
        <v>13</v>
      </c>
      <c r="R29" t="e" cm="1">
        <f t="array" aca="1" ref="R29" ca="1">SB_CORRECTION(R23)</f>
        <v>#NAME?</v>
      </c>
    </row>
    <row r="30" spans="1:18" x14ac:dyDescent="0.35">
      <c r="A30" s="305">
        <f t="shared" si="4"/>
        <v>8</v>
      </c>
      <c r="B30" s="101">
        <f t="shared" si="1"/>
        <v>20</v>
      </c>
      <c r="C30" s="102">
        <f t="shared" si="2"/>
        <v>19</v>
      </c>
      <c r="K30" s="305">
        <f t="shared" si="5"/>
        <v>8</v>
      </c>
      <c r="L30" s="103">
        <f t="shared" si="3"/>
        <v>21</v>
      </c>
      <c r="M30" s="97">
        <f t="shared" si="6"/>
        <v>18</v>
      </c>
    </row>
    <row r="31" spans="1:18" x14ac:dyDescent="0.35">
      <c r="A31" s="305">
        <f t="shared" si="4"/>
        <v>9</v>
      </c>
      <c r="B31" s="101">
        <f t="shared" si="1"/>
        <v>22</v>
      </c>
      <c r="C31" s="102">
        <f t="shared" si="2"/>
        <v>18</v>
      </c>
      <c r="K31" s="305">
        <f t="shared" si="5"/>
        <v>9</v>
      </c>
      <c r="L31" s="103">
        <f t="shared" si="3"/>
        <v>20</v>
      </c>
      <c r="M31" s="97">
        <f t="shared" si="6"/>
        <v>20</v>
      </c>
    </row>
    <row r="32" spans="1:18" x14ac:dyDescent="0.35">
      <c r="A32" s="305">
        <f t="shared" si="4"/>
        <v>10</v>
      </c>
      <c r="B32" s="101">
        <f t="shared" si="1"/>
        <v>22</v>
      </c>
      <c r="C32" s="102">
        <f t="shared" si="2"/>
        <v>18</v>
      </c>
      <c r="K32" s="305">
        <f t="shared" si="5"/>
        <v>10</v>
      </c>
      <c r="L32" s="103">
        <f t="shared" si="3"/>
        <v>24</v>
      </c>
      <c r="M32" s="97">
        <f t="shared" si="6"/>
        <v>16</v>
      </c>
    </row>
    <row r="33" spans="1:13" x14ac:dyDescent="0.35">
      <c r="A33" s="305">
        <f t="shared" si="4"/>
        <v>11</v>
      </c>
      <c r="B33" s="101">
        <f t="shared" si="1"/>
        <v>19</v>
      </c>
      <c r="C33" s="102">
        <f t="shared" si="2"/>
        <v>13</v>
      </c>
      <c r="K33" s="305">
        <f t="shared" si="5"/>
        <v>11</v>
      </c>
      <c r="L33" s="103">
        <f t="shared" si="3"/>
        <v>20</v>
      </c>
      <c r="M33" s="97">
        <f t="shared" si="6"/>
        <v>12</v>
      </c>
    </row>
    <row r="34" spans="1:13" x14ac:dyDescent="0.35">
      <c r="A34" s="305">
        <f t="shared" si="4"/>
        <v>12</v>
      </c>
      <c r="B34" s="101">
        <f t="shared" si="1"/>
        <v>16</v>
      </c>
      <c r="C34" s="102">
        <f t="shared" si="2"/>
        <v>16</v>
      </c>
      <c r="K34" s="305">
        <f t="shared" si="5"/>
        <v>12</v>
      </c>
      <c r="L34" s="103">
        <f t="shared" si="3"/>
        <v>19</v>
      </c>
      <c r="M34" s="97">
        <f t="shared" si="6"/>
        <v>13</v>
      </c>
    </row>
    <row r="35" spans="1:13" x14ac:dyDescent="0.35">
      <c r="A35" s="305">
        <f t="shared" si="4"/>
        <v>13</v>
      </c>
      <c r="B35" s="101">
        <f t="shared" si="1"/>
        <v>21</v>
      </c>
      <c r="C35" s="102">
        <f t="shared" si="2"/>
        <v>18</v>
      </c>
      <c r="K35" s="305">
        <f t="shared" si="5"/>
        <v>13</v>
      </c>
      <c r="L35" s="103">
        <f t="shared" si="3"/>
        <v>20</v>
      </c>
      <c r="M35" s="97">
        <f t="shared" si="6"/>
        <v>19</v>
      </c>
    </row>
    <row r="36" spans="1:13" x14ac:dyDescent="0.35">
      <c r="A36" s="305">
        <f t="shared" si="4"/>
        <v>14</v>
      </c>
      <c r="B36" s="101">
        <f t="shared" si="1"/>
        <v>22</v>
      </c>
      <c r="C36" s="102">
        <f t="shared" si="2"/>
        <v>18</v>
      </c>
      <c r="K36" s="305">
        <f t="shared" si="5"/>
        <v>14</v>
      </c>
      <c r="L36" s="103">
        <f t="shared" si="3"/>
        <v>20</v>
      </c>
      <c r="M36" s="97">
        <f t="shared" si="6"/>
        <v>20</v>
      </c>
    </row>
    <row r="37" spans="1:13" x14ac:dyDescent="0.35">
      <c r="A37" s="305">
        <f t="shared" si="4"/>
        <v>15</v>
      </c>
      <c r="B37" s="89">
        <f t="shared" si="1"/>
        <v>20</v>
      </c>
      <c r="C37" s="93">
        <f t="shared" si="2"/>
        <v>13</v>
      </c>
      <c r="K37" s="305">
        <f t="shared" si="5"/>
        <v>15</v>
      </c>
      <c r="L37" s="95">
        <f t="shared" si="3"/>
        <v>18</v>
      </c>
      <c r="M37" s="90">
        <f t="shared" si="6"/>
        <v>15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4"/>
  <dimension ref="A1:I18"/>
  <sheetViews>
    <sheetView workbookViewId="0">
      <selection activeCell="I15" sqref="I15"/>
    </sheetView>
  </sheetViews>
  <sheetFormatPr defaultRowHeight="14.5" x14ac:dyDescent="0.35"/>
  <cols>
    <col min="1" max="1" width="6.26953125" customWidth="1"/>
    <col min="5" max="5" width="7.7265625" customWidth="1"/>
    <col min="6" max="6" width="11.1796875" customWidth="1"/>
    <col min="8" max="8" width="3.1796875" customWidth="1"/>
    <col min="9" max="9" width="29" customWidth="1"/>
  </cols>
  <sheetData>
    <row r="1" spans="1:9" x14ac:dyDescent="0.35">
      <c r="A1" s="1" t="s">
        <v>645</v>
      </c>
    </row>
    <row r="3" spans="1:9" x14ac:dyDescent="0.35">
      <c r="B3" s="298" t="s">
        <v>626</v>
      </c>
      <c r="C3" s="298" t="s">
        <v>627</v>
      </c>
      <c r="D3" s="298" t="s">
        <v>1</v>
      </c>
    </row>
    <row r="4" spans="1:9" x14ac:dyDescent="0.35">
      <c r="A4" s="305">
        <v>1</v>
      </c>
      <c r="B4" s="224">
        <v>15</v>
      </c>
      <c r="C4" s="223">
        <v>14</v>
      </c>
      <c r="D4" s="257">
        <f t="shared" ref="D4:D18" si="0">B4+C4</f>
        <v>29</v>
      </c>
      <c r="F4" t="s">
        <v>644</v>
      </c>
      <c r="G4" s="254">
        <f>COVAR(B4:B18,C4:C18)*A18/(A18-1)</f>
        <v>7.5619047619047608</v>
      </c>
      <c r="I4" s="7" t="s">
        <v>643</v>
      </c>
    </row>
    <row r="5" spans="1:9" x14ac:dyDescent="0.35">
      <c r="A5" s="305">
        <f t="shared" ref="A5:A18" si="1">A4+1</f>
        <v>2</v>
      </c>
      <c r="B5" s="103">
        <v>23</v>
      </c>
      <c r="C5" s="97">
        <v>18</v>
      </c>
      <c r="D5" s="105">
        <f t="shared" si="0"/>
        <v>41</v>
      </c>
      <c r="F5" t="s">
        <v>287</v>
      </c>
      <c r="G5" s="100">
        <f>VAR(D4:D18)</f>
        <v>43.600000000000101</v>
      </c>
      <c r="I5" s="7" t="s">
        <v>642</v>
      </c>
    </row>
    <row r="6" spans="1:9" x14ac:dyDescent="0.35">
      <c r="A6" s="305">
        <f t="shared" si="1"/>
        <v>3</v>
      </c>
      <c r="B6" s="103">
        <v>27</v>
      </c>
      <c r="C6" s="97">
        <v>20</v>
      </c>
      <c r="D6" s="105">
        <f t="shared" si="0"/>
        <v>47</v>
      </c>
      <c r="F6" t="s">
        <v>387</v>
      </c>
      <c r="G6" s="94">
        <f>4*G4/G5</f>
        <v>0.69375273044997643</v>
      </c>
      <c r="I6" t="e" cm="1">
        <f t="array" aca="1" ref="I6" ca="1">FTEXT(G6)</f>
        <v>#NAME?</v>
      </c>
    </row>
    <row r="7" spans="1:9" x14ac:dyDescent="0.35">
      <c r="A7" s="305">
        <f t="shared" si="1"/>
        <v>4</v>
      </c>
      <c r="B7" s="103">
        <v>15</v>
      </c>
      <c r="C7" s="97">
        <v>18</v>
      </c>
      <c r="D7" s="105">
        <f t="shared" si="0"/>
        <v>33</v>
      </c>
    </row>
    <row r="8" spans="1:9" x14ac:dyDescent="0.35">
      <c r="A8" s="305">
        <f t="shared" si="1"/>
        <v>5</v>
      </c>
      <c r="B8" s="103">
        <v>27</v>
      </c>
      <c r="C8" s="97">
        <v>25</v>
      </c>
      <c r="D8" s="105">
        <f t="shared" si="0"/>
        <v>52</v>
      </c>
      <c r="F8" t="s">
        <v>387</v>
      </c>
      <c r="G8" t="e">
        <f t="array" aca="1" ref="G8" ca="1">GUTTMAN_SPLIT(B4:C18,"01")</f>
        <v>#NAME?</v>
      </c>
      <c r="I8" t="e" cm="1">
        <f t="array" aca="1" ref="I8" ca="1">FTEXT(G8)</f>
        <v>#NAME?</v>
      </c>
    </row>
    <row r="9" spans="1:9" x14ac:dyDescent="0.35">
      <c r="A9" s="305">
        <f t="shared" si="1"/>
        <v>6</v>
      </c>
      <c r="B9" s="103">
        <v>13</v>
      </c>
      <c r="C9" s="97">
        <v>16</v>
      </c>
      <c r="D9" s="105">
        <f t="shared" si="0"/>
        <v>29</v>
      </c>
    </row>
    <row r="10" spans="1:9" x14ac:dyDescent="0.35">
      <c r="A10" s="305">
        <f t="shared" si="1"/>
        <v>7</v>
      </c>
      <c r="B10" s="103">
        <v>19</v>
      </c>
      <c r="C10" s="97">
        <v>13</v>
      </c>
      <c r="D10" s="105">
        <f t="shared" si="0"/>
        <v>32</v>
      </c>
      <c r="F10" t="s">
        <v>644</v>
      </c>
      <c r="G10" t="e" cm="1">
        <f t="array" aca="1" ref="G10" ca="1">COV_SPLIT(B4:C18,"01")</f>
        <v>#NAME?</v>
      </c>
      <c r="I10" t="e" cm="1">
        <f t="array" aca="1" ref="I10" ca="1">FTEXT(G10)</f>
        <v>#NAME?</v>
      </c>
    </row>
    <row r="11" spans="1:9" x14ac:dyDescent="0.35">
      <c r="A11" s="305">
        <f t="shared" si="1"/>
        <v>8</v>
      </c>
      <c r="B11" s="103">
        <v>21</v>
      </c>
      <c r="C11" s="97">
        <v>18</v>
      </c>
      <c r="D11" s="105">
        <f t="shared" si="0"/>
        <v>39</v>
      </c>
    </row>
    <row r="12" spans="1:9" x14ac:dyDescent="0.35">
      <c r="A12" s="305">
        <f t="shared" si="1"/>
        <v>9</v>
      </c>
      <c r="B12" s="103">
        <v>20</v>
      </c>
      <c r="C12" s="97">
        <v>20</v>
      </c>
      <c r="D12" s="105">
        <f t="shared" si="0"/>
        <v>40</v>
      </c>
    </row>
    <row r="13" spans="1:9" x14ac:dyDescent="0.35">
      <c r="A13" s="305">
        <f t="shared" si="1"/>
        <v>10</v>
      </c>
      <c r="B13" s="103">
        <v>24</v>
      </c>
      <c r="C13" s="97">
        <v>16</v>
      </c>
      <c r="D13" s="105">
        <f t="shared" si="0"/>
        <v>40</v>
      </c>
    </row>
    <row r="14" spans="1:9" x14ac:dyDescent="0.35">
      <c r="A14" s="305">
        <f t="shared" si="1"/>
        <v>11</v>
      </c>
      <c r="B14" s="103">
        <v>20</v>
      </c>
      <c r="C14" s="97">
        <v>12</v>
      </c>
      <c r="D14" s="105">
        <f t="shared" si="0"/>
        <v>32</v>
      </c>
    </row>
    <row r="15" spans="1:9" x14ac:dyDescent="0.35">
      <c r="A15" s="305">
        <f t="shared" si="1"/>
        <v>12</v>
      </c>
      <c r="B15" s="103">
        <v>19</v>
      </c>
      <c r="C15" s="97">
        <v>13</v>
      </c>
      <c r="D15" s="105">
        <f t="shared" si="0"/>
        <v>32</v>
      </c>
    </row>
    <row r="16" spans="1:9" x14ac:dyDescent="0.35">
      <c r="A16" s="305">
        <f t="shared" si="1"/>
        <v>13</v>
      </c>
      <c r="B16" s="103">
        <v>20</v>
      </c>
      <c r="C16" s="97">
        <v>19</v>
      </c>
      <c r="D16" s="105">
        <f t="shared" si="0"/>
        <v>39</v>
      </c>
    </row>
    <row r="17" spans="1:4" x14ac:dyDescent="0.35">
      <c r="A17" s="305">
        <f t="shared" si="1"/>
        <v>14</v>
      </c>
      <c r="B17" s="103">
        <v>20</v>
      </c>
      <c r="C17" s="97">
        <v>20</v>
      </c>
      <c r="D17" s="105">
        <f t="shared" si="0"/>
        <v>40</v>
      </c>
    </row>
    <row r="18" spans="1:4" x14ac:dyDescent="0.35">
      <c r="A18" s="305">
        <f t="shared" si="1"/>
        <v>15</v>
      </c>
      <c r="B18" s="95">
        <v>18</v>
      </c>
      <c r="C18" s="90">
        <v>15</v>
      </c>
      <c r="D18" s="104">
        <f t="shared" si="0"/>
        <v>33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"/>
  <dimension ref="A1:W128"/>
  <sheetViews>
    <sheetView workbookViewId="0"/>
  </sheetViews>
  <sheetFormatPr defaultRowHeight="14.5" x14ac:dyDescent="0.35"/>
  <cols>
    <col min="1" max="11" width="5.1796875" customWidth="1"/>
    <col min="12" max="12" width="7.54296875" customWidth="1"/>
    <col min="13" max="13" width="4.54296875" customWidth="1"/>
    <col min="14" max="14" width="10.81640625" customWidth="1"/>
    <col min="15" max="15" width="10.26953125" customWidth="1"/>
    <col min="16" max="16" width="10" customWidth="1"/>
    <col min="17" max="17" width="4.54296875" customWidth="1"/>
    <col min="18" max="18" width="11.453125" customWidth="1"/>
    <col min="19" max="19" width="10" customWidth="1"/>
    <col min="22" max="22" width="3.54296875" customWidth="1"/>
    <col min="23" max="23" width="27.81640625" customWidth="1"/>
  </cols>
  <sheetData>
    <row r="1" spans="1:23" x14ac:dyDescent="0.35">
      <c r="A1" s="1" t="s">
        <v>646</v>
      </c>
    </row>
    <row r="2" spans="1:23" x14ac:dyDescent="0.35">
      <c r="N2" s="266" t="s">
        <v>649</v>
      </c>
      <c r="O2" s="265" t="s">
        <v>648</v>
      </c>
      <c r="P2" s="266" t="s">
        <v>647</v>
      </c>
      <c r="R2" s="79" t="s">
        <v>646</v>
      </c>
      <c r="U2" t="s">
        <v>362</v>
      </c>
    </row>
    <row r="3" spans="1:23" x14ac:dyDescent="0.35">
      <c r="B3" s="298" t="s">
        <v>50</v>
      </c>
      <c r="C3" s="298" t="s">
        <v>640</v>
      </c>
      <c r="D3" s="298" t="s">
        <v>282</v>
      </c>
      <c r="E3" s="298" t="s">
        <v>639</v>
      </c>
      <c r="F3" s="298" t="s">
        <v>638</v>
      </c>
      <c r="G3" s="298" t="s">
        <v>637</v>
      </c>
      <c r="H3" s="298" t="s">
        <v>636</v>
      </c>
      <c r="I3" s="298" t="s">
        <v>635</v>
      </c>
      <c r="J3" s="298" t="s">
        <v>634</v>
      </c>
      <c r="K3" s="298" t="s">
        <v>633</v>
      </c>
      <c r="L3" s="298" t="s">
        <v>1</v>
      </c>
      <c r="N3" t="e" cm="1">
        <f t="array" aca="1" ref="N3" ca="1">INIT_SPLIT(10,5)</f>
        <v>#NAME?</v>
      </c>
      <c r="O3" t="e" cm="1">
        <f t="array" aca="1" ref="O3" ca="1">COV_SPLIT($B$4:$K$18,N3)</f>
        <v>#NAME?</v>
      </c>
      <c r="P3" t="e">
        <f t="shared" ref="P3:P34" ca="1" si="0">4*O3/L$20</f>
        <v>#NAME?</v>
      </c>
    </row>
    <row r="4" spans="1:23" x14ac:dyDescent="0.35">
      <c r="A4" s="305">
        <v>1</v>
      </c>
      <c r="B4" s="314">
        <v>3</v>
      </c>
      <c r="C4" s="313">
        <v>2</v>
      </c>
      <c r="D4" s="313">
        <v>4</v>
      </c>
      <c r="E4" s="313">
        <v>1</v>
      </c>
      <c r="F4" s="313">
        <v>4</v>
      </c>
      <c r="G4" s="313">
        <v>5</v>
      </c>
      <c r="H4" s="313">
        <v>1</v>
      </c>
      <c r="I4" s="313">
        <v>4</v>
      </c>
      <c r="J4" s="313">
        <v>3</v>
      </c>
      <c r="K4" s="312">
        <v>2</v>
      </c>
      <c r="L4" s="305">
        <f t="shared" ref="L4:L18" si="1">SUM(B4:K4)</f>
        <v>29</v>
      </c>
      <c r="N4" t="e" cm="1">
        <f t="array" aca="1" ref="N4" ca="1">NEXT_SPLIT(N3)</f>
        <v>#NAME?</v>
      </c>
      <c r="O4" t="e" cm="1">
        <f t="array" aca="1" ref="O4" ca="1">COV_SPLIT($B$4:$K$18,N4)</f>
        <v>#NAME?</v>
      </c>
      <c r="P4" t="e">
        <f t="shared" ca="1" si="0"/>
        <v>#NAME?</v>
      </c>
      <c r="R4" t="s">
        <v>5</v>
      </c>
      <c r="S4" s="254" t="e">
        <f ca="1">AVERAGE(P3:P128)</f>
        <v>#NAME?</v>
      </c>
      <c r="U4" s="109" t="e" cm="1">
        <f t="array" aca="1" ref="U4" ca="1">GUTTMAN(B4:K18)</f>
        <v>#NAME?</v>
      </c>
      <c r="W4" t="e" cm="1">
        <f t="array" aca="1" ref="W4" ca="1">FTEXT(U4)</f>
        <v>#NAME?</v>
      </c>
    </row>
    <row r="5" spans="1:23" x14ac:dyDescent="0.35">
      <c r="A5" s="305">
        <f t="shared" ref="A5:A18" si="2">A4+1</f>
        <v>2</v>
      </c>
      <c r="B5" s="311">
        <v>5</v>
      </c>
      <c r="C5" s="305">
        <v>4</v>
      </c>
      <c r="D5" s="305">
        <v>6</v>
      </c>
      <c r="E5" s="305">
        <v>3</v>
      </c>
      <c r="F5" s="305">
        <v>5</v>
      </c>
      <c r="G5" s="305">
        <v>1</v>
      </c>
      <c r="H5" s="305">
        <v>2</v>
      </c>
      <c r="I5" s="305">
        <v>5</v>
      </c>
      <c r="J5" s="305">
        <v>5</v>
      </c>
      <c r="K5" s="310">
        <v>5</v>
      </c>
      <c r="L5" s="305">
        <f t="shared" si="1"/>
        <v>41</v>
      </c>
      <c r="N5" t="e" cm="1">
        <f t="array" aca="1" ref="N5" ca="1">NEXT_SPLIT(N4)</f>
        <v>#NAME?</v>
      </c>
      <c r="O5" t="e" cm="1">
        <f t="array" aca="1" ref="O5" ca="1">COV_SPLIT($B$4:$K$18,N5)</f>
        <v>#NAME?</v>
      </c>
      <c r="P5" t="e">
        <f t="shared" ca="1" si="0"/>
        <v>#NAME?</v>
      </c>
      <c r="R5" t="s">
        <v>272</v>
      </c>
      <c r="S5" s="100" t="e">
        <f ca="1">MEDIAN(P3:P128)</f>
        <v>#NAME?</v>
      </c>
    </row>
    <row r="6" spans="1:23" x14ac:dyDescent="0.35">
      <c r="A6" s="305">
        <f t="shared" si="2"/>
        <v>3</v>
      </c>
      <c r="B6" s="311">
        <v>7</v>
      </c>
      <c r="C6" s="305">
        <v>3</v>
      </c>
      <c r="D6" s="305">
        <v>5</v>
      </c>
      <c r="E6" s="305">
        <v>5</v>
      </c>
      <c r="F6" s="305">
        <v>6</v>
      </c>
      <c r="G6" s="305">
        <v>4</v>
      </c>
      <c r="H6" s="305">
        <v>3</v>
      </c>
      <c r="I6" s="305">
        <v>3</v>
      </c>
      <c r="J6" s="305">
        <v>6</v>
      </c>
      <c r="K6" s="310">
        <v>5</v>
      </c>
      <c r="L6" s="305">
        <f t="shared" si="1"/>
        <v>47</v>
      </c>
      <c r="N6" t="e" cm="1">
        <f t="array" aca="1" ref="N6" ca="1">NEXT_SPLIT(N5)</f>
        <v>#NAME?</v>
      </c>
      <c r="O6" t="e" cm="1">
        <f t="array" aca="1" ref="O6" ca="1">COV_SPLIT($B$4:$K$18,N6)</f>
        <v>#NAME?</v>
      </c>
      <c r="P6" t="e">
        <f t="shared" ca="1" si="0"/>
        <v>#NAME?</v>
      </c>
      <c r="R6" t="s">
        <v>382</v>
      </c>
      <c r="S6" s="94" t="e">
        <f ca="1">MAX(P3:P128)</f>
        <v>#NAME?</v>
      </c>
      <c r="U6" s="109" t="e" cm="1">
        <f t="array" aca="1" ref="U6" ca="1">GUTTMAN(B4:K18,200)</f>
        <v>#NAME?</v>
      </c>
      <c r="W6" t="e" cm="1">
        <f t="array" aca="1" ref="W6" ca="1">FTEXT(U6)</f>
        <v>#NAME?</v>
      </c>
    </row>
    <row r="7" spans="1:23" x14ac:dyDescent="0.35">
      <c r="A7" s="305">
        <f t="shared" si="2"/>
        <v>4</v>
      </c>
      <c r="B7" s="311">
        <v>2</v>
      </c>
      <c r="C7" s="305">
        <v>4</v>
      </c>
      <c r="D7" s="305">
        <v>3</v>
      </c>
      <c r="E7" s="305">
        <v>3</v>
      </c>
      <c r="F7" s="305">
        <v>2</v>
      </c>
      <c r="G7" s="305">
        <v>2</v>
      </c>
      <c r="H7" s="305">
        <v>2</v>
      </c>
      <c r="I7" s="305">
        <v>6</v>
      </c>
      <c r="J7" s="305">
        <v>6</v>
      </c>
      <c r="K7" s="310">
        <v>3</v>
      </c>
      <c r="L7" s="305">
        <f t="shared" si="1"/>
        <v>33</v>
      </c>
      <c r="N7" t="e" cm="1">
        <f t="array" aca="1" ref="N7" ca="1">NEXT_SPLIT(N6)</f>
        <v>#NAME?</v>
      </c>
      <c r="O7" t="e" cm="1">
        <f t="array" aca="1" ref="O7" ca="1">COV_SPLIT($B$4:$K$18,N7)</f>
        <v>#NAME?</v>
      </c>
      <c r="P7" t="e">
        <f t="shared" ca="1" si="0"/>
        <v>#NAME?</v>
      </c>
    </row>
    <row r="8" spans="1:23" x14ac:dyDescent="0.35">
      <c r="A8" s="305">
        <f t="shared" si="2"/>
        <v>5</v>
      </c>
      <c r="B8" s="311">
        <v>6</v>
      </c>
      <c r="C8" s="305">
        <v>5</v>
      </c>
      <c r="D8" s="305">
        <v>6</v>
      </c>
      <c r="E8" s="305">
        <v>5</v>
      </c>
      <c r="F8" s="305">
        <v>4</v>
      </c>
      <c r="G8" s="305">
        <v>4</v>
      </c>
      <c r="H8" s="305">
        <v>4</v>
      </c>
      <c r="I8" s="305">
        <v>6</v>
      </c>
      <c r="J8" s="305">
        <v>7</v>
      </c>
      <c r="K8" s="310">
        <v>5</v>
      </c>
      <c r="L8" s="305">
        <f t="shared" si="1"/>
        <v>52</v>
      </c>
      <c r="N8" t="e" cm="1">
        <f t="array" aca="1" ref="N8" ca="1">NEXT_SPLIT(N7)</f>
        <v>#NAME?</v>
      </c>
      <c r="O8" t="e" cm="1">
        <f t="array" aca="1" ref="O8" ca="1">COV_SPLIT($B$4:$K$18,N8)</f>
        <v>#NAME?</v>
      </c>
      <c r="P8" t="e">
        <f t="shared" ca="1" si="0"/>
        <v>#NAME?</v>
      </c>
      <c r="U8" s="109" t="e" cm="1">
        <f t="array" aca="1" ref="U8" ca="1">GUTTMAN(B4:K18,-5000)</f>
        <v>#NAME?</v>
      </c>
      <c r="W8" t="e" cm="1">
        <f t="array" aca="1" ref="W8" ca="1">FTEXT(U8)</f>
        <v>#NAME?</v>
      </c>
    </row>
    <row r="9" spans="1:23" x14ac:dyDescent="0.35">
      <c r="A9" s="305">
        <f t="shared" si="2"/>
        <v>6</v>
      </c>
      <c r="B9" s="311">
        <v>1</v>
      </c>
      <c r="C9" s="305">
        <v>2</v>
      </c>
      <c r="D9" s="305">
        <v>3</v>
      </c>
      <c r="E9" s="305">
        <v>4</v>
      </c>
      <c r="F9" s="305">
        <v>2</v>
      </c>
      <c r="G9" s="305">
        <v>5</v>
      </c>
      <c r="H9" s="305">
        <v>2</v>
      </c>
      <c r="I9" s="305">
        <v>3</v>
      </c>
      <c r="J9" s="305">
        <v>5</v>
      </c>
      <c r="K9" s="310">
        <v>2</v>
      </c>
      <c r="L9" s="305">
        <f t="shared" si="1"/>
        <v>29</v>
      </c>
      <c r="N9" t="e" cm="1">
        <f t="array" aca="1" ref="N9" ca="1">NEXT_SPLIT(N8)</f>
        <v>#NAME?</v>
      </c>
      <c r="O9" t="e" cm="1">
        <f t="array" aca="1" ref="O9" ca="1">COV_SPLIT($B$4:$K$18,N9)</f>
        <v>#NAME?</v>
      </c>
      <c r="P9" t="e">
        <f t="shared" ca="1" si="0"/>
        <v>#NAME?</v>
      </c>
    </row>
    <row r="10" spans="1:23" x14ac:dyDescent="0.35">
      <c r="A10" s="305">
        <f t="shared" si="2"/>
        <v>7</v>
      </c>
      <c r="B10" s="311">
        <v>4</v>
      </c>
      <c r="C10" s="305">
        <v>3</v>
      </c>
      <c r="D10" s="305">
        <v>5</v>
      </c>
      <c r="E10" s="305">
        <v>3</v>
      </c>
      <c r="F10" s="305">
        <v>5</v>
      </c>
      <c r="G10" s="305">
        <v>2</v>
      </c>
      <c r="H10" s="305">
        <v>1</v>
      </c>
      <c r="I10" s="305">
        <v>2</v>
      </c>
      <c r="J10" s="305">
        <v>4</v>
      </c>
      <c r="K10" s="310">
        <v>3</v>
      </c>
      <c r="L10" s="305">
        <f t="shared" si="1"/>
        <v>32</v>
      </c>
      <c r="N10" t="e" cm="1">
        <f t="array" aca="1" ref="N10" ca="1">NEXT_SPLIT(N9)</f>
        <v>#NAME?</v>
      </c>
      <c r="O10" t="e" cm="1">
        <f t="array" aca="1" ref="O10" ca="1">COV_SPLIT($B$4:$K$18,N10)</f>
        <v>#NAME?</v>
      </c>
      <c r="P10" t="e">
        <f t="shared" ca="1" si="0"/>
        <v>#NAME?</v>
      </c>
    </row>
    <row r="11" spans="1:23" x14ac:dyDescent="0.35">
      <c r="A11" s="305">
        <f t="shared" si="2"/>
        <v>8</v>
      </c>
      <c r="B11" s="311">
        <v>2</v>
      </c>
      <c r="C11" s="305">
        <v>4</v>
      </c>
      <c r="D11" s="305">
        <v>4</v>
      </c>
      <c r="E11" s="305">
        <v>3</v>
      </c>
      <c r="F11" s="305">
        <v>7</v>
      </c>
      <c r="G11" s="305">
        <v>2</v>
      </c>
      <c r="H11" s="305">
        <v>2</v>
      </c>
      <c r="I11" s="305">
        <v>4</v>
      </c>
      <c r="J11" s="305">
        <v>6</v>
      </c>
      <c r="K11" s="310">
        <v>5</v>
      </c>
      <c r="L11" s="305">
        <f t="shared" si="1"/>
        <v>39</v>
      </c>
      <c r="N11" t="e" cm="1">
        <f t="array" aca="1" ref="N11" ca="1">NEXT_SPLIT(N10)</f>
        <v>#NAME?</v>
      </c>
      <c r="O11" t="e" cm="1">
        <f t="array" aca="1" ref="O11" ca="1">COV_SPLIT($B$4:$K$18,N11)</f>
        <v>#NAME?</v>
      </c>
      <c r="P11" t="e">
        <f t="shared" ca="1" si="0"/>
        <v>#NAME?</v>
      </c>
    </row>
    <row r="12" spans="1:23" x14ac:dyDescent="0.35">
      <c r="A12" s="305">
        <f t="shared" si="2"/>
        <v>9</v>
      </c>
      <c r="B12" s="311">
        <v>6</v>
      </c>
      <c r="C12" s="305">
        <v>5</v>
      </c>
      <c r="D12" s="305">
        <v>5</v>
      </c>
      <c r="E12" s="305">
        <v>5</v>
      </c>
      <c r="F12" s="305">
        <v>1</v>
      </c>
      <c r="G12" s="305">
        <v>6</v>
      </c>
      <c r="H12" s="305">
        <v>5</v>
      </c>
      <c r="I12" s="305">
        <v>2</v>
      </c>
      <c r="J12" s="305">
        <v>3</v>
      </c>
      <c r="K12" s="310">
        <v>2</v>
      </c>
      <c r="L12" s="305">
        <f t="shared" si="1"/>
        <v>40</v>
      </c>
      <c r="N12" t="e" cm="1">
        <f t="array" aca="1" ref="N12" ca="1">NEXT_SPLIT(N11)</f>
        <v>#NAME?</v>
      </c>
      <c r="O12" t="e" cm="1">
        <f t="array" aca="1" ref="O12" ca="1">COV_SPLIT($B$4:$K$18,N12)</f>
        <v>#NAME?</v>
      </c>
      <c r="P12" t="e">
        <f t="shared" ca="1" si="0"/>
        <v>#NAME?</v>
      </c>
      <c r="R12" t="e">
        <f ca="1">N3</f>
        <v>#NAME?</v>
      </c>
      <c r="S12" s="109" t="e" cm="1">
        <f t="array" aca="1" ref="S12" ca="1">GUTTMAN_SPLIT(B4:K18,R12)</f>
        <v>#NAME?</v>
      </c>
      <c r="W12" t="e" cm="1">
        <f t="array" aca="1" ref="W12" ca="1">FTEXT(S12)</f>
        <v>#NAME?</v>
      </c>
    </row>
    <row r="13" spans="1:23" x14ac:dyDescent="0.35">
      <c r="A13" s="305">
        <f t="shared" si="2"/>
        <v>10</v>
      </c>
      <c r="B13" s="311">
        <v>5</v>
      </c>
      <c r="C13" s="305">
        <v>4</v>
      </c>
      <c r="D13" s="305">
        <v>6</v>
      </c>
      <c r="E13" s="305">
        <v>4</v>
      </c>
      <c r="F13" s="305">
        <v>3</v>
      </c>
      <c r="G13" s="305">
        <v>5</v>
      </c>
      <c r="H13" s="305">
        <v>3</v>
      </c>
      <c r="I13" s="305">
        <v>1</v>
      </c>
      <c r="J13" s="305">
        <v>7</v>
      </c>
      <c r="K13" s="310">
        <v>2</v>
      </c>
      <c r="L13" s="305">
        <f t="shared" si="1"/>
        <v>40</v>
      </c>
      <c r="N13" t="e" cm="1">
        <f t="array" aca="1" ref="N13" ca="1">NEXT_SPLIT(N12)</f>
        <v>#NAME?</v>
      </c>
      <c r="O13" t="e" cm="1">
        <f t="array" aca="1" ref="O13" ca="1">COV_SPLIT($B$4:$K$18,N13)</f>
        <v>#NAME?</v>
      </c>
      <c r="P13" t="e">
        <f t="shared" ca="1" si="0"/>
        <v>#NAME?</v>
      </c>
    </row>
    <row r="14" spans="1:23" x14ac:dyDescent="0.35">
      <c r="A14" s="305">
        <f t="shared" si="2"/>
        <v>11</v>
      </c>
      <c r="B14" s="311">
        <v>4</v>
      </c>
      <c r="C14" s="305">
        <v>3</v>
      </c>
      <c r="D14" s="305">
        <v>5</v>
      </c>
      <c r="E14" s="305">
        <v>2</v>
      </c>
      <c r="F14" s="305">
        <v>5</v>
      </c>
      <c r="G14" s="305">
        <v>3</v>
      </c>
      <c r="H14" s="305">
        <v>2</v>
      </c>
      <c r="I14" s="305">
        <v>3</v>
      </c>
      <c r="J14" s="305">
        <v>4</v>
      </c>
      <c r="K14" s="310">
        <v>1</v>
      </c>
      <c r="L14" s="305">
        <f t="shared" si="1"/>
        <v>32</v>
      </c>
      <c r="N14" t="e" cm="1">
        <f t="array" aca="1" ref="N14" ca="1">NEXT_SPLIT(N13)</f>
        <v>#NAME?</v>
      </c>
      <c r="O14" t="e" cm="1">
        <f t="array" aca="1" ref="O14" ca="1">COV_SPLIT($B$4:$K$18,N14)</f>
        <v>#NAME?</v>
      </c>
      <c r="P14" t="e">
        <f t="shared" ca="1" si="0"/>
        <v>#NAME?</v>
      </c>
    </row>
    <row r="15" spans="1:23" x14ac:dyDescent="0.35">
      <c r="A15" s="305">
        <f t="shared" si="2"/>
        <v>12</v>
      </c>
      <c r="B15" s="311">
        <v>4</v>
      </c>
      <c r="C15" s="305">
        <v>2</v>
      </c>
      <c r="D15" s="305">
        <v>3</v>
      </c>
      <c r="E15" s="305">
        <v>2</v>
      </c>
      <c r="F15" s="305">
        <v>5</v>
      </c>
      <c r="G15" s="305">
        <v>3</v>
      </c>
      <c r="H15" s="305">
        <v>4</v>
      </c>
      <c r="I15" s="305">
        <v>2</v>
      </c>
      <c r="J15" s="305">
        <v>3</v>
      </c>
      <c r="K15" s="310">
        <v>4</v>
      </c>
      <c r="L15" s="305">
        <f t="shared" si="1"/>
        <v>32</v>
      </c>
      <c r="N15" t="e" cm="1">
        <f t="array" aca="1" ref="N15" ca="1">NEXT_SPLIT(N14)</f>
        <v>#NAME?</v>
      </c>
      <c r="O15" t="e" cm="1">
        <f t="array" aca="1" ref="O15" ca="1">COV_SPLIT($B$4:$K$18,N15)</f>
        <v>#NAME?</v>
      </c>
      <c r="P15" t="e">
        <f t="shared" ca="1" si="0"/>
        <v>#NAME?</v>
      </c>
    </row>
    <row r="16" spans="1:23" x14ac:dyDescent="0.35">
      <c r="A16" s="305">
        <f t="shared" si="2"/>
        <v>13</v>
      </c>
      <c r="B16" s="311">
        <v>5</v>
      </c>
      <c r="C16" s="305">
        <v>5</v>
      </c>
      <c r="D16" s="305">
        <v>6</v>
      </c>
      <c r="E16" s="305">
        <v>2</v>
      </c>
      <c r="F16" s="305">
        <v>3</v>
      </c>
      <c r="G16" s="305">
        <v>3</v>
      </c>
      <c r="H16" s="305">
        <v>2</v>
      </c>
      <c r="I16" s="305">
        <v>4</v>
      </c>
      <c r="J16" s="305">
        <v>4</v>
      </c>
      <c r="K16" s="310">
        <v>5</v>
      </c>
      <c r="L16" s="305">
        <f t="shared" si="1"/>
        <v>39</v>
      </c>
      <c r="N16" t="e" cm="1">
        <f t="array" aca="1" ref="N16" ca="1">NEXT_SPLIT(N15)</f>
        <v>#NAME?</v>
      </c>
      <c r="O16" t="e" cm="1">
        <f t="array" aca="1" ref="O16" ca="1">COV_SPLIT($B$4:$K$18,N16)</f>
        <v>#NAME?</v>
      </c>
      <c r="P16" t="e">
        <f t="shared" ca="1" si="0"/>
        <v>#NAME?</v>
      </c>
    </row>
    <row r="17" spans="1:16" x14ac:dyDescent="0.35">
      <c r="A17" s="305">
        <f t="shared" si="2"/>
        <v>14</v>
      </c>
      <c r="B17" s="311">
        <v>6</v>
      </c>
      <c r="C17" s="305">
        <v>5</v>
      </c>
      <c r="D17" s="305">
        <v>5</v>
      </c>
      <c r="E17" s="305">
        <v>4</v>
      </c>
      <c r="F17" s="305">
        <v>2</v>
      </c>
      <c r="G17" s="305">
        <v>2</v>
      </c>
      <c r="H17" s="305">
        <v>1</v>
      </c>
      <c r="I17" s="305">
        <v>4</v>
      </c>
      <c r="J17" s="305">
        <v>6</v>
      </c>
      <c r="K17" s="310">
        <v>5</v>
      </c>
      <c r="L17" s="305">
        <f t="shared" si="1"/>
        <v>40</v>
      </c>
      <c r="N17" t="e" cm="1">
        <f t="array" aca="1" ref="N17" ca="1">NEXT_SPLIT(N16)</f>
        <v>#NAME?</v>
      </c>
      <c r="O17" t="e" cm="1">
        <f t="array" aca="1" ref="O17" ca="1">COV_SPLIT($B$4:$K$18,N17)</f>
        <v>#NAME?</v>
      </c>
      <c r="P17" t="e">
        <f t="shared" ca="1" si="0"/>
        <v>#NAME?</v>
      </c>
    </row>
    <row r="18" spans="1:16" x14ac:dyDescent="0.35">
      <c r="A18" s="305">
        <f t="shared" si="2"/>
        <v>15</v>
      </c>
      <c r="B18" s="309">
        <v>4</v>
      </c>
      <c r="C18" s="308">
        <v>3</v>
      </c>
      <c r="D18" s="308">
        <v>5</v>
      </c>
      <c r="E18" s="308">
        <v>5</v>
      </c>
      <c r="F18" s="308">
        <v>3</v>
      </c>
      <c r="G18" s="308">
        <v>1</v>
      </c>
      <c r="H18" s="308">
        <v>3</v>
      </c>
      <c r="I18" s="308">
        <v>2</v>
      </c>
      <c r="J18" s="308">
        <v>3</v>
      </c>
      <c r="K18" s="307">
        <v>4</v>
      </c>
      <c r="L18" s="305">
        <f t="shared" si="1"/>
        <v>33</v>
      </c>
      <c r="N18" t="e" cm="1">
        <f t="array" aca="1" ref="N18" ca="1">NEXT_SPLIT(N17)</f>
        <v>#NAME?</v>
      </c>
      <c r="O18" t="e" cm="1">
        <f t="array" aca="1" ref="O18" ca="1">COV_SPLIT($B$4:$K$18,N18)</f>
        <v>#NAME?</v>
      </c>
      <c r="P18" t="e">
        <f t="shared" ca="1" si="0"/>
        <v>#NAME?</v>
      </c>
    </row>
    <row r="19" spans="1:16" x14ac:dyDescent="0.35">
      <c r="N19" t="e" cm="1">
        <f t="array" aca="1" ref="N19" ca="1">NEXT_SPLIT(N18)</f>
        <v>#NAME?</v>
      </c>
      <c r="O19" t="e" cm="1">
        <f t="array" aca="1" ref="O19" ca="1">COV_SPLIT($B$4:$K$18,N19)</f>
        <v>#NAME?</v>
      </c>
      <c r="P19" t="e">
        <f t="shared" ca="1" si="0"/>
        <v>#NAME?</v>
      </c>
    </row>
    <row r="20" spans="1:16" x14ac:dyDescent="0.35">
      <c r="K20" s="298" t="s">
        <v>6</v>
      </c>
      <c r="L20" s="315">
        <f>VAR(L4:L18)</f>
        <v>43.600000000000101</v>
      </c>
      <c r="N20" t="e" cm="1">
        <f t="array" aca="1" ref="N20" ca="1">NEXT_SPLIT(N19)</f>
        <v>#NAME?</v>
      </c>
      <c r="O20" t="e" cm="1">
        <f t="array" aca="1" ref="O20" ca="1">COV_SPLIT($B$4:$K$18,N20)</f>
        <v>#NAME?</v>
      </c>
      <c r="P20" t="e">
        <f t="shared" ca="1" si="0"/>
        <v>#NAME?</v>
      </c>
    </row>
    <row r="21" spans="1:16" x14ac:dyDescent="0.35">
      <c r="N21" t="e" cm="1">
        <f t="array" aca="1" ref="N21" ca="1">NEXT_SPLIT(N20)</f>
        <v>#NAME?</v>
      </c>
      <c r="O21" t="e" cm="1">
        <f t="array" aca="1" ref="O21" ca="1">COV_SPLIT($B$4:$K$18,N21)</f>
        <v>#NAME?</v>
      </c>
      <c r="P21" t="e">
        <f t="shared" ca="1" si="0"/>
        <v>#NAME?</v>
      </c>
    </row>
    <row r="22" spans="1:16" x14ac:dyDescent="0.35">
      <c r="N22" t="e" cm="1">
        <f t="array" aca="1" ref="N22" ca="1">NEXT_SPLIT(N21)</f>
        <v>#NAME?</v>
      </c>
      <c r="O22" t="e" cm="1">
        <f t="array" aca="1" ref="O22" ca="1">COV_SPLIT($B$4:$K$18,N22)</f>
        <v>#NAME?</v>
      </c>
      <c r="P22" t="e">
        <f t="shared" ca="1" si="0"/>
        <v>#NAME?</v>
      </c>
    </row>
    <row r="23" spans="1:16" x14ac:dyDescent="0.35">
      <c r="N23" t="e" cm="1">
        <f t="array" aca="1" ref="N23" ca="1">NEXT_SPLIT(N22)</f>
        <v>#NAME?</v>
      </c>
      <c r="O23" t="e" cm="1">
        <f t="array" aca="1" ref="O23" ca="1">COV_SPLIT($B$4:$K$18,N23)</f>
        <v>#NAME?</v>
      </c>
      <c r="P23" t="e">
        <f t="shared" ca="1" si="0"/>
        <v>#NAME?</v>
      </c>
    </row>
    <row r="24" spans="1:16" x14ac:dyDescent="0.35">
      <c r="N24" t="e" cm="1">
        <f t="array" aca="1" ref="N24" ca="1">NEXT_SPLIT(N23)</f>
        <v>#NAME?</v>
      </c>
      <c r="O24" t="e" cm="1">
        <f t="array" aca="1" ref="O24" ca="1">COV_SPLIT($B$4:$K$18,N24)</f>
        <v>#NAME?</v>
      </c>
      <c r="P24" t="e">
        <f t="shared" ca="1" si="0"/>
        <v>#NAME?</v>
      </c>
    </row>
    <row r="25" spans="1:16" x14ac:dyDescent="0.35">
      <c r="N25" t="e" cm="1">
        <f t="array" aca="1" ref="N25" ca="1">NEXT_SPLIT(N24)</f>
        <v>#NAME?</v>
      </c>
      <c r="O25" t="e" cm="1">
        <f t="array" aca="1" ref="O25" ca="1">COV_SPLIT($B$4:$K$18,N25)</f>
        <v>#NAME?</v>
      </c>
      <c r="P25" t="e">
        <f t="shared" ca="1" si="0"/>
        <v>#NAME?</v>
      </c>
    </row>
    <row r="26" spans="1:16" x14ac:dyDescent="0.35">
      <c r="N26" t="e" cm="1">
        <f t="array" aca="1" ref="N26" ca="1">NEXT_SPLIT(N25)</f>
        <v>#NAME?</v>
      </c>
      <c r="O26" t="e" cm="1">
        <f t="array" aca="1" ref="O26" ca="1">COV_SPLIT($B$4:$K$18,N26)</f>
        <v>#NAME?</v>
      </c>
      <c r="P26" t="e">
        <f t="shared" ca="1" si="0"/>
        <v>#NAME?</v>
      </c>
    </row>
    <row r="27" spans="1:16" x14ac:dyDescent="0.35">
      <c r="N27" t="e" cm="1">
        <f t="array" aca="1" ref="N27" ca="1">NEXT_SPLIT(N26)</f>
        <v>#NAME?</v>
      </c>
      <c r="O27" t="e" cm="1">
        <f t="array" aca="1" ref="O27" ca="1">COV_SPLIT($B$4:$K$18,N27)</f>
        <v>#NAME?</v>
      </c>
      <c r="P27" t="e">
        <f t="shared" ca="1" si="0"/>
        <v>#NAME?</v>
      </c>
    </row>
    <row r="28" spans="1:16" x14ac:dyDescent="0.35">
      <c r="N28" t="e" cm="1">
        <f t="array" aca="1" ref="N28" ca="1">NEXT_SPLIT(N27)</f>
        <v>#NAME?</v>
      </c>
      <c r="O28" t="e" cm="1">
        <f t="array" aca="1" ref="O28" ca="1">COV_SPLIT($B$4:$K$18,N28)</f>
        <v>#NAME?</v>
      </c>
      <c r="P28" t="e">
        <f t="shared" ca="1" si="0"/>
        <v>#NAME?</v>
      </c>
    </row>
    <row r="29" spans="1:16" x14ac:dyDescent="0.35">
      <c r="N29" t="e" cm="1">
        <f t="array" aca="1" ref="N29" ca="1">NEXT_SPLIT(N28)</f>
        <v>#NAME?</v>
      </c>
      <c r="O29" t="e" cm="1">
        <f t="array" aca="1" ref="O29" ca="1">COV_SPLIT($B$4:$K$18,N29)</f>
        <v>#NAME?</v>
      </c>
      <c r="P29" t="e">
        <f t="shared" ca="1" si="0"/>
        <v>#NAME?</v>
      </c>
    </row>
    <row r="30" spans="1:16" x14ac:dyDescent="0.35">
      <c r="N30" t="e" cm="1">
        <f t="array" aca="1" ref="N30" ca="1">NEXT_SPLIT(N29)</f>
        <v>#NAME?</v>
      </c>
      <c r="O30" t="e" cm="1">
        <f t="array" aca="1" ref="O30" ca="1">COV_SPLIT($B$4:$K$18,N30)</f>
        <v>#NAME?</v>
      </c>
      <c r="P30" t="e">
        <f t="shared" ca="1" si="0"/>
        <v>#NAME?</v>
      </c>
    </row>
    <row r="31" spans="1:16" x14ac:dyDescent="0.35">
      <c r="N31" t="e" cm="1">
        <f t="array" aca="1" ref="N31" ca="1">NEXT_SPLIT(N30)</f>
        <v>#NAME?</v>
      </c>
      <c r="O31" t="e" cm="1">
        <f t="array" aca="1" ref="O31" ca="1">COV_SPLIT($B$4:$K$18,N31)</f>
        <v>#NAME?</v>
      </c>
      <c r="P31" t="e">
        <f t="shared" ca="1" si="0"/>
        <v>#NAME?</v>
      </c>
    </row>
    <row r="32" spans="1:16" x14ac:dyDescent="0.35">
      <c r="N32" t="e" cm="1">
        <f t="array" aca="1" ref="N32" ca="1">NEXT_SPLIT(N31)</f>
        <v>#NAME?</v>
      </c>
      <c r="O32" t="e" cm="1">
        <f t="array" aca="1" ref="O32" ca="1">COV_SPLIT($B$4:$K$18,N32)</f>
        <v>#NAME?</v>
      </c>
      <c r="P32" t="e">
        <f t="shared" ca="1" si="0"/>
        <v>#NAME?</v>
      </c>
    </row>
    <row r="33" spans="14:16" x14ac:dyDescent="0.35">
      <c r="N33" t="e" cm="1">
        <f t="array" aca="1" ref="N33" ca="1">NEXT_SPLIT(N32)</f>
        <v>#NAME?</v>
      </c>
      <c r="O33" t="e" cm="1">
        <f t="array" aca="1" ref="O33" ca="1">COV_SPLIT($B$4:$K$18,N33)</f>
        <v>#NAME?</v>
      </c>
      <c r="P33" t="e">
        <f t="shared" ca="1" si="0"/>
        <v>#NAME?</v>
      </c>
    </row>
    <row r="34" spans="14:16" x14ac:dyDescent="0.35">
      <c r="N34" t="e" cm="1">
        <f t="array" aca="1" ref="N34" ca="1">NEXT_SPLIT(N33)</f>
        <v>#NAME?</v>
      </c>
      <c r="O34" t="e" cm="1">
        <f t="array" aca="1" ref="O34" ca="1">COV_SPLIT($B$4:$K$18,N34)</f>
        <v>#NAME?</v>
      </c>
      <c r="P34" t="e">
        <f t="shared" ca="1" si="0"/>
        <v>#NAME?</v>
      </c>
    </row>
    <row r="35" spans="14:16" x14ac:dyDescent="0.35">
      <c r="N35" t="e" cm="1">
        <f t="array" aca="1" ref="N35" ca="1">NEXT_SPLIT(N34)</f>
        <v>#NAME?</v>
      </c>
      <c r="O35" t="e" cm="1">
        <f t="array" aca="1" ref="O35" ca="1">COV_SPLIT($B$4:$K$18,N35)</f>
        <v>#NAME?</v>
      </c>
      <c r="P35" t="e">
        <f t="shared" ref="P35:P66" ca="1" si="3">4*O35/L$20</f>
        <v>#NAME?</v>
      </c>
    </row>
    <row r="36" spans="14:16" x14ac:dyDescent="0.35">
      <c r="N36" t="e" cm="1">
        <f t="array" aca="1" ref="N36" ca="1">NEXT_SPLIT(N35)</f>
        <v>#NAME?</v>
      </c>
      <c r="O36" t="e" cm="1">
        <f t="array" aca="1" ref="O36" ca="1">COV_SPLIT($B$4:$K$18,N36)</f>
        <v>#NAME?</v>
      </c>
      <c r="P36" t="e">
        <f t="shared" ca="1" si="3"/>
        <v>#NAME?</v>
      </c>
    </row>
    <row r="37" spans="14:16" x14ac:dyDescent="0.35">
      <c r="N37" t="e" cm="1">
        <f t="array" aca="1" ref="N37" ca="1">NEXT_SPLIT(N36)</f>
        <v>#NAME?</v>
      </c>
      <c r="O37" t="e" cm="1">
        <f t="array" aca="1" ref="O37" ca="1">COV_SPLIT($B$4:$K$18,N37)</f>
        <v>#NAME?</v>
      </c>
      <c r="P37" t="e">
        <f t="shared" ca="1" si="3"/>
        <v>#NAME?</v>
      </c>
    </row>
    <row r="38" spans="14:16" x14ac:dyDescent="0.35">
      <c r="N38" t="e" cm="1">
        <f t="array" aca="1" ref="N38" ca="1">NEXT_SPLIT(N37)</f>
        <v>#NAME?</v>
      </c>
      <c r="O38" t="e" cm="1">
        <f t="array" aca="1" ref="O38" ca="1">COV_SPLIT($B$4:$K$18,N38)</f>
        <v>#NAME?</v>
      </c>
      <c r="P38" t="e">
        <f t="shared" ca="1" si="3"/>
        <v>#NAME?</v>
      </c>
    </row>
    <row r="39" spans="14:16" x14ac:dyDescent="0.35">
      <c r="N39" t="e" cm="1">
        <f t="array" aca="1" ref="N39" ca="1">NEXT_SPLIT(N38)</f>
        <v>#NAME?</v>
      </c>
      <c r="O39" t="e" cm="1">
        <f t="array" aca="1" ref="O39" ca="1">COV_SPLIT($B$4:$K$18,N39)</f>
        <v>#NAME?</v>
      </c>
      <c r="P39" t="e">
        <f t="shared" ca="1" si="3"/>
        <v>#NAME?</v>
      </c>
    </row>
    <row r="40" spans="14:16" x14ac:dyDescent="0.35">
      <c r="N40" t="e" cm="1">
        <f t="array" aca="1" ref="N40" ca="1">NEXT_SPLIT(N39)</f>
        <v>#NAME?</v>
      </c>
      <c r="O40" t="e" cm="1">
        <f t="array" aca="1" ref="O40" ca="1">COV_SPLIT($B$4:$K$18,N40)</f>
        <v>#NAME?</v>
      </c>
      <c r="P40" t="e">
        <f t="shared" ca="1" si="3"/>
        <v>#NAME?</v>
      </c>
    </row>
    <row r="41" spans="14:16" x14ac:dyDescent="0.35">
      <c r="N41" t="e" cm="1">
        <f t="array" aca="1" ref="N41" ca="1">NEXT_SPLIT(N40)</f>
        <v>#NAME?</v>
      </c>
      <c r="O41" t="e" cm="1">
        <f t="array" aca="1" ref="O41" ca="1">COV_SPLIT($B$4:$K$18,N41)</f>
        <v>#NAME?</v>
      </c>
      <c r="P41" t="e">
        <f t="shared" ca="1" si="3"/>
        <v>#NAME?</v>
      </c>
    </row>
    <row r="42" spans="14:16" x14ac:dyDescent="0.35">
      <c r="N42" t="e" cm="1">
        <f t="array" aca="1" ref="N42" ca="1">NEXT_SPLIT(N41)</f>
        <v>#NAME?</v>
      </c>
      <c r="O42" t="e" cm="1">
        <f t="array" aca="1" ref="O42" ca="1">COV_SPLIT($B$4:$K$18,N42)</f>
        <v>#NAME?</v>
      </c>
      <c r="P42" t="e">
        <f t="shared" ca="1" si="3"/>
        <v>#NAME?</v>
      </c>
    </row>
    <row r="43" spans="14:16" x14ac:dyDescent="0.35">
      <c r="N43" t="e" cm="1">
        <f t="array" aca="1" ref="N43" ca="1">NEXT_SPLIT(N42)</f>
        <v>#NAME?</v>
      </c>
      <c r="O43" t="e" cm="1">
        <f t="array" aca="1" ref="O43" ca="1">COV_SPLIT($B$4:$K$18,N43)</f>
        <v>#NAME?</v>
      </c>
      <c r="P43" t="e">
        <f t="shared" ca="1" si="3"/>
        <v>#NAME?</v>
      </c>
    </row>
    <row r="44" spans="14:16" x14ac:dyDescent="0.35">
      <c r="N44" t="e" cm="1">
        <f t="array" aca="1" ref="N44" ca="1">NEXT_SPLIT(N43)</f>
        <v>#NAME?</v>
      </c>
      <c r="O44" t="e" cm="1">
        <f t="array" aca="1" ref="O44" ca="1">COV_SPLIT($B$4:$K$18,N44)</f>
        <v>#NAME?</v>
      </c>
      <c r="P44" t="e">
        <f t="shared" ca="1" si="3"/>
        <v>#NAME?</v>
      </c>
    </row>
    <row r="45" spans="14:16" x14ac:dyDescent="0.35">
      <c r="N45" t="e" cm="1">
        <f t="array" aca="1" ref="N45" ca="1">NEXT_SPLIT(N44)</f>
        <v>#NAME?</v>
      </c>
      <c r="O45" t="e" cm="1">
        <f t="array" aca="1" ref="O45" ca="1">COV_SPLIT($B$4:$K$18,N45)</f>
        <v>#NAME?</v>
      </c>
      <c r="P45" t="e">
        <f t="shared" ca="1" si="3"/>
        <v>#NAME?</v>
      </c>
    </row>
    <row r="46" spans="14:16" x14ac:dyDescent="0.35">
      <c r="N46" t="e" cm="1">
        <f t="array" aca="1" ref="N46" ca="1">NEXT_SPLIT(N45)</f>
        <v>#NAME?</v>
      </c>
      <c r="O46" t="e" cm="1">
        <f t="array" aca="1" ref="O46" ca="1">COV_SPLIT($B$4:$K$18,N46)</f>
        <v>#NAME?</v>
      </c>
      <c r="P46" t="e">
        <f t="shared" ca="1" si="3"/>
        <v>#NAME?</v>
      </c>
    </row>
    <row r="47" spans="14:16" x14ac:dyDescent="0.35">
      <c r="N47" t="e" cm="1">
        <f t="array" aca="1" ref="N47" ca="1">NEXT_SPLIT(N46)</f>
        <v>#NAME?</v>
      </c>
      <c r="O47" t="e" cm="1">
        <f t="array" aca="1" ref="O47" ca="1">COV_SPLIT($B$4:$K$18,N47)</f>
        <v>#NAME?</v>
      </c>
      <c r="P47" t="e">
        <f t="shared" ca="1" si="3"/>
        <v>#NAME?</v>
      </c>
    </row>
    <row r="48" spans="14:16" x14ac:dyDescent="0.35">
      <c r="N48" t="e" cm="1">
        <f t="array" aca="1" ref="N48" ca="1">NEXT_SPLIT(N47)</f>
        <v>#NAME?</v>
      </c>
      <c r="O48" t="e" cm="1">
        <f t="array" aca="1" ref="O48" ca="1">COV_SPLIT($B$4:$K$18,N48)</f>
        <v>#NAME?</v>
      </c>
      <c r="P48" t="e">
        <f t="shared" ca="1" si="3"/>
        <v>#NAME?</v>
      </c>
    </row>
    <row r="49" spans="14:16" x14ac:dyDescent="0.35">
      <c r="N49" t="e" cm="1">
        <f t="array" aca="1" ref="N49" ca="1">NEXT_SPLIT(N48)</f>
        <v>#NAME?</v>
      </c>
      <c r="O49" t="e" cm="1">
        <f t="array" aca="1" ref="O49" ca="1">COV_SPLIT($B$4:$K$18,N49)</f>
        <v>#NAME?</v>
      </c>
      <c r="P49" t="e">
        <f t="shared" ca="1" si="3"/>
        <v>#NAME?</v>
      </c>
    </row>
    <row r="50" spans="14:16" x14ac:dyDescent="0.35">
      <c r="N50" t="e" cm="1">
        <f t="array" aca="1" ref="N50" ca="1">NEXT_SPLIT(N49)</f>
        <v>#NAME?</v>
      </c>
      <c r="O50" t="e" cm="1">
        <f t="array" aca="1" ref="O50" ca="1">COV_SPLIT($B$4:$K$18,N50)</f>
        <v>#NAME?</v>
      </c>
      <c r="P50" t="e">
        <f t="shared" ca="1" si="3"/>
        <v>#NAME?</v>
      </c>
    </row>
    <row r="51" spans="14:16" x14ac:dyDescent="0.35">
      <c r="N51" t="e" cm="1">
        <f t="array" aca="1" ref="N51" ca="1">NEXT_SPLIT(N50)</f>
        <v>#NAME?</v>
      </c>
      <c r="O51" t="e" cm="1">
        <f t="array" aca="1" ref="O51" ca="1">COV_SPLIT($B$4:$K$18,N51)</f>
        <v>#NAME?</v>
      </c>
      <c r="P51" t="e">
        <f t="shared" ca="1" si="3"/>
        <v>#NAME?</v>
      </c>
    </row>
    <row r="52" spans="14:16" x14ac:dyDescent="0.35">
      <c r="N52" t="e" cm="1">
        <f t="array" aca="1" ref="N52" ca="1">NEXT_SPLIT(N51)</f>
        <v>#NAME?</v>
      </c>
      <c r="O52" t="e" cm="1">
        <f t="array" aca="1" ref="O52" ca="1">COV_SPLIT($B$4:$K$18,N52)</f>
        <v>#NAME?</v>
      </c>
      <c r="P52" t="e">
        <f t="shared" ca="1" si="3"/>
        <v>#NAME?</v>
      </c>
    </row>
    <row r="53" spans="14:16" x14ac:dyDescent="0.35">
      <c r="N53" t="e" cm="1">
        <f t="array" aca="1" ref="N53" ca="1">NEXT_SPLIT(N52)</f>
        <v>#NAME?</v>
      </c>
      <c r="O53" t="e" cm="1">
        <f t="array" aca="1" ref="O53" ca="1">COV_SPLIT($B$4:$K$18,N53)</f>
        <v>#NAME?</v>
      </c>
      <c r="P53" t="e">
        <f t="shared" ca="1" si="3"/>
        <v>#NAME?</v>
      </c>
    </row>
    <row r="54" spans="14:16" x14ac:dyDescent="0.35">
      <c r="N54" t="e" cm="1">
        <f t="array" aca="1" ref="N54" ca="1">NEXT_SPLIT(N53)</f>
        <v>#NAME?</v>
      </c>
      <c r="O54" t="e" cm="1">
        <f t="array" aca="1" ref="O54" ca="1">COV_SPLIT($B$4:$K$18,N54)</f>
        <v>#NAME?</v>
      </c>
      <c r="P54" t="e">
        <f t="shared" ca="1" si="3"/>
        <v>#NAME?</v>
      </c>
    </row>
    <row r="55" spans="14:16" x14ac:dyDescent="0.35">
      <c r="N55" t="e" cm="1">
        <f t="array" aca="1" ref="N55" ca="1">NEXT_SPLIT(N54)</f>
        <v>#NAME?</v>
      </c>
      <c r="O55" t="e" cm="1">
        <f t="array" aca="1" ref="O55" ca="1">COV_SPLIT($B$4:$K$18,N55)</f>
        <v>#NAME?</v>
      </c>
      <c r="P55" t="e">
        <f t="shared" ca="1" si="3"/>
        <v>#NAME?</v>
      </c>
    </row>
    <row r="56" spans="14:16" x14ac:dyDescent="0.35">
      <c r="N56" t="e" cm="1">
        <f t="array" aca="1" ref="N56" ca="1">NEXT_SPLIT(N55)</f>
        <v>#NAME?</v>
      </c>
      <c r="O56" t="e" cm="1">
        <f t="array" aca="1" ref="O56" ca="1">COV_SPLIT($B$4:$K$18,N56)</f>
        <v>#NAME?</v>
      </c>
      <c r="P56" t="e">
        <f t="shared" ca="1" si="3"/>
        <v>#NAME?</v>
      </c>
    </row>
    <row r="57" spans="14:16" x14ac:dyDescent="0.35">
      <c r="N57" t="e" cm="1">
        <f t="array" aca="1" ref="N57" ca="1">NEXT_SPLIT(N56)</f>
        <v>#NAME?</v>
      </c>
      <c r="O57" t="e" cm="1">
        <f t="array" aca="1" ref="O57" ca="1">COV_SPLIT($B$4:$K$18,N57)</f>
        <v>#NAME?</v>
      </c>
      <c r="P57" t="e">
        <f t="shared" ca="1" si="3"/>
        <v>#NAME?</v>
      </c>
    </row>
    <row r="58" spans="14:16" x14ac:dyDescent="0.35">
      <c r="N58" t="e" cm="1">
        <f t="array" aca="1" ref="N58" ca="1">NEXT_SPLIT(N57)</f>
        <v>#NAME?</v>
      </c>
      <c r="O58" t="e" cm="1">
        <f t="array" aca="1" ref="O58" ca="1">COV_SPLIT($B$4:$K$18,N58)</f>
        <v>#NAME?</v>
      </c>
      <c r="P58" t="e">
        <f t="shared" ca="1" si="3"/>
        <v>#NAME?</v>
      </c>
    </row>
    <row r="59" spans="14:16" x14ac:dyDescent="0.35">
      <c r="N59" t="e" cm="1">
        <f t="array" aca="1" ref="N59" ca="1">NEXT_SPLIT(N58)</f>
        <v>#NAME?</v>
      </c>
      <c r="O59" t="e" cm="1">
        <f t="array" aca="1" ref="O59" ca="1">COV_SPLIT($B$4:$K$18,N59)</f>
        <v>#NAME?</v>
      </c>
      <c r="P59" t="e">
        <f t="shared" ca="1" si="3"/>
        <v>#NAME?</v>
      </c>
    </row>
    <row r="60" spans="14:16" x14ac:dyDescent="0.35">
      <c r="N60" t="e" cm="1">
        <f t="array" aca="1" ref="N60" ca="1">NEXT_SPLIT(N59)</f>
        <v>#NAME?</v>
      </c>
      <c r="O60" t="e" cm="1">
        <f t="array" aca="1" ref="O60" ca="1">COV_SPLIT($B$4:$K$18,N60)</f>
        <v>#NAME?</v>
      </c>
      <c r="P60" t="e">
        <f t="shared" ca="1" si="3"/>
        <v>#NAME?</v>
      </c>
    </row>
    <row r="61" spans="14:16" x14ac:dyDescent="0.35">
      <c r="N61" t="e" cm="1">
        <f t="array" aca="1" ref="N61" ca="1">NEXT_SPLIT(N60)</f>
        <v>#NAME?</v>
      </c>
      <c r="O61" t="e" cm="1">
        <f t="array" aca="1" ref="O61" ca="1">COV_SPLIT($B$4:$K$18,N61)</f>
        <v>#NAME?</v>
      </c>
      <c r="P61" t="e">
        <f t="shared" ca="1" si="3"/>
        <v>#NAME?</v>
      </c>
    </row>
    <row r="62" spans="14:16" x14ac:dyDescent="0.35">
      <c r="N62" t="e" cm="1">
        <f t="array" aca="1" ref="N62" ca="1">NEXT_SPLIT(N61)</f>
        <v>#NAME?</v>
      </c>
      <c r="O62" t="e" cm="1">
        <f t="array" aca="1" ref="O62" ca="1">COV_SPLIT($B$4:$K$18,N62)</f>
        <v>#NAME?</v>
      </c>
      <c r="P62" t="e">
        <f t="shared" ca="1" si="3"/>
        <v>#NAME?</v>
      </c>
    </row>
    <row r="63" spans="14:16" x14ac:dyDescent="0.35">
      <c r="N63" t="e" cm="1">
        <f t="array" aca="1" ref="N63" ca="1">NEXT_SPLIT(N62)</f>
        <v>#NAME?</v>
      </c>
      <c r="O63" t="e" cm="1">
        <f t="array" aca="1" ref="O63" ca="1">COV_SPLIT($B$4:$K$18,N63)</f>
        <v>#NAME?</v>
      </c>
      <c r="P63" t="e">
        <f t="shared" ca="1" si="3"/>
        <v>#NAME?</v>
      </c>
    </row>
    <row r="64" spans="14:16" x14ac:dyDescent="0.35">
      <c r="N64" t="e" cm="1">
        <f t="array" aca="1" ref="N64" ca="1">NEXT_SPLIT(N63)</f>
        <v>#NAME?</v>
      </c>
      <c r="O64" t="e" cm="1">
        <f t="array" aca="1" ref="O64" ca="1">COV_SPLIT($B$4:$K$18,N64)</f>
        <v>#NAME?</v>
      </c>
      <c r="P64" t="e">
        <f t="shared" ca="1" si="3"/>
        <v>#NAME?</v>
      </c>
    </row>
    <row r="65" spans="14:16" x14ac:dyDescent="0.35">
      <c r="N65" t="e" cm="1">
        <f t="array" aca="1" ref="N65" ca="1">NEXT_SPLIT(N64)</f>
        <v>#NAME?</v>
      </c>
      <c r="O65" t="e" cm="1">
        <f t="array" aca="1" ref="O65" ca="1">COV_SPLIT($B$4:$K$18,N65)</f>
        <v>#NAME?</v>
      </c>
      <c r="P65" t="e">
        <f t="shared" ca="1" si="3"/>
        <v>#NAME?</v>
      </c>
    </row>
    <row r="66" spans="14:16" x14ac:dyDescent="0.35">
      <c r="N66" t="e" cm="1">
        <f t="array" aca="1" ref="N66" ca="1">NEXT_SPLIT(N65)</f>
        <v>#NAME?</v>
      </c>
      <c r="O66" t="e" cm="1">
        <f t="array" aca="1" ref="O66" ca="1">COV_SPLIT($B$4:$K$18,N66)</f>
        <v>#NAME?</v>
      </c>
      <c r="P66" t="e">
        <f t="shared" ca="1" si="3"/>
        <v>#NAME?</v>
      </c>
    </row>
    <row r="67" spans="14:16" x14ac:dyDescent="0.35">
      <c r="N67" t="e" cm="1">
        <f t="array" aca="1" ref="N67" ca="1">NEXT_SPLIT(N66)</f>
        <v>#NAME?</v>
      </c>
      <c r="O67" t="e" cm="1">
        <f t="array" aca="1" ref="O67" ca="1">COV_SPLIT($B$4:$K$18,N67)</f>
        <v>#NAME?</v>
      </c>
      <c r="P67" t="e">
        <f t="shared" ref="P67:P98" ca="1" si="4">4*O67/L$20</f>
        <v>#NAME?</v>
      </c>
    </row>
    <row r="68" spans="14:16" x14ac:dyDescent="0.35">
      <c r="N68" t="e" cm="1">
        <f t="array" aca="1" ref="N68" ca="1">NEXT_SPLIT(N67)</f>
        <v>#NAME?</v>
      </c>
      <c r="O68" t="e" cm="1">
        <f t="array" aca="1" ref="O68" ca="1">COV_SPLIT($B$4:$K$18,N68)</f>
        <v>#NAME?</v>
      </c>
      <c r="P68" t="e">
        <f t="shared" ca="1" si="4"/>
        <v>#NAME?</v>
      </c>
    </row>
    <row r="69" spans="14:16" x14ac:dyDescent="0.35">
      <c r="N69" t="e" cm="1">
        <f t="array" aca="1" ref="N69" ca="1">NEXT_SPLIT(N68)</f>
        <v>#NAME?</v>
      </c>
      <c r="O69" t="e" cm="1">
        <f t="array" aca="1" ref="O69" ca="1">COV_SPLIT($B$4:$K$18,N69)</f>
        <v>#NAME?</v>
      </c>
      <c r="P69" t="e">
        <f t="shared" ca="1" si="4"/>
        <v>#NAME?</v>
      </c>
    </row>
    <row r="70" spans="14:16" x14ac:dyDescent="0.35">
      <c r="N70" t="e" cm="1">
        <f t="array" aca="1" ref="N70" ca="1">NEXT_SPLIT(N69)</f>
        <v>#NAME?</v>
      </c>
      <c r="O70" t="e" cm="1">
        <f t="array" aca="1" ref="O70" ca="1">COV_SPLIT($B$4:$K$18,N70)</f>
        <v>#NAME?</v>
      </c>
      <c r="P70" t="e">
        <f t="shared" ca="1" si="4"/>
        <v>#NAME?</v>
      </c>
    </row>
    <row r="71" spans="14:16" x14ac:dyDescent="0.35">
      <c r="N71" t="e" cm="1">
        <f t="array" aca="1" ref="N71" ca="1">NEXT_SPLIT(N70)</f>
        <v>#NAME?</v>
      </c>
      <c r="O71" t="e" cm="1">
        <f t="array" aca="1" ref="O71" ca="1">COV_SPLIT($B$4:$K$18,N71)</f>
        <v>#NAME?</v>
      </c>
      <c r="P71" t="e">
        <f t="shared" ca="1" si="4"/>
        <v>#NAME?</v>
      </c>
    </row>
    <row r="72" spans="14:16" x14ac:dyDescent="0.35">
      <c r="N72" t="e" cm="1">
        <f t="array" aca="1" ref="N72" ca="1">NEXT_SPLIT(N71)</f>
        <v>#NAME?</v>
      </c>
      <c r="O72" t="e" cm="1">
        <f t="array" aca="1" ref="O72" ca="1">COV_SPLIT($B$4:$K$18,N72)</f>
        <v>#NAME?</v>
      </c>
      <c r="P72" t="e">
        <f t="shared" ca="1" si="4"/>
        <v>#NAME?</v>
      </c>
    </row>
    <row r="73" spans="14:16" x14ac:dyDescent="0.35">
      <c r="N73" t="e" cm="1">
        <f t="array" aca="1" ref="N73" ca="1">NEXT_SPLIT(N72)</f>
        <v>#NAME?</v>
      </c>
      <c r="O73" t="e" cm="1">
        <f t="array" aca="1" ref="O73" ca="1">COV_SPLIT($B$4:$K$18,N73)</f>
        <v>#NAME?</v>
      </c>
      <c r="P73" t="e">
        <f t="shared" ca="1" si="4"/>
        <v>#NAME?</v>
      </c>
    </row>
    <row r="74" spans="14:16" x14ac:dyDescent="0.35">
      <c r="N74" t="e" cm="1">
        <f t="array" aca="1" ref="N74" ca="1">NEXT_SPLIT(N73)</f>
        <v>#NAME?</v>
      </c>
      <c r="O74" t="e" cm="1">
        <f t="array" aca="1" ref="O74" ca="1">COV_SPLIT($B$4:$K$18,N74)</f>
        <v>#NAME?</v>
      </c>
      <c r="P74" t="e">
        <f t="shared" ca="1" si="4"/>
        <v>#NAME?</v>
      </c>
    </row>
    <row r="75" spans="14:16" x14ac:dyDescent="0.35">
      <c r="N75" t="e" cm="1">
        <f t="array" aca="1" ref="N75" ca="1">NEXT_SPLIT(N74)</f>
        <v>#NAME?</v>
      </c>
      <c r="O75" t="e" cm="1">
        <f t="array" aca="1" ref="O75" ca="1">COV_SPLIT($B$4:$K$18,N75)</f>
        <v>#NAME?</v>
      </c>
      <c r="P75" t="e">
        <f t="shared" ca="1" si="4"/>
        <v>#NAME?</v>
      </c>
    </row>
    <row r="76" spans="14:16" x14ac:dyDescent="0.35">
      <c r="N76" t="e" cm="1">
        <f t="array" aca="1" ref="N76" ca="1">NEXT_SPLIT(N75)</f>
        <v>#NAME?</v>
      </c>
      <c r="O76" t="e" cm="1">
        <f t="array" aca="1" ref="O76" ca="1">COV_SPLIT($B$4:$K$18,N76)</f>
        <v>#NAME?</v>
      </c>
      <c r="P76" t="e">
        <f t="shared" ca="1" si="4"/>
        <v>#NAME?</v>
      </c>
    </row>
    <row r="77" spans="14:16" x14ac:dyDescent="0.35">
      <c r="N77" t="e" cm="1">
        <f t="array" aca="1" ref="N77" ca="1">NEXT_SPLIT(N76)</f>
        <v>#NAME?</v>
      </c>
      <c r="O77" t="e" cm="1">
        <f t="array" aca="1" ref="O77" ca="1">COV_SPLIT($B$4:$K$18,N77)</f>
        <v>#NAME?</v>
      </c>
      <c r="P77" t="e">
        <f t="shared" ca="1" si="4"/>
        <v>#NAME?</v>
      </c>
    </row>
    <row r="78" spans="14:16" x14ac:dyDescent="0.35">
      <c r="N78" t="e" cm="1">
        <f t="array" aca="1" ref="N78" ca="1">NEXT_SPLIT(N77)</f>
        <v>#NAME?</v>
      </c>
      <c r="O78" t="e" cm="1">
        <f t="array" aca="1" ref="O78" ca="1">COV_SPLIT($B$4:$K$18,N78)</f>
        <v>#NAME?</v>
      </c>
      <c r="P78" t="e">
        <f t="shared" ca="1" si="4"/>
        <v>#NAME?</v>
      </c>
    </row>
    <row r="79" spans="14:16" x14ac:dyDescent="0.35">
      <c r="N79" t="e" cm="1">
        <f t="array" aca="1" ref="N79" ca="1">NEXT_SPLIT(N78)</f>
        <v>#NAME?</v>
      </c>
      <c r="O79" t="e" cm="1">
        <f t="array" aca="1" ref="O79" ca="1">COV_SPLIT($B$4:$K$18,N79)</f>
        <v>#NAME?</v>
      </c>
      <c r="P79" t="e">
        <f t="shared" ca="1" si="4"/>
        <v>#NAME?</v>
      </c>
    </row>
    <row r="80" spans="14:16" x14ac:dyDescent="0.35">
      <c r="N80" t="e" cm="1">
        <f t="array" aca="1" ref="N80" ca="1">NEXT_SPLIT(N79)</f>
        <v>#NAME?</v>
      </c>
      <c r="O80" t="e" cm="1">
        <f t="array" aca="1" ref="O80" ca="1">COV_SPLIT($B$4:$K$18,N80)</f>
        <v>#NAME?</v>
      </c>
      <c r="P80" t="e">
        <f t="shared" ca="1" si="4"/>
        <v>#NAME?</v>
      </c>
    </row>
    <row r="81" spans="14:16" x14ac:dyDescent="0.35">
      <c r="N81" t="e" cm="1">
        <f t="array" aca="1" ref="N81" ca="1">NEXT_SPLIT(N80)</f>
        <v>#NAME?</v>
      </c>
      <c r="O81" t="e" cm="1">
        <f t="array" aca="1" ref="O81" ca="1">COV_SPLIT($B$4:$K$18,N81)</f>
        <v>#NAME?</v>
      </c>
      <c r="P81" t="e">
        <f t="shared" ca="1" si="4"/>
        <v>#NAME?</v>
      </c>
    </row>
    <row r="82" spans="14:16" x14ac:dyDescent="0.35">
      <c r="N82" t="e" cm="1">
        <f t="array" aca="1" ref="N82" ca="1">NEXT_SPLIT(N81)</f>
        <v>#NAME?</v>
      </c>
      <c r="O82" t="e" cm="1">
        <f t="array" aca="1" ref="O82" ca="1">COV_SPLIT($B$4:$K$18,N82)</f>
        <v>#NAME?</v>
      </c>
      <c r="P82" t="e">
        <f t="shared" ca="1" si="4"/>
        <v>#NAME?</v>
      </c>
    </row>
    <row r="83" spans="14:16" x14ac:dyDescent="0.35">
      <c r="N83" t="e" cm="1">
        <f t="array" aca="1" ref="N83" ca="1">NEXT_SPLIT(N82)</f>
        <v>#NAME?</v>
      </c>
      <c r="O83" t="e" cm="1">
        <f t="array" aca="1" ref="O83" ca="1">COV_SPLIT($B$4:$K$18,N83)</f>
        <v>#NAME?</v>
      </c>
      <c r="P83" t="e">
        <f t="shared" ca="1" si="4"/>
        <v>#NAME?</v>
      </c>
    </row>
    <row r="84" spans="14:16" x14ac:dyDescent="0.35">
      <c r="N84" t="e" cm="1">
        <f t="array" aca="1" ref="N84" ca="1">NEXT_SPLIT(N83)</f>
        <v>#NAME?</v>
      </c>
      <c r="O84" t="e" cm="1">
        <f t="array" aca="1" ref="O84" ca="1">COV_SPLIT($B$4:$K$18,N84)</f>
        <v>#NAME?</v>
      </c>
      <c r="P84" t="e">
        <f t="shared" ca="1" si="4"/>
        <v>#NAME?</v>
      </c>
    </row>
    <row r="85" spans="14:16" x14ac:dyDescent="0.35">
      <c r="N85" t="e" cm="1">
        <f t="array" aca="1" ref="N85" ca="1">NEXT_SPLIT(N84)</f>
        <v>#NAME?</v>
      </c>
      <c r="O85" t="e" cm="1">
        <f t="array" aca="1" ref="O85" ca="1">COV_SPLIT($B$4:$K$18,N85)</f>
        <v>#NAME?</v>
      </c>
      <c r="P85" t="e">
        <f t="shared" ca="1" si="4"/>
        <v>#NAME?</v>
      </c>
    </row>
    <row r="86" spans="14:16" x14ac:dyDescent="0.35">
      <c r="N86" t="e" cm="1">
        <f t="array" aca="1" ref="N86" ca="1">NEXT_SPLIT(N85)</f>
        <v>#NAME?</v>
      </c>
      <c r="O86" t="e" cm="1">
        <f t="array" aca="1" ref="O86" ca="1">COV_SPLIT($B$4:$K$18,N86)</f>
        <v>#NAME?</v>
      </c>
      <c r="P86" t="e">
        <f t="shared" ca="1" si="4"/>
        <v>#NAME?</v>
      </c>
    </row>
    <row r="87" spans="14:16" x14ac:dyDescent="0.35">
      <c r="N87" t="e" cm="1">
        <f t="array" aca="1" ref="N87" ca="1">NEXT_SPLIT(N86)</f>
        <v>#NAME?</v>
      </c>
      <c r="O87" t="e" cm="1">
        <f t="array" aca="1" ref="O87" ca="1">COV_SPLIT($B$4:$K$18,N87)</f>
        <v>#NAME?</v>
      </c>
      <c r="P87" t="e">
        <f t="shared" ca="1" si="4"/>
        <v>#NAME?</v>
      </c>
    </row>
    <row r="88" spans="14:16" x14ac:dyDescent="0.35">
      <c r="N88" t="e" cm="1">
        <f t="array" aca="1" ref="N88" ca="1">NEXT_SPLIT(N87)</f>
        <v>#NAME?</v>
      </c>
      <c r="O88" t="e" cm="1">
        <f t="array" aca="1" ref="O88" ca="1">COV_SPLIT($B$4:$K$18,N88)</f>
        <v>#NAME?</v>
      </c>
      <c r="P88" t="e">
        <f t="shared" ca="1" si="4"/>
        <v>#NAME?</v>
      </c>
    </row>
    <row r="89" spans="14:16" x14ac:dyDescent="0.35">
      <c r="N89" t="e" cm="1">
        <f t="array" aca="1" ref="N89" ca="1">NEXT_SPLIT(N88)</f>
        <v>#NAME?</v>
      </c>
      <c r="O89" t="e" cm="1">
        <f t="array" aca="1" ref="O89" ca="1">COV_SPLIT($B$4:$K$18,N89)</f>
        <v>#NAME?</v>
      </c>
      <c r="P89" t="e">
        <f t="shared" ca="1" si="4"/>
        <v>#NAME?</v>
      </c>
    </row>
    <row r="90" spans="14:16" x14ac:dyDescent="0.35">
      <c r="N90" t="e" cm="1">
        <f t="array" aca="1" ref="N90" ca="1">NEXT_SPLIT(N89)</f>
        <v>#NAME?</v>
      </c>
      <c r="O90" t="e" cm="1">
        <f t="array" aca="1" ref="O90" ca="1">COV_SPLIT($B$4:$K$18,N90)</f>
        <v>#NAME?</v>
      </c>
      <c r="P90" t="e">
        <f t="shared" ca="1" si="4"/>
        <v>#NAME?</v>
      </c>
    </row>
    <row r="91" spans="14:16" x14ac:dyDescent="0.35">
      <c r="N91" t="e" cm="1">
        <f t="array" aca="1" ref="N91" ca="1">NEXT_SPLIT(N90)</f>
        <v>#NAME?</v>
      </c>
      <c r="O91" t="e" cm="1">
        <f t="array" aca="1" ref="O91" ca="1">COV_SPLIT($B$4:$K$18,N91)</f>
        <v>#NAME?</v>
      </c>
      <c r="P91" t="e">
        <f t="shared" ca="1" si="4"/>
        <v>#NAME?</v>
      </c>
    </row>
    <row r="92" spans="14:16" x14ac:dyDescent="0.35">
      <c r="N92" t="e" cm="1">
        <f t="array" aca="1" ref="N92" ca="1">NEXT_SPLIT(N91)</f>
        <v>#NAME?</v>
      </c>
      <c r="O92" t="e" cm="1">
        <f t="array" aca="1" ref="O92" ca="1">COV_SPLIT($B$4:$K$18,N92)</f>
        <v>#NAME?</v>
      </c>
      <c r="P92" t="e">
        <f t="shared" ca="1" si="4"/>
        <v>#NAME?</v>
      </c>
    </row>
    <row r="93" spans="14:16" x14ac:dyDescent="0.35">
      <c r="N93" t="e" cm="1">
        <f t="array" aca="1" ref="N93" ca="1">NEXT_SPLIT(N92)</f>
        <v>#NAME?</v>
      </c>
      <c r="O93" t="e" cm="1">
        <f t="array" aca="1" ref="O93" ca="1">COV_SPLIT($B$4:$K$18,N93)</f>
        <v>#NAME?</v>
      </c>
      <c r="P93" t="e">
        <f t="shared" ca="1" si="4"/>
        <v>#NAME?</v>
      </c>
    </row>
    <row r="94" spans="14:16" x14ac:dyDescent="0.35">
      <c r="N94" t="e" cm="1">
        <f t="array" aca="1" ref="N94" ca="1">NEXT_SPLIT(N93)</f>
        <v>#NAME?</v>
      </c>
      <c r="O94" t="e" cm="1">
        <f t="array" aca="1" ref="O94" ca="1">COV_SPLIT($B$4:$K$18,N94)</f>
        <v>#NAME?</v>
      </c>
      <c r="P94" t="e">
        <f t="shared" ca="1" si="4"/>
        <v>#NAME?</v>
      </c>
    </row>
    <row r="95" spans="14:16" x14ac:dyDescent="0.35">
      <c r="N95" t="e" cm="1">
        <f t="array" aca="1" ref="N95" ca="1">NEXT_SPLIT(N94)</f>
        <v>#NAME?</v>
      </c>
      <c r="O95" t="e" cm="1">
        <f t="array" aca="1" ref="O95" ca="1">COV_SPLIT($B$4:$K$18,N95)</f>
        <v>#NAME?</v>
      </c>
      <c r="P95" t="e">
        <f t="shared" ca="1" si="4"/>
        <v>#NAME?</v>
      </c>
    </row>
    <row r="96" spans="14:16" x14ac:dyDescent="0.35">
      <c r="N96" t="e" cm="1">
        <f t="array" aca="1" ref="N96" ca="1">NEXT_SPLIT(N95)</f>
        <v>#NAME?</v>
      </c>
      <c r="O96" t="e" cm="1">
        <f t="array" aca="1" ref="O96" ca="1">COV_SPLIT($B$4:$K$18,N96)</f>
        <v>#NAME?</v>
      </c>
      <c r="P96" t="e">
        <f t="shared" ca="1" si="4"/>
        <v>#NAME?</v>
      </c>
    </row>
    <row r="97" spans="14:16" x14ac:dyDescent="0.35">
      <c r="N97" t="e" cm="1">
        <f t="array" aca="1" ref="N97" ca="1">NEXT_SPLIT(N96)</f>
        <v>#NAME?</v>
      </c>
      <c r="O97" t="e" cm="1">
        <f t="array" aca="1" ref="O97" ca="1">COV_SPLIT($B$4:$K$18,N97)</f>
        <v>#NAME?</v>
      </c>
      <c r="P97" t="e">
        <f t="shared" ca="1" si="4"/>
        <v>#NAME?</v>
      </c>
    </row>
    <row r="98" spans="14:16" x14ac:dyDescent="0.35">
      <c r="N98" t="e" cm="1">
        <f t="array" aca="1" ref="N98" ca="1">NEXT_SPLIT(N97)</f>
        <v>#NAME?</v>
      </c>
      <c r="O98" t="e" cm="1">
        <f t="array" aca="1" ref="O98" ca="1">COV_SPLIT($B$4:$K$18,N98)</f>
        <v>#NAME?</v>
      </c>
      <c r="P98" t="e">
        <f t="shared" ca="1" si="4"/>
        <v>#NAME?</v>
      </c>
    </row>
    <row r="99" spans="14:16" x14ac:dyDescent="0.35">
      <c r="N99" t="e" cm="1">
        <f t="array" aca="1" ref="N99" ca="1">NEXT_SPLIT(N98)</f>
        <v>#NAME?</v>
      </c>
      <c r="O99" t="e" cm="1">
        <f t="array" aca="1" ref="O99" ca="1">COV_SPLIT($B$4:$K$18,N99)</f>
        <v>#NAME?</v>
      </c>
      <c r="P99" t="e">
        <f t="shared" ref="P99:P128" ca="1" si="5">4*O99/L$20</f>
        <v>#NAME?</v>
      </c>
    </row>
    <row r="100" spans="14:16" x14ac:dyDescent="0.35">
      <c r="N100" t="e" cm="1">
        <f t="array" aca="1" ref="N100" ca="1">NEXT_SPLIT(N99)</f>
        <v>#NAME?</v>
      </c>
      <c r="O100" t="e" cm="1">
        <f t="array" aca="1" ref="O100" ca="1">COV_SPLIT($B$4:$K$18,N100)</f>
        <v>#NAME?</v>
      </c>
      <c r="P100" t="e">
        <f t="shared" ca="1" si="5"/>
        <v>#NAME?</v>
      </c>
    </row>
    <row r="101" spans="14:16" x14ac:dyDescent="0.35">
      <c r="N101" t="e" cm="1">
        <f t="array" aca="1" ref="N101" ca="1">NEXT_SPLIT(N100)</f>
        <v>#NAME?</v>
      </c>
      <c r="O101" t="e" cm="1">
        <f t="array" aca="1" ref="O101" ca="1">COV_SPLIT($B$4:$K$18,N101)</f>
        <v>#NAME?</v>
      </c>
      <c r="P101" t="e">
        <f t="shared" ca="1" si="5"/>
        <v>#NAME?</v>
      </c>
    </row>
    <row r="102" spans="14:16" x14ac:dyDescent="0.35">
      <c r="N102" t="e" cm="1">
        <f t="array" aca="1" ref="N102" ca="1">NEXT_SPLIT(N101)</f>
        <v>#NAME?</v>
      </c>
      <c r="O102" t="e" cm="1">
        <f t="array" aca="1" ref="O102" ca="1">COV_SPLIT($B$4:$K$18,N102)</f>
        <v>#NAME?</v>
      </c>
      <c r="P102" t="e">
        <f t="shared" ca="1" si="5"/>
        <v>#NAME?</v>
      </c>
    </row>
    <row r="103" spans="14:16" x14ac:dyDescent="0.35">
      <c r="N103" t="e" cm="1">
        <f t="array" aca="1" ref="N103" ca="1">NEXT_SPLIT(N102)</f>
        <v>#NAME?</v>
      </c>
      <c r="O103" t="e" cm="1">
        <f t="array" aca="1" ref="O103" ca="1">COV_SPLIT($B$4:$K$18,N103)</f>
        <v>#NAME?</v>
      </c>
      <c r="P103" t="e">
        <f t="shared" ca="1" si="5"/>
        <v>#NAME?</v>
      </c>
    </row>
    <row r="104" spans="14:16" x14ac:dyDescent="0.35">
      <c r="N104" t="e" cm="1">
        <f t="array" aca="1" ref="N104" ca="1">NEXT_SPLIT(N103)</f>
        <v>#NAME?</v>
      </c>
      <c r="O104" t="e" cm="1">
        <f t="array" aca="1" ref="O104" ca="1">COV_SPLIT($B$4:$K$18,N104)</f>
        <v>#NAME?</v>
      </c>
      <c r="P104" t="e">
        <f t="shared" ca="1" si="5"/>
        <v>#NAME?</v>
      </c>
    </row>
    <row r="105" spans="14:16" x14ac:dyDescent="0.35">
      <c r="N105" t="e" cm="1">
        <f t="array" aca="1" ref="N105" ca="1">NEXT_SPLIT(N104)</f>
        <v>#NAME?</v>
      </c>
      <c r="O105" t="e" cm="1">
        <f t="array" aca="1" ref="O105" ca="1">COV_SPLIT($B$4:$K$18,N105)</f>
        <v>#NAME?</v>
      </c>
      <c r="P105" t="e">
        <f t="shared" ca="1" si="5"/>
        <v>#NAME?</v>
      </c>
    </row>
    <row r="106" spans="14:16" x14ac:dyDescent="0.35">
      <c r="N106" t="e" cm="1">
        <f t="array" aca="1" ref="N106" ca="1">NEXT_SPLIT(N105)</f>
        <v>#NAME?</v>
      </c>
      <c r="O106" t="e" cm="1">
        <f t="array" aca="1" ref="O106" ca="1">COV_SPLIT($B$4:$K$18,N106)</f>
        <v>#NAME?</v>
      </c>
      <c r="P106" t="e">
        <f t="shared" ca="1" si="5"/>
        <v>#NAME?</v>
      </c>
    </row>
    <row r="107" spans="14:16" x14ac:dyDescent="0.35">
      <c r="N107" t="e" cm="1">
        <f t="array" aca="1" ref="N107" ca="1">NEXT_SPLIT(N106)</f>
        <v>#NAME?</v>
      </c>
      <c r="O107" t="e" cm="1">
        <f t="array" aca="1" ref="O107" ca="1">COV_SPLIT($B$4:$K$18,N107)</f>
        <v>#NAME?</v>
      </c>
      <c r="P107" t="e">
        <f t="shared" ca="1" si="5"/>
        <v>#NAME?</v>
      </c>
    </row>
    <row r="108" spans="14:16" x14ac:dyDescent="0.35">
      <c r="N108" t="e" cm="1">
        <f t="array" aca="1" ref="N108" ca="1">NEXT_SPLIT(N107)</f>
        <v>#NAME?</v>
      </c>
      <c r="O108" t="e" cm="1">
        <f t="array" aca="1" ref="O108" ca="1">COV_SPLIT($B$4:$K$18,N108)</f>
        <v>#NAME?</v>
      </c>
      <c r="P108" t="e">
        <f t="shared" ca="1" si="5"/>
        <v>#NAME?</v>
      </c>
    </row>
    <row r="109" spans="14:16" x14ac:dyDescent="0.35">
      <c r="N109" t="e" cm="1">
        <f t="array" aca="1" ref="N109" ca="1">NEXT_SPLIT(N108)</f>
        <v>#NAME?</v>
      </c>
      <c r="O109" t="e" cm="1">
        <f t="array" aca="1" ref="O109" ca="1">COV_SPLIT($B$4:$K$18,N109)</f>
        <v>#NAME?</v>
      </c>
      <c r="P109" t="e">
        <f t="shared" ca="1" si="5"/>
        <v>#NAME?</v>
      </c>
    </row>
    <row r="110" spans="14:16" x14ac:dyDescent="0.35">
      <c r="N110" t="e" cm="1">
        <f t="array" aca="1" ref="N110" ca="1">NEXT_SPLIT(N109)</f>
        <v>#NAME?</v>
      </c>
      <c r="O110" t="e" cm="1">
        <f t="array" aca="1" ref="O110" ca="1">COV_SPLIT($B$4:$K$18,N110)</f>
        <v>#NAME?</v>
      </c>
      <c r="P110" t="e">
        <f t="shared" ca="1" si="5"/>
        <v>#NAME?</v>
      </c>
    </row>
    <row r="111" spans="14:16" x14ac:dyDescent="0.35">
      <c r="N111" t="e" cm="1">
        <f t="array" aca="1" ref="N111" ca="1">NEXT_SPLIT(N110)</f>
        <v>#NAME?</v>
      </c>
      <c r="O111" t="e" cm="1">
        <f t="array" aca="1" ref="O111" ca="1">COV_SPLIT($B$4:$K$18,N111)</f>
        <v>#NAME?</v>
      </c>
      <c r="P111" t="e">
        <f t="shared" ca="1" si="5"/>
        <v>#NAME?</v>
      </c>
    </row>
    <row r="112" spans="14:16" x14ac:dyDescent="0.35">
      <c r="N112" t="e" cm="1">
        <f t="array" aca="1" ref="N112" ca="1">NEXT_SPLIT(N111)</f>
        <v>#NAME?</v>
      </c>
      <c r="O112" t="e" cm="1">
        <f t="array" aca="1" ref="O112" ca="1">COV_SPLIT($B$4:$K$18,N112)</f>
        <v>#NAME?</v>
      </c>
      <c r="P112" t="e">
        <f t="shared" ca="1" si="5"/>
        <v>#NAME?</v>
      </c>
    </row>
    <row r="113" spans="14:16" x14ac:dyDescent="0.35">
      <c r="N113" t="e" cm="1">
        <f t="array" aca="1" ref="N113" ca="1">NEXT_SPLIT(N112)</f>
        <v>#NAME?</v>
      </c>
      <c r="O113" t="e" cm="1">
        <f t="array" aca="1" ref="O113" ca="1">COV_SPLIT($B$4:$K$18,N113)</f>
        <v>#NAME?</v>
      </c>
      <c r="P113" t="e">
        <f t="shared" ca="1" si="5"/>
        <v>#NAME?</v>
      </c>
    </row>
    <row r="114" spans="14:16" x14ac:dyDescent="0.35">
      <c r="N114" t="e" cm="1">
        <f t="array" aca="1" ref="N114" ca="1">NEXT_SPLIT(N113)</f>
        <v>#NAME?</v>
      </c>
      <c r="O114" t="e" cm="1">
        <f t="array" aca="1" ref="O114" ca="1">COV_SPLIT($B$4:$K$18,N114)</f>
        <v>#NAME?</v>
      </c>
      <c r="P114" t="e">
        <f t="shared" ca="1" si="5"/>
        <v>#NAME?</v>
      </c>
    </row>
    <row r="115" spans="14:16" x14ac:dyDescent="0.35">
      <c r="N115" t="e" cm="1">
        <f t="array" aca="1" ref="N115" ca="1">NEXT_SPLIT(N114)</f>
        <v>#NAME?</v>
      </c>
      <c r="O115" t="e" cm="1">
        <f t="array" aca="1" ref="O115" ca="1">COV_SPLIT($B$4:$K$18,N115)</f>
        <v>#NAME?</v>
      </c>
      <c r="P115" t="e">
        <f t="shared" ca="1" si="5"/>
        <v>#NAME?</v>
      </c>
    </row>
    <row r="116" spans="14:16" x14ac:dyDescent="0.35">
      <c r="N116" t="e" cm="1">
        <f t="array" aca="1" ref="N116" ca="1">NEXT_SPLIT(N115)</f>
        <v>#NAME?</v>
      </c>
      <c r="O116" t="e" cm="1">
        <f t="array" aca="1" ref="O116" ca="1">COV_SPLIT($B$4:$K$18,N116)</f>
        <v>#NAME?</v>
      </c>
      <c r="P116" t="e">
        <f t="shared" ca="1" si="5"/>
        <v>#NAME?</v>
      </c>
    </row>
    <row r="117" spans="14:16" x14ac:dyDescent="0.35">
      <c r="N117" t="e" cm="1">
        <f t="array" aca="1" ref="N117" ca="1">NEXT_SPLIT(N116)</f>
        <v>#NAME?</v>
      </c>
      <c r="O117" t="e" cm="1">
        <f t="array" aca="1" ref="O117" ca="1">COV_SPLIT($B$4:$K$18,N117)</f>
        <v>#NAME?</v>
      </c>
      <c r="P117" t="e">
        <f t="shared" ca="1" si="5"/>
        <v>#NAME?</v>
      </c>
    </row>
    <row r="118" spans="14:16" x14ac:dyDescent="0.35">
      <c r="N118" t="e" cm="1">
        <f t="array" aca="1" ref="N118" ca="1">NEXT_SPLIT(N117)</f>
        <v>#NAME?</v>
      </c>
      <c r="O118" t="e" cm="1">
        <f t="array" aca="1" ref="O118" ca="1">COV_SPLIT($B$4:$K$18,N118)</f>
        <v>#NAME?</v>
      </c>
      <c r="P118" t="e">
        <f t="shared" ca="1" si="5"/>
        <v>#NAME?</v>
      </c>
    </row>
    <row r="119" spans="14:16" x14ac:dyDescent="0.35">
      <c r="N119" t="e" cm="1">
        <f t="array" aca="1" ref="N119" ca="1">NEXT_SPLIT(N118)</f>
        <v>#NAME?</v>
      </c>
      <c r="O119" t="e" cm="1">
        <f t="array" aca="1" ref="O119" ca="1">COV_SPLIT($B$4:$K$18,N119)</f>
        <v>#NAME?</v>
      </c>
      <c r="P119" t="e">
        <f t="shared" ca="1" si="5"/>
        <v>#NAME?</v>
      </c>
    </row>
    <row r="120" spans="14:16" x14ac:dyDescent="0.35">
      <c r="N120" t="e" cm="1">
        <f t="array" aca="1" ref="N120" ca="1">NEXT_SPLIT(N119)</f>
        <v>#NAME?</v>
      </c>
      <c r="O120" t="e" cm="1">
        <f t="array" aca="1" ref="O120" ca="1">COV_SPLIT($B$4:$K$18,N120)</f>
        <v>#NAME?</v>
      </c>
      <c r="P120" t="e">
        <f t="shared" ca="1" si="5"/>
        <v>#NAME?</v>
      </c>
    </row>
    <row r="121" spans="14:16" x14ac:dyDescent="0.35">
      <c r="N121" t="e" cm="1">
        <f t="array" aca="1" ref="N121" ca="1">NEXT_SPLIT(N120)</f>
        <v>#NAME?</v>
      </c>
      <c r="O121" t="e" cm="1">
        <f t="array" aca="1" ref="O121" ca="1">COV_SPLIT($B$4:$K$18,N121)</f>
        <v>#NAME?</v>
      </c>
      <c r="P121" t="e">
        <f t="shared" ca="1" si="5"/>
        <v>#NAME?</v>
      </c>
    </row>
    <row r="122" spans="14:16" x14ac:dyDescent="0.35">
      <c r="N122" t="e" cm="1">
        <f t="array" aca="1" ref="N122" ca="1">NEXT_SPLIT(N121)</f>
        <v>#NAME?</v>
      </c>
      <c r="O122" t="e" cm="1">
        <f t="array" aca="1" ref="O122" ca="1">COV_SPLIT($B$4:$K$18,N122)</f>
        <v>#NAME?</v>
      </c>
      <c r="P122" t="e">
        <f t="shared" ca="1" si="5"/>
        <v>#NAME?</v>
      </c>
    </row>
    <row r="123" spans="14:16" x14ac:dyDescent="0.35">
      <c r="N123" t="e" cm="1">
        <f t="array" aca="1" ref="N123" ca="1">NEXT_SPLIT(N122)</f>
        <v>#NAME?</v>
      </c>
      <c r="O123" t="e" cm="1">
        <f t="array" aca="1" ref="O123" ca="1">COV_SPLIT($B$4:$K$18,N123)</f>
        <v>#NAME?</v>
      </c>
      <c r="P123" t="e">
        <f t="shared" ca="1" si="5"/>
        <v>#NAME?</v>
      </c>
    </row>
    <row r="124" spans="14:16" x14ac:dyDescent="0.35">
      <c r="N124" t="e" cm="1">
        <f t="array" aca="1" ref="N124" ca="1">NEXT_SPLIT(N123)</f>
        <v>#NAME?</v>
      </c>
      <c r="O124" t="e" cm="1">
        <f t="array" aca="1" ref="O124" ca="1">COV_SPLIT($B$4:$K$18,N124)</f>
        <v>#NAME?</v>
      </c>
      <c r="P124" t="e">
        <f t="shared" ca="1" si="5"/>
        <v>#NAME?</v>
      </c>
    </row>
    <row r="125" spans="14:16" x14ac:dyDescent="0.35">
      <c r="N125" t="e" cm="1">
        <f t="array" aca="1" ref="N125" ca="1">NEXT_SPLIT(N124)</f>
        <v>#NAME?</v>
      </c>
      <c r="O125" t="e" cm="1">
        <f t="array" aca="1" ref="O125" ca="1">COV_SPLIT($B$4:$K$18,N125)</f>
        <v>#NAME?</v>
      </c>
      <c r="P125" t="e">
        <f t="shared" ca="1" si="5"/>
        <v>#NAME?</v>
      </c>
    </row>
    <row r="126" spans="14:16" x14ac:dyDescent="0.35">
      <c r="N126" t="e" cm="1">
        <f t="array" aca="1" ref="N126" ca="1">NEXT_SPLIT(N125)</f>
        <v>#NAME?</v>
      </c>
      <c r="O126" t="e" cm="1">
        <f t="array" aca="1" ref="O126" ca="1">COV_SPLIT($B$4:$K$18,N126)</f>
        <v>#NAME?</v>
      </c>
      <c r="P126" t="e">
        <f t="shared" ca="1" si="5"/>
        <v>#NAME?</v>
      </c>
    </row>
    <row r="127" spans="14:16" x14ac:dyDescent="0.35">
      <c r="N127" t="e" cm="1">
        <f t="array" aca="1" ref="N127" ca="1">NEXT_SPLIT(N126)</f>
        <v>#NAME?</v>
      </c>
      <c r="O127" t="e" cm="1">
        <f t="array" aca="1" ref="O127" ca="1">COV_SPLIT($B$4:$K$18,N127)</f>
        <v>#NAME?</v>
      </c>
      <c r="P127" t="e">
        <f t="shared" ca="1" si="5"/>
        <v>#NAME?</v>
      </c>
    </row>
    <row r="128" spans="14:16" x14ac:dyDescent="0.35">
      <c r="N128" s="159" t="e" cm="1">
        <f t="array" aca="1" ref="N128" ca="1">NEXT_SPLIT(N127)</f>
        <v>#NAME?</v>
      </c>
      <c r="O128" s="159" t="e" cm="1">
        <f t="array" aca="1" ref="O128" ca="1">COV_SPLIT($B$4:$K$18,N128)</f>
        <v>#NAME?</v>
      </c>
      <c r="P128" s="159" t="e">
        <f t="shared" ca="1" si="5"/>
        <v>#NAME?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6"/>
  <dimension ref="A1:P18"/>
  <sheetViews>
    <sheetView workbookViewId="0">
      <selection activeCell="O14" sqref="O14"/>
    </sheetView>
  </sheetViews>
  <sheetFormatPr defaultRowHeight="14.5" x14ac:dyDescent="0.35"/>
  <cols>
    <col min="1" max="11" width="5.1796875" customWidth="1"/>
    <col min="12" max="12" width="7.54296875" customWidth="1"/>
  </cols>
  <sheetData>
    <row r="1" spans="1:16" x14ac:dyDescent="0.35">
      <c r="A1" s="1" t="s">
        <v>646</v>
      </c>
    </row>
    <row r="3" spans="1:16" x14ac:dyDescent="0.35">
      <c r="B3" s="298" t="s">
        <v>50</v>
      </c>
      <c r="C3" s="298" t="s">
        <v>640</v>
      </c>
      <c r="D3" s="298" t="s">
        <v>282</v>
      </c>
      <c r="E3" s="298" t="s">
        <v>639</v>
      </c>
      <c r="F3" s="298" t="s">
        <v>638</v>
      </c>
      <c r="G3" s="298" t="s">
        <v>637</v>
      </c>
      <c r="H3" s="298" t="s">
        <v>636</v>
      </c>
      <c r="I3" s="298" t="s">
        <v>635</v>
      </c>
      <c r="J3" s="298" t="s">
        <v>634</v>
      </c>
      <c r="K3" s="298" t="s">
        <v>633</v>
      </c>
      <c r="L3" s="298" t="s">
        <v>1</v>
      </c>
      <c r="N3" t="s">
        <v>653</v>
      </c>
    </row>
    <row r="4" spans="1:16" x14ac:dyDescent="0.35">
      <c r="A4" s="305">
        <v>1</v>
      </c>
      <c r="B4" s="314">
        <v>3</v>
      </c>
      <c r="C4" s="321">
        <v>2</v>
      </c>
      <c r="D4" s="321">
        <v>4</v>
      </c>
      <c r="E4" s="321">
        <v>1</v>
      </c>
      <c r="F4" s="321">
        <v>4</v>
      </c>
      <c r="G4" s="321">
        <v>5</v>
      </c>
      <c r="H4" s="321">
        <v>1</v>
      </c>
      <c r="I4" s="321">
        <v>4</v>
      </c>
      <c r="J4" s="321">
        <v>3</v>
      </c>
      <c r="K4" s="320">
        <v>2</v>
      </c>
      <c r="L4" s="305">
        <f t="shared" ref="L4:L18" si="0">SUM(B4:K4)</f>
        <v>29</v>
      </c>
    </row>
    <row r="5" spans="1:16" x14ac:dyDescent="0.35">
      <c r="A5" s="305">
        <f t="shared" ref="A5:A18" si="1">A4+1</f>
        <v>2</v>
      </c>
      <c r="B5" s="311">
        <v>5</v>
      </c>
      <c r="C5" s="305">
        <v>4</v>
      </c>
      <c r="D5" s="305">
        <v>6</v>
      </c>
      <c r="E5" s="305">
        <v>3</v>
      </c>
      <c r="F5" s="305">
        <v>5</v>
      </c>
      <c r="G5" s="305">
        <v>1</v>
      </c>
      <c r="H5" s="305">
        <v>2</v>
      </c>
      <c r="I5" s="305">
        <v>5</v>
      </c>
      <c r="J5" s="305">
        <v>5</v>
      </c>
      <c r="K5" s="310">
        <v>5</v>
      </c>
      <c r="L5" s="305">
        <f t="shared" si="0"/>
        <v>41</v>
      </c>
      <c r="O5" t="s">
        <v>204</v>
      </c>
      <c r="P5" t="s">
        <v>647</v>
      </c>
    </row>
    <row r="6" spans="1:16" x14ac:dyDescent="0.35">
      <c r="A6" s="305">
        <f t="shared" si="1"/>
        <v>3</v>
      </c>
      <c r="B6" s="311">
        <v>7</v>
      </c>
      <c r="C6" s="305">
        <v>3</v>
      </c>
      <c r="D6" s="305">
        <v>5</v>
      </c>
      <c r="E6" s="305">
        <v>5</v>
      </c>
      <c r="F6" s="305">
        <v>6</v>
      </c>
      <c r="G6" s="305">
        <v>4</v>
      </c>
      <c r="H6" s="305">
        <v>3</v>
      </c>
      <c r="I6" s="305">
        <v>3</v>
      </c>
      <c r="J6" s="305">
        <v>6</v>
      </c>
      <c r="K6" s="310">
        <v>5</v>
      </c>
      <c r="L6" s="305">
        <f t="shared" si="0"/>
        <v>47</v>
      </c>
      <c r="N6" t="s">
        <v>632</v>
      </c>
      <c r="O6" s="319" t="e" cm="1">
        <f t="array" aca="1" ref="O6" ca="1">SPLITHALF(B4:K18,0)</f>
        <v>#NAME?</v>
      </c>
      <c r="P6" s="318" t="e" cm="1">
        <f t="array" aca="1" ref="P6" ca="1">GUTTMAN_SPLIT(B4:K18,INIT_SPLIT(COUNT(B4:K4)))</f>
        <v>#NAME?</v>
      </c>
    </row>
    <row r="7" spans="1:16" x14ac:dyDescent="0.35">
      <c r="A7" s="305">
        <f t="shared" si="1"/>
        <v>4</v>
      </c>
      <c r="B7" s="311">
        <v>2</v>
      </c>
      <c r="C7" s="305">
        <v>4</v>
      </c>
      <c r="D7" s="305">
        <v>3</v>
      </c>
      <c r="E7" s="305">
        <v>3</v>
      </c>
      <c r="F7" s="305">
        <v>2</v>
      </c>
      <c r="G7" s="305">
        <v>2</v>
      </c>
      <c r="H7" s="305">
        <v>2</v>
      </c>
      <c r="I7" s="305">
        <v>6</v>
      </c>
      <c r="J7" s="305">
        <v>6</v>
      </c>
      <c r="K7" s="310">
        <v>3</v>
      </c>
      <c r="L7" s="305">
        <f t="shared" si="0"/>
        <v>33</v>
      </c>
      <c r="N7" t="s">
        <v>652</v>
      </c>
      <c r="O7" s="156" t="e" cm="1">
        <f t="array" aca="1" ref="O7" ca="1">SPLITHALF(B4:K18,1)</f>
        <v>#NAME?</v>
      </c>
      <c r="P7" s="158" t="e" cm="1">
        <f t="array" aca="1" ref="P7" ca="1">GUTTMAN_SPLIT(B4:K18,ODDEVEN_SPLIT(COUNT(B4:K4)))</f>
        <v>#NAME?</v>
      </c>
    </row>
    <row r="8" spans="1:16" x14ac:dyDescent="0.35">
      <c r="A8" s="305">
        <f t="shared" si="1"/>
        <v>5</v>
      </c>
      <c r="B8" s="311">
        <v>6</v>
      </c>
      <c r="C8" s="305">
        <v>5</v>
      </c>
      <c r="D8" s="305">
        <v>6</v>
      </c>
      <c r="E8" s="305">
        <v>5</v>
      </c>
      <c r="F8" s="305">
        <v>4</v>
      </c>
      <c r="G8" s="305">
        <v>4</v>
      </c>
      <c r="H8" s="305">
        <v>4</v>
      </c>
      <c r="I8" s="305">
        <v>6</v>
      </c>
      <c r="J8" s="305">
        <v>7</v>
      </c>
      <c r="K8" s="310">
        <v>5</v>
      </c>
      <c r="L8" s="305">
        <f t="shared" si="0"/>
        <v>52</v>
      </c>
    </row>
    <row r="9" spans="1:16" x14ac:dyDescent="0.35">
      <c r="A9" s="305">
        <f t="shared" si="1"/>
        <v>6</v>
      </c>
      <c r="B9" s="311">
        <v>1</v>
      </c>
      <c r="C9" s="305">
        <v>2</v>
      </c>
      <c r="D9" s="305">
        <v>3</v>
      </c>
      <c r="E9" s="305">
        <v>4</v>
      </c>
      <c r="F9" s="305">
        <v>2</v>
      </c>
      <c r="G9" s="305">
        <v>5</v>
      </c>
      <c r="H9" s="305">
        <v>2</v>
      </c>
      <c r="I9" s="305">
        <v>3</v>
      </c>
      <c r="J9" s="305">
        <v>5</v>
      </c>
      <c r="K9" s="310">
        <v>2</v>
      </c>
      <c r="L9" s="305">
        <f t="shared" si="0"/>
        <v>29</v>
      </c>
      <c r="N9" t="s">
        <v>646</v>
      </c>
    </row>
    <row r="10" spans="1:16" x14ac:dyDescent="0.35">
      <c r="A10" s="305">
        <f t="shared" si="1"/>
        <v>7</v>
      </c>
      <c r="B10" s="311">
        <v>4</v>
      </c>
      <c r="C10" s="305">
        <v>3</v>
      </c>
      <c r="D10" s="305">
        <v>5</v>
      </c>
      <c r="E10" s="305">
        <v>3</v>
      </c>
      <c r="F10" s="305">
        <v>5</v>
      </c>
      <c r="G10" s="305">
        <v>2</v>
      </c>
      <c r="H10" s="305">
        <v>1</v>
      </c>
      <c r="I10" s="305">
        <v>2</v>
      </c>
      <c r="J10" s="305">
        <v>4</v>
      </c>
      <c r="K10" s="310">
        <v>3</v>
      </c>
      <c r="L10" s="305">
        <f t="shared" si="0"/>
        <v>32</v>
      </c>
    </row>
    <row r="11" spans="1:16" x14ac:dyDescent="0.35">
      <c r="A11" s="305">
        <f t="shared" si="1"/>
        <v>8</v>
      </c>
      <c r="B11" s="311">
        <v>2</v>
      </c>
      <c r="C11" s="305">
        <v>4</v>
      </c>
      <c r="D11" s="305">
        <v>4</v>
      </c>
      <c r="E11" s="305">
        <v>3</v>
      </c>
      <c r="F11" s="305">
        <v>7</v>
      </c>
      <c r="G11" s="305">
        <v>2</v>
      </c>
      <c r="H11" s="305">
        <v>2</v>
      </c>
      <c r="I11" s="305">
        <v>4</v>
      </c>
      <c r="J11" s="305">
        <v>6</v>
      </c>
      <c r="K11" s="310">
        <v>5</v>
      </c>
      <c r="L11" s="305">
        <f t="shared" si="0"/>
        <v>39</v>
      </c>
      <c r="N11" t="s">
        <v>651</v>
      </c>
      <c r="O11" s="317">
        <v>0</v>
      </c>
    </row>
    <row r="12" spans="1:16" x14ac:dyDescent="0.35">
      <c r="A12" s="305">
        <f t="shared" si="1"/>
        <v>9</v>
      </c>
      <c r="B12" s="311">
        <v>6</v>
      </c>
      <c r="C12" s="305">
        <v>5</v>
      </c>
      <c r="D12" s="305">
        <v>5</v>
      </c>
      <c r="E12" s="305">
        <v>5</v>
      </c>
      <c r="F12" s="305">
        <v>1</v>
      </c>
      <c r="G12" s="305">
        <v>6</v>
      </c>
      <c r="H12" s="305">
        <v>5</v>
      </c>
      <c r="I12" s="305">
        <v>2</v>
      </c>
      <c r="J12" s="305">
        <v>3</v>
      </c>
      <c r="K12" s="310">
        <v>2</v>
      </c>
      <c r="L12" s="305">
        <f t="shared" si="0"/>
        <v>40</v>
      </c>
    </row>
    <row r="13" spans="1:16" x14ac:dyDescent="0.35">
      <c r="A13" s="305">
        <f t="shared" si="1"/>
        <v>10</v>
      </c>
      <c r="B13" s="311">
        <v>5</v>
      </c>
      <c r="C13" s="305">
        <v>4</v>
      </c>
      <c r="D13" s="305">
        <v>6</v>
      </c>
      <c r="E13" s="305">
        <v>4</v>
      </c>
      <c r="F13" s="305">
        <v>3</v>
      </c>
      <c r="G13" s="305">
        <v>5</v>
      </c>
      <c r="H13" s="305">
        <v>3</v>
      </c>
      <c r="I13" s="305">
        <v>1</v>
      </c>
      <c r="J13" s="305">
        <v>7</v>
      </c>
      <c r="K13" s="310">
        <v>2</v>
      </c>
      <c r="L13" s="305">
        <f t="shared" si="0"/>
        <v>40</v>
      </c>
      <c r="N13" t="s">
        <v>647</v>
      </c>
      <c r="O13" s="316" t="e" cm="1">
        <f t="array" aca="1" ref="O13" ca="1">GUTTMAN(B4:K18,O11)</f>
        <v>#NAME?</v>
      </c>
    </row>
    <row r="14" spans="1:16" x14ac:dyDescent="0.35">
      <c r="A14" s="305">
        <f t="shared" si="1"/>
        <v>11</v>
      </c>
      <c r="B14" s="311">
        <v>4</v>
      </c>
      <c r="C14" s="305">
        <v>3</v>
      </c>
      <c r="D14" s="305">
        <v>5</v>
      </c>
      <c r="E14" s="305">
        <v>2</v>
      </c>
      <c r="F14" s="305">
        <v>5</v>
      </c>
      <c r="G14" s="305">
        <v>3</v>
      </c>
      <c r="H14" s="305">
        <v>2</v>
      </c>
      <c r="I14" s="305">
        <v>3</v>
      </c>
      <c r="J14" s="305">
        <v>4</v>
      </c>
      <c r="K14" s="310">
        <v>1</v>
      </c>
      <c r="L14" s="305">
        <f t="shared" si="0"/>
        <v>32</v>
      </c>
      <c r="N14" t="s">
        <v>650</v>
      </c>
      <c r="O14" s="155" t="e" cm="1">
        <f t="array" aca="1" ref="O14" ca="1">CRONALPHA(B4:K18)</f>
        <v>#NAME?</v>
      </c>
    </row>
    <row r="15" spans="1:16" x14ac:dyDescent="0.35">
      <c r="A15" s="305">
        <f t="shared" si="1"/>
        <v>12</v>
      </c>
      <c r="B15" s="311">
        <v>4</v>
      </c>
      <c r="C15" s="305">
        <v>2</v>
      </c>
      <c r="D15" s="305">
        <v>3</v>
      </c>
      <c r="E15" s="305">
        <v>2</v>
      </c>
      <c r="F15" s="305">
        <v>5</v>
      </c>
      <c r="G15" s="305">
        <v>3</v>
      </c>
      <c r="H15" s="305">
        <v>4</v>
      </c>
      <c r="I15" s="305">
        <v>2</v>
      </c>
      <c r="J15" s="305">
        <v>3</v>
      </c>
      <c r="K15" s="310">
        <v>4</v>
      </c>
      <c r="L15" s="305">
        <f t="shared" si="0"/>
        <v>32</v>
      </c>
    </row>
    <row r="16" spans="1:16" x14ac:dyDescent="0.35">
      <c r="A16" s="305">
        <f t="shared" si="1"/>
        <v>13</v>
      </c>
      <c r="B16" s="311">
        <v>5</v>
      </c>
      <c r="C16" s="305">
        <v>5</v>
      </c>
      <c r="D16" s="305">
        <v>6</v>
      </c>
      <c r="E16" s="305">
        <v>2</v>
      </c>
      <c r="F16" s="305">
        <v>3</v>
      </c>
      <c r="G16" s="305">
        <v>3</v>
      </c>
      <c r="H16" s="305">
        <v>2</v>
      </c>
      <c r="I16" s="305">
        <v>4</v>
      </c>
      <c r="J16" s="305">
        <v>4</v>
      </c>
      <c r="K16" s="310">
        <v>5</v>
      </c>
      <c r="L16" s="305">
        <f t="shared" si="0"/>
        <v>39</v>
      </c>
    </row>
    <row r="17" spans="1:12" x14ac:dyDescent="0.35">
      <c r="A17" s="305">
        <f t="shared" si="1"/>
        <v>14</v>
      </c>
      <c r="B17" s="311">
        <v>6</v>
      </c>
      <c r="C17" s="305">
        <v>5</v>
      </c>
      <c r="D17" s="305">
        <v>5</v>
      </c>
      <c r="E17" s="305">
        <v>4</v>
      </c>
      <c r="F17" s="305">
        <v>2</v>
      </c>
      <c r="G17" s="305">
        <v>2</v>
      </c>
      <c r="H17" s="305">
        <v>1</v>
      </c>
      <c r="I17" s="305">
        <v>4</v>
      </c>
      <c r="J17" s="305">
        <v>6</v>
      </c>
      <c r="K17" s="310">
        <v>5</v>
      </c>
      <c r="L17" s="305">
        <f t="shared" si="0"/>
        <v>40</v>
      </c>
    </row>
    <row r="18" spans="1:12" x14ac:dyDescent="0.35">
      <c r="A18" s="305">
        <f t="shared" si="1"/>
        <v>15</v>
      </c>
      <c r="B18" s="309">
        <v>4</v>
      </c>
      <c r="C18" s="308">
        <v>3</v>
      </c>
      <c r="D18" s="308">
        <v>5</v>
      </c>
      <c r="E18" s="308">
        <v>5</v>
      </c>
      <c r="F18" s="308">
        <v>3</v>
      </c>
      <c r="G18" s="308">
        <v>1</v>
      </c>
      <c r="H18" s="308">
        <v>3</v>
      </c>
      <c r="I18" s="308">
        <v>2</v>
      </c>
      <c r="J18" s="308">
        <v>3</v>
      </c>
      <c r="K18" s="307">
        <v>4</v>
      </c>
      <c r="L18" s="305">
        <f t="shared" si="0"/>
        <v>33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7"/>
  <dimension ref="A1:S25"/>
  <sheetViews>
    <sheetView workbookViewId="0"/>
  </sheetViews>
  <sheetFormatPr defaultRowHeight="14.5" x14ac:dyDescent="0.35"/>
  <cols>
    <col min="1" max="13" width="7.7265625" customWidth="1"/>
    <col min="15" max="15" width="22.26953125" customWidth="1"/>
  </cols>
  <sheetData>
    <row r="1" spans="1:19" x14ac:dyDescent="0.35">
      <c r="A1" s="1" t="s">
        <v>659</v>
      </c>
    </row>
    <row r="3" spans="1:19" x14ac:dyDescent="0.35">
      <c r="B3" s="298" t="s">
        <v>50</v>
      </c>
      <c r="C3" s="298" t="s">
        <v>640</v>
      </c>
      <c r="D3" s="298" t="s">
        <v>282</v>
      </c>
      <c r="E3" s="298" t="s">
        <v>639</v>
      </c>
      <c r="F3" s="298" t="s">
        <v>638</v>
      </c>
      <c r="G3" s="298" t="s">
        <v>637</v>
      </c>
      <c r="H3" s="298" t="s">
        <v>636</v>
      </c>
      <c r="I3" s="298" t="s">
        <v>635</v>
      </c>
      <c r="J3" s="298" t="s">
        <v>634</v>
      </c>
      <c r="K3" s="298" t="s">
        <v>633</v>
      </c>
      <c r="L3" s="298" t="s">
        <v>658</v>
      </c>
      <c r="M3" s="298" t="s">
        <v>1</v>
      </c>
      <c r="O3" t="s">
        <v>435</v>
      </c>
      <c r="P3" s="109" t="e" cm="1">
        <f t="array" aca="1" ref="P3" ca="1">KUDER(B4:L15)</f>
        <v>#NAME?</v>
      </c>
      <c r="R3" t="s">
        <v>657</v>
      </c>
    </row>
    <row r="4" spans="1:19" x14ac:dyDescent="0.35">
      <c r="A4" s="305">
        <v>1</v>
      </c>
      <c r="B4" s="314">
        <v>1</v>
      </c>
      <c r="C4" s="321">
        <v>1</v>
      </c>
      <c r="D4" s="321">
        <v>1</v>
      </c>
      <c r="E4" s="321">
        <v>1</v>
      </c>
      <c r="F4" s="321">
        <v>1</v>
      </c>
      <c r="G4" s="321">
        <v>1</v>
      </c>
      <c r="H4" s="321">
        <v>1</v>
      </c>
      <c r="I4" s="321">
        <v>1</v>
      </c>
      <c r="J4" s="321">
        <v>1</v>
      </c>
      <c r="K4" s="321">
        <v>1</v>
      </c>
      <c r="L4" s="320">
        <v>1</v>
      </c>
      <c r="M4" s="305">
        <f t="shared" ref="M4:M16" si="0">SUM(B4:L4)</f>
        <v>11</v>
      </c>
    </row>
    <row r="5" spans="1:19" x14ac:dyDescent="0.35">
      <c r="A5" s="305">
        <f t="shared" ref="A5:A15" si="1">A4+1</f>
        <v>2</v>
      </c>
      <c r="B5" s="311">
        <v>1</v>
      </c>
      <c r="C5" s="305">
        <v>1</v>
      </c>
      <c r="D5" s="305">
        <v>1</v>
      </c>
      <c r="E5" s="305">
        <v>1</v>
      </c>
      <c r="F5" s="305">
        <v>1</v>
      </c>
      <c r="G5" s="305">
        <v>1</v>
      </c>
      <c r="H5" s="305">
        <v>1</v>
      </c>
      <c r="I5" s="305">
        <v>1</v>
      </c>
      <c r="J5" s="305">
        <v>0</v>
      </c>
      <c r="K5" s="305">
        <v>1</v>
      </c>
      <c r="L5" s="310">
        <v>0</v>
      </c>
      <c r="M5" s="305">
        <f t="shared" si="0"/>
        <v>9</v>
      </c>
      <c r="R5" t="s">
        <v>51</v>
      </c>
      <c r="S5" s="254">
        <f>B22</f>
        <v>11</v>
      </c>
    </row>
    <row r="6" spans="1:19" x14ac:dyDescent="0.35">
      <c r="A6" s="305">
        <f t="shared" si="1"/>
        <v>3</v>
      </c>
      <c r="B6" s="311">
        <v>1</v>
      </c>
      <c r="C6" s="305">
        <v>0</v>
      </c>
      <c r="D6" s="305">
        <v>1</v>
      </c>
      <c r="E6" s="305">
        <v>1</v>
      </c>
      <c r="F6" s="305">
        <v>1</v>
      </c>
      <c r="G6" s="305">
        <v>1</v>
      </c>
      <c r="H6" s="305">
        <v>1</v>
      </c>
      <c r="I6" s="305">
        <v>1</v>
      </c>
      <c r="J6" s="305">
        <v>1</v>
      </c>
      <c r="K6" s="305">
        <v>0</v>
      </c>
      <c r="L6" s="310">
        <v>0</v>
      </c>
      <c r="M6" s="305">
        <f t="shared" si="0"/>
        <v>8</v>
      </c>
      <c r="R6" t="s">
        <v>5</v>
      </c>
      <c r="S6" s="100">
        <f>AVERAGE(M4:M15)</f>
        <v>5.75</v>
      </c>
    </row>
    <row r="7" spans="1:19" x14ac:dyDescent="0.35">
      <c r="A7" s="305">
        <f t="shared" si="1"/>
        <v>4</v>
      </c>
      <c r="B7" s="311">
        <v>1</v>
      </c>
      <c r="C7" s="305">
        <v>1</v>
      </c>
      <c r="D7" s="305">
        <v>1</v>
      </c>
      <c r="E7" s="305">
        <v>0</v>
      </c>
      <c r="F7" s="305">
        <v>1</v>
      </c>
      <c r="G7" s="305">
        <v>1</v>
      </c>
      <c r="H7" s="305">
        <v>0</v>
      </c>
      <c r="I7" s="305">
        <v>1</v>
      </c>
      <c r="J7" s="305">
        <v>1</v>
      </c>
      <c r="K7" s="305">
        <v>0</v>
      </c>
      <c r="L7" s="310">
        <v>0</v>
      </c>
      <c r="M7" s="305">
        <f t="shared" si="0"/>
        <v>7</v>
      </c>
      <c r="R7" t="s">
        <v>6</v>
      </c>
      <c r="S7" s="100">
        <f>B24</f>
        <v>6.520833333333333</v>
      </c>
    </row>
    <row r="8" spans="1:19" x14ac:dyDescent="0.35">
      <c r="A8" s="305">
        <f t="shared" si="1"/>
        <v>5</v>
      </c>
      <c r="B8" s="311">
        <v>1</v>
      </c>
      <c r="C8" s="305">
        <v>1</v>
      </c>
      <c r="D8" s="305">
        <v>1</v>
      </c>
      <c r="E8" s="305">
        <v>1</v>
      </c>
      <c r="F8" s="305">
        <v>1</v>
      </c>
      <c r="G8" s="305">
        <v>0</v>
      </c>
      <c r="H8" s="305">
        <v>0</v>
      </c>
      <c r="I8" s="305">
        <v>0</v>
      </c>
      <c r="J8" s="305">
        <v>1</v>
      </c>
      <c r="K8" s="305">
        <v>0</v>
      </c>
      <c r="L8" s="310">
        <v>0</v>
      </c>
      <c r="M8" s="305">
        <f t="shared" si="0"/>
        <v>6</v>
      </c>
      <c r="R8" s="303" t="s">
        <v>179</v>
      </c>
      <c r="S8" s="94">
        <f>(S5/(S5-1))*(1-S6*(S5-S6)/(S5*S7))</f>
        <v>0.6370607028753994</v>
      </c>
    </row>
    <row r="9" spans="1:19" x14ac:dyDescent="0.35">
      <c r="A9" s="305">
        <f t="shared" si="1"/>
        <v>6</v>
      </c>
      <c r="B9" s="311">
        <v>0</v>
      </c>
      <c r="C9" s="305">
        <v>1</v>
      </c>
      <c r="D9" s="305">
        <v>1</v>
      </c>
      <c r="E9" s="305">
        <v>0</v>
      </c>
      <c r="F9" s="305">
        <v>1</v>
      </c>
      <c r="G9" s="305">
        <v>1</v>
      </c>
      <c r="H9" s="305">
        <v>1</v>
      </c>
      <c r="I9" s="305">
        <v>1</v>
      </c>
      <c r="J9" s="305">
        <v>0</v>
      </c>
      <c r="K9" s="305">
        <v>0</v>
      </c>
      <c r="L9" s="310">
        <v>0</v>
      </c>
      <c r="M9" s="305">
        <f t="shared" si="0"/>
        <v>6</v>
      </c>
    </row>
    <row r="10" spans="1:19" x14ac:dyDescent="0.35">
      <c r="A10" s="305">
        <f t="shared" si="1"/>
        <v>7</v>
      </c>
      <c r="B10" s="311">
        <v>1</v>
      </c>
      <c r="C10" s="305">
        <v>1</v>
      </c>
      <c r="D10" s="305">
        <v>1</v>
      </c>
      <c r="E10" s="305">
        <v>1</v>
      </c>
      <c r="F10" s="305">
        <v>0</v>
      </c>
      <c r="G10" s="305">
        <v>0</v>
      </c>
      <c r="H10" s="305">
        <v>1</v>
      </c>
      <c r="I10" s="305">
        <v>0</v>
      </c>
      <c r="J10" s="305">
        <v>0</v>
      </c>
      <c r="K10" s="305">
        <v>0</v>
      </c>
      <c r="L10" s="310">
        <v>0</v>
      </c>
      <c r="M10" s="305">
        <f t="shared" si="0"/>
        <v>5</v>
      </c>
    </row>
    <row r="11" spans="1:19" x14ac:dyDescent="0.35">
      <c r="A11" s="305">
        <f t="shared" si="1"/>
        <v>8</v>
      </c>
      <c r="B11" s="311">
        <v>1</v>
      </c>
      <c r="C11" s="305">
        <v>1</v>
      </c>
      <c r="D11" s="305">
        <v>1</v>
      </c>
      <c r="E11" s="305">
        <v>1</v>
      </c>
      <c r="F11" s="305">
        <v>1</v>
      </c>
      <c r="G11" s="305">
        <v>0</v>
      </c>
      <c r="H11" s="305">
        <v>0</v>
      </c>
      <c r="I11" s="305">
        <v>0</v>
      </c>
      <c r="J11" s="305">
        <v>0</v>
      </c>
      <c r="K11" s="305">
        <v>0</v>
      </c>
      <c r="L11" s="310">
        <v>0</v>
      </c>
      <c r="M11" s="305">
        <f t="shared" si="0"/>
        <v>5</v>
      </c>
    </row>
    <row r="12" spans="1:19" x14ac:dyDescent="0.35">
      <c r="A12" s="305">
        <f t="shared" si="1"/>
        <v>9</v>
      </c>
      <c r="B12" s="311">
        <v>0</v>
      </c>
      <c r="C12" s="305">
        <v>1</v>
      </c>
      <c r="D12" s="305">
        <v>0</v>
      </c>
      <c r="E12" s="305">
        <v>1</v>
      </c>
      <c r="F12" s="305">
        <v>1</v>
      </c>
      <c r="G12" s="305">
        <v>0</v>
      </c>
      <c r="H12" s="305">
        <v>0</v>
      </c>
      <c r="I12" s="305">
        <v>0</v>
      </c>
      <c r="J12" s="305">
        <v>0</v>
      </c>
      <c r="K12" s="305">
        <v>1</v>
      </c>
      <c r="L12" s="310">
        <v>0</v>
      </c>
      <c r="M12" s="305">
        <f t="shared" si="0"/>
        <v>4</v>
      </c>
    </row>
    <row r="13" spans="1:19" x14ac:dyDescent="0.35">
      <c r="A13" s="305">
        <f t="shared" si="1"/>
        <v>10</v>
      </c>
      <c r="B13" s="311">
        <v>1</v>
      </c>
      <c r="C13" s="305">
        <v>0</v>
      </c>
      <c r="D13" s="305">
        <v>0</v>
      </c>
      <c r="E13" s="305">
        <v>1</v>
      </c>
      <c r="F13" s="305">
        <v>0</v>
      </c>
      <c r="G13" s="305">
        <v>1</v>
      </c>
      <c r="H13" s="305">
        <v>0</v>
      </c>
      <c r="I13" s="305">
        <v>0</v>
      </c>
      <c r="J13" s="305">
        <v>0</v>
      </c>
      <c r="K13" s="305">
        <v>0</v>
      </c>
      <c r="L13" s="310">
        <v>0</v>
      </c>
      <c r="M13" s="305">
        <f t="shared" si="0"/>
        <v>3</v>
      </c>
    </row>
    <row r="14" spans="1:19" x14ac:dyDescent="0.35">
      <c r="A14" s="305">
        <f t="shared" si="1"/>
        <v>11</v>
      </c>
      <c r="B14" s="311">
        <v>1</v>
      </c>
      <c r="C14" s="305">
        <v>1</v>
      </c>
      <c r="D14" s="305">
        <v>1</v>
      </c>
      <c r="E14" s="305">
        <v>0</v>
      </c>
      <c r="F14" s="305">
        <v>0</v>
      </c>
      <c r="G14" s="305">
        <v>0</v>
      </c>
      <c r="H14" s="305">
        <v>0</v>
      </c>
      <c r="I14" s="305">
        <v>0</v>
      </c>
      <c r="J14" s="305">
        <v>0</v>
      </c>
      <c r="K14" s="305">
        <v>0</v>
      </c>
      <c r="L14" s="310">
        <v>0</v>
      </c>
      <c r="M14" s="305">
        <f t="shared" si="0"/>
        <v>3</v>
      </c>
    </row>
    <row r="15" spans="1:19" x14ac:dyDescent="0.35">
      <c r="A15" s="305">
        <f t="shared" si="1"/>
        <v>12</v>
      </c>
      <c r="B15" s="309">
        <v>1</v>
      </c>
      <c r="C15" s="324">
        <v>0</v>
      </c>
      <c r="D15" s="324">
        <v>0</v>
      </c>
      <c r="E15" s="324">
        <v>1</v>
      </c>
      <c r="F15" s="324">
        <v>0</v>
      </c>
      <c r="G15" s="324">
        <v>0</v>
      </c>
      <c r="H15" s="324">
        <v>0</v>
      </c>
      <c r="I15" s="324">
        <v>0</v>
      </c>
      <c r="J15" s="324">
        <v>0</v>
      </c>
      <c r="K15" s="324">
        <v>0</v>
      </c>
      <c r="L15" s="323">
        <v>0</v>
      </c>
      <c r="M15" s="305">
        <f t="shared" si="0"/>
        <v>2</v>
      </c>
    </row>
    <row r="16" spans="1:19" x14ac:dyDescent="0.35">
      <c r="A16" s="305" t="s">
        <v>1</v>
      </c>
      <c r="B16" s="305">
        <f t="shared" ref="B16:L16" si="2">SUM(B4:B15)</f>
        <v>10</v>
      </c>
      <c r="C16" s="305">
        <f t="shared" si="2"/>
        <v>9</v>
      </c>
      <c r="D16" s="305">
        <f t="shared" si="2"/>
        <v>9</v>
      </c>
      <c r="E16" s="305">
        <f t="shared" si="2"/>
        <v>9</v>
      </c>
      <c r="F16" s="305">
        <f t="shared" si="2"/>
        <v>8</v>
      </c>
      <c r="G16" s="305">
        <f t="shared" si="2"/>
        <v>6</v>
      </c>
      <c r="H16" s="305">
        <f t="shared" si="2"/>
        <v>5</v>
      </c>
      <c r="I16" s="305">
        <f t="shared" si="2"/>
        <v>5</v>
      </c>
      <c r="J16" s="305">
        <f t="shared" si="2"/>
        <v>4</v>
      </c>
      <c r="K16" s="305">
        <f t="shared" si="2"/>
        <v>3</v>
      </c>
      <c r="L16" s="305">
        <f t="shared" si="2"/>
        <v>1</v>
      </c>
      <c r="M16" s="305">
        <f t="shared" si="0"/>
        <v>69</v>
      </c>
    </row>
    <row r="17" spans="1:13" x14ac:dyDescent="0.35">
      <c r="A17" s="305"/>
      <c r="B17" s="305"/>
      <c r="C17" s="305"/>
      <c r="D17" s="305"/>
      <c r="E17" s="305"/>
      <c r="F17" s="305"/>
      <c r="G17" s="305"/>
      <c r="H17" s="305"/>
      <c r="I17" s="305"/>
      <c r="J17" s="305"/>
      <c r="K17" s="305"/>
      <c r="L17" s="305"/>
      <c r="M17" s="305"/>
    </row>
    <row r="18" spans="1:13" x14ac:dyDescent="0.35">
      <c r="A18" s="310" t="s">
        <v>86</v>
      </c>
      <c r="B18" s="314">
        <f t="shared" ref="B18:L18" si="3">B16/COUNT(B4:B15)</f>
        <v>0.83333333333333337</v>
      </c>
      <c r="C18" s="321">
        <f t="shared" si="3"/>
        <v>0.75</v>
      </c>
      <c r="D18" s="321">
        <f t="shared" si="3"/>
        <v>0.75</v>
      </c>
      <c r="E18" s="321">
        <f t="shared" si="3"/>
        <v>0.75</v>
      </c>
      <c r="F18" s="321">
        <f t="shared" si="3"/>
        <v>0.66666666666666663</v>
      </c>
      <c r="G18" s="321">
        <f t="shared" si="3"/>
        <v>0.5</v>
      </c>
      <c r="H18" s="321">
        <f t="shared" si="3"/>
        <v>0.41666666666666669</v>
      </c>
      <c r="I18" s="321">
        <f t="shared" si="3"/>
        <v>0.41666666666666669</v>
      </c>
      <c r="J18" s="321">
        <f t="shared" si="3"/>
        <v>0.33333333333333331</v>
      </c>
      <c r="K18" s="321">
        <f t="shared" si="3"/>
        <v>0.25</v>
      </c>
      <c r="L18" s="320">
        <f t="shared" si="3"/>
        <v>8.3333333333333329E-2</v>
      </c>
    </row>
    <row r="19" spans="1:13" x14ac:dyDescent="0.35">
      <c r="A19" s="305" t="s">
        <v>656</v>
      </c>
      <c r="B19" s="311">
        <f t="shared" ref="B19:L19" si="4">1-B18</f>
        <v>0.16666666666666663</v>
      </c>
      <c r="C19" s="305">
        <f t="shared" si="4"/>
        <v>0.25</v>
      </c>
      <c r="D19" s="305">
        <f t="shared" si="4"/>
        <v>0.25</v>
      </c>
      <c r="E19" s="305">
        <f t="shared" si="4"/>
        <v>0.25</v>
      </c>
      <c r="F19" s="305">
        <f t="shared" si="4"/>
        <v>0.33333333333333337</v>
      </c>
      <c r="G19" s="305">
        <f t="shared" si="4"/>
        <v>0.5</v>
      </c>
      <c r="H19" s="305">
        <f t="shared" si="4"/>
        <v>0.58333333333333326</v>
      </c>
      <c r="I19" s="305">
        <f t="shared" si="4"/>
        <v>0.58333333333333326</v>
      </c>
      <c r="J19" s="305">
        <f t="shared" si="4"/>
        <v>0.66666666666666674</v>
      </c>
      <c r="K19" s="305">
        <f t="shared" si="4"/>
        <v>0.75</v>
      </c>
      <c r="L19" s="310">
        <f t="shared" si="4"/>
        <v>0.91666666666666663</v>
      </c>
    </row>
    <row r="20" spans="1:13" x14ac:dyDescent="0.35">
      <c r="A20" s="305" t="s">
        <v>655</v>
      </c>
      <c r="B20" s="309">
        <f t="shared" ref="B20:L20" si="5">B18*B19</f>
        <v>0.13888888888888887</v>
      </c>
      <c r="C20" s="324">
        <f t="shared" si="5"/>
        <v>0.1875</v>
      </c>
      <c r="D20" s="324">
        <f t="shared" si="5"/>
        <v>0.1875</v>
      </c>
      <c r="E20" s="324">
        <f t="shared" si="5"/>
        <v>0.1875</v>
      </c>
      <c r="F20" s="324">
        <f t="shared" si="5"/>
        <v>0.22222222222222224</v>
      </c>
      <c r="G20" s="324">
        <f t="shared" si="5"/>
        <v>0.25</v>
      </c>
      <c r="H20" s="324">
        <f t="shared" si="5"/>
        <v>0.24305555555555552</v>
      </c>
      <c r="I20" s="324">
        <f t="shared" si="5"/>
        <v>0.24305555555555552</v>
      </c>
      <c r="J20" s="324">
        <f t="shared" si="5"/>
        <v>0.22222222222222224</v>
      </c>
      <c r="K20" s="324">
        <f t="shared" si="5"/>
        <v>0.1875</v>
      </c>
      <c r="L20" s="323">
        <f t="shared" si="5"/>
        <v>7.6388888888888881E-2</v>
      </c>
      <c r="M20" s="322">
        <f>SUM(B20:L20)</f>
        <v>2.1458333333333335</v>
      </c>
    </row>
    <row r="22" spans="1:13" x14ac:dyDescent="0.35">
      <c r="A22" s="315" t="s">
        <v>51</v>
      </c>
      <c r="B22" s="254">
        <f>COUNTA(B3:L3)</f>
        <v>11</v>
      </c>
    </row>
    <row r="23" spans="1:13" x14ac:dyDescent="0.35">
      <c r="A23" s="57" t="s">
        <v>654</v>
      </c>
      <c r="B23" s="100">
        <f>M20</f>
        <v>2.1458333333333335</v>
      </c>
    </row>
    <row r="24" spans="1:13" x14ac:dyDescent="0.35">
      <c r="A24" s="315" t="s">
        <v>6</v>
      </c>
      <c r="B24" s="100">
        <f xml:space="preserve"> VARP(M4:M15)</f>
        <v>6.520833333333333</v>
      </c>
    </row>
    <row r="25" spans="1:13" x14ac:dyDescent="0.35">
      <c r="A25" s="315" t="s">
        <v>179</v>
      </c>
      <c r="B25" s="94">
        <f>(B22/(B22-1))*(1-B23/B24)</f>
        <v>0.73801916932907352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8"/>
  <dimension ref="A1:AI95"/>
  <sheetViews>
    <sheetView workbookViewId="0"/>
  </sheetViews>
  <sheetFormatPr defaultRowHeight="14.5" x14ac:dyDescent="0.35"/>
  <cols>
    <col min="1" max="13" width="7.7265625" customWidth="1"/>
    <col min="15" max="15" width="17.7265625" customWidth="1"/>
  </cols>
  <sheetData>
    <row r="1" spans="1:19" x14ac:dyDescent="0.35">
      <c r="A1" s="1" t="s">
        <v>678</v>
      </c>
    </row>
    <row r="3" spans="1:19" x14ac:dyDescent="0.35">
      <c r="B3" s="298" t="s">
        <v>50</v>
      </c>
      <c r="C3" s="298" t="s">
        <v>640</v>
      </c>
      <c r="D3" s="298" t="s">
        <v>282</v>
      </c>
      <c r="E3" s="298" t="s">
        <v>639</v>
      </c>
      <c r="F3" s="298" t="s">
        <v>638</v>
      </c>
      <c r="G3" s="298" t="s">
        <v>637</v>
      </c>
      <c r="H3" s="298" t="s">
        <v>636</v>
      </c>
      <c r="I3" s="298" t="s">
        <v>635</v>
      </c>
      <c r="J3" s="298" t="s">
        <v>634</v>
      </c>
      <c r="K3" s="298" t="s">
        <v>633</v>
      </c>
      <c r="L3" s="298" t="s">
        <v>658</v>
      </c>
      <c r="M3" s="298" t="s">
        <v>1</v>
      </c>
      <c r="O3" t="s">
        <v>677</v>
      </c>
    </row>
    <row r="4" spans="1:19" ht="15" thickBot="1" x14ac:dyDescent="0.4">
      <c r="A4" s="305">
        <v>1</v>
      </c>
      <c r="B4" s="334">
        <v>1</v>
      </c>
      <c r="C4" s="321">
        <v>1</v>
      </c>
      <c r="D4" s="321">
        <v>1</v>
      </c>
      <c r="E4" s="321">
        <v>1</v>
      </c>
      <c r="F4" s="321">
        <v>1</v>
      </c>
      <c r="G4" s="321">
        <v>1</v>
      </c>
      <c r="H4" s="321">
        <v>1</v>
      </c>
      <c r="I4" s="321">
        <v>1</v>
      </c>
      <c r="J4" s="321">
        <v>1</v>
      </c>
      <c r="K4" s="321">
        <v>1</v>
      </c>
      <c r="L4" s="320">
        <v>1</v>
      </c>
      <c r="M4" s="305">
        <f t="shared" ref="M4:M17" si="0">SUM(B4:L4)</f>
        <v>11</v>
      </c>
    </row>
    <row r="5" spans="1:19" x14ac:dyDescent="0.35">
      <c r="A5" s="305">
        <f t="shared" ref="A5:A15" si="1">A4+1</f>
        <v>2</v>
      </c>
      <c r="B5" s="311">
        <v>1</v>
      </c>
      <c r="C5" s="305">
        <v>1</v>
      </c>
      <c r="D5" s="305">
        <v>1</v>
      </c>
      <c r="E5" s="305">
        <v>1</v>
      </c>
      <c r="F5" s="305">
        <v>1</v>
      </c>
      <c r="G5" s="305">
        <v>1</v>
      </c>
      <c r="H5" s="305">
        <v>1</v>
      </c>
      <c r="I5" s="305">
        <v>1</v>
      </c>
      <c r="J5" s="305">
        <v>0</v>
      </c>
      <c r="K5" s="305">
        <v>1</v>
      </c>
      <c r="L5" s="330">
        <v>0</v>
      </c>
      <c r="M5" s="305">
        <f t="shared" si="0"/>
        <v>9</v>
      </c>
      <c r="O5" s="229" t="s">
        <v>55</v>
      </c>
      <c r="P5" s="229" t="s">
        <v>20</v>
      </c>
      <c r="Q5" s="229" t="s">
        <v>19</v>
      </c>
      <c r="R5" s="229" t="s">
        <v>676</v>
      </c>
      <c r="S5" s="229" t="s">
        <v>73</v>
      </c>
    </row>
    <row r="6" spans="1:19" x14ac:dyDescent="0.35">
      <c r="A6" s="305">
        <f t="shared" si="1"/>
        <v>3</v>
      </c>
      <c r="B6" s="311">
        <v>1</v>
      </c>
      <c r="C6" s="305">
        <v>0</v>
      </c>
      <c r="D6" s="305">
        <v>1</v>
      </c>
      <c r="E6" s="305">
        <v>1</v>
      </c>
      <c r="F6" s="305">
        <v>1</v>
      </c>
      <c r="G6" s="305">
        <v>1</v>
      </c>
      <c r="H6" s="305">
        <v>1</v>
      </c>
      <c r="I6" s="305">
        <v>1</v>
      </c>
      <c r="J6" s="305">
        <v>1</v>
      </c>
      <c r="K6" s="305">
        <v>0</v>
      </c>
      <c r="L6" s="330">
        <v>0</v>
      </c>
      <c r="M6" s="305">
        <f t="shared" si="0"/>
        <v>8</v>
      </c>
      <c r="O6" s="11">
        <v>1</v>
      </c>
      <c r="P6" s="11">
        <v>11</v>
      </c>
      <c r="Q6" s="11">
        <v>11</v>
      </c>
      <c r="R6" s="11">
        <v>1</v>
      </c>
      <c r="S6" s="11">
        <v>0</v>
      </c>
    </row>
    <row r="7" spans="1:19" x14ac:dyDescent="0.35">
      <c r="A7" s="305">
        <f t="shared" si="1"/>
        <v>4</v>
      </c>
      <c r="B7" s="311">
        <v>1</v>
      </c>
      <c r="C7" s="305">
        <v>1</v>
      </c>
      <c r="D7" s="305">
        <v>1</v>
      </c>
      <c r="E7" s="305">
        <v>0</v>
      </c>
      <c r="F7" s="305">
        <v>1</v>
      </c>
      <c r="G7" s="305">
        <v>1</v>
      </c>
      <c r="H7" s="305">
        <v>0</v>
      </c>
      <c r="I7" s="305">
        <v>1</v>
      </c>
      <c r="J7" s="305">
        <v>1</v>
      </c>
      <c r="K7" s="305">
        <v>0</v>
      </c>
      <c r="L7" s="330">
        <v>0</v>
      </c>
      <c r="M7" s="305">
        <f t="shared" si="0"/>
        <v>7</v>
      </c>
      <c r="O7" s="11">
        <v>2</v>
      </c>
      <c r="P7" s="11">
        <v>11</v>
      </c>
      <c r="Q7" s="11">
        <v>9</v>
      </c>
      <c r="R7" s="11">
        <v>0.81818181818181823</v>
      </c>
      <c r="S7" s="11">
        <v>0.16363636363636366</v>
      </c>
    </row>
    <row r="8" spans="1:19" x14ac:dyDescent="0.35">
      <c r="A8" s="305">
        <f t="shared" si="1"/>
        <v>5</v>
      </c>
      <c r="B8" s="311">
        <v>1</v>
      </c>
      <c r="C8" s="305">
        <v>1</v>
      </c>
      <c r="D8" s="305">
        <v>1</v>
      </c>
      <c r="E8" s="305">
        <v>1</v>
      </c>
      <c r="F8" s="305">
        <v>1</v>
      </c>
      <c r="G8" s="305">
        <v>0</v>
      </c>
      <c r="H8" s="305">
        <v>0</v>
      </c>
      <c r="I8" s="305">
        <v>0</v>
      </c>
      <c r="J8" s="305">
        <v>1</v>
      </c>
      <c r="K8" s="305">
        <v>0</v>
      </c>
      <c r="L8" s="330">
        <v>0</v>
      </c>
      <c r="M8" s="305">
        <f t="shared" si="0"/>
        <v>6</v>
      </c>
      <c r="O8" s="11">
        <v>3</v>
      </c>
      <c r="P8" s="11">
        <v>11</v>
      </c>
      <c r="Q8" s="11">
        <v>8</v>
      </c>
      <c r="R8" s="11">
        <v>0.72727272727272729</v>
      </c>
      <c r="S8" s="11">
        <v>0.21818181818181817</v>
      </c>
    </row>
    <row r="9" spans="1:19" x14ac:dyDescent="0.35">
      <c r="A9" s="305">
        <f t="shared" si="1"/>
        <v>6</v>
      </c>
      <c r="B9" s="311">
        <v>0</v>
      </c>
      <c r="C9" s="305">
        <v>1</v>
      </c>
      <c r="D9" s="305">
        <v>1</v>
      </c>
      <c r="E9" s="305">
        <v>0</v>
      </c>
      <c r="F9" s="305">
        <v>1</v>
      </c>
      <c r="G9" s="305">
        <v>1</v>
      </c>
      <c r="H9" s="305">
        <v>1</v>
      </c>
      <c r="I9" s="305">
        <v>1</v>
      </c>
      <c r="J9" s="305">
        <v>0</v>
      </c>
      <c r="K9" s="305">
        <v>0</v>
      </c>
      <c r="L9" s="330">
        <v>0</v>
      </c>
      <c r="M9" s="305">
        <f t="shared" si="0"/>
        <v>6</v>
      </c>
      <c r="O9" s="11">
        <v>4</v>
      </c>
      <c r="P9" s="11">
        <v>11</v>
      </c>
      <c r="Q9" s="11">
        <v>7</v>
      </c>
      <c r="R9" s="11">
        <v>0.63636363636363635</v>
      </c>
      <c r="S9" s="11">
        <v>0.25454545454545457</v>
      </c>
    </row>
    <row r="10" spans="1:19" x14ac:dyDescent="0.35">
      <c r="A10" s="305">
        <f t="shared" si="1"/>
        <v>7</v>
      </c>
      <c r="B10" s="311">
        <v>1</v>
      </c>
      <c r="C10" s="305">
        <v>1</v>
      </c>
      <c r="D10" s="305">
        <v>1</v>
      </c>
      <c r="E10" s="305">
        <v>1</v>
      </c>
      <c r="F10" s="305">
        <v>0</v>
      </c>
      <c r="G10" s="305">
        <v>0</v>
      </c>
      <c r="H10" s="305">
        <v>1</v>
      </c>
      <c r="I10" s="305">
        <v>0</v>
      </c>
      <c r="J10" s="305">
        <v>0</v>
      </c>
      <c r="K10" s="305">
        <v>0</v>
      </c>
      <c r="L10" s="330">
        <v>0</v>
      </c>
      <c r="M10" s="305">
        <f t="shared" si="0"/>
        <v>5</v>
      </c>
      <c r="O10" s="11">
        <v>5</v>
      </c>
      <c r="P10" s="11">
        <v>11</v>
      </c>
      <c r="Q10" s="11">
        <v>6</v>
      </c>
      <c r="R10" s="11">
        <v>0.54545454545454541</v>
      </c>
      <c r="S10" s="11">
        <v>0.27272727272727271</v>
      </c>
    </row>
    <row r="11" spans="1:19" x14ac:dyDescent="0.35">
      <c r="A11" s="305">
        <f t="shared" si="1"/>
        <v>8</v>
      </c>
      <c r="B11" s="311">
        <v>1</v>
      </c>
      <c r="C11" s="305">
        <v>1</v>
      </c>
      <c r="D11" s="305">
        <v>1</v>
      </c>
      <c r="E11" s="305">
        <v>1</v>
      </c>
      <c r="F11" s="305">
        <v>1</v>
      </c>
      <c r="G11" s="305">
        <v>0</v>
      </c>
      <c r="H11" s="305">
        <v>0</v>
      </c>
      <c r="I11" s="305">
        <v>0</v>
      </c>
      <c r="J11" s="305">
        <v>0</v>
      </c>
      <c r="K11" s="305">
        <v>0</v>
      </c>
      <c r="L11" s="330">
        <v>0</v>
      </c>
      <c r="M11" s="305">
        <f t="shared" si="0"/>
        <v>5</v>
      </c>
      <c r="O11" s="11">
        <v>6</v>
      </c>
      <c r="P11" s="11">
        <v>11</v>
      </c>
      <c r="Q11" s="11">
        <v>6</v>
      </c>
      <c r="R11" s="11">
        <v>0.54545454545454541</v>
      </c>
      <c r="S11" s="11">
        <v>0.27272727272727271</v>
      </c>
    </row>
    <row r="12" spans="1:19" x14ac:dyDescent="0.35">
      <c r="A12" s="305">
        <f t="shared" si="1"/>
        <v>9</v>
      </c>
      <c r="B12" s="311">
        <v>0</v>
      </c>
      <c r="C12" s="305">
        <v>1</v>
      </c>
      <c r="D12" s="305">
        <v>0</v>
      </c>
      <c r="E12" s="305">
        <v>1</v>
      </c>
      <c r="F12" s="305">
        <v>1</v>
      </c>
      <c r="G12" s="305">
        <v>0</v>
      </c>
      <c r="H12" s="305">
        <v>0</v>
      </c>
      <c r="I12" s="305">
        <v>0</v>
      </c>
      <c r="J12" s="305">
        <v>0</v>
      </c>
      <c r="K12" s="305">
        <v>1</v>
      </c>
      <c r="L12" s="330">
        <v>0</v>
      </c>
      <c r="M12" s="305">
        <f t="shared" si="0"/>
        <v>4</v>
      </c>
      <c r="O12" s="11">
        <v>7</v>
      </c>
      <c r="P12" s="11">
        <v>11</v>
      </c>
      <c r="Q12" s="11">
        <v>5</v>
      </c>
      <c r="R12" s="11">
        <v>0.45454545454545453</v>
      </c>
      <c r="S12" s="11">
        <v>0.27272727272727271</v>
      </c>
    </row>
    <row r="13" spans="1:19" x14ac:dyDescent="0.35">
      <c r="A13" s="305">
        <f t="shared" si="1"/>
        <v>10</v>
      </c>
      <c r="B13" s="311">
        <v>1</v>
      </c>
      <c r="C13" s="305">
        <v>0</v>
      </c>
      <c r="D13" s="305">
        <v>0</v>
      </c>
      <c r="E13" s="305">
        <v>1</v>
      </c>
      <c r="F13" s="305">
        <v>0</v>
      </c>
      <c r="G13" s="305">
        <v>1</v>
      </c>
      <c r="H13" s="305">
        <v>0</v>
      </c>
      <c r="I13" s="305">
        <v>0</v>
      </c>
      <c r="J13" s="305">
        <v>0</v>
      </c>
      <c r="K13" s="305">
        <v>0</v>
      </c>
      <c r="L13" s="330">
        <v>0</v>
      </c>
      <c r="M13" s="305">
        <f t="shared" si="0"/>
        <v>3</v>
      </c>
      <c r="O13" s="11">
        <v>8</v>
      </c>
      <c r="P13" s="11">
        <v>11</v>
      </c>
      <c r="Q13" s="11">
        <v>5</v>
      </c>
      <c r="R13" s="11">
        <v>0.45454545454545453</v>
      </c>
      <c r="S13" s="11">
        <v>0.27272727272727271</v>
      </c>
    </row>
    <row r="14" spans="1:19" x14ac:dyDescent="0.35">
      <c r="A14" s="305">
        <f t="shared" si="1"/>
        <v>11</v>
      </c>
      <c r="B14" s="311">
        <v>1</v>
      </c>
      <c r="C14" s="305">
        <v>1</v>
      </c>
      <c r="D14" s="305">
        <v>1</v>
      </c>
      <c r="E14" s="305">
        <v>0</v>
      </c>
      <c r="F14" s="305">
        <v>0</v>
      </c>
      <c r="G14" s="305">
        <v>0</v>
      </c>
      <c r="H14" s="305">
        <v>0</v>
      </c>
      <c r="I14" s="305">
        <v>0</v>
      </c>
      <c r="J14" s="305">
        <v>0</v>
      </c>
      <c r="K14" s="305">
        <v>0</v>
      </c>
      <c r="L14" s="330">
        <v>0</v>
      </c>
      <c r="M14" s="305">
        <f t="shared" si="0"/>
        <v>3</v>
      </c>
      <c r="O14" s="11">
        <v>9</v>
      </c>
      <c r="P14" s="11">
        <v>11</v>
      </c>
      <c r="Q14" s="11">
        <v>4</v>
      </c>
      <c r="R14" s="11">
        <v>0.36363636363636365</v>
      </c>
      <c r="S14" s="11">
        <v>0.25454545454545452</v>
      </c>
    </row>
    <row r="15" spans="1:19" x14ac:dyDescent="0.35">
      <c r="A15" s="305">
        <f t="shared" si="1"/>
        <v>12</v>
      </c>
      <c r="B15" s="309">
        <v>1</v>
      </c>
      <c r="C15" s="308">
        <v>0</v>
      </c>
      <c r="D15" s="308">
        <v>0</v>
      </c>
      <c r="E15" s="308">
        <v>1</v>
      </c>
      <c r="F15" s="308">
        <v>0</v>
      </c>
      <c r="G15" s="308">
        <v>0</v>
      </c>
      <c r="H15" s="308">
        <v>0</v>
      </c>
      <c r="I15" s="308">
        <v>0</v>
      </c>
      <c r="J15" s="308">
        <v>0</v>
      </c>
      <c r="K15" s="308">
        <v>0</v>
      </c>
      <c r="L15" s="307">
        <v>0</v>
      </c>
      <c r="M15" s="305">
        <f t="shared" si="0"/>
        <v>2</v>
      </c>
      <c r="O15" s="11">
        <v>10</v>
      </c>
      <c r="P15" s="11">
        <v>11</v>
      </c>
      <c r="Q15" s="11">
        <v>3</v>
      </c>
      <c r="R15" s="11">
        <v>0.27272727272727271</v>
      </c>
      <c r="S15" s="11">
        <v>0.21818181818181817</v>
      </c>
    </row>
    <row r="16" spans="1:19" x14ac:dyDescent="0.35">
      <c r="A16" s="305" t="s">
        <v>1</v>
      </c>
      <c r="B16" s="305">
        <f t="shared" ref="B16:L16" si="2">SUM(B4:B15)</f>
        <v>10</v>
      </c>
      <c r="C16" s="305">
        <f t="shared" si="2"/>
        <v>9</v>
      </c>
      <c r="D16" s="305">
        <f t="shared" si="2"/>
        <v>9</v>
      </c>
      <c r="E16" s="305">
        <f t="shared" si="2"/>
        <v>9</v>
      </c>
      <c r="F16" s="305">
        <f t="shared" si="2"/>
        <v>8</v>
      </c>
      <c r="G16" s="305">
        <f t="shared" si="2"/>
        <v>6</v>
      </c>
      <c r="H16" s="305">
        <f t="shared" si="2"/>
        <v>5</v>
      </c>
      <c r="I16" s="305">
        <f t="shared" si="2"/>
        <v>5</v>
      </c>
      <c r="J16" s="305">
        <f t="shared" si="2"/>
        <v>4</v>
      </c>
      <c r="K16" s="305">
        <f t="shared" si="2"/>
        <v>3</v>
      </c>
      <c r="L16" s="305">
        <f t="shared" si="2"/>
        <v>1</v>
      </c>
      <c r="M16" s="305">
        <f t="shared" si="0"/>
        <v>69</v>
      </c>
      <c r="O16" s="11">
        <v>11</v>
      </c>
      <c r="P16" s="11">
        <v>11</v>
      </c>
      <c r="Q16" s="11">
        <v>3</v>
      </c>
      <c r="R16" s="11">
        <v>0.27272727272727271</v>
      </c>
      <c r="S16" s="11">
        <v>0.21818181818181817</v>
      </c>
    </row>
    <row r="17" spans="1:19" x14ac:dyDescent="0.35">
      <c r="A17" s="305" t="s">
        <v>675</v>
      </c>
      <c r="B17" s="305">
        <f t="shared" ref="B17:L17" si="3">VARP(B4:B15)</f>
        <v>0.1388888888888889</v>
      </c>
      <c r="C17" s="305">
        <f t="shared" si="3"/>
        <v>0.1875</v>
      </c>
      <c r="D17" s="305">
        <f t="shared" si="3"/>
        <v>0.1875</v>
      </c>
      <c r="E17" s="305">
        <f t="shared" si="3"/>
        <v>0.1875</v>
      </c>
      <c r="F17" s="305">
        <f t="shared" si="3"/>
        <v>0.22222222222222221</v>
      </c>
      <c r="G17" s="305">
        <f t="shared" si="3"/>
        <v>0.25</v>
      </c>
      <c r="H17" s="305">
        <f t="shared" si="3"/>
        <v>0.24305555555555555</v>
      </c>
      <c r="I17" s="305">
        <f t="shared" si="3"/>
        <v>0.24305555555555555</v>
      </c>
      <c r="J17" s="305">
        <f t="shared" si="3"/>
        <v>0.22222222222222221</v>
      </c>
      <c r="K17" s="305">
        <f t="shared" si="3"/>
        <v>0.1875</v>
      </c>
      <c r="L17" s="305">
        <f t="shared" si="3"/>
        <v>7.6388888888888895E-2</v>
      </c>
      <c r="M17" s="305">
        <f t="shared" si="0"/>
        <v>2.1458333333333335</v>
      </c>
      <c r="O17" s="11">
        <v>12</v>
      </c>
      <c r="P17" s="11">
        <v>11</v>
      </c>
      <c r="Q17" s="11">
        <v>2</v>
      </c>
      <c r="R17" s="11">
        <v>0.18181818181818182</v>
      </c>
      <c r="S17" s="11">
        <v>0.16363636363636364</v>
      </c>
    </row>
    <row r="18" spans="1:19" x14ac:dyDescent="0.35">
      <c r="O18" s="11"/>
      <c r="P18" s="11"/>
      <c r="Q18" s="11"/>
      <c r="R18" s="11"/>
      <c r="S18" s="11"/>
    </row>
    <row r="19" spans="1:19" x14ac:dyDescent="0.35">
      <c r="A19" s="315" t="s">
        <v>51</v>
      </c>
      <c r="B19" s="335">
        <f>COUNTA(B3:L3)</f>
        <v>11</v>
      </c>
      <c r="O19" s="11" t="s">
        <v>50</v>
      </c>
      <c r="P19" s="11">
        <v>12</v>
      </c>
      <c r="Q19" s="11">
        <v>10</v>
      </c>
      <c r="R19" s="11">
        <v>0.83333333333333337</v>
      </c>
      <c r="S19" s="11">
        <v>0.15151515151515146</v>
      </c>
    </row>
    <row r="20" spans="1:19" x14ac:dyDescent="0.35">
      <c r="A20" s="57" t="s">
        <v>670</v>
      </c>
      <c r="B20" s="100">
        <f>M17</f>
        <v>2.1458333333333335</v>
      </c>
      <c r="O20" s="11" t="s">
        <v>640</v>
      </c>
      <c r="P20" s="11">
        <v>12</v>
      </c>
      <c r="Q20" s="11">
        <v>9</v>
      </c>
      <c r="R20" s="11">
        <v>0.75</v>
      </c>
      <c r="S20" s="11">
        <v>0.20454545454545456</v>
      </c>
    </row>
    <row r="21" spans="1:19" x14ac:dyDescent="0.35">
      <c r="A21" s="315" t="s">
        <v>6</v>
      </c>
      <c r="B21" s="100">
        <f xml:space="preserve"> VARP(M4:M15)</f>
        <v>6.520833333333333</v>
      </c>
      <c r="O21" s="11" t="s">
        <v>282</v>
      </c>
      <c r="P21" s="11">
        <v>12</v>
      </c>
      <c r="Q21" s="11">
        <v>9</v>
      </c>
      <c r="R21" s="11">
        <v>0.75</v>
      </c>
      <c r="S21" s="11">
        <v>0.20454545454545456</v>
      </c>
    </row>
    <row r="22" spans="1:19" x14ac:dyDescent="0.35">
      <c r="A22" s="329" t="s">
        <v>44</v>
      </c>
      <c r="B22" s="94">
        <f>(B19/(B19-1))*(1-B20/B21)</f>
        <v>0.73801916932907352</v>
      </c>
      <c r="O22" s="11" t="s">
        <v>639</v>
      </c>
      <c r="P22" s="11">
        <v>12</v>
      </c>
      <c r="Q22" s="11">
        <v>9</v>
      </c>
      <c r="R22" s="11">
        <v>0.75</v>
      </c>
      <c r="S22" s="11">
        <v>0.20454545454545456</v>
      </c>
    </row>
    <row r="23" spans="1:19" x14ac:dyDescent="0.35">
      <c r="A23" s="329"/>
      <c r="B23" s="4"/>
      <c r="O23" s="11" t="s">
        <v>638</v>
      </c>
      <c r="P23" s="11">
        <v>12</v>
      </c>
      <c r="Q23" s="11">
        <v>8</v>
      </c>
      <c r="R23" s="11">
        <v>0.66666666666666663</v>
      </c>
      <c r="S23" s="11">
        <v>0.24242424242424246</v>
      </c>
    </row>
    <row r="24" spans="1:19" x14ac:dyDescent="0.35">
      <c r="A24" s="200" t="s">
        <v>674</v>
      </c>
      <c r="B24" s="4"/>
      <c r="O24" s="11" t="s">
        <v>637</v>
      </c>
      <c r="P24" s="11">
        <v>12</v>
      </c>
      <c r="Q24" s="11">
        <v>6</v>
      </c>
      <c r="R24" s="11">
        <v>0.5</v>
      </c>
      <c r="S24" s="11">
        <v>0.27272727272727271</v>
      </c>
    </row>
    <row r="25" spans="1:19" x14ac:dyDescent="0.35">
      <c r="O25" s="11" t="s">
        <v>636</v>
      </c>
      <c r="P25" s="11">
        <v>12</v>
      </c>
      <c r="Q25" s="11">
        <v>5</v>
      </c>
      <c r="R25" s="11">
        <v>0.41666666666666669</v>
      </c>
      <c r="S25" s="11">
        <v>0.26515151515151514</v>
      </c>
    </row>
    <row r="26" spans="1:19" x14ac:dyDescent="0.35">
      <c r="B26" s="298" t="s">
        <v>50</v>
      </c>
      <c r="C26" s="298" t="s">
        <v>640</v>
      </c>
      <c r="D26" s="298" t="s">
        <v>282</v>
      </c>
      <c r="E26" s="298" t="s">
        <v>639</v>
      </c>
      <c r="F26" s="298" t="s">
        <v>638</v>
      </c>
      <c r="G26" s="298" t="s">
        <v>637</v>
      </c>
      <c r="H26" s="298" t="s">
        <v>636</v>
      </c>
      <c r="I26" s="298" t="s">
        <v>635</v>
      </c>
      <c r="J26" s="298" t="s">
        <v>634</v>
      </c>
      <c r="K26" s="298" t="s">
        <v>633</v>
      </c>
      <c r="L26" s="298" t="s">
        <v>658</v>
      </c>
      <c r="O26" s="11" t="s">
        <v>635</v>
      </c>
      <c r="P26" s="11">
        <v>12</v>
      </c>
      <c r="Q26" s="11">
        <v>5</v>
      </c>
      <c r="R26" s="11">
        <v>0.41666666666666669</v>
      </c>
      <c r="S26" s="11">
        <v>0.26515151515151514</v>
      </c>
    </row>
    <row r="27" spans="1:19" x14ac:dyDescent="0.35">
      <c r="A27" s="305">
        <v>1</v>
      </c>
      <c r="B27" s="334">
        <f t="shared" ref="B27:L27" si="4">$M4-B4</f>
        <v>10</v>
      </c>
      <c r="C27" s="321">
        <f t="shared" si="4"/>
        <v>10</v>
      </c>
      <c r="D27" s="321">
        <f t="shared" si="4"/>
        <v>10</v>
      </c>
      <c r="E27" s="321">
        <f t="shared" si="4"/>
        <v>10</v>
      </c>
      <c r="F27" s="321">
        <f t="shared" si="4"/>
        <v>10</v>
      </c>
      <c r="G27" s="321">
        <f t="shared" si="4"/>
        <v>10</v>
      </c>
      <c r="H27" s="321">
        <f t="shared" si="4"/>
        <v>10</v>
      </c>
      <c r="I27" s="321">
        <f t="shared" si="4"/>
        <v>10</v>
      </c>
      <c r="J27" s="321">
        <f t="shared" si="4"/>
        <v>10</v>
      </c>
      <c r="K27" s="321">
        <f t="shared" si="4"/>
        <v>10</v>
      </c>
      <c r="L27" s="320">
        <f t="shared" si="4"/>
        <v>10</v>
      </c>
      <c r="O27" s="11" t="s">
        <v>634</v>
      </c>
      <c r="P27" s="11">
        <v>12</v>
      </c>
      <c r="Q27" s="11">
        <v>4</v>
      </c>
      <c r="R27" s="11">
        <v>0.33333333333333331</v>
      </c>
      <c r="S27" s="11">
        <v>0.24242424242424246</v>
      </c>
    </row>
    <row r="28" spans="1:19" x14ac:dyDescent="0.35">
      <c r="A28" s="305">
        <f t="shared" ref="A28:A38" si="5">A27+1</f>
        <v>2</v>
      </c>
      <c r="B28" s="311">
        <f t="shared" ref="B28:L28" si="6">$M5-B5</f>
        <v>8</v>
      </c>
      <c r="C28" s="305">
        <f t="shared" si="6"/>
        <v>8</v>
      </c>
      <c r="D28" s="305">
        <f t="shared" si="6"/>
        <v>8</v>
      </c>
      <c r="E28" s="305">
        <f t="shared" si="6"/>
        <v>8</v>
      </c>
      <c r="F28" s="305">
        <f t="shared" si="6"/>
        <v>8</v>
      </c>
      <c r="G28" s="305">
        <f t="shared" si="6"/>
        <v>8</v>
      </c>
      <c r="H28" s="305">
        <f t="shared" si="6"/>
        <v>8</v>
      </c>
      <c r="I28" s="305">
        <f t="shared" si="6"/>
        <v>8</v>
      </c>
      <c r="J28" s="305">
        <f t="shared" si="6"/>
        <v>9</v>
      </c>
      <c r="K28" s="305">
        <f t="shared" si="6"/>
        <v>8</v>
      </c>
      <c r="L28" s="330">
        <f t="shared" si="6"/>
        <v>9</v>
      </c>
      <c r="O28" s="11" t="s">
        <v>633</v>
      </c>
      <c r="P28" s="11">
        <v>12</v>
      </c>
      <c r="Q28" s="11">
        <v>3</v>
      </c>
      <c r="R28" s="11">
        <v>0.25</v>
      </c>
      <c r="S28" s="11">
        <v>0.20454545454545456</v>
      </c>
    </row>
    <row r="29" spans="1:19" ht="15" thickBot="1" x14ac:dyDescent="0.4">
      <c r="A29" s="305">
        <f t="shared" si="5"/>
        <v>3</v>
      </c>
      <c r="B29" s="311">
        <f t="shared" ref="B29:L29" si="7">$M6-B6</f>
        <v>7</v>
      </c>
      <c r="C29" s="305">
        <f t="shared" si="7"/>
        <v>8</v>
      </c>
      <c r="D29" s="305">
        <f t="shared" si="7"/>
        <v>7</v>
      </c>
      <c r="E29" s="305">
        <f t="shared" si="7"/>
        <v>7</v>
      </c>
      <c r="F29" s="305">
        <f t="shared" si="7"/>
        <v>7</v>
      </c>
      <c r="G29" s="305">
        <f t="shared" si="7"/>
        <v>7</v>
      </c>
      <c r="H29" s="305">
        <f t="shared" si="7"/>
        <v>7</v>
      </c>
      <c r="I29" s="305">
        <f t="shared" si="7"/>
        <v>7</v>
      </c>
      <c r="J29" s="305">
        <f t="shared" si="7"/>
        <v>7</v>
      </c>
      <c r="K29" s="305">
        <f t="shared" si="7"/>
        <v>8</v>
      </c>
      <c r="L29" s="330">
        <f t="shared" si="7"/>
        <v>8</v>
      </c>
      <c r="O29" s="12" t="s">
        <v>658</v>
      </c>
      <c r="P29" s="12">
        <v>12</v>
      </c>
      <c r="Q29" s="12">
        <v>1</v>
      </c>
      <c r="R29" s="12">
        <v>8.3333333333333329E-2</v>
      </c>
      <c r="S29" s="12">
        <v>8.3333333333333329E-2</v>
      </c>
    </row>
    <row r="30" spans="1:19" x14ac:dyDescent="0.35">
      <c r="A30" s="305">
        <f t="shared" si="5"/>
        <v>4</v>
      </c>
      <c r="B30" s="311">
        <f t="shared" ref="B30:L30" si="8">$M7-B7</f>
        <v>6</v>
      </c>
      <c r="C30" s="305">
        <f t="shared" si="8"/>
        <v>6</v>
      </c>
      <c r="D30" s="305">
        <f t="shared" si="8"/>
        <v>6</v>
      </c>
      <c r="E30" s="305">
        <f t="shared" si="8"/>
        <v>7</v>
      </c>
      <c r="F30" s="305">
        <f t="shared" si="8"/>
        <v>6</v>
      </c>
      <c r="G30" s="305">
        <f t="shared" si="8"/>
        <v>6</v>
      </c>
      <c r="H30" s="305">
        <f t="shared" si="8"/>
        <v>7</v>
      </c>
      <c r="I30" s="305">
        <f t="shared" si="8"/>
        <v>6</v>
      </c>
      <c r="J30" s="305">
        <f t="shared" si="8"/>
        <v>6</v>
      </c>
      <c r="K30" s="305">
        <f t="shared" si="8"/>
        <v>7</v>
      </c>
      <c r="L30" s="330">
        <f t="shared" si="8"/>
        <v>7</v>
      </c>
    </row>
    <row r="31" spans="1:19" x14ac:dyDescent="0.35">
      <c r="A31" s="305">
        <f t="shared" si="5"/>
        <v>5</v>
      </c>
      <c r="B31" s="311">
        <f t="shared" ref="B31:L31" si="9">$M8-B8</f>
        <v>5</v>
      </c>
      <c r="C31" s="305">
        <f t="shared" si="9"/>
        <v>5</v>
      </c>
      <c r="D31" s="305">
        <f t="shared" si="9"/>
        <v>5</v>
      </c>
      <c r="E31" s="305">
        <f t="shared" si="9"/>
        <v>5</v>
      </c>
      <c r="F31" s="305">
        <f t="shared" si="9"/>
        <v>5</v>
      </c>
      <c r="G31" s="305">
        <f t="shared" si="9"/>
        <v>6</v>
      </c>
      <c r="H31" s="305">
        <f t="shared" si="9"/>
        <v>6</v>
      </c>
      <c r="I31" s="305">
        <f t="shared" si="9"/>
        <v>6</v>
      </c>
      <c r="J31" s="305">
        <f t="shared" si="9"/>
        <v>5</v>
      </c>
      <c r="K31" s="305">
        <f t="shared" si="9"/>
        <v>6</v>
      </c>
      <c r="L31" s="330">
        <f t="shared" si="9"/>
        <v>6</v>
      </c>
    </row>
    <row r="32" spans="1:19" ht="15" thickBot="1" x14ac:dyDescent="0.4">
      <c r="A32" s="305">
        <f t="shared" si="5"/>
        <v>6</v>
      </c>
      <c r="B32" s="311">
        <f t="shared" ref="B32:L32" si="10">$M9-B9</f>
        <v>6</v>
      </c>
      <c r="C32" s="305">
        <f t="shared" si="10"/>
        <v>5</v>
      </c>
      <c r="D32" s="305">
        <f t="shared" si="10"/>
        <v>5</v>
      </c>
      <c r="E32" s="305">
        <f t="shared" si="10"/>
        <v>6</v>
      </c>
      <c r="F32" s="305">
        <f t="shared" si="10"/>
        <v>5</v>
      </c>
      <c r="G32" s="305">
        <f t="shared" si="10"/>
        <v>5</v>
      </c>
      <c r="H32" s="305">
        <f t="shared" si="10"/>
        <v>5</v>
      </c>
      <c r="I32" s="305">
        <f t="shared" si="10"/>
        <v>5</v>
      </c>
      <c r="J32" s="305">
        <f t="shared" si="10"/>
        <v>6</v>
      </c>
      <c r="K32" s="305">
        <f t="shared" si="10"/>
        <v>6</v>
      </c>
      <c r="L32" s="330">
        <f t="shared" si="10"/>
        <v>6</v>
      </c>
      <c r="O32" t="s">
        <v>665</v>
      </c>
    </row>
    <row r="33" spans="1:29" x14ac:dyDescent="0.35">
      <c r="A33" s="305">
        <f t="shared" si="5"/>
        <v>7</v>
      </c>
      <c r="B33" s="311">
        <f t="shared" ref="B33:L33" si="11">$M10-B10</f>
        <v>4</v>
      </c>
      <c r="C33" s="305">
        <f t="shared" si="11"/>
        <v>4</v>
      </c>
      <c r="D33" s="305">
        <f t="shared" si="11"/>
        <v>4</v>
      </c>
      <c r="E33" s="305">
        <f t="shared" si="11"/>
        <v>4</v>
      </c>
      <c r="F33" s="305">
        <f t="shared" si="11"/>
        <v>5</v>
      </c>
      <c r="G33" s="305">
        <f t="shared" si="11"/>
        <v>5</v>
      </c>
      <c r="H33" s="305">
        <f t="shared" si="11"/>
        <v>4</v>
      </c>
      <c r="I33" s="305">
        <f t="shared" si="11"/>
        <v>5</v>
      </c>
      <c r="J33" s="305">
        <f t="shared" si="11"/>
        <v>5</v>
      </c>
      <c r="K33" s="305">
        <f t="shared" si="11"/>
        <v>5</v>
      </c>
      <c r="L33" s="330">
        <f t="shared" si="11"/>
        <v>5</v>
      </c>
      <c r="O33" s="229" t="s">
        <v>673</v>
      </c>
      <c r="P33" s="229" t="s">
        <v>257</v>
      </c>
      <c r="Q33" s="229" t="s">
        <v>53</v>
      </c>
      <c r="R33" s="229" t="s">
        <v>664</v>
      </c>
      <c r="S33" s="229" t="s">
        <v>101</v>
      </c>
      <c r="T33" s="229" t="s">
        <v>672</v>
      </c>
      <c r="U33" s="229" t="s">
        <v>269</v>
      </c>
    </row>
    <row r="34" spans="1:29" x14ac:dyDescent="0.35">
      <c r="A34" s="305">
        <f t="shared" si="5"/>
        <v>8</v>
      </c>
      <c r="B34" s="311">
        <f t="shared" ref="B34:L34" si="12">$M11-B11</f>
        <v>4</v>
      </c>
      <c r="C34" s="305">
        <f t="shared" si="12"/>
        <v>4</v>
      </c>
      <c r="D34" s="305">
        <f t="shared" si="12"/>
        <v>4</v>
      </c>
      <c r="E34" s="305">
        <f t="shared" si="12"/>
        <v>4</v>
      </c>
      <c r="F34" s="305">
        <f t="shared" si="12"/>
        <v>4</v>
      </c>
      <c r="G34" s="305">
        <f t="shared" si="12"/>
        <v>5</v>
      </c>
      <c r="H34" s="305">
        <f t="shared" si="12"/>
        <v>5</v>
      </c>
      <c r="I34" s="305">
        <f t="shared" si="12"/>
        <v>5</v>
      </c>
      <c r="J34" s="305">
        <f t="shared" si="12"/>
        <v>5</v>
      </c>
      <c r="K34" s="305">
        <f t="shared" si="12"/>
        <v>5</v>
      </c>
      <c r="L34" s="330">
        <f t="shared" si="12"/>
        <v>5</v>
      </c>
      <c r="O34" s="11" t="s">
        <v>102</v>
      </c>
      <c r="P34" s="11">
        <v>7.1136363636363491</v>
      </c>
      <c r="Q34" s="11">
        <v>11</v>
      </c>
      <c r="R34" s="11">
        <v>0.64669421487603174</v>
      </c>
      <c r="S34" s="11">
        <v>3.8170731707316961</v>
      </c>
      <c r="T34" s="11">
        <v>1.166989319379249E-4</v>
      </c>
      <c r="U34" s="11">
        <v>1.8767319839177952</v>
      </c>
    </row>
    <row r="35" spans="1:29" x14ac:dyDescent="0.35">
      <c r="A35" s="305">
        <f t="shared" si="5"/>
        <v>9</v>
      </c>
      <c r="B35" s="311">
        <f t="shared" ref="B35:L35" si="13">$M12-B12</f>
        <v>4</v>
      </c>
      <c r="C35" s="305">
        <f t="shared" si="13"/>
        <v>3</v>
      </c>
      <c r="D35" s="305">
        <f t="shared" si="13"/>
        <v>4</v>
      </c>
      <c r="E35" s="305">
        <f t="shared" si="13"/>
        <v>3</v>
      </c>
      <c r="F35" s="305">
        <f t="shared" si="13"/>
        <v>3</v>
      </c>
      <c r="G35" s="305">
        <f t="shared" si="13"/>
        <v>4</v>
      </c>
      <c r="H35" s="305">
        <f t="shared" si="13"/>
        <v>4</v>
      </c>
      <c r="I35" s="305">
        <f t="shared" si="13"/>
        <v>4</v>
      </c>
      <c r="J35" s="305">
        <f t="shared" si="13"/>
        <v>4</v>
      </c>
      <c r="K35" s="305">
        <f t="shared" si="13"/>
        <v>3</v>
      </c>
      <c r="L35" s="330">
        <f t="shared" si="13"/>
        <v>4</v>
      </c>
      <c r="O35" s="11" t="s">
        <v>663</v>
      </c>
      <c r="P35" s="11">
        <v>7.1818181818181621</v>
      </c>
      <c r="Q35" s="11">
        <v>10</v>
      </c>
      <c r="R35" s="11">
        <v>0.71818181818181626</v>
      </c>
      <c r="S35" s="11">
        <v>4.2390243902438876</v>
      </c>
      <c r="T35" s="11">
        <v>5.4099417408762222E-5</v>
      </c>
      <c r="U35" s="11">
        <v>1.9178271403928664</v>
      </c>
    </row>
    <row r="36" spans="1:29" x14ac:dyDescent="0.35">
      <c r="A36" s="305">
        <f t="shared" si="5"/>
        <v>10</v>
      </c>
      <c r="B36" s="311">
        <f t="shared" ref="B36:L36" si="14">$M13-B13</f>
        <v>2</v>
      </c>
      <c r="C36" s="305">
        <f t="shared" si="14"/>
        <v>3</v>
      </c>
      <c r="D36" s="305">
        <f t="shared" si="14"/>
        <v>3</v>
      </c>
      <c r="E36" s="305">
        <f t="shared" si="14"/>
        <v>2</v>
      </c>
      <c r="F36" s="305">
        <f t="shared" si="14"/>
        <v>3</v>
      </c>
      <c r="G36" s="305">
        <f t="shared" si="14"/>
        <v>2</v>
      </c>
      <c r="H36" s="305">
        <f t="shared" si="14"/>
        <v>3</v>
      </c>
      <c r="I36" s="305">
        <f t="shared" si="14"/>
        <v>3</v>
      </c>
      <c r="J36" s="305">
        <f t="shared" si="14"/>
        <v>3</v>
      </c>
      <c r="K36" s="305">
        <f t="shared" si="14"/>
        <v>3</v>
      </c>
      <c r="L36" s="330">
        <f t="shared" si="14"/>
        <v>3</v>
      </c>
      <c r="O36" s="11" t="s">
        <v>662</v>
      </c>
      <c r="P36" s="11">
        <v>18.636363636363654</v>
      </c>
      <c r="Q36" s="11">
        <v>110</v>
      </c>
      <c r="R36" s="11">
        <v>0.16942148760330594</v>
      </c>
      <c r="S36" s="11"/>
      <c r="T36" s="11"/>
      <c r="U36" s="11"/>
    </row>
    <row r="37" spans="1:29" x14ac:dyDescent="0.35">
      <c r="A37" s="305">
        <f t="shared" si="5"/>
        <v>11</v>
      </c>
      <c r="B37" s="311">
        <f t="shared" ref="B37:L37" si="15">$M14-B14</f>
        <v>2</v>
      </c>
      <c r="C37" s="305">
        <f t="shared" si="15"/>
        <v>2</v>
      </c>
      <c r="D37" s="305">
        <f t="shared" si="15"/>
        <v>2</v>
      </c>
      <c r="E37" s="305">
        <f t="shared" si="15"/>
        <v>3</v>
      </c>
      <c r="F37" s="305">
        <f t="shared" si="15"/>
        <v>3</v>
      </c>
      <c r="G37" s="305">
        <f t="shared" si="15"/>
        <v>3</v>
      </c>
      <c r="H37" s="305">
        <f t="shared" si="15"/>
        <v>3</v>
      </c>
      <c r="I37" s="305">
        <f t="shared" si="15"/>
        <v>3</v>
      </c>
      <c r="J37" s="305">
        <f t="shared" si="15"/>
        <v>3</v>
      </c>
      <c r="K37" s="305">
        <f t="shared" si="15"/>
        <v>3</v>
      </c>
      <c r="L37" s="330">
        <f t="shared" si="15"/>
        <v>3</v>
      </c>
      <c r="O37" s="11"/>
      <c r="P37" s="11"/>
      <c r="Q37" s="11"/>
      <c r="R37" s="11"/>
      <c r="S37" s="11"/>
      <c r="T37" s="11"/>
      <c r="U37" s="11"/>
    </row>
    <row r="38" spans="1:29" ht="15" thickBot="1" x14ac:dyDescent="0.4">
      <c r="A38" s="305">
        <f t="shared" si="5"/>
        <v>12</v>
      </c>
      <c r="B38" s="309">
        <f t="shared" ref="B38:L38" si="16">$M15-B15</f>
        <v>1</v>
      </c>
      <c r="C38" s="308">
        <f t="shared" si="16"/>
        <v>2</v>
      </c>
      <c r="D38" s="308">
        <f t="shared" si="16"/>
        <v>2</v>
      </c>
      <c r="E38" s="308">
        <f t="shared" si="16"/>
        <v>1</v>
      </c>
      <c r="F38" s="308">
        <f t="shared" si="16"/>
        <v>2</v>
      </c>
      <c r="G38" s="308">
        <f t="shared" si="16"/>
        <v>2</v>
      </c>
      <c r="H38" s="308">
        <f t="shared" si="16"/>
        <v>2</v>
      </c>
      <c r="I38" s="308">
        <f t="shared" si="16"/>
        <v>2</v>
      </c>
      <c r="J38" s="308">
        <f t="shared" si="16"/>
        <v>2</v>
      </c>
      <c r="K38" s="308">
        <f t="shared" si="16"/>
        <v>2</v>
      </c>
      <c r="L38" s="307">
        <f t="shared" si="16"/>
        <v>2</v>
      </c>
      <c r="O38" s="12" t="s">
        <v>1</v>
      </c>
      <c r="P38" s="12">
        <v>32.931818181818166</v>
      </c>
      <c r="Q38" s="12">
        <v>131</v>
      </c>
      <c r="R38" s="12"/>
      <c r="S38" s="12"/>
      <c r="T38" s="12"/>
      <c r="U38" s="12"/>
    </row>
    <row r="39" spans="1:29" x14ac:dyDescent="0.35">
      <c r="M39" s="305"/>
    </row>
    <row r="40" spans="1:29" ht="16.5" x14ac:dyDescent="0.45">
      <c r="A40" s="315" t="s">
        <v>51</v>
      </c>
      <c r="B40" s="333">
        <f t="shared" ref="B40:L40" si="17">COUNTA($B$26:$L$26)-1</f>
        <v>10</v>
      </c>
      <c r="C40" s="332">
        <f t="shared" si="17"/>
        <v>10</v>
      </c>
      <c r="D40" s="332">
        <f t="shared" si="17"/>
        <v>10</v>
      </c>
      <c r="E40" s="332">
        <f t="shared" si="17"/>
        <v>10</v>
      </c>
      <c r="F40" s="332">
        <f t="shared" si="17"/>
        <v>10</v>
      </c>
      <c r="G40" s="332">
        <f t="shared" si="17"/>
        <v>10</v>
      </c>
      <c r="H40" s="332">
        <f t="shared" si="17"/>
        <v>10</v>
      </c>
      <c r="I40" s="332">
        <f t="shared" si="17"/>
        <v>10</v>
      </c>
      <c r="J40" s="332">
        <f t="shared" si="17"/>
        <v>10</v>
      </c>
      <c r="K40" s="332">
        <f t="shared" si="17"/>
        <v>10</v>
      </c>
      <c r="L40" s="331">
        <f t="shared" si="17"/>
        <v>10</v>
      </c>
      <c r="O40" t="s">
        <v>35</v>
      </c>
      <c r="P40" s="109">
        <f>1-R36/R34</f>
        <v>0.73801916932907274</v>
      </c>
      <c r="R40" s="7" t="s">
        <v>671</v>
      </c>
    </row>
    <row r="41" spans="1:29" x14ac:dyDescent="0.35">
      <c r="A41" s="57" t="s">
        <v>670</v>
      </c>
      <c r="B41" s="101">
        <f t="shared" ref="B41:L41" si="18">$M17-B17</f>
        <v>2.0069444444444446</v>
      </c>
      <c r="C41" s="4">
        <f t="shared" si="18"/>
        <v>1.9583333333333335</v>
      </c>
      <c r="D41" s="4">
        <f t="shared" si="18"/>
        <v>1.9583333333333335</v>
      </c>
      <c r="E41" s="4">
        <f t="shared" si="18"/>
        <v>1.9583333333333335</v>
      </c>
      <c r="F41" s="4">
        <f t="shared" si="18"/>
        <v>1.9236111111111112</v>
      </c>
      <c r="G41" s="4">
        <f t="shared" si="18"/>
        <v>1.8958333333333335</v>
      </c>
      <c r="H41" s="4">
        <f t="shared" si="18"/>
        <v>1.9027777777777779</v>
      </c>
      <c r="I41" s="4">
        <f t="shared" si="18"/>
        <v>1.9027777777777779</v>
      </c>
      <c r="J41" s="4">
        <f t="shared" si="18"/>
        <v>1.9236111111111112</v>
      </c>
      <c r="K41" s="4">
        <f t="shared" si="18"/>
        <v>1.9583333333333335</v>
      </c>
      <c r="L41" s="5">
        <f t="shared" si="18"/>
        <v>2.0694444444444446</v>
      </c>
    </row>
    <row r="42" spans="1:29" x14ac:dyDescent="0.35">
      <c r="A42" s="305" t="s">
        <v>6</v>
      </c>
      <c r="B42" s="311">
        <f t="shared" ref="B42:L42" si="19">VARP(B27:B38)</f>
        <v>6.4097222222222223</v>
      </c>
      <c r="C42" s="305">
        <f t="shared" si="19"/>
        <v>6</v>
      </c>
      <c r="D42" s="305">
        <f t="shared" si="19"/>
        <v>5.333333333333333</v>
      </c>
      <c r="E42" s="305">
        <f t="shared" si="19"/>
        <v>6.5</v>
      </c>
      <c r="F42" s="305">
        <f t="shared" si="19"/>
        <v>5.0763888888888893</v>
      </c>
      <c r="G42" s="305">
        <f t="shared" si="19"/>
        <v>5.1875</v>
      </c>
      <c r="H42" s="305">
        <f t="shared" si="19"/>
        <v>5.0555555555555554</v>
      </c>
      <c r="I42" s="305">
        <f t="shared" si="19"/>
        <v>4.7222222222222223</v>
      </c>
      <c r="J42" s="305">
        <f t="shared" si="19"/>
        <v>5.2430555555555554</v>
      </c>
      <c r="K42" s="305">
        <f t="shared" si="19"/>
        <v>5.583333333333333</v>
      </c>
      <c r="L42" s="330">
        <f t="shared" si="19"/>
        <v>5.7222222222222223</v>
      </c>
      <c r="O42" t="s">
        <v>669</v>
      </c>
    </row>
    <row r="43" spans="1:29" x14ac:dyDescent="0.35">
      <c r="A43" s="329" t="s">
        <v>44</v>
      </c>
      <c r="B43" s="328">
        <f t="shared" ref="B43:L43" si="20">(B40/(B40-1))*(1-B41/B42)</f>
        <v>0.7632117491272421</v>
      </c>
      <c r="C43" s="327">
        <f t="shared" si="20"/>
        <v>0.74845679012345689</v>
      </c>
      <c r="D43" s="327">
        <f t="shared" si="20"/>
        <v>0.703125</v>
      </c>
      <c r="E43" s="327">
        <f t="shared" si="20"/>
        <v>0.77635327635327633</v>
      </c>
      <c r="F43" s="327">
        <f t="shared" si="20"/>
        <v>0.69007447940416478</v>
      </c>
      <c r="G43" s="327">
        <f t="shared" si="20"/>
        <v>0.70504239178937966</v>
      </c>
      <c r="H43" s="327">
        <f t="shared" si="20"/>
        <v>0.6929181929181929</v>
      </c>
      <c r="I43" s="327">
        <f t="shared" si="20"/>
        <v>0.66339869281045749</v>
      </c>
      <c r="J43" s="327">
        <f t="shared" si="20"/>
        <v>0.70345842531273006</v>
      </c>
      <c r="K43" s="327">
        <f t="shared" si="20"/>
        <v>0.72139303482587069</v>
      </c>
      <c r="L43" s="326">
        <f t="shared" si="20"/>
        <v>0.70927723840345214</v>
      </c>
    </row>
    <row r="44" spans="1:29" x14ac:dyDescent="0.35">
      <c r="O44" t="s">
        <v>35</v>
      </c>
      <c r="P44" s="109" t="e" cm="1">
        <f t="array" aca="1" ref="P44" ca="1">CRONALPHA(B4:L15)</f>
        <v>#NAME?</v>
      </c>
      <c r="R44" s="7" t="s">
        <v>668</v>
      </c>
    </row>
    <row r="47" spans="1:29" x14ac:dyDescent="0.35">
      <c r="O47" t="s">
        <v>25</v>
      </c>
      <c r="AC47" t="s">
        <v>667</v>
      </c>
    </row>
    <row r="49" spans="15:35" ht="15" thickBot="1" x14ac:dyDescent="0.4">
      <c r="O49" t="s">
        <v>666</v>
      </c>
      <c r="AC49" t="s">
        <v>665</v>
      </c>
      <c r="AG49" s="298" t="s">
        <v>35</v>
      </c>
      <c r="AH49" s="298">
        <v>0.05</v>
      </c>
    </row>
    <row r="50" spans="15:35" ht="15" thickTop="1" x14ac:dyDescent="0.35">
      <c r="P50" s="298" t="str">
        <f t="shared" ref="P50:Z50" si="21">B3</f>
        <v>Q1</v>
      </c>
      <c r="Q50" s="298" t="str">
        <f t="shared" si="21"/>
        <v>Q2</v>
      </c>
      <c r="R50" s="298" t="str">
        <f t="shared" si="21"/>
        <v>Q3</v>
      </c>
      <c r="S50" s="298" t="str">
        <f t="shared" si="21"/>
        <v>Q4</v>
      </c>
      <c r="T50" s="298" t="str">
        <f t="shared" si="21"/>
        <v>Q5</v>
      </c>
      <c r="U50" s="298" t="str">
        <f t="shared" si="21"/>
        <v>Q6</v>
      </c>
      <c r="V50" s="298" t="str">
        <f t="shared" si="21"/>
        <v>Q7</v>
      </c>
      <c r="W50" s="298" t="str">
        <f t="shared" si="21"/>
        <v>Q8</v>
      </c>
      <c r="X50" s="298" t="str">
        <f t="shared" si="21"/>
        <v>Q9</v>
      </c>
      <c r="Y50" s="298" t="str">
        <f t="shared" si="21"/>
        <v>Q10</v>
      </c>
      <c r="Z50" s="298" t="str">
        <f t="shared" si="21"/>
        <v>Q11</v>
      </c>
      <c r="AC50" s="164"/>
      <c r="AD50" s="164" t="s">
        <v>257</v>
      </c>
      <c r="AE50" s="164" t="s">
        <v>53</v>
      </c>
      <c r="AF50" s="164" t="s">
        <v>664</v>
      </c>
      <c r="AG50" s="164" t="s">
        <v>101</v>
      </c>
      <c r="AH50" s="164" t="s">
        <v>59</v>
      </c>
      <c r="AI50" s="164" t="s">
        <v>270</v>
      </c>
    </row>
    <row r="51" spans="15:35" x14ac:dyDescent="0.35">
      <c r="O51">
        <f t="shared" ref="O51:O62" si="22">A4</f>
        <v>1</v>
      </c>
      <c r="P51" s="319">
        <f t="shared" ref="P51:P62" si="23">COUNT(B4)</f>
        <v>1</v>
      </c>
      <c r="Q51" s="325">
        <f t="shared" ref="Q51:Q62" si="24">COUNT(C4)</f>
        <v>1</v>
      </c>
      <c r="R51" s="325">
        <f t="shared" ref="R51:R62" si="25">COUNT(D4)</f>
        <v>1</v>
      </c>
      <c r="S51" s="325">
        <f t="shared" ref="S51:S62" si="26">COUNT(E4)</f>
        <v>1</v>
      </c>
      <c r="T51" s="325">
        <f t="shared" ref="T51:T62" si="27">COUNT(F4)</f>
        <v>1</v>
      </c>
      <c r="U51" s="325">
        <f t="shared" ref="U51:U62" si="28">COUNT(G4)</f>
        <v>1</v>
      </c>
      <c r="V51" s="325">
        <f t="shared" ref="V51:V62" si="29">COUNT(H4)</f>
        <v>1</v>
      </c>
      <c r="W51" s="325">
        <f t="shared" ref="W51:W62" si="30">COUNT(I4)</f>
        <v>1</v>
      </c>
      <c r="X51" s="325">
        <f t="shared" ref="X51:X62" si="31">COUNT(J4)</f>
        <v>1</v>
      </c>
      <c r="Y51" s="325">
        <f t="shared" ref="Y51:Y62" si="32">COUNT(K4)</f>
        <v>1</v>
      </c>
      <c r="Z51" s="318">
        <f t="shared" ref="Z51:Z62" si="33">COUNT(L4)</f>
        <v>1</v>
      </c>
      <c r="AA51">
        <f t="shared" ref="AA51:AA62" si="34">COUNT(B4:L4)</f>
        <v>11</v>
      </c>
      <c r="AC51" t="s">
        <v>102</v>
      </c>
      <c r="AD51">
        <f>DEVSQ(AA67:AA78)*AA51</f>
        <v>7.1136363636363633</v>
      </c>
      <c r="AE51">
        <f>COUNT(AA67:AA78)-1</f>
        <v>11</v>
      </c>
      <c r="AF51">
        <f>AD51/AE51</f>
        <v>0.64669421487603307</v>
      </c>
      <c r="AG51">
        <f>AF51/AF53</f>
        <v>3.817073170731708</v>
      </c>
      <c r="AH51">
        <f>FDIST(AG51,AE51,AE53)</f>
        <v>1.166989319379202E-4</v>
      </c>
      <c r="AI51" s="298" t="str">
        <f>IF(AH51&lt;AH49,"yes","no")</f>
        <v>yes</v>
      </c>
    </row>
    <row r="52" spans="15:35" x14ac:dyDescent="0.35">
      <c r="O52">
        <f t="shared" si="22"/>
        <v>2</v>
      </c>
      <c r="P52" s="99">
        <f t="shared" si="23"/>
        <v>1</v>
      </c>
      <c r="Q52" s="4">
        <f t="shared" si="24"/>
        <v>1</v>
      </c>
      <c r="R52" s="4">
        <f t="shared" si="25"/>
        <v>1</v>
      </c>
      <c r="S52" s="4">
        <f t="shared" si="26"/>
        <v>1</v>
      </c>
      <c r="T52" s="4">
        <f t="shared" si="27"/>
        <v>1</v>
      </c>
      <c r="U52" s="4">
        <f t="shared" si="28"/>
        <v>1</v>
      </c>
      <c r="V52" s="4">
        <f t="shared" si="29"/>
        <v>1</v>
      </c>
      <c r="W52" s="4">
        <f t="shared" si="30"/>
        <v>1</v>
      </c>
      <c r="X52" s="4">
        <f t="shared" si="31"/>
        <v>1</v>
      </c>
      <c r="Y52" s="4">
        <f t="shared" si="32"/>
        <v>1</v>
      </c>
      <c r="Z52" s="32">
        <f t="shared" si="33"/>
        <v>1</v>
      </c>
      <c r="AA52">
        <f t="shared" si="34"/>
        <v>11</v>
      </c>
      <c r="AC52" t="s">
        <v>663</v>
      </c>
      <c r="AD52">
        <f>DEVSQ(P79:Z79)*P63</f>
        <v>7.1818181818181817</v>
      </c>
      <c r="AE52">
        <f>COUNT(P79:Z79)-1</f>
        <v>10</v>
      </c>
      <c r="AF52">
        <f>AD52/AE52</f>
        <v>0.71818181818181814</v>
      </c>
      <c r="AG52">
        <f>AF52/AF53</f>
        <v>4.2390243902439035</v>
      </c>
      <c r="AH52">
        <f>FDIST(AG52,AE52,AE53)</f>
        <v>5.4099417408759824E-5</v>
      </c>
      <c r="AI52" s="298" t="str">
        <f>IF(AH52&lt;AH49,"yes","no")</f>
        <v>yes</v>
      </c>
    </row>
    <row r="53" spans="15:35" x14ac:dyDescent="0.35">
      <c r="O53">
        <f t="shared" si="22"/>
        <v>3</v>
      </c>
      <c r="P53" s="99">
        <f t="shared" si="23"/>
        <v>1</v>
      </c>
      <c r="Q53" s="4">
        <f t="shared" si="24"/>
        <v>1</v>
      </c>
      <c r="R53" s="4">
        <f t="shared" si="25"/>
        <v>1</v>
      </c>
      <c r="S53" s="4">
        <f t="shared" si="26"/>
        <v>1</v>
      </c>
      <c r="T53" s="4">
        <f t="shared" si="27"/>
        <v>1</v>
      </c>
      <c r="U53" s="4">
        <f t="shared" si="28"/>
        <v>1</v>
      </c>
      <c r="V53" s="4">
        <f t="shared" si="29"/>
        <v>1</v>
      </c>
      <c r="W53" s="4">
        <f t="shared" si="30"/>
        <v>1</v>
      </c>
      <c r="X53" s="4">
        <f t="shared" si="31"/>
        <v>1</v>
      </c>
      <c r="Y53" s="4">
        <f t="shared" si="32"/>
        <v>1</v>
      </c>
      <c r="Z53" s="32">
        <f t="shared" si="33"/>
        <v>1</v>
      </c>
      <c r="AA53">
        <f t="shared" si="34"/>
        <v>11</v>
      </c>
      <c r="AC53" t="s">
        <v>662</v>
      </c>
      <c r="AD53">
        <f>AD55-AD51-AD52</f>
        <v>18.636363636363633</v>
      </c>
      <c r="AE53">
        <f>AE52*AE51</f>
        <v>110</v>
      </c>
      <c r="AF53">
        <f>AD53/AE53</f>
        <v>0.16942148760330575</v>
      </c>
    </row>
    <row r="54" spans="15:35" x14ac:dyDescent="0.35">
      <c r="O54">
        <f t="shared" si="22"/>
        <v>4</v>
      </c>
      <c r="P54" s="99">
        <f t="shared" si="23"/>
        <v>1</v>
      </c>
      <c r="Q54" s="4">
        <f t="shared" si="24"/>
        <v>1</v>
      </c>
      <c r="R54" s="4">
        <f t="shared" si="25"/>
        <v>1</v>
      </c>
      <c r="S54" s="4">
        <f t="shared" si="26"/>
        <v>1</v>
      </c>
      <c r="T54" s="4">
        <f t="shared" si="27"/>
        <v>1</v>
      </c>
      <c r="U54" s="4">
        <f t="shared" si="28"/>
        <v>1</v>
      </c>
      <c r="V54" s="4">
        <f t="shared" si="29"/>
        <v>1</v>
      </c>
      <c r="W54" s="4">
        <f t="shared" si="30"/>
        <v>1</v>
      </c>
      <c r="X54" s="4">
        <f t="shared" si="31"/>
        <v>1</v>
      </c>
      <c r="Y54" s="4">
        <f t="shared" si="32"/>
        <v>1</v>
      </c>
      <c r="Z54" s="32">
        <f t="shared" si="33"/>
        <v>1</v>
      </c>
      <c r="AA54">
        <f t="shared" si="34"/>
        <v>11</v>
      </c>
    </row>
    <row r="55" spans="15:35" x14ac:dyDescent="0.35">
      <c r="O55">
        <f t="shared" si="22"/>
        <v>5</v>
      </c>
      <c r="P55" s="99">
        <f t="shared" si="23"/>
        <v>1</v>
      </c>
      <c r="Q55" s="4">
        <f t="shared" si="24"/>
        <v>1</v>
      </c>
      <c r="R55" s="4">
        <f t="shared" si="25"/>
        <v>1</v>
      </c>
      <c r="S55" s="4">
        <f t="shared" si="26"/>
        <v>1</v>
      </c>
      <c r="T55" s="4">
        <f t="shared" si="27"/>
        <v>1</v>
      </c>
      <c r="U55" s="4">
        <f t="shared" si="28"/>
        <v>1</v>
      </c>
      <c r="V55" s="4">
        <f t="shared" si="29"/>
        <v>1</v>
      </c>
      <c r="W55" s="4">
        <f t="shared" si="30"/>
        <v>1</v>
      </c>
      <c r="X55" s="4">
        <f t="shared" si="31"/>
        <v>1</v>
      </c>
      <c r="Y55" s="4">
        <f t="shared" si="32"/>
        <v>1</v>
      </c>
      <c r="Z55" s="32">
        <f t="shared" si="33"/>
        <v>1</v>
      </c>
      <c r="AA55">
        <f t="shared" si="34"/>
        <v>11</v>
      </c>
      <c r="AC55" s="159" t="s">
        <v>1</v>
      </c>
      <c r="AD55" s="159">
        <f>AF55*AE55</f>
        <v>32.93181818181818</v>
      </c>
      <c r="AE55" s="159">
        <f>AA63-1</f>
        <v>131</v>
      </c>
      <c r="AF55" s="159">
        <f>AA95</f>
        <v>0.25138792505204716</v>
      </c>
      <c r="AG55" s="159"/>
      <c r="AH55" s="159"/>
      <c r="AI55" s="159"/>
    </row>
    <row r="56" spans="15:35" x14ac:dyDescent="0.35">
      <c r="O56">
        <f t="shared" si="22"/>
        <v>6</v>
      </c>
      <c r="P56" s="99">
        <f t="shared" si="23"/>
        <v>1</v>
      </c>
      <c r="Q56" s="4">
        <f t="shared" si="24"/>
        <v>1</v>
      </c>
      <c r="R56" s="4">
        <f t="shared" si="25"/>
        <v>1</v>
      </c>
      <c r="S56" s="4">
        <f t="shared" si="26"/>
        <v>1</v>
      </c>
      <c r="T56" s="4">
        <f t="shared" si="27"/>
        <v>1</v>
      </c>
      <c r="U56" s="4">
        <f t="shared" si="28"/>
        <v>1</v>
      </c>
      <c r="V56" s="4">
        <f t="shared" si="29"/>
        <v>1</v>
      </c>
      <c r="W56" s="4">
        <f t="shared" si="30"/>
        <v>1</v>
      </c>
      <c r="X56" s="4">
        <f t="shared" si="31"/>
        <v>1</v>
      </c>
      <c r="Y56" s="4">
        <f t="shared" si="32"/>
        <v>1</v>
      </c>
      <c r="Z56" s="32">
        <f t="shared" si="33"/>
        <v>1</v>
      </c>
      <c r="AA56">
        <f t="shared" si="34"/>
        <v>11</v>
      </c>
    </row>
    <row r="57" spans="15:35" x14ac:dyDescent="0.35">
      <c r="O57">
        <f t="shared" si="22"/>
        <v>7</v>
      </c>
      <c r="P57" s="99">
        <f t="shared" si="23"/>
        <v>1</v>
      </c>
      <c r="Q57" s="4">
        <f t="shared" si="24"/>
        <v>1</v>
      </c>
      <c r="R57" s="4">
        <f t="shared" si="25"/>
        <v>1</v>
      </c>
      <c r="S57" s="4">
        <f t="shared" si="26"/>
        <v>1</v>
      </c>
      <c r="T57" s="4">
        <f t="shared" si="27"/>
        <v>1</v>
      </c>
      <c r="U57" s="4">
        <f t="shared" si="28"/>
        <v>1</v>
      </c>
      <c r="V57" s="4">
        <f t="shared" si="29"/>
        <v>1</v>
      </c>
      <c r="W57" s="4">
        <f t="shared" si="30"/>
        <v>1</v>
      </c>
      <c r="X57" s="4">
        <f t="shared" si="31"/>
        <v>1</v>
      </c>
      <c r="Y57" s="4">
        <f t="shared" si="32"/>
        <v>1</v>
      </c>
      <c r="Z57" s="32">
        <f t="shared" si="33"/>
        <v>1</v>
      </c>
      <c r="AA57">
        <f t="shared" si="34"/>
        <v>11</v>
      </c>
    </row>
    <row r="58" spans="15:35" x14ac:dyDescent="0.35">
      <c r="O58">
        <f t="shared" si="22"/>
        <v>8</v>
      </c>
      <c r="P58" s="99">
        <f t="shared" si="23"/>
        <v>1</v>
      </c>
      <c r="Q58" s="4">
        <f t="shared" si="24"/>
        <v>1</v>
      </c>
      <c r="R58" s="4">
        <f t="shared" si="25"/>
        <v>1</v>
      </c>
      <c r="S58" s="4">
        <f t="shared" si="26"/>
        <v>1</v>
      </c>
      <c r="T58" s="4">
        <f t="shared" si="27"/>
        <v>1</v>
      </c>
      <c r="U58" s="4">
        <f t="shared" si="28"/>
        <v>1</v>
      </c>
      <c r="V58" s="4">
        <f t="shared" si="29"/>
        <v>1</v>
      </c>
      <c r="W58" s="4">
        <f t="shared" si="30"/>
        <v>1</v>
      </c>
      <c r="X58" s="4">
        <f t="shared" si="31"/>
        <v>1</v>
      </c>
      <c r="Y58" s="4">
        <f t="shared" si="32"/>
        <v>1</v>
      </c>
      <c r="Z58" s="32">
        <f t="shared" si="33"/>
        <v>1</v>
      </c>
      <c r="AA58">
        <f t="shared" si="34"/>
        <v>11</v>
      </c>
    </row>
    <row r="59" spans="15:35" x14ac:dyDescent="0.35">
      <c r="O59">
        <f t="shared" si="22"/>
        <v>9</v>
      </c>
      <c r="P59" s="99">
        <f t="shared" si="23"/>
        <v>1</v>
      </c>
      <c r="Q59" s="4">
        <f t="shared" si="24"/>
        <v>1</v>
      </c>
      <c r="R59" s="4">
        <f t="shared" si="25"/>
        <v>1</v>
      </c>
      <c r="S59" s="4">
        <f t="shared" si="26"/>
        <v>1</v>
      </c>
      <c r="T59" s="4">
        <f t="shared" si="27"/>
        <v>1</v>
      </c>
      <c r="U59" s="4">
        <f t="shared" si="28"/>
        <v>1</v>
      </c>
      <c r="V59" s="4">
        <f t="shared" si="29"/>
        <v>1</v>
      </c>
      <c r="W59" s="4">
        <f t="shared" si="30"/>
        <v>1</v>
      </c>
      <c r="X59" s="4">
        <f t="shared" si="31"/>
        <v>1</v>
      </c>
      <c r="Y59" s="4">
        <f t="shared" si="32"/>
        <v>1</v>
      </c>
      <c r="Z59" s="32">
        <f t="shared" si="33"/>
        <v>1</v>
      </c>
      <c r="AA59">
        <f t="shared" si="34"/>
        <v>11</v>
      </c>
    </row>
    <row r="60" spans="15:35" x14ac:dyDescent="0.35">
      <c r="O60">
        <f t="shared" si="22"/>
        <v>10</v>
      </c>
      <c r="P60" s="99">
        <f t="shared" si="23"/>
        <v>1</v>
      </c>
      <c r="Q60" s="4">
        <f t="shared" si="24"/>
        <v>1</v>
      </c>
      <c r="R60" s="4">
        <f t="shared" si="25"/>
        <v>1</v>
      </c>
      <c r="S60" s="4">
        <f t="shared" si="26"/>
        <v>1</v>
      </c>
      <c r="T60" s="4">
        <f t="shared" si="27"/>
        <v>1</v>
      </c>
      <c r="U60" s="4">
        <f t="shared" si="28"/>
        <v>1</v>
      </c>
      <c r="V60" s="4">
        <f t="shared" si="29"/>
        <v>1</v>
      </c>
      <c r="W60" s="4">
        <f t="shared" si="30"/>
        <v>1</v>
      </c>
      <c r="X60" s="4">
        <f t="shared" si="31"/>
        <v>1</v>
      </c>
      <c r="Y60" s="4">
        <f t="shared" si="32"/>
        <v>1</v>
      </c>
      <c r="Z60" s="32">
        <f t="shared" si="33"/>
        <v>1</v>
      </c>
      <c r="AA60">
        <f t="shared" si="34"/>
        <v>11</v>
      </c>
    </row>
    <row r="61" spans="15:35" x14ac:dyDescent="0.35">
      <c r="O61">
        <f t="shared" si="22"/>
        <v>11</v>
      </c>
      <c r="P61" s="99">
        <f t="shared" si="23"/>
        <v>1</v>
      </c>
      <c r="Q61" s="4">
        <f t="shared" si="24"/>
        <v>1</v>
      </c>
      <c r="R61" s="4">
        <f t="shared" si="25"/>
        <v>1</v>
      </c>
      <c r="S61" s="4">
        <f t="shared" si="26"/>
        <v>1</v>
      </c>
      <c r="T61" s="4">
        <f t="shared" si="27"/>
        <v>1</v>
      </c>
      <c r="U61" s="4">
        <f t="shared" si="28"/>
        <v>1</v>
      </c>
      <c r="V61" s="4">
        <f t="shared" si="29"/>
        <v>1</v>
      </c>
      <c r="W61" s="4">
        <f t="shared" si="30"/>
        <v>1</v>
      </c>
      <c r="X61" s="4">
        <f t="shared" si="31"/>
        <v>1</v>
      </c>
      <c r="Y61" s="4">
        <f t="shared" si="32"/>
        <v>1</v>
      </c>
      <c r="Z61" s="32">
        <f t="shared" si="33"/>
        <v>1</v>
      </c>
      <c r="AA61">
        <f t="shared" si="34"/>
        <v>11</v>
      </c>
    </row>
    <row r="62" spans="15:35" x14ac:dyDescent="0.35">
      <c r="O62">
        <f t="shared" si="22"/>
        <v>12</v>
      </c>
      <c r="P62" s="156">
        <f t="shared" si="23"/>
        <v>1</v>
      </c>
      <c r="Q62" s="157">
        <f t="shared" si="24"/>
        <v>1</v>
      </c>
      <c r="R62" s="157">
        <f t="shared" si="25"/>
        <v>1</v>
      </c>
      <c r="S62" s="157">
        <f t="shared" si="26"/>
        <v>1</v>
      </c>
      <c r="T62" s="157">
        <f t="shared" si="27"/>
        <v>1</v>
      </c>
      <c r="U62" s="157">
        <f t="shared" si="28"/>
        <v>1</v>
      </c>
      <c r="V62" s="157">
        <f t="shared" si="29"/>
        <v>1</v>
      </c>
      <c r="W62" s="157">
        <f t="shared" si="30"/>
        <v>1</v>
      </c>
      <c r="X62" s="157">
        <f t="shared" si="31"/>
        <v>1</v>
      </c>
      <c r="Y62" s="157">
        <f t="shared" si="32"/>
        <v>1</v>
      </c>
      <c r="Z62" s="158">
        <f t="shared" si="33"/>
        <v>1</v>
      </c>
      <c r="AA62">
        <f t="shared" si="34"/>
        <v>11</v>
      </c>
    </row>
    <row r="63" spans="15:35" x14ac:dyDescent="0.35">
      <c r="P63">
        <f t="shared" ref="P63:Z63" si="35">COUNT(B4:B15)</f>
        <v>12</v>
      </c>
      <c r="Q63">
        <f t="shared" si="35"/>
        <v>12</v>
      </c>
      <c r="R63">
        <f t="shared" si="35"/>
        <v>12</v>
      </c>
      <c r="S63">
        <f t="shared" si="35"/>
        <v>12</v>
      </c>
      <c r="T63">
        <f t="shared" si="35"/>
        <v>12</v>
      </c>
      <c r="U63">
        <f t="shared" si="35"/>
        <v>12</v>
      </c>
      <c r="V63">
        <f t="shared" si="35"/>
        <v>12</v>
      </c>
      <c r="W63">
        <f t="shared" si="35"/>
        <v>12</v>
      </c>
      <c r="X63">
        <f t="shared" si="35"/>
        <v>12</v>
      </c>
      <c r="Y63">
        <f t="shared" si="35"/>
        <v>12</v>
      </c>
      <c r="Z63">
        <f t="shared" si="35"/>
        <v>12</v>
      </c>
      <c r="AA63">
        <f>COUNT(B4:L15)</f>
        <v>132</v>
      </c>
    </row>
    <row r="65" spans="15:27" x14ac:dyDescent="0.35">
      <c r="O65" t="s">
        <v>661</v>
      </c>
    </row>
    <row r="66" spans="15:27" x14ac:dyDescent="0.35">
      <c r="P66" s="298" t="str">
        <f t="shared" ref="P66:Z66" si="36">B3</f>
        <v>Q1</v>
      </c>
      <c r="Q66" s="298" t="str">
        <f t="shared" si="36"/>
        <v>Q2</v>
      </c>
      <c r="R66" s="298" t="str">
        <f t="shared" si="36"/>
        <v>Q3</v>
      </c>
      <c r="S66" s="298" t="str">
        <f t="shared" si="36"/>
        <v>Q4</v>
      </c>
      <c r="T66" s="298" t="str">
        <f t="shared" si="36"/>
        <v>Q5</v>
      </c>
      <c r="U66" s="298" t="str">
        <f t="shared" si="36"/>
        <v>Q6</v>
      </c>
      <c r="V66" s="298" t="str">
        <f t="shared" si="36"/>
        <v>Q7</v>
      </c>
      <c r="W66" s="298" t="str">
        <f t="shared" si="36"/>
        <v>Q8</v>
      </c>
      <c r="X66" s="298" t="str">
        <f t="shared" si="36"/>
        <v>Q9</v>
      </c>
      <c r="Y66" s="298" t="str">
        <f t="shared" si="36"/>
        <v>Q10</v>
      </c>
      <c r="Z66" s="298" t="str">
        <f t="shared" si="36"/>
        <v>Q11</v>
      </c>
    </row>
    <row r="67" spans="15:27" x14ac:dyDescent="0.35">
      <c r="O67">
        <f t="shared" ref="O67:O78" si="37">A4</f>
        <v>1</v>
      </c>
      <c r="P67" s="319">
        <f t="shared" ref="P67:P78" si="38">AVERAGE(B4)</f>
        <v>1</v>
      </c>
      <c r="Q67" s="325">
        <f t="shared" ref="Q67:Q78" si="39">AVERAGE(C4)</f>
        <v>1</v>
      </c>
      <c r="R67" s="325">
        <f t="shared" ref="R67:R78" si="40">AVERAGE(D4)</f>
        <v>1</v>
      </c>
      <c r="S67" s="325">
        <f t="shared" ref="S67:S78" si="41">AVERAGE(E4)</f>
        <v>1</v>
      </c>
      <c r="T67" s="325">
        <f t="shared" ref="T67:T78" si="42">AVERAGE(F4)</f>
        <v>1</v>
      </c>
      <c r="U67" s="325">
        <f t="shared" ref="U67:U78" si="43">AVERAGE(G4)</f>
        <v>1</v>
      </c>
      <c r="V67" s="325">
        <f t="shared" ref="V67:V78" si="44">AVERAGE(H4)</f>
        <v>1</v>
      </c>
      <c r="W67" s="325">
        <f t="shared" ref="W67:W78" si="45">AVERAGE(I4)</f>
        <v>1</v>
      </c>
      <c r="X67" s="325">
        <f t="shared" ref="X67:X78" si="46">AVERAGE(J4)</f>
        <v>1</v>
      </c>
      <c r="Y67" s="325">
        <f t="shared" ref="Y67:Y78" si="47">AVERAGE(K4)</f>
        <v>1</v>
      </c>
      <c r="Z67" s="318">
        <f t="shared" ref="Z67:Z78" si="48">AVERAGE(L4)</f>
        <v>1</v>
      </c>
      <c r="AA67">
        <f t="shared" ref="AA67:AA78" si="49">AVERAGE(B4:L4)</f>
        <v>1</v>
      </c>
    </row>
    <row r="68" spans="15:27" x14ac:dyDescent="0.35">
      <c r="O68">
        <f t="shared" si="37"/>
        <v>2</v>
      </c>
      <c r="P68" s="99">
        <f t="shared" si="38"/>
        <v>1</v>
      </c>
      <c r="Q68" s="4">
        <f t="shared" si="39"/>
        <v>1</v>
      </c>
      <c r="R68" s="4">
        <f t="shared" si="40"/>
        <v>1</v>
      </c>
      <c r="S68" s="4">
        <f t="shared" si="41"/>
        <v>1</v>
      </c>
      <c r="T68" s="4">
        <f t="shared" si="42"/>
        <v>1</v>
      </c>
      <c r="U68" s="4">
        <f t="shared" si="43"/>
        <v>1</v>
      </c>
      <c r="V68" s="4">
        <f t="shared" si="44"/>
        <v>1</v>
      </c>
      <c r="W68" s="4">
        <f t="shared" si="45"/>
        <v>1</v>
      </c>
      <c r="X68" s="4">
        <f t="shared" si="46"/>
        <v>0</v>
      </c>
      <c r="Y68" s="4">
        <f t="shared" si="47"/>
        <v>1</v>
      </c>
      <c r="Z68" s="32">
        <f t="shared" si="48"/>
        <v>0</v>
      </c>
      <c r="AA68">
        <f t="shared" si="49"/>
        <v>0.81818181818181823</v>
      </c>
    </row>
    <row r="69" spans="15:27" x14ac:dyDescent="0.35">
      <c r="O69">
        <f t="shared" si="37"/>
        <v>3</v>
      </c>
      <c r="P69" s="99">
        <f t="shared" si="38"/>
        <v>1</v>
      </c>
      <c r="Q69" s="4">
        <f t="shared" si="39"/>
        <v>0</v>
      </c>
      <c r="R69" s="4">
        <f t="shared" si="40"/>
        <v>1</v>
      </c>
      <c r="S69" s="4">
        <f t="shared" si="41"/>
        <v>1</v>
      </c>
      <c r="T69" s="4">
        <f t="shared" si="42"/>
        <v>1</v>
      </c>
      <c r="U69" s="4">
        <f t="shared" si="43"/>
        <v>1</v>
      </c>
      <c r="V69" s="4">
        <f t="shared" si="44"/>
        <v>1</v>
      </c>
      <c r="W69" s="4">
        <f t="shared" si="45"/>
        <v>1</v>
      </c>
      <c r="X69" s="4">
        <f t="shared" si="46"/>
        <v>1</v>
      </c>
      <c r="Y69" s="4">
        <f t="shared" si="47"/>
        <v>0</v>
      </c>
      <c r="Z69" s="32">
        <f t="shared" si="48"/>
        <v>0</v>
      </c>
      <c r="AA69">
        <f t="shared" si="49"/>
        <v>0.72727272727272729</v>
      </c>
    </row>
    <row r="70" spans="15:27" x14ac:dyDescent="0.35">
      <c r="O70">
        <f t="shared" si="37"/>
        <v>4</v>
      </c>
      <c r="P70" s="99">
        <f t="shared" si="38"/>
        <v>1</v>
      </c>
      <c r="Q70" s="4">
        <f t="shared" si="39"/>
        <v>1</v>
      </c>
      <c r="R70" s="4">
        <f t="shared" si="40"/>
        <v>1</v>
      </c>
      <c r="S70" s="4">
        <f t="shared" si="41"/>
        <v>0</v>
      </c>
      <c r="T70" s="4">
        <f t="shared" si="42"/>
        <v>1</v>
      </c>
      <c r="U70" s="4">
        <f t="shared" si="43"/>
        <v>1</v>
      </c>
      <c r="V70" s="4">
        <f t="shared" si="44"/>
        <v>0</v>
      </c>
      <c r="W70" s="4">
        <f t="shared" si="45"/>
        <v>1</v>
      </c>
      <c r="X70" s="4">
        <f t="shared" si="46"/>
        <v>1</v>
      </c>
      <c r="Y70" s="4">
        <f t="shared" si="47"/>
        <v>0</v>
      </c>
      <c r="Z70" s="32">
        <f t="shared" si="48"/>
        <v>0</v>
      </c>
      <c r="AA70">
        <f t="shared" si="49"/>
        <v>0.63636363636363635</v>
      </c>
    </row>
    <row r="71" spans="15:27" x14ac:dyDescent="0.35">
      <c r="O71">
        <f t="shared" si="37"/>
        <v>5</v>
      </c>
      <c r="P71" s="99">
        <f t="shared" si="38"/>
        <v>1</v>
      </c>
      <c r="Q71" s="4">
        <f t="shared" si="39"/>
        <v>1</v>
      </c>
      <c r="R71" s="4">
        <f t="shared" si="40"/>
        <v>1</v>
      </c>
      <c r="S71" s="4">
        <f t="shared" si="41"/>
        <v>1</v>
      </c>
      <c r="T71" s="4">
        <f t="shared" si="42"/>
        <v>1</v>
      </c>
      <c r="U71" s="4">
        <f t="shared" si="43"/>
        <v>0</v>
      </c>
      <c r="V71" s="4">
        <f t="shared" si="44"/>
        <v>0</v>
      </c>
      <c r="W71" s="4">
        <f t="shared" si="45"/>
        <v>0</v>
      </c>
      <c r="X71" s="4">
        <f t="shared" si="46"/>
        <v>1</v>
      </c>
      <c r="Y71" s="4">
        <f t="shared" si="47"/>
        <v>0</v>
      </c>
      <c r="Z71" s="32">
        <f t="shared" si="48"/>
        <v>0</v>
      </c>
      <c r="AA71">
        <f t="shared" si="49"/>
        <v>0.54545454545454541</v>
      </c>
    </row>
    <row r="72" spans="15:27" x14ac:dyDescent="0.35">
      <c r="O72">
        <f t="shared" si="37"/>
        <v>6</v>
      </c>
      <c r="P72" s="99">
        <f t="shared" si="38"/>
        <v>0</v>
      </c>
      <c r="Q72" s="4">
        <f t="shared" si="39"/>
        <v>1</v>
      </c>
      <c r="R72" s="4">
        <f t="shared" si="40"/>
        <v>1</v>
      </c>
      <c r="S72" s="4">
        <f t="shared" si="41"/>
        <v>0</v>
      </c>
      <c r="T72" s="4">
        <f t="shared" si="42"/>
        <v>1</v>
      </c>
      <c r="U72" s="4">
        <f t="shared" si="43"/>
        <v>1</v>
      </c>
      <c r="V72" s="4">
        <f t="shared" si="44"/>
        <v>1</v>
      </c>
      <c r="W72" s="4">
        <f t="shared" si="45"/>
        <v>1</v>
      </c>
      <c r="X72" s="4">
        <f t="shared" si="46"/>
        <v>0</v>
      </c>
      <c r="Y72" s="4">
        <f t="shared" si="47"/>
        <v>0</v>
      </c>
      <c r="Z72" s="32">
        <f t="shared" si="48"/>
        <v>0</v>
      </c>
      <c r="AA72">
        <f t="shared" si="49"/>
        <v>0.54545454545454541</v>
      </c>
    </row>
    <row r="73" spans="15:27" x14ac:dyDescent="0.35">
      <c r="O73">
        <f t="shared" si="37"/>
        <v>7</v>
      </c>
      <c r="P73" s="99">
        <f t="shared" si="38"/>
        <v>1</v>
      </c>
      <c r="Q73" s="4">
        <f t="shared" si="39"/>
        <v>1</v>
      </c>
      <c r="R73" s="4">
        <f t="shared" si="40"/>
        <v>1</v>
      </c>
      <c r="S73" s="4">
        <f t="shared" si="41"/>
        <v>1</v>
      </c>
      <c r="T73" s="4">
        <f t="shared" si="42"/>
        <v>0</v>
      </c>
      <c r="U73" s="4">
        <f t="shared" si="43"/>
        <v>0</v>
      </c>
      <c r="V73" s="4">
        <f t="shared" si="44"/>
        <v>1</v>
      </c>
      <c r="W73" s="4">
        <f t="shared" si="45"/>
        <v>0</v>
      </c>
      <c r="X73" s="4">
        <f t="shared" si="46"/>
        <v>0</v>
      </c>
      <c r="Y73" s="4">
        <f t="shared" si="47"/>
        <v>0</v>
      </c>
      <c r="Z73" s="32">
        <f t="shared" si="48"/>
        <v>0</v>
      </c>
      <c r="AA73">
        <f t="shared" si="49"/>
        <v>0.45454545454545453</v>
      </c>
    </row>
    <row r="74" spans="15:27" x14ac:dyDescent="0.35">
      <c r="O74">
        <f t="shared" si="37"/>
        <v>8</v>
      </c>
      <c r="P74" s="99">
        <f t="shared" si="38"/>
        <v>1</v>
      </c>
      <c r="Q74" s="4">
        <f t="shared" si="39"/>
        <v>1</v>
      </c>
      <c r="R74" s="4">
        <f t="shared" si="40"/>
        <v>1</v>
      </c>
      <c r="S74" s="4">
        <f t="shared" si="41"/>
        <v>1</v>
      </c>
      <c r="T74" s="4">
        <f t="shared" si="42"/>
        <v>1</v>
      </c>
      <c r="U74" s="4">
        <f t="shared" si="43"/>
        <v>0</v>
      </c>
      <c r="V74" s="4">
        <f t="shared" si="44"/>
        <v>0</v>
      </c>
      <c r="W74" s="4">
        <f t="shared" si="45"/>
        <v>0</v>
      </c>
      <c r="X74" s="4">
        <f t="shared" si="46"/>
        <v>0</v>
      </c>
      <c r="Y74" s="4">
        <f t="shared" si="47"/>
        <v>0</v>
      </c>
      <c r="Z74" s="32">
        <f t="shared" si="48"/>
        <v>0</v>
      </c>
      <c r="AA74">
        <f t="shared" si="49"/>
        <v>0.45454545454545453</v>
      </c>
    </row>
    <row r="75" spans="15:27" x14ac:dyDescent="0.35">
      <c r="O75">
        <f t="shared" si="37"/>
        <v>9</v>
      </c>
      <c r="P75" s="99">
        <f t="shared" si="38"/>
        <v>0</v>
      </c>
      <c r="Q75" s="4">
        <f t="shared" si="39"/>
        <v>1</v>
      </c>
      <c r="R75" s="4">
        <f t="shared" si="40"/>
        <v>0</v>
      </c>
      <c r="S75" s="4">
        <f t="shared" si="41"/>
        <v>1</v>
      </c>
      <c r="T75" s="4">
        <f t="shared" si="42"/>
        <v>1</v>
      </c>
      <c r="U75" s="4">
        <f t="shared" si="43"/>
        <v>0</v>
      </c>
      <c r="V75" s="4">
        <f t="shared" si="44"/>
        <v>0</v>
      </c>
      <c r="W75" s="4">
        <f t="shared" si="45"/>
        <v>0</v>
      </c>
      <c r="X75" s="4">
        <f t="shared" si="46"/>
        <v>0</v>
      </c>
      <c r="Y75" s="4">
        <f t="shared" si="47"/>
        <v>1</v>
      </c>
      <c r="Z75" s="32">
        <f t="shared" si="48"/>
        <v>0</v>
      </c>
      <c r="AA75">
        <f t="shared" si="49"/>
        <v>0.36363636363636365</v>
      </c>
    </row>
    <row r="76" spans="15:27" x14ac:dyDescent="0.35">
      <c r="O76">
        <f t="shared" si="37"/>
        <v>10</v>
      </c>
      <c r="P76" s="99">
        <f t="shared" si="38"/>
        <v>1</v>
      </c>
      <c r="Q76" s="4">
        <f t="shared" si="39"/>
        <v>0</v>
      </c>
      <c r="R76" s="4">
        <f t="shared" si="40"/>
        <v>0</v>
      </c>
      <c r="S76" s="4">
        <f t="shared" si="41"/>
        <v>1</v>
      </c>
      <c r="T76" s="4">
        <f t="shared" si="42"/>
        <v>0</v>
      </c>
      <c r="U76" s="4">
        <f t="shared" si="43"/>
        <v>1</v>
      </c>
      <c r="V76" s="4">
        <f t="shared" si="44"/>
        <v>0</v>
      </c>
      <c r="W76" s="4">
        <f t="shared" si="45"/>
        <v>0</v>
      </c>
      <c r="X76" s="4">
        <f t="shared" si="46"/>
        <v>0</v>
      </c>
      <c r="Y76" s="4">
        <f t="shared" si="47"/>
        <v>0</v>
      </c>
      <c r="Z76" s="32">
        <f t="shared" si="48"/>
        <v>0</v>
      </c>
      <c r="AA76">
        <f t="shared" si="49"/>
        <v>0.27272727272727271</v>
      </c>
    </row>
    <row r="77" spans="15:27" x14ac:dyDescent="0.35">
      <c r="O77">
        <f t="shared" si="37"/>
        <v>11</v>
      </c>
      <c r="P77" s="99">
        <f t="shared" si="38"/>
        <v>1</v>
      </c>
      <c r="Q77" s="4">
        <f t="shared" si="39"/>
        <v>1</v>
      </c>
      <c r="R77" s="4">
        <f t="shared" si="40"/>
        <v>1</v>
      </c>
      <c r="S77" s="4">
        <f t="shared" si="41"/>
        <v>0</v>
      </c>
      <c r="T77" s="4">
        <f t="shared" si="42"/>
        <v>0</v>
      </c>
      <c r="U77" s="4">
        <f t="shared" si="43"/>
        <v>0</v>
      </c>
      <c r="V77" s="4">
        <f t="shared" si="44"/>
        <v>0</v>
      </c>
      <c r="W77" s="4">
        <f t="shared" si="45"/>
        <v>0</v>
      </c>
      <c r="X77" s="4">
        <f t="shared" si="46"/>
        <v>0</v>
      </c>
      <c r="Y77" s="4">
        <f t="shared" si="47"/>
        <v>0</v>
      </c>
      <c r="Z77" s="32">
        <f t="shared" si="48"/>
        <v>0</v>
      </c>
      <c r="AA77">
        <f t="shared" si="49"/>
        <v>0.27272727272727271</v>
      </c>
    </row>
    <row r="78" spans="15:27" x14ac:dyDescent="0.35">
      <c r="O78">
        <f t="shared" si="37"/>
        <v>12</v>
      </c>
      <c r="P78" s="156">
        <f t="shared" si="38"/>
        <v>1</v>
      </c>
      <c r="Q78" s="157">
        <f t="shared" si="39"/>
        <v>0</v>
      </c>
      <c r="R78" s="157">
        <f t="shared" si="40"/>
        <v>0</v>
      </c>
      <c r="S78" s="157">
        <f t="shared" si="41"/>
        <v>1</v>
      </c>
      <c r="T78" s="157">
        <f t="shared" si="42"/>
        <v>0</v>
      </c>
      <c r="U78" s="157">
        <f t="shared" si="43"/>
        <v>0</v>
      </c>
      <c r="V78" s="157">
        <f t="shared" si="44"/>
        <v>0</v>
      </c>
      <c r="W78" s="157">
        <f t="shared" si="45"/>
        <v>0</v>
      </c>
      <c r="X78" s="157">
        <f t="shared" si="46"/>
        <v>0</v>
      </c>
      <c r="Y78" s="157">
        <f t="shared" si="47"/>
        <v>0</v>
      </c>
      <c r="Z78" s="158">
        <f t="shared" si="48"/>
        <v>0</v>
      </c>
      <c r="AA78">
        <f t="shared" si="49"/>
        <v>0.18181818181818182</v>
      </c>
    </row>
    <row r="79" spans="15:27" x14ac:dyDescent="0.35">
      <c r="P79">
        <f t="shared" ref="P79:Z79" si="50">AVERAGE(B4:B15)</f>
        <v>0.83333333333333337</v>
      </c>
      <c r="Q79">
        <f t="shared" si="50"/>
        <v>0.75</v>
      </c>
      <c r="R79">
        <f t="shared" si="50"/>
        <v>0.75</v>
      </c>
      <c r="S79">
        <f t="shared" si="50"/>
        <v>0.75</v>
      </c>
      <c r="T79">
        <f t="shared" si="50"/>
        <v>0.66666666666666663</v>
      </c>
      <c r="U79">
        <f t="shared" si="50"/>
        <v>0.5</v>
      </c>
      <c r="V79">
        <f t="shared" si="50"/>
        <v>0.41666666666666669</v>
      </c>
      <c r="W79">
        <f t="shared" si="50"/>
        <v>0.41666666666666669</v>
      </c>
      <c r="X79">
        <f t="shared" si="50"/>
        <v>0.33333333333333331</v>
      </c>
      <c r="Y79">
        <f t="shared" si="50"/>
        <v>0.25</v>
      </c>
      <c r="Z79">
        <f t="shared" si="50"/>
        <v>8.3333333333333329E-2</v>
      </c>
      <c r="AA79">
        <f>AVERAGE(B4:L15)</f>
        <v>0.52272727272727271</v>
      </c>
    </row>
    <row r="81" spans="15:27" x14ac:dyDescent="0.35">
      <c r="O81" t="s">
        <v>660</v>
      </c>
    </row>
    <row r="82" spans="15:27" x14ac:dyDescent="0.35">
      <c r="P82" s="298" t="str">
        <f t="shared" ref="P82:Z82" si="51">B3</f>
        <v>Q1</v>
      </c>
      <c r="Q82" s="298" t="str">
        <f t="shared" si="51"/>
        <v>Q2</v>
      </c>
      <c r="R82" s="298" t="str">
        <f t="shared" si="51"/>
        <v>Q3</v>
      </c>
      <c r="S82" s="298" t="str">
        <f t="shared" si="51"/>
        <v>Q4</v>
      </c>
      <c r="T82" s="298" t="str">
        <f t="shared" si="51"/>
        <v>Q5</v>
      </c>
      <c r="U82" s="298" t="str">
        <f t="shared" si="51"/>
        <v>Q6</v>
      </c>
      <c r="V82" s="298" t="str">
        <f t="shared" si="51"/>
        <v>Q7</v>
      </c>
      <c r="W82" s="298" t="str">
        <f t="shared" si="51"/>
        <v>Q8</v>
      </c>
      <c r="X82" s="298" t="str">
        <f t="shared" si="51"/>
        <v>Q9</v>
      </c>
      <c r="Y82" s="298" t="str">
        <f t="shared" si="51"/>
        <v>Q10</v>
      </c>
      <c r="Z82" s="298" t="str">
        <f t="shared" si="51"/>
        <v>Q11</v>
      </c>
    </row>
    <row r="83" spans="15:27" x14ac:dyDescent="0.35">
      <c r="O83">
        <f t="shared" ref="O83:O94" si="52">A4</f>
        <v>1</v>
      </c>
      <c r="P83" s="319" t="e">
        <f t="shared" ref="P83:P94" si="53">VAR(B4)</f>
        <v>#DIV/0!</v>
      </c>
      <c r="Q83" s="325" t="e">
        <f t="shared" ref="Q83:Q94" si="54">VAR(C4)</f>
        <v>#DIV/0!</v>
      </c>
      <c r="R83" s="325" t="e">
        <f t="shared" ref="R83:R94" si="55">VAR(D4)</f>
        <v>#DIV/0!</v>
      </c>
      <c r="S83" s="325" t="e">
        <f t="shared" ref="S83:S94" si="56">VAR(E4)</f>
        <v>#DIV/0!</v>
      </c>
      <c r="T83" s="325" t="e">
        <f t="shared" ref="T83:T94" si="57">VAR(F4)</f>
        <v>#DIV/0!</v>
      </c>
      <c r="U83" s="325" t="e">
        <f t="shared" ref="U83:U94" si="58">VAR(G4)</f>
        <v>#DIV/0!</v>
      </c>
      <c r="V83" s="325" t="e">
        <f t="shared" ref="V83:V94" si="59">VAR(H4)</f>
        <v>#DIV/0!</v>
      </c>
      <c r="W83" s="325" t="e">
        <f t="shared" ref="W83:W94" si="60">VAR(I4)</f>
        <v>#DIV/0!</v>
      </c>
      <c r="X83" s="325" t="e">
        <f t="shared" ref="X83:X94" si="61">VAR(J4)</f>
        <v>#DIV/0!</v>
      </c>
      <c r="Y83" s="325" t="e">
        <f t="shared" ref="Y83:Y94" si="62">VAR(K4)</f>
        <v>#DIV/0!</v>
      </c>
      <c r="Z83" s="318" t="e">
        <f t="shared" ref="Z83:Z94" si="63">VAR(L4)</f>
        <v>#DIV/0!</v>
      </c>
      <c r="AA83">
        <f t="shared" ref="AA83:AA94" si="64">VAR(B4:L4)</f>
        <v>0</v>
      </c>
    </row>
    <row r="84" spans="15:27" x14ac:dyDescent="0.35">
      <c r="O84">
        <f t="shared" si="52"/>
        <v>2</v>
      </c>
      <c r="P84" s="99" t="e">
        <f t="shared" si="53"/>
        <v>#DIV/0!</v>
      </c>
      <c r="Q84" s="4" t="e">
        <f t="shared" si="54"/>
        <v>#DIV/0!</v>
      </c>
      <c r="R84" s="4" t="e">
        <f t="shared" si="55"/>
        <v>#DIV/0!</v>
      </c>
      <c r="S84" s="4" t="e">
        <f t="shared" si="56"/>
        <v>#DIV/0!</v>
      </c>
      <c r="T84" s="4" t="e">
        <f t="shared" si="57"/>
        <v>#DIV/0!</v>
      </c>
      <c r="U84" s="4" t="e">
        <f t="shared" si="58"/>
        <v>#DIV/0!</v>
      </c>
      <c r="V84" s="4" t="e">
        <f t="shared" si="59"/>
        <v>#DIV/0!</v>
      </c>
      <c r="W84" s="4" t="e">
        <f t="shared" si="60"/>
        <v>#DIV/0!</v>
      </c>
      <c r="X84" s="4" t="e">
        <f t="shared" si="61"/>
        <v>#DIV/0!</v>
      </c>
      <c r="Y84" s="4" t="e">
        <f t="shared" si="62"/>
        <v>#DIV/0!</v>
      </c>
      <c r="Z84" s="32" t="e">
        <f t="shared" si="63"/>
        <v>#DIV/0!</v>
      </c>
      <c r="AA84">
        <f t="shared" si="64"/>
        <v>0.16363636363636366</v>
      </c>
    </row>
    <row r="85" spans="15:27" x14ac:dyDescent="0.35">
      <c r="O85">
        <f t="shared" si="52"/>
        <v>3</v>
      </c>
      <c r="P85" s="99" t="e">
        <f t="shared" si="53"/>
        <v>#DIV/0!</v>
      </c>
      <c r="Q85" s="4" t="e">
        <f t="shared" si="54"/>
        <v>#DIV/0!</v>
      </c>
      <c r="R85" s="4" t="e">
        <f t="shared" si="55"/>
        <v>#DIV/0!</v>
      </c>
      <c r="S85" s="4" t="e">
        <f t="shared" si="56"/>
        <v>#DIV/0!</v>
      </c>
      <c r="T85" s="4" t="e">
        <f t="shared" si="57"/>
        <v>#DIV/0!</v>
      </c>
      <c r="U85" s="4" t="e">
        <f t="shared" si="58"/>
        <v>#DIV/0!</v>
      </c>
      <c r="V85" s="4" t="e">
        <f t="shared" si="59"/>
        <v>#DIV/0!</v>
      </c>
      <c r="W85" s="4" t="e">
        <f t="shared" si="60"/>
        <v>#DIV/0!</v>
      </c>
      <c r="X85" s="4" t="e">
        <f t="shared" si="61"/>
        <v>#DIV/0!</v>
      </c>
      <c r="Y85" s="4" t="e">
        <f t="shared" si="62"/>
        <v>#DIV/0!</v>
      </c>
      <c r="Z85" s="32" t="e">
        <f t="shared" si="63"/>
        <v>#DIV/0!</v>
      </c>
      <c r="AA85">
        <f t="shared" si="64"/>
        <v>0.21818181818181817</v>
      </c>
    </row>
    <row r="86" spans="15:27" x14ac:dyDescent="0.35">
      <c r="O86">
        <f t="shared" si="52"/>
        <v>4</v>
      </c>
      <c r="P86" s="99" t="e">
        <f t="shared" si="53"/>
        <v>#DIV/0!</v>
      </c>
      <c r="Q86" s="4" t="e">
        <f t="shared" si="54"/>
        <v>#DIV/0!</v>
      </c>
      <c r="R86" s="4" t="e">
        <f t="shared" si="55"/>
        <v>#DIV/0!</v>
      </c>
      <c r="S86" s="4" t="e">
        <f t="shared" si="56"/>
        <v>#DIV/0!</v>
      </c>
      <c r="T86" s="4" t="e">
        <f t="shared" si="57"/>
        <v>#DIV/0!</v>
      </c>
      <c r="U86" s="4" t="e">
        <f t="shared" si="58"/>
        <v>#DIV/0!</v>
      </c>
      <c r="V86" s="4" t="e">
        <f t="shared" si="59"/>
        <v>#DIV/0!</v>
      </c>
      <c r="W86" s="4" t="e">
        <f t="shared" si="60"/>
        <v>#DIV/0!</v>
      </c>
      <c r="X86" s="4" t="e">
        <f t="shared" si="61"/>
        <v>#DIV/0!</v>
      </c>
      <c r="Y86" s="4" t="e">
        <f t="shared" si="62"/>
        <v>#DIV/0!</v>
      </c>
      <c r="Z86" s="32" t="e">
        <f t="shared" si="63"/>
        <v>#DIV/0!</v>
      </c>
      <c r="AA86">
        <f t="shared" si="64"/>
        <v>0.25454545454545457</v>
      </c>
    </row>
    <row r="87" spans="15:27" x14ac:dyDescent="0.35">
      <c r="O87">
        <f t="shared" si="52"/>
        <v>5</v>
      </c>
      <c r="P87" s="99" t="e">
        <f t="shared" si="53"/>
        <v>#DIV/0!</v>
      </c>
      <c r="Q87" s="4" t="e">
        <f t="shared" si="54"/>
        <v>#DIV/0!</v>
      </c>
      <c r="R87" s="4" t="e">
        <f t="shared" si="55"/>
        <v>#DIV/0!</v>
      </c>
      <c r="S87" s="4" t="e">
        <f t="shared" si="56"/>
        <v>#DIV/0!</v>
      </c>
      <c r="T87" s="4" t="e">
        <f t="shared" si="57"/>
        <v>#DIV/0!</v>
      </c>
      <c r="U87" s="4" t="e">
        <f t="shared" si="58"/>
        <v>#DIV/0!</v>
      </c>
      <c r="V87" s="4" t="e">
        <f t="shared" si="59"/>
        <v>#DIV/0!</v>
      </c>
      <c r="W87" s="4" t="e">
        <f t="shared" si="60"/>
        <v>#DIV/0!</v>
      </c>
      <c r="X87" s="4" t="e">
        <f t="shared" si="61"/>
        <v>#DIV/0!</v>
      </c>
      <c r="Y87" s="4" t="e">
        <f t="shared" si="62"/>
        <v>#DIV/0!</v>
      </c>
      <c r="Z87" s="32" t="e">
        <f t="shared" si="63"/>
        <v>#DIV/0!</v>
      </c>
      <c r="AA87">
        <f t="shared" si="64"/>
        <v>0.27272727272727271</v>
      </c>
    </row>
    <row r="88" spans="15:27" x14ac:dyDescent="0.35">
      <c r="O88">
        <f t="shared" si="52"/>
        <v>6</v>
      </c>
      <c r="P88" s="99" t="e">
        <f t="shared" si="53"/>
        <v>#DIV/0!</v>
      </c>
      <c r="Q88" s="4" t="e">
        <f t="shared" si="54"/>
        <v>#DIV/0!</v>
      </c>
      <c r="R88" s="4" t="e">
        <f t="shared" si="55"/>
        <v>#DIV/0!</v>
      </c>
      <c r="S88" s="4" t="e">
        <f t="shared" si="56"/>
        <v>#DIV/0!</v>
      </c>
      <c r="T88" s="4" t="e">
        <f t="shared" si="57"/>
        <v>#DIV/0!</v>
      </c>
      <c r="U88" s="4" t="e">
        <f t="shared" si="58"/>
        <v>#DIV/0!</v>
      </c>
      <c r="V88" s="4" t="e">
        <f t="shared" si="59"/>
        <v>#DIV/0!</v>
      </c>
      <c r="W88" s="4" t="e">
        <f t="shared" si="60"/>
        <v>#DIV/0!</v>
      </c>
      <c r="X88" s="4" t="e">
        <f t="shared" si="61"/>
        <v>#DIV/0!</v>
      </c>
      <c r="Y88" s="4" t="e">
        <f t="shared" si="62"/>
        <v>#DIV/0!</v>
      </c>
      <c r="Z88" s="32" t="e">
        <f t="shared" si="63"/>
        <v>#DIV/0!</v>
      </c>
      <c r="AA88">
        <f t="shared" si="64"/>
        <v>0.27272727272727271</v>
      </c>
    </row>
    <row r="89" spans="15:27" x14ac:dyDescent="0.35">
      <c r="O89">
        <f t="shared" si="52"/>
        <v>7</v>
      </c>
      <c r="P89" s="99" t="e">
        <f t="shared" si="53"/>
        <v>#DIV/0!</v>
      </c>
      <c r="Q89" s="4" t="e">
        <f t="shared" si="54"/>
        <v>#DIV/0!</v>
      </c>
      <c r="R89" s="4" t="e">
        <f t="shared" si="55"/>
        <v>#DIV/0!</v>
      </c>
      <c r="S89" s="4" t="e">
        <f t="shared" si="56"/>
        <v>#DIV/0!</v>
      </c>
      <c r="T89" s="4" t="e">
        <f t="shared" si="57"/>
        <v>#DIV/0!</v>
      </c>
      <c r="U89" s="4" t="e">
        <f t="shared" si="58"/>
        <v>#DIV/0!</v>
      </c>
      <c r="V89" s="4" t="e">
        <f t="shared" si="59"/>
        <v>#DIV/0!</v>
      </c>
      <c r="W89" s="4" t="e">
        <f t="shared" si="60"/>
        <v>#DIV/0!</v>
      </c>
      <c r="X89" s="4" t="e">
        <f t="shared" si="61"/>
        <v>#DIV/0!</v>
      </c>
      <c r="Y89" s="4" t="e">
        <f t="shared" si="62"/>
        <v>#DIV/0!</v>
      </c>
      <c r="Z89" s="32" t="e">
        <f t="shared" si="63"/>
        <v>#DIV/0!</v>
      </c>
      <c r="AA89">
        <f t="shared" si="64"/>
        <v>0.27272727272727271</v>
      </c>
    </row>
    <row r="90" spans="15:27" x14ac:dyDescent="0.35">
      <c r="O90">
        <f t="shared" si="52"/>
        <v>8</v>
      </c>
      <c r="P90" s="99" t="e">
        <f t="shared" si="53"/>
        <v>#DIV/0!</v>
      </c>
      <c r="Q90" s="4" t="e">
        <f t="shared" si="54"/>
        <v>#DIV/0!</v>
      </c>
      <c r="R90" s="4" t="e">
        <f t="shared" si="55"/>
        <v>#DIV/0!</v>
      </c>
      <c r="S90" s="4" t="e">
        <f t="shared" si="56"/>
        <v>#DIV/0!</v>
      </c>
      <c r="T90" s="4" t="e">
        <f t="shared" si="57"/>
        <v>#DIV/0!</v>
      </c>
      <c r="U90" s="4" t="e">
        <f t="shared" si="58"/>
        <v>#DIV/0!</v>
      </c>
      <c r="V90" s="4" t="e">
        <f t="shared" si="59"/>
        <v>#DIV/0!</v>
      </c>
      <c r="W90" s="4" t="e">
        <f t="shared" si="60"/>
        <v>#DIV/0!</v>
      </c>
      <c r="X90" s="4" t="e">
        <f t="shared" si="61"/>
        <v>#DIV/0!</v>
      </c>
      <c r="Y90" s="4" t="e">
        <f t="shared" si="62"/>
        <v>#DIV/0!</v>
      </c>
      <c r="Z90" s="32" t="e">
        <f t="shared" si="63"/>
        <v>#DIV/0!</v>
      </c>
      <c r="AA90">
        <f t="shared" si="64"/>
        <v>0.27272727272727271</v>
      </c>
    </row>
    <row r="91" spans="15:27" x14ac:dyDescent="0.35">
      <c r="O91">
        <f t="shared" si="52"/>
        <v>9</v>
      </c>
      <c r="P91" s="99" t="e">
        <f t="shared" si="53"/>
        <v>#DIV/0!</v>
      </c>
      <c r="Q91" s="4" t="e">
        <f t="shared" si="54"/>
        <v>#DIV/0!</v>
      </c>
      <c r="R91" s="4" t="e">
        <f t="shared" si="55"/>
        <v>#DIV/0!</v>
      </c>
      <c r="S91" s="4" t="e">
        <f t="shared" si="56"/>
        <v>#DIV/0!</v>
      </c>
      <c r="T91" s="4" t="e">
        <f t="shared" si="57"/>
        <v>#DIV/0!</v>
      </c>
      <c r="U91" s="4" t="e">
        <f t="shared" si="58"/>
        <v>#DIV/0!</v>
      </c>
      <c r="V91" s="4" t="e">
        <f t="shared" si="59"/>
        <v>#DIV/0!</v>
      </c>
      <c r="W91" s="4" t="e">
        <f t="shared" si="60"/>
        <v>#DIV/0!</v>
      </c>
      <c r="X91" s="4" t="e">
        <f t="shared" si="61"/>
        <v>#DIV/0!</v>
      </c>
      <c r="Y91" s="4" t="e">
        <f t="shared" si="62"/>
        <v>#DIV/0!</v>
      </c>
      <c r="Z91" s="32" t="e">
        <f t="shared" si="63"/>
        <v>#DIV/0!</v>
      </c>
      <c r="AA91">
        <f t="shared" si="64"/>
        <v>0.25454545454545452</v>
      </c>
    </row>
    <row r="92" spans="15:27" x14ac:dyDescent="0.35">
      <c r="O92">
        <f t="shared" si="52"/>
        <v>10</v>
      </c>
      <c r="P92" s="99" t="e">
        <f t="shared" si="53"/>
        <v>#DIV/0!</v>
      </c>
      <c r="Q92" s="4" t="e">
        <f t="shared" si="54"/>
        <v>#DIV/0!</v>
      </c>
      <c r="R92" s="4" t="e">
        <f t="shared" si="55"/>
        <v>#DIV/0!</v>
      </c>
      <c r="S92" s="4" t="e">
        <f t="shared" si="56"/>
        <v>#DIV/0!</v>
      </c>
      <c r="T92" s="4" t="e">
        <f t="shared" si="57"/>
        <v>#DIV/0!</v>
      </c>
      <c r="U92" s="4" t="e">
        <f t="shared" si="58"/>
        <v>#DIV/0!</v>
      </c>
      <c r="V92" s="4" t="e">
        <f t="shared" si="59"/>
        <v>#DIV/0!</v>
      </c>
      <c r="W92" s="4" t="e">
        <f t="shared" si="60"/>
        <v>#DIV/0!</v>
      </c>
      <c r="X92" s="4" t="e">
        <f t="shared" si="61"/>
        <v>#DIV/0!</v>
      </c>
      <c r="Y92" s="4" t="e">
        <f t="shared" si="62"/>
        <v>#DIV/0!</v>
      </c>
      <c r="Z92" s="32" t="e">
        <f t="shared" si="63"/>
        <v>#DIV/0!</v>
      </c>
      <c r="AA92">
        <f t="shared" si="64"/>
        <v>0.21818181818181817</v>
      </c>
    </row>
    <row r="93" spans="15:27" x14ac:dyDescent="0.35">
      <c r="O93">
        <f t="shared" si="52"/>
        <v>11</v>
      </c>
      <c r="P93" s="99" t="e">
        <f t="shared" si="53"/>
        <v>#DIV/0!</v>
      </c>
      <c r="Q93" s="4" t="e">
        <f t="shared" si="54"/>
        <v>#DIV/0!</v>
      </c>
      <c r="R93" s="4" t="e">
        <f t="shared" si="55"/>
        <v>#DIV/0!</v>
      </c>
      <c r="S93" s="4" t="e">
        <f t="shared" si="56"/>
        <v>#DIV/0!</v>
      </c>
      <c r="T93" s="4" t="e">
        <f t="shared" si="57"/>
        <v>#DIV/0!</v>
      </c>
      <c r="U93" s="4" t="e">
        <f t="shared" si="58"/>
        <v>#DIV/0!</v>
      </c>
      <c r="V93" s="4" t="e">
        <f t="shared" si="59"/>
        <v>#DIV/0!</v>
      </c>
      <c r="W93" s="4" t="e">
        <f t="shared" si="60"/>
        <v>#DIV/0!</v>
      </c>
      <c r="X93" s="4" t="e">
        <f t="shared" si="61"/>
        <v>#DIV/0!</v>
      </c>
      <c r="Y93" s="4" t="e">
        <f t="shared" si="62"/>
        <v>#DIV/0!</v>
      </c>
      <c r="Z93" s="32" t="e">
        <f t="shared" si="63"/>
        <v>#DIV/0!</v>
      </c>
      <c r="AA93">
        <f t="shared" si="64"/>
        <v>0.21818181818181817</v>
      </c>
    </row>
    <row r="94" spans="15:27" x14ac:dyDescent="0.35">
      <c r="O94">
        <f t="shared" si="52"/>
        <v>12</v>
      </c>
      <c r="P94" s="156" t="e">
        <f t="shared" si="53"/>
        <v>#DIV/0!</v>
      </c>
      <c r="Q94" s="157" t="e">
        <f t="shared" si="54"/>
        <v>#DIV/0!</v>
      </c>
      <c r="R94" s="157" t="e">
        <f t="shared" si="55"/>
        <v>#DIV/0!</v>
      </c>
      <c r="S94" s="157" t="e">
        <f t="shared" si="56"/>
        <v>#DIV/0!</v>
      </c>
      <c r="T94" s="157" t="e">
        <f t="shared" si="57"/>
        <v>#DIV/0!</v>
      </c>
      <c r="U94" s="157" t="e">
        <f t="shared" si="58"/>
        <v>#DIV/0!</v>
      </c>
      <c r="V94" s="157" t="e">
        <f t="shared" si="59"/>
        <v>#DIV/0!</v>
      </c>
      <c r="W94" s="157" t="e">
        <f t="shared" si="60"/>
        <v>#DIV/0!</v>
      </c>
      <c r="X94" s="157" t="e">
        <f t="shared" si="61"/>
        <v>#DIV/0!</v>
      </c>
      <c r="Y94" s="157" t="e">
        <f t="shared" si="62"/>
        <v>#DIV/0!</v>
      </c>
      <c r="Z94" s="158" t="e">
        <f t="shared" si="63"/>
        <v>#DIV/0!</v>
      </c>
      <c r="AA94">
        <f t="shared" si="64"/>
        <v>0.16363636363636364</v>
      </c>
    </row>
    <row r="95" spans="15:27" x14ac:dyDescent="0.35">
      <c r="P95">
        <f t="shared" ref="P95:Z95" si="65">VAR(B4:B15)</f>
        <v>0.15151515151515146</v>
      </c>
      <c r="Q95">
        <f t="shared" si="65"/>
        <v>0.20454545454545456</v>
      </c>
      <c r="R95">
        <f t="shared" si="65"/>
        <v>0.20454545454545456</v>
      </c>
      <c r="S95">
        <f t="shared" si="65"/>
        <v>0.20454545454545456</v>
      </c>
      <c r="T95">
        <f t="shared" si="65"/>
        <v>0.24242424242424246</v>
      </c>
      <c r="U95">
        <f t="shared" si="65"/>
        <v>0.27272727272727271</v>
      </c>
      <c r="V95">
        <f t="shared" si="65"/>
        <v>0.26515151515151514</v>
      </c>
      <c r="W95">
        <f t="shared" si="65"/>
        <v>0.26515151515151514</v>
      </c>
      <c r="X95">
        <f t="shared" si="65"/>
        <v>0.24242424242424246</v>
      </c>
      <c r="Y95">
        <f t="shared" si="65"/>
        <v>0.20454545454545456</v>
      </c>
      <c r="Z95">
        <f t="shared" si="65"/>
        <v>8.3333333333333329E-2</v>
      </c>
      <c r="AA95">
        <f>VAR(B4:L15)</f>
        <v>0.25138792505204716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9"/>
  <dimension ref="A1:T46"/>
  <sheetViews>
    <sheetView workbookViewId="0"/>
  </sheetViews>
  <sheetFormatPr defaultRowHeight="14.5" x14ac:dyDescent="0.35"/>
  <cols>
    <col min="1" max="12" width="7.7265625" customWidth="1"/>
    <col min="14" max="14" width="14.26953125" customWidth="1"/>
  </cols>
  <sheetData>
    <row r="1" spans="1:18" x14ac:dyDescent="0.35">
      <c r="A1" s="1" t="s">
        <v>678</v>
      </c>
    </row>
    <row r="3" spans="1:18" x14ac:dyDescent="0.35">
      <c r="B3" s="298" t="s">
        <v>50</v>
      </c>
      <c r="C3" s="298" t="s">
        <v>640</v>
      </c>
      <c r="D3" s="298" t="s">
        <v>282</v>
      </c>
      <c r="E3" s="298" t="s">
        <v>639</v>
      </c>
      <c r="F3" s="298" t="s">
        <v>638</v>
      </c>
      <c r="G3" s="298" t="s">
        <v>637</v>
      </c>
      <c r="H3" s="298" t="s">
        <v>636</v>
      </c>
      <c r="I3" s="298" t="s">
        <v>635</v>
      </c>
      <c r="J3" s="298" t="s">
        <v>634</v>
      </c>
      <c r="K3" s="298" t="s">
        <v>633</v>
      </c>
      <c r="L3" s="298" t="s">
        <v>1</v>
      </c>
      <c r="N3" t="s">
        <v>677</v>
      </c>
    </row>
    <row r="4" spans="1:18" ht="15" thickBot="1" x14ac:dyDescent="0.4">
      <c r="A4" s="305">
        <v>1</v>
      </c>
      <c r="B4" s="334">
        <v>3</v>
      </c>
      <c r="C4" s="321">
        <v>2</v>
      </c>
      <c r="D4" s="321">
        <v>4</v>
      </c>
      <c r="E4" s="321">
        <v>1</v>
      </c>
      <c r="F4" s="321">
        <v>4</v>
      </c>
      <c r="G4" s="321">
        <v>5</v>
      </c>
      <c r="H4" s="321">
        <v>1</v>
      </c>
      <c r="I4" s="321">
        <v>4</v>
      </c>
      <c r="J4" s="321">
        <v>3</v>
      </c>
      <c r="K4" s="320">
        <v>2</v>
      </c>
      <c r="L4" s="305">
        <f t="shared" ref="L4:L20" si="0">SUM(B4:K4)</f>
        <v>29</v>
      </c>
    </row>
    <row r="5" spans="1:18" x14ac:dyDescent="0.35">
      <c r="A5" s="305">
        <f t="shared" ref="A5:A18" si="1">A4+1</f>
        <v>2</v>
      </c>
      <c r="B5" s="311">
        <v>5</v>
      </c>
      <c r="C5" s="305">
        <v>4</v>
      </c>
      <c r="D5" s="305">
        <v>6</v>
      </c>
      <c r="E5" s="305">
        <v>3</v>
      </c>
      <c r="F5" s="305">
        <v>5</v>
      </c>
      <c r="G5" s="305">
        <v>1</v>
      </c>
      <c r="H5" s="305">
        <v>2</v>
      </c>
      <c r="I5" s="305">
        <v>5</v>
      </c>
      <c r="J5" s="305">
        <v>5</v>
      </c>
      <c r="K5" s="330">
        <v>5</v>
      </c>
      <c r="L5" s="305">
        <f t="shared" si="0"/>
        <v>41</v>
      </c>
      <c r="N5" s="229" t="s">
        <v>55</v>
      </c>
      <c r="O5" s="229" t="s">
        <v>20</v>
      </c>
      <c r="P5" s="229" t="s">
        <v>19</v>
      </c>
      <c r="Q5" s="229" t="s">
        <v>676</v>
      </c>
      <c r="R5" s="229" t="s">
        <v>73</v>
      </c>
    </row>
    <row r="6" spans="1:18" x14ac:dyDescent="0.35">
      <c r="A6" s="305">
        <f t="shared" si="1"/>
        <v>3</v>
      </c>
      <c r="B6" s="311">
        <v>7</v>
      </c>
      <c r="C6" s="305">
        <v>3</v>
      </c>
      <c r="D6" s="305">
        <v>5</v>
      </c>
      <c r="E6" s="305">
        <v>5</v>
      </c>
      <c r="F6" s="305">
        <v>6</v>
      </c>
      <c r="G6" s="305">
        <v>4</v>
      </c>
      <c r="H6" s="305">
        <v>3</v>
      </c>
      <c r="I6" s="305">
        <v>3</v>
      </c>
      <c r="J6" s="305">
        <v>6</v>
      </c>
      <c r="K6" s="330">
        <v>5</v>
      </c>
      <c r="L6" s="305">
        <f t="shared" si="0"/>
        <v>47</v>
      </c>
      <c r="N6" s="11">
        <v>1</v>
      </c>
      <c r="O6" s="11">
        <v>10</v>
      </c>
      <c r="P6" s="11">
        <v>29</v>
      </c>
      <c r="Q6" s="11">
        <v>2.9</v>
      </c>
      <c r="R6" s="11">
        <v>1.8777777777777784</v>
      </c>
    </row>
    <row r="7" spans="1:18" x14ac:dyDescent="0.35">
      <c r="A7" s="305">
        <f t="shared" si="1"/>
        <v>4</v>
      </c>
      <c r="B7" s="311">
        <v>2</v>
      </c>
      <c r="C7" s="305">
        <v>4</v>
      </c>
      <c r="D7" s="305">
        <v>3</v>
      </c>
      <c r="E7" s="305">
        <v>3</v>
      </c>
      <c r="F7" s="305">
        <v>2</v>
      </c>
      <c r="G7" s="305">
        <v>2</v>
      </c>
      <c r="H7" s="305">
        <v>2</v>
      </c>
      <c r="I7" s="305">
        <v>6</v>
      </c>
      <c r="J7" s="305">
        <v>6</v>
      </c>
      <c r="K7" s="330">
        <v>3</v>
      </c>
      <c r="L7" s="305">
        <f t="shared" si="0"/>
        <v>33</v>
      </c>
      <c r="N7" s="11">
        <v>2</v>
      </c>
      <c r="O7" s="11">
        <v>10</v>
      </c>
      <c r="P7" s="11">
        <v>41</v>
      </c>
      <c r="Q7" s="11">
        <v>4.0999999999999996</v>
      </c>
      <c r="R7" s="11">
        <v>2.5444444444444452</v>
      </c>
    </row>
    <row r="8" spans="1:18" x14ac:dyDescent="0.35">
      <c r="A8" s="305">
        <f t="shared" si="1"/>
        <v>5</v>
      </c>
      <c r="B8" s="311">
        <v>6</v>
      </c>
      <c r="C8" s="305">
        <v>5</v>
      </c>
      <c r="D8" s="305">
        <v>6</v>
      </c>
      <c r="E8" s="305">
        <v>5</v>
      </c>
      <c r="F8" s="305">
        <v>4</v>
      </c>
      <c r="G8" s="305">
        <v>4</v>
      </c>
      <c r="H8" s="305">
        <v>4</v>
      </c>
      <c r="I8" s="305">
        <v>6</v>
      </c>
      <c r="J8" s="305">
        <v>7</v>
      </c>
      <c r="K8" s="330">
        <v>5</v>
      </c>
      <c r="L8" s="305">
        <f t="shared" si="0"/>
        <v>52</v>
      </c>
      <c r="N8" s="11">
        <v>3</v>
      </c>
      <c r="O8" s="11">
        <v>10</v>
      </c>
      <c r="P8" s="11">
        <v>47</v>
      </c>
      <c r="Q8" s="11">
        <v>4.7</v>
      </c>
      <c r="R8" s="11">
        <v>2.0111111111111106</v>
      </c>
    </row>
    <row r="9" spans="1:18" x14ac:dyDescent="0.35">
      <c r="A9" s="305">
        <f t="shared" si="1"/>
        <v>6</v>
      </c>
      <c r="B9" s="311">
        <v>1</v>
      </c>
      <c r="C9" s="305">
        <v>2</v>
      </c>
      <c r="D9" s="305">
        <v>3</v>
      </c>
      <c r="E9" s="305">
        <v>4</v>
      </c>
      <c r="F9" s="305">
        <v>2</v>
      </c>
      <c r="G9" s="305">
        <v>5</v>
      </c>
      <c r="H9" s="305">
        <v>2</v>
      </c>
      <c r="I9" s="305">
        <v>3</v>
      </c>
      <c r="J9" s="305">
        <v>5</v>
      </c>
      <c r="K9" s="330">
        <v>2</v>
      </c>
      <c r="L9" s="305">
        <f t="shared" si="0"/>
        <v>29</v>
      </c>
      <c r="N9" s="11">
        <v>4</v>
      </c>
      <c r="O9" s="11">
        <v>10</v>
      </c>
      <c r="P9" s="11">
        <v>33</v>
      </c>
      <c r="Q9" s="11">
        <v>3.3</v>
      </c>
      <c r="R9" s="11">
        <v>2.4555555555555548</v>
      </c>
    </row>
    <row r="10" spans="1:18" x14ac:dyDescent="0.35">
      <c r="A10" s="305">
        <f t="shared" si="1"/>
        <v>7</v>
      </c>
      <c r="B10" s="311">
        <v>4</v>
      </c>
      <c r="C10" s="305">
        <v>3</v>
      </c>
      <c r="D10" s="305">
        <v>5</v>
      </c>
      <c r="E10" s="305">
        <v>3</v>
      </c>
      <c r="F10" s="305">
        <v>5</v>
      </c>
      <c r="G10" s="305">
        <v>2</v>
      </c>
      <c r="H10" s="305">
        <v>1</v>
      </c>
      <c r="I10" s="305">
        <v>2</v>
      </c>
      <c r="J10" s="305">
        <v>4</v>
      </c>
      <c r="K10" s="330">
        <v>3</v>
      </c>
      <c r="L10" s="305">
        <f t="shared" si="0"/>
        <v>32</v>
      </c>
      <c r="N10" s="11">
        <v>5</v>
      </c>
      <c r="O10" s="11">
        <v>10</v>
      </c>
      <c r="P10" s="11">
        <v>52</v>
      </c>
      <c r="Q10" s="11">
        <v>5.2</v>
      </c>
      <c r="R10" s="11">
        <v>1.0666666666666691</v>
      </c>
    </row>
    <row r="11" spans="1:18" x14ac:dyDescent="0.35">
      <c r="A11" s="305">
        <f t="shared" si="1"/>
        <v>8</v>
      </c>
      <c r="B11" s="311">
        <v>2</v>
      </c>
      <c r="C11" s="305">
        <v>4</v>
      </c>
      <c r="D11" s="305">
        <v>4</v>
      </c>
      <c r="E11" s="305">
        <v>3</v>
      </c>
      <c r="F11" s="305">
        <v>7</v>
      </c>
      <c r="G11" s="305">
        <v>2</v>
      </c>
      <c r="H11" s="305">
        <v>2</v>
      </c>
      <c r="I11" s="305">
        <v>4</v>
      </c>
      <c r="J11" s="305">
        <v>6</v>
      </c>
      <c r="K11" s="330">
        <v>5</v>
      </c>
      <c r="L11" s="305">
        <f t="shared" si="0"/>
        <v>39</v>
      </c>
      <c r="N11" s="11">
        <v>6</v>
      </c>
      <c r="O11" s="11">
        <v>10</v>
      </c>
      <c r="P11" s="11">
        <v>29</v>
      </c>
      <c r="Q11" s="11">
        <v>2.9</v>
      </c>
      <c r="R11" s="11">
        <v>1.8777777777777784</v>
      </c>
    </row>
    <row r="12" spans="1:18" x14ac:dyDescent="0.35">
      <c r="A12" s="305">
        <f t="shared" si="1"/>
        <v>9</v>
      </c>
      <c r="B12" s="311">
        <v>6</v>
      </c>
      <c r="C12" s="305">
        <v>5</v>
      </c>
      <c r="D12" s="305">
        <v>5</v>
      </c>
      <c r="E12" s="305">
        <v>5</v>
      </c>
      <c r="F12" s="305">
        <v>1</v>
      </c>
      <c r="G12" s="305">
        <v>6</v>
      </c>
      <c r="H12" s="305">
        <v>5</v>
      </c>
      <c r="I12" s="305">
        <v>2</v>
      </c>
      <c r="J12" s="305">
        <v>3</v>
      </c>
      <c r="K12" s="330">
        <v>2</v>
      </c>
      <c r="L12" s="305">
        <f t="shared" si="0"/>
        <v>40</v>
      </c>
      <c r="N12" s="11">
        <v>7</v>
      </c>
      <c r="O12" s="11">
        <v>10</v>
      </c>
      <c r="P12" s="11">
        <v>32</v>
      </c>
      <c r="Q12" s="11">
        <v>3.2</v>
      </c>
      <c r="R12" s="11">
        <v>1.7333333333333327</v>
      </c>
    </row>
    <row r="13" spans="1:18" x14ac:dyDescent="0.35">
      <c r="A13" s="305">
        <f t="shared" si="1"/>
        <v>10</v>
      </c>
      <c r="B13" s="311">
        <v>5</v>
      </c>
      <c r="C13" s="305">
        <v>4</v>
      </c>
      <c r="D13" s="305">
        <v>6</v>
      </c>
      <c r="E13" s="305">
        <v>4</v>
      </c>
      <c r="F13" s="305">
        <v>3</v>
      </c>
      <c r="G13" s="305">
        <v>5</v>
      </c>
      <c r="H13" s="305">
        <v>3</v>
      </c>
      <c r="I13" s="305">
        <v>1</v>
      </c>
      <c r="J13" s="305">
        <v>7</v>
      </c>
      <c r="K13" s="330">
        <v>2</v>
      </c>
      <c r="L13" s="305">
        <f t="shared" si="0"/>
        <v>40</v>
      </c>
      <c r="N13" s="11">
        <v>8</v>
      </c>
      <c r="O13" s="11">
        <v>10</v>
      </c>
      <c r="P13" s="11">
        <v>39</v>
      </c>
      <c r="Q13" s="11">
        <v>3.9</v>
      </c>
      <c r="R13" s="11">
        <v>2.9888888888888894</v>
      </c>
    </row>
    <row r="14" spans="1:18" x14ac:dyDescent="0.35">
      <c r="A14" s="305">
        <f t="shared" si="1"/>
        <v>11</v>
      </c>
      <c r="B14" s="311">
        <v>4</v>
      </c>
      <c r="C14" s="305">
        <v>3</v>
      </c>
      <c r="D14" s="305">
        <v>5</v>
      </c>
      <c r="E14" s="305">
        <v>2</v>
      </c>
      <c r="F14" s="305">
        <v>5</v>
      </c>
      <c r="G14" s="305">
        <v>3</v>
      </c>
      <c r="H14" s="305">
        <v>2</v>
      </c>
      <c r="I14" s="305">
        <v>3</v>
      </c>
      <c r="J14" s="305">
        <v>4</v>
      </c>
      <c r="K14" s="330">
        <v>1</v>
      </c>
      <c r="L14" s="305">
        <f t="shared" si="0"/>
        <v>32</v>
      </c>
      <c r="N14" s="11">
        <v>9</v>
      </c>
      <c r="O14" s="11">
        <v>10</v>
      </c>
      <c r="P14" s="11">
        <v>40</v>
      </c>
      <c r="Q14" s="11">
        <v>4</v>
      </c>
      <c r="R14" s="11">
        <v>3.3333333333333335</v>
      </c>
    </row>
    <row r="15" spans="1:18" x14ac:dyDescent="0.35">
      <c r="A15" s="305">
        <f t="shared" si="1"/>
        <v>12</v>
      </c>
      <c r="B15" s="311">
        <v>4</v>
      </c>
      <c r="C15" s="305">
        <v>2</v>
      </c>
      <c r="D15" s="305">
        <v>3</v>
      </c>
      <c r="E15" s="305">
        <v>2</v>
      </c>
      <c r="F15" s="305">
        <v>5</v>
      </c>
      <c r="G15" s="305">
        <v>3</v>
      </c>
      <c r="H15" s="305">
        <v>4</v>
      </c>
      <c r="I15" s="305">
        <v>2</v>
      </c>
      <c r="J15" s="305">
        <v>3</v>
      </c>
      <c r="K15" s="330">
        <v>4</v>
      </c>
      <c r="L15" s="305">
        <f t="shared" si="0"/>
        <v>32</v>
      </c>
      <c r="N15" s="11">
        <v>10</v>
      </c>
      <c r="O15" s="11">
        <v>10</v>
      </c>
      <c r="P15" s="11">
        <v>40</v>
      </c>
      <c r="Q15" s="11">
        <v>4</v>
      </c>
      <c r="R15" s="11">
        <v>3.3333333333333335</v>
      </c>
    </row>
    <row r="16" spans="1:18" x14ac:dyDescent="0.35">
      <c r="A16" s="305">
        <f t="shared" si="1"/>
        <v>13</v>
      </c>
      <c r="B16" s="311">
        <v>5</v>
      </c>
      <c r="C16" s="305">
        <v>5</v>
      </c>
      <c r="D16" s="305">
        <v>6</v>
      </c>
      <c r="E16" s="305">
        <v>2</v>
      </c>
      <c r="F16" s="305">
        <v>3</v>
      </c>
      <c r="G16" s="305">
        <v>3</v>
      </c>
      <c r="H16" s="305">
        <v>2</v>
      </c>
      <c r="I16" s="305">
        <v>4</v>
      </c>
      <c r="J16" s="305">
        <v>4</v>
      </c>
      <c r="K16" s="330">
        <v>5</v>
      </c>
      <c r="L16" s="305">
        <f t="shared" si="0"/>
        <v>39</v>
      </c>
      <c r="N16" s="11">
        <v>11</v>
      </c>
      <c r="O16" s="11">
        <v>10</v>
      </c>
      <c r="P16" s="11">
        <v>32</v>
      </c>
      <c r="Q16" s="11">
        <v>3.2</v>
      </c>
      <c r="R16" s="11">
        <v>1.7333333333333327</v>
      </c>
    </row>
    <row r="17" spans="1:18" x14ac:dyDescent="0.35">
      <c r="A17" s="305">
        <f t="shared" si="1"/>
        <v>14</v>
      </c>
      <c r="B17" s="311">
        <v>6</v>
      </c>
      <c r="C17" s="305">
        <v>5</v>
      </c>
      <c r="D17" s="305">
        <v>5</v>
      </c>
      <c r="E17" s="305">
        <v>4</v>
      </c>
      <c r="F17" s="305">
        <v>2</v>
      </c>
      <c r="G17" s="305">
        <v>2</v>
      </c>
      <c r="H17" s="305">
        <v>1</v>
      </c>
      <c r="I17" s="305">
        <v>4</v>
      </c>
      <c r="J17" s="305">
        <v>6</v>
      </c>
      <c r="K17" s="330">
        <v>5</v>
      </c>
      <c r="L17" s="305">
        <f t="shared" si="0"/>
        <v>40</v>
      </c>
      <c r="N17" s="11">
        <v>12</v>
      </c>
      <c r="O17" s="11">
        <v>10</v>
      </c>
      <c r="P17" s="11">
        <v>32</v>
      </c>
      <c r="Q17" s="11">
        <v>3.2</v>
      </c>
      <c r="R17" s="11">
        <v>1.066666666666666</v>
      </c>
    </row>
    <row r="18" spans="1:18" x14ac:dyDescent="0.35">
      <c r="A18" s="305">
        <f t="shared" si="1"/>
        <v>15</v>
      </c>
      <c r="B18" s="309">
        <v>4</v>
      </c>
      <c r="C18" s="308">
        <v>3</v>
      </c>
      <c r="D18" s="308">
        <v>5</v>
      </c>
      <c r="E18" s="308">
        <v>5</v>
      </c>
      <c r="F18" s="308">
        <v>3</v>
      </c>
      <c r="G18" s="308">
        <v>1</v>
      </c>
      <c r="H18" s="308">
        <v>3</v>
      </c>
      <c r="I18" s="308">
        <v>2</v>
      </c>
      <c r="J18" s="308">
        <v>3</v>
      </c>
      <c r="K18" s="307">
        <v>4</v>
      </c>
      <c r="L18" s="305">
        <f t="shared" si="0"/>
        <v>33</v>
      </c>
      <c r="N18" s="11">
        <v>13</v>
      </c>
      <c r="O18" s="11">
        <v>10</v>
      </c>
      <c r="P18" s="11">
        <v>39</v>
      </c>
      <c r="Q18" s="11">
        <v>3.9</v>
      </c>
      <c r="R18" s="11">
        <v>1.8777777777777784</v>
      </c>
    </row>
    <row r="19" spans="1:18" x14ac:dyDescent="0.35">
      <c r="A19" s="305" t="s">
        <v>1</v>
      </c>
      <c r="B19" s="305">
        <f t="shared" ref="B19:K19" si="2">SUM(B4:B18)</f>
        <v>64</v>
      </c>
      <c r="C19" s="305">
        <f t="shared" si="2"/>
        <v>54</v>
      </c>
      <c r="D19" s="305">
        <f t="shared" si="2"/>
        <v>71</v>
      </c>
      <c r="E19" s="305">
        <f t="shared" si="2"/>
        <v>51</v>
      </c>
      <c r="F19" s="305">
        <f t="shared" si="2"/>
        <v>57</v>
      </c>
      <c r="G19" s="305">
        <f t="shared" si="2"/>
        <v>48</v>
      </c>
      <c r="H19" s="305">
        <f t="shared" si="2"/>
        <v>37</v>
      </c>
      <c r="I19" s="305">
        <f t="shared" si="2"/>
        <v>51</v>
      </c>
      <c r="J19" s="305">
        <f t="shared" si="2"/>
        <v>72</v>
      </c>
      <c r="K19" s="305">
        <f t="shared" si="2"/>
        <v>53</v>
      </c>
      <c r="L19" s="305">
        <f t="shared" si="0"/>
        <v>558</v>
      </c>
      <c r="N19" s="11">
        <v>14</v>
      </c>
      <c r="O19" s="11">
        <v>10</v>
      </c>
      <c r="P19" s="11">
        <v>40</v>
      </c>
      <c r="Q19" s="11">
        <v>4</v>
      </c>
      <c r="R19" s="11">
        <v>3.1111111111111112</v>
      </c>
    </row>
    <row r="20" spans="1:18" x14ac:dyDescent="0.35">
      <c r="A20" s="305" t="s">
        <v>675</v>
      </c>
      <c r="B20" s="305">
        <f t="shared" ref="B20:K20" si="3">VARP(B4:B18)</f>
        <v>2.7288888888888887</v>
      </c>
      <c r="C20" s="305">
        <f t="shared" si="3"/>
        <v>1.1733333333333333</v>
      </c>
      <c r="D20" s="305">
        <f t="shared" si="3"/>
        <v>1.1288888888888888</v>
      </c>
      <c r="E20" s="305">
        <f t="shared" si="3"/>
        <v>1.5733333333333333</v>
      </c>
      <c r="F20" s="305">
        <f t="shared" si="3"/>
        <v>2.6933333333333334</v>
      </c>
      <c r="G20" s="305">
        <f t="shared" si="3"/>
        <v>2.2933333333333334</v>
      </c>
      <c r="H20" s="305">
        <f t="shared" si="3"/>
        <v>1.3155555555555556</v>
      </c>
      <c r="I20" s="305">
        <f t="shared" si="3"/>
        <v>2.1066666666666665</v>
      </c>
      <c r="J20" s="305">
        <f t="shared" si="3"/>
        <v>2.0266666666666668</v>
      </c>
      <c r="K20" s="305">
        <f t="shared" si="3"/>
        <v>1.9822222222222223</v>
      </c>
      <c r="L20" s="305">
        <f t="shared" si="0"/>
        <v>19.022222222222222</v>
      </c>
      <c r="N20" s="11">
        <v>15</v>
      </c>
      <c r="O20" s="11">
        <v>10</v>
      </c>
      <c r="P20" s="11">
        <v>33</v>
      </c>
      <c r="Q20" s="11">
        <v>3.3</v>
      </c>
      <c r="R20" s="11">
        <v>1.566666666666666</v>
      </c>
    </row>
    <row r="21" spans="1:18" x14ac:dyDescent="0.35">
      <c r="N21" s="11"/>
      <c r="O21" s="11"/>
      <c r="P21" s="11"/>
      <c r="Q21" s="11"/>
      <c r="R21" s="11"/>
    </row>
    <row r="22" spans="1:18" x14ac:dyDescent="0.35">
      <c r="A22" s="315" t="s">
        <v>51</v>
      </c>
      <c r="B22" s="335">
        <f>COUNTA(B3:K3)</f>
        <v>10</v>
      </c>
      <c r="N22" s="11" t="s">
        <v>50</v>
      </c>
      <c r="O22" s="11">
        <v>15</v>
      </c>
      <c r="P22" s="11">
        <v>64</v>
      </c>
      <c r="Q22" s="11">
        <v>4.2666666666666666</v>
      </c>
      <c r="R22" s="11">
        <v>2.9238095238095241</v>
      </c>
    </row>
    <row r="23" spans="1:18" x14ac:dyDescent="0.35">
      <c r="A23" s="57" t="s">
        <v>670</v>
      </c>
      <c r="B23" s="100">
        <f>L20</f>
        <v>19.022222222222222</v>
      </c>
      <c r="N23" s="11" t="s">
        <v>640</v>
      </c>
      <c r="O23" s="11">
        <v>15</v>
      </c>
      <c r="P23" s="11">
        <v>54</v>
      </c>
      <c r="Q23" s="11">
        <v>3.6</v>
      </c>
      <c r="R23" s="11">
        <v>1.2571428571428567</v>
      </c>
    </row>
    <row r="24" spans="1:18" x14ac:dyDescent="0.35">
      <c r="A24" s="315" t="s">
        <v>6</v>
      </c>
      <c r="B24" s="100">
        <f xml:space="preserve"> VARP(L4:L18)</f>
        <v>40.693333333333335</v>
      </c>
      <c r="N24" s="11" t="s">
        <v>282</v>
      </c>
      <c r="O24" s="11">
        <v>15</v>
      </c>
      <c r="P24" s="11">
        <v>71</v>
      </c>
      <c r="Q24" s="11">
        <v>4.7333333333333334</v>
      </c>
      <c r="R24" s="11">
        <v>1.2095238095238099</v>
      </c>
    </row>
    <row r="25" spans="1:18" x14ac:dyDescent="0.35">
      <c r="A25" s="329" t="s">
        <v>44</v>
      </c>
      <c r="B25" s="94">
        <f>(B22/(B22-1))*(1-B23/B24)</f>
        <v>0.59171884859958257</v>
      </c>
      <c r="N25" s="11" t="s">
        <v>639</v>
      </c>
      <c r="O25" s="11">
        <v>15</v>
      </c>
      <c r="P25" s="11">
        <v>51</v>
      </c>
      <c r="Q25" s="11">
        <v>3.4</v>
      </c>
      <c r="R25" s="11">
        <v>1.6857142857142853</v>
      </c>
    </row>
    <row r="26" spans="1:18" x14ac:dyDescent="0.35">
      <c r="A26" s="329"/>
      <c r="B26" s="4"/>
      <c r="N26" s="11" t="s">
        <v>638</v>
      </c>
      <c r="O26" s="11">
        <v>15</v>
      </c>
      <c r="P26" s="11">
        <v>57</v>
      </c>
      <c r="Q26" s="11">
        <v>3.8</v>
      </c>
      <c r="R26" s="11">
        <v>2.8857142857142861</v>
      </c>
    </row>
    <row r="27" spans="1:18" x14ac:dyDescent="0.35">
      <c r="A27" s="329"/>
      <c r="B27" s="4"/>
      <c r="N27" s="11" t="s">
        <v>637</v>
      </c>
      <c r="O27" s="11">
        <v>15</v>
      </c>
      <c r="P27" s="11">
        <v>48</v>
      </c>
      <c r="Q27" s="11">
        <v>3.2</v>
      </c>
      <c r="R27" s="11">
        <v>2.4571428571428577</v>
      </c>
    </row>
    <row r="28" spans="1:18" x14ac:dyDescent="0.35">
      <c r="A28" s="329"/>
      <c r="B28" s="4"/>
      <c r="N28" s="11" t="s">
        <v>636</v>
      </c>
      <c r="O28" s="11">
        <v>15</v>
      </c>
      <c r="P28" s="11">
        <v>37</v>
      </c>
      <c r="Q28" s="11">
        <v>2.4666666666666668</v>
      </c>
      <c r="R28" s="11">
        <v>1.4095238095238096</v>
      </c>
    </row>
    <row r="29" spans="1:18" x14ac:dyDescent="0.35">
      <c r="A29" s="329"/>
      <c r="B29" s="4"/>
      <c r="N29" s="11" t="s">
        <v>635</v>
      </c>
      <c r="O29" s="11">
        <v>15</v>
      </c>
      <c r="P29" s="11">
        <v>51</v>
      </c>
      <c r="Q29" s="11">
        <v>3.4</v>
      </c>
      <c r="R29" s="11">
        <v>2.2571428571428567</v>
      </c>
    </row>
    <row r="30" spans="1:18" x14ac:dyDescent="0.35">
      <c r="A30" s="329"/>
      <c r="B30" s="4"/>
      <c r="N30" s="11" t="s">
        <v>634</v>
      </c>
      <c r="O30" s="11">
        <v>15</v>
      </c>
      <c r="P30" s="11">
        <v>72</v>
      </c>
      <c r="Q30" s="11">
        <v>4.8</v>
      </c>
      <c r="R30" s="11">
        <v>2.1714285714285699</v>
      </c>
    </row>
    <row r="31" spans="1:18" ht="15" thickBot="1" x14ac:dyDescent="0.4">
      <c r="A31" s="329"/>
      <c r="B31" s="4"/>
      <c r="N31" s="12" t="s">
        <v>633</v>
      </c>
      <c r="O31" s="12">
        <v>15</v>
      </c>
      <c r="P31" s="12">
        <v>53</v>
      </c>
      <c r="Q31" s="12">
        <v>3.5333333333333332</v>
      </c>
      <c r="R31" s="12">
        <v>2.1238095238095229</v>
      </c>
    </row>
    <row r="32" spans="1:18" x14ac:dyDescent="0.35">
      <c r="A32" s="329"/>
      <c r="B32" s="4"/>
    </row>
    <row r="33" spans="1:20" x14ac:dyDescent="0.35">
      <c r="A33" s="329"/>
      <c r="B33" s="4"/>
    </row>
    <row r="34" spans="1:20" ht="15" thickBot="1" x14ac:dyDescent="0.4">
      <c r="A34" s="329"/>
      <c r="B34" s="4"/>
      <c r="N34" t="s">
        <v>665</v>
      </c>
    </row>
    <row r="35" spans="1:20" x14ac:dyDescent="0.35">
      <c r="A35" s="329"/>
      <c r="B35" s="4"/>
      <c r="N35" s="229" t="s">
        <v>673</v>
      </c>
      <c r="O35" s="229" t="s">
        <v>257</v>
      </c>
      <c r="P35" s="229" t="s">
        <v>53</v>
      </c>
      <c r="Q35" s="229" t="s">
        <v>664</v>
      </c>
      <c r="R35" s="229" t="s">
        <v>101</v>
      </c>
      <c r="S35" s="229" t="s">
        <v>672</v>
      </c>
      <c r="T35" s="229" t="s">
        <v>269</v>
      </c>
    </row>
    <row r="36" spans="1:20" x14ac:dyDescent="0.35">
      <c r="A36" s="329"/>
      <c r="B36" s="4"/>
      <c r="N36" s="11" t="s">
        <v>102</v>
      </c>
      <c r="O36" s="11">
        <v>61.039999999999281</v>
      </c>
      <c r="P36" s="11">
        <v>14</v>
      </c>
      <c r="Q36" s="11">
        <v>4.3599999999999488</v>
      </c>
      <c r="R36" s="11">
        <v>2.4492925930328964</v>
      </c>
      <c r="S36" s="11">
        <v>4.3763869012234313E-3</v>
      </c>
      <c r="T36" s="11">
        <v>1.7710235343212157</v>
      </c>
    </row>
    <row r="37" spans="1:20" x14ac:dyDescent="0.35">
      <c r="A37" s="329"/>
      <c r="B37" s="4"/>
      <c r="N37" s="11" t="s">
        <v>663</v>
      </c>
      <c r="O37" s="11">
        <v>68.906666666666013</v>
      </c>
      <c r="P37" s="11">
        <v>9</v>
      </c>
      <c r="Q37" s="11">
        <v>7.6562962962962233</v>
      </c>
      <c r="R37" s="11">
        <v>4.3010343597669172</v>
      </c>
      <c r="S37" s="11">
        <v>6.8243311435231693E-5</v>
      </c>
      <c r="T37" s="11">
        <v>1.954952612669149</v>
      </c>
    </row>
    <row r="38" spans="1:20" x14ac:dyDescent="0.35">
      <c r="A38" s="329"/>
      <c r="B38" s="4"/>
      <c r="N38" s="11" t="s">
        <v>662</v>
      </c>
      <c r="O38" s="11">
        <v>224.29333333333403</v>
      </c>
      <c r="P38" s="11">
        <v>126</v>
      </c>
      <c r="Q38" s="11">
        <v>1.7801058201058257</v>
      </c>
      <c r="R38" s="11"/>
      <c r="S38" s="11"/>
      <c r="T38" s="11"/>
    </row>
    <row r="39" spans="1:20" x14ac:dyDescent="0.35">
      <c r="A39" s="329"/>
      <c r="B39" s="4"/>
      <c r="N39" s="11"/>
      <c r="O39" s="11"/>
      <c r="P39" s="11"/>
      <c r="Q39" s="11"/>
      <c r="R39" s="11"/>
      <c r="S39" s="11"/>
      <c r="T39" s="11"/>
    </row>
    <row r="40" spans="1:20" ht="15" thickBot="1" x14ac:dyDescent="0.4">
      <c r="A40" s="329"/>
      <c r="B40" s="4"/>
      <c r="N40" s="12" t="s">
        <v>1</v>
      </c>
      <c r="O40" s="12">
        <v>354.23999999999933</v>
      </c>
      <c r="P40" s="12">
        <v>149</v>
      </c>
      <c r="Q40" s="12"/>
      <c r="R40" s="12"/>
      <c r="S40" s="12"/>
      <c r="T40" s="12"/>
    </row>
    <row r="41" spans="1:20" x14ac:dyDescent="0.35">
      <c r="A41" s="329"/>
      <c r="B41" s="4"/>
    </row>
    <row r="42" spans="1:20" ht="16.5" x14ac:dyDescent="0.45">
      <c r="A42" s="329"/>
      <c r="B42" s="4"/>
      <c r="L42" s="305"/>
      <c r="N42" t="s">
        <v>35</v>
      </c>
      <c r="O42" s="109">
        <f>1-Q38/Q36</f>
        <v>0.59171884859957646</v>
      </c>
      <c r="Q42" s="7" t="s">
        <v>671</v>
      </c>
    </row>
    <row r="43" spans="1:20" x14ac:dyDescent="0.35">
      <c r="A43" s="329"/>
      <c r="B43" s="4"/>
    </row>
    <row r="44" spans="1:20" x14ac:dyDescent="0.35">
      <c r="A44" s="329"/>
      <c r="B44" s="4"/>
      <c r="N44" t="s">
        <v>669</v>
      </c>
    </row>
    <row r="45" spans="1:20" x14ac:dyDescent="0.35">
      <c r="A45" s="329"/>
      <c r="B45" s="4"/>
    </row>
    <row r="46" spans="1:20" x14ac:dyDescent="0.35">
      <c r="A46" s="329"/>
      <c r="B46" s="4"/>
      <c r="N46" t="s">
        <v>35</v>
      </c>
      <c r="O46" s="109" t="e" cm="1">
        <f t="array" aca="1" ref="O46" ca="1">CRONALPHA(B4:K18)</f>
        <v>#NAME?</v>
      </c>
      <c r="Q46" s="7" t="s">
        <v>679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10"/>
  <dimension ref="A1:V18"/>
  <sheetViews>
    <sheetView workbookViewId="0"/>
  </sheetViews>
  <sheetFormatPr defaultRowHeight="14.5" x14ac:dyDescent="0.35"/>
  <cols>
    <col min="12" max="12" width="9.1796875" customWidth="1"/>
  </cols>
  <sheetData>
    <row r="1" spans="1:22" x14ac:dyDescent="0.35">
      <c r="A1" s="1" t="s">
        <v>678</v>
      </c>
      <c r="M1" t="s">
        <v>678</v>
      </c>
    </row>
    <row r="3" spans="1:22" x14ac:dyDescent="0.35">
      <c r="B3" s="298" t="s">
        <v>50</v>
      </c>
      <c r="C3" s="298" t="s">
        <v>640</v>
      </c>
      <c r="D3" s="298" t="s">
        <v>282</v>
      </c>
      <c r="E3" s="298" t="s">
        <v>639</v>
      </c>
      <c r="F3" s="298" t="s">
        <v>638</v>
      </c>
      <c r="G3" s="298" t="s">
        <v>637</v>
      </c>
      <c r="H3" s="298" t="s">
        <v>636</v>
      </c>
      <c r="I3" s="298" t="s">
        <v>635</v>
      </c>
      <c r="J3" s="298" t="s">
        <v>634</v>
      </c>
      <c r="K3" s="298" t="s">
        <v>633</v>
      </c>
      <c r="M3" s="339" t="e" cm="1">
        <f t="array" aca="1" ref="M3" ca="1">CRONALPHA(B4:K18)</f>
        <v>#NAME?</v>
      </c>
    </row>
    <row r="4" spans="1:22" x14ac:dyDescent="0.35">
      <c r="A4" s="305">
        <v>1</v>
      </c>
      <c r="B4" s="334">
        <v>3</v>
      </c>
      <c r="C4" s="321">
        <v>2</v>
      </c>
      <c r="D4" s="321">
        <v>4</v>
      </c>
      <c r="E4" s="321">
        <v>1</v>
      </c>
      <c r="F4" s="321">
        <v>4</v>
      </c>
      <c r="G4" s="321">
        <v>5</v>
      </c>
      <c r="H4" s="321">
        <v>1</v>
      </c>
      <c r="I4" s="321">
        <v>4</v>
      </c>
      <c r="J4" s="321">
        <v>3</v>
      </c>
      <c r="K4" s="320">
        <v>2</v>
      </c>
    </row>
    <row r="5" spans="1:22" x14ac:dyDescent="0.35">
      <c r="A5" s="305">
        <f t="shared" ref="A5:A18" si="0">A4+1</f>
        <v>2</v>
      </c>
      <c r="B5" s="311">
        <v>5</v>
      </c>
      <c r="C5" s="305">
        <v>4</v>
      </c>
      <c r="D5" s="305">
        <v>6</v>
      </c>
      <c r="E5" s="305">
        <v>3</v>
      </c>
      <c r="F5" s="305">
        <v>5</v>
      </c>
      <c r="G5" s="305">
        <v>1</v>
      </c>
      <c r="H5" s="305">
        <v>2</v>
      </c>
      <c r="I5" s="305">
        <v>5</v>
      </c>
      <c r="J5" s="305">
        <v>5</v>
      </c>
      <c r="K5" s="330">
        <v>5</v>
      </c>
      <c r="M5" t="s">
        <v>680</v>
      </c>
    </row>
    <row r="6" spans="1:22" x14ac:dyDescent="0.35">
      <c r="A6" s="305">
        <f t="shared" si="0"/>
        <v>3</v>
      </c>
      <c r="B6" s="311">
        <v>7</v>
      </c>
      <c r="C6" s="305">
        <v>3</v>
      </c>
      <c r="D6" s="305">
        <v>5</v>
      </c>
      <c r="E6" s="305">
        <v>5</v>
      </c>
      <c r="F6" s="305">
        <v>6</v>
      </c>
      <c r="G6" s="305">
        <v>4</v>
      </c>
      <c r="H6" s="305">
        <v>3</v>
      </c>
      <c r="I6" s="305">
        <v>3</v>
      </c>
      <c r="J6" s="305">
        <v>6</v>
      </c>
      <c r="K6" s="330">
        <v>5</v>
      </c>
    </row>
    <row r="7" spans="1:22" x14ac:dyDescent="0.35">
      <c r="A7" s="305">
        <f t="shared" si="0"/>
        <v>4</v>
      </c>
      <c r="B7" s="311">
        <v>2</v>
      </c>
      <c r="C7" s="305">
        <v>4</v>
      </c>
      <c r="D7" s="305">
        <v>3</v>
      </c>
      <c r="E7" s="305">
        <v>3</v>
      </c>
      <c r="F7" s="305">
        <v>2</v>
      </c>
      <c r="G7" s="305">
        <v>2</v>
      </c>
      <c r="H7" s="305">
        <v>2</v>
      </c>
      <c r="I7" s="305">
        <v>6</v>
      </c>
      <c r="J7" s="305">
        <v>6</v>
      </c>
      <c r="K7" s="330">
        <v>3</v>
      </c>
      <c r="M7" t="str">
        <f t="shared" ref="M7:V7" si="1">B3</f>
        <v>Q1</v>
      </c>
      <c r="N7" t="str">
        <f t="shared" si="1"/>
        <v>Q2</v>
      </c>
      <c r="O7" t="str">
        <f t="shared" si="1"/>
        <v>Q3</v>
      </c>
      <c r="P7" t="str">
        <f t="shared" si="1"/>
        <v>Q4</v>
      </c>
      <c r="Q7" t="str">
        <f t="shared" si="1"/>
        <v>Q5</v>
      </c>
      <c r="R7" t="str">
        <f t="shared" si="1"/>
        <v>Q6</v>
      </c>
      <c r="S7" t="str">
        <f t="shared" si="1"/>
        <v>Q7</v>
      </c>
      <c r="T7" t="str">
        <f t="shared" si="1"/>
        <v>Q8</v>
      </c>
      <c r="U7" t="str">
        <f t="shared" si="1"/>
        <v>Q9</v>
      </c>
      <c r="V7" t="str">
        <f t="shared" si="1"/>
        <v>Q10</v>
      </c>
    </row>
    <row r="8" spans="1:22" x14ac:dyDescent="0.35">
      <c r="A8" s="305">
        <f t="shared" si="0"/>
        <v>5</v>
      </c>
      <c r="B8" s="311">
        <v>6</v>
      </c>
      <c r="C8" s="305">
        <v>5</v>
      </c>
      <c r="D8" s="305">
        <v>6</v>
      </c>
      <c r="E8" s="305">
        <v>5</v>
      </c>
      <c r="F8" s="305">
        <v>4</v>
      </c>
      <c r="G8" s="305">
        <v>4</v>
      </c>
      <c r="H8" s="305">
        <v>4</v>
      </c>
      <c r="I8" s="305">
        <v>6</v>
      </c>
      <c r="J8" s="305">
        <v>7</v>
      </c>
      <c r="K8" s="330">
        <v>5</v>
      </c>
      <c r="M8" s="338" t="e">
        <f t="array" aca="1" ref="M8:V8" ca="1">CALPHA(B4:K18)</f>
        <v>#NAME?</v>
      </c>
      <c r="N8" s="337" t="e">
        <f ca="1"/>
        <v>#NAME?</v>
      </c>
      <c r="O8" s="337" t="e">
        <f ca="1"/>
        <v>#NAME?</v>
      </c>
      <c r="P8" s="337" t="e">
        <f ca="1"/>
        <v>#NAME?</v>
      </c>
      <c r="Q8" s="337" t="e">
        <f ca="1"/>
        <v>#NAME?</v>
      </c>
      <c r="R8" s="337" t="e">
        <f ca="1"/>
        <v>#NAME?</v>
      </c>
      <c r="S8" s="337" t="e">
        <f ca="1"/>
        <v>#NAME?</v>
      </c>
      <c r="T8" s="337" t="e">
        <f ca="1"/>
        <v>#NAME?</v>
      </c>
      <c r="U8" s="337" t="e">
        <f ca="1"/>
        <v>#NAME?</v>
      </c>
      <c r="V8" s="336" t="e">
        <f ca="1"/>
        <v>#NAME?</v>
      </c>
    </row>
    <row r="9" spans="1:22" x14ac:dyDescent="0.35">
      <c r="A9" s="305">
        <f t="shared" si="0"/>
        <v>6</v>
      </c>
      <c r="B9" s="311">
        <v>1</v>
      </c>
      <c r="C9" s="305">
        <v>2</v>
      </c>
      <c r="D9" s="305">
        <v>3</v>
      </c>
      <c r="E9" s="305">
        <v>4</v>
      </c>
      <c r="F9" s="305">
        <v>2</v>
      </c>
      <c r="G9" s="305">
        <v>5</v>
      </c>
      <c r="H9" s="305">
        <v>2</v>
      </c>
      <c r="I9" s="305">
        <v>3</v>
      </c>
      <c r="J9" s="305">
        <v>5</v>
      </c>
      <c r="K9" s="330">
        <v>2</v>
      </c>
    </row>
    <row r="10" spans="1:22" x14ac:dyDescent="0.35">
      <c r="A10" s="305">
        <f t="shared" si="0"/>
        <v>7</v>
      </c>
      <c r="B10" s="311">
        <v>4</v>
      </c>
      <c r="C10" s="305">
        <v>3</v>
      </c>
      <c r="D10" s="305">
        <v>5</v>
      </c>
      <c r="E10" s="305">
        <v>3</v>
      </c>
      <c r="F10" s="305">
        <v>5</v>
      </c>
      <c r="G10" s="305">
        <v>2</v>
      </c>
      <c r="H10" s="305">
        <v>1</v>
      </c>
      <c r="I10" s="305">
        <v>2</v>
      </c>
      <c r="J10" s="305">
        <v>4</v>
      </c>
      <c r="K10" s="330">
        <v>3</v>
      </c>
    </row>
    <row r="11" spans="1:22" x14ac:dyDescent="0.35">
      <c r="A11" s="305">
        <f t="shared" si="0"/>
        <v>8</v>
      </c>
      <c r="B11" s="311">
        <v>2</v>
      </c>
      <c r="C11" s="305">
        <v>4</v>
      </c>
      <c r="D11" s="305">
        <v>4</v>
      </c>
      <c r="E11" s="305">
        <v>3</v>
      </c>
      <c r="F11" s="305">
        <v>7</v>
      </c>
      <c r="G11" s="305">
        <v>2</v>
      </c>
      <c r="H11" s="305">
        <v>2</v>
      </c>
      <c r="I11" s="305">
        <v>4</v>
      </c>
      <c r="J11" s="305">
        <v>6</v>
      </c>
      <c r="K11" s="330">
        <v>5</v>
      </c>
    </row>
    <row r="12" spans="1:22" x14ac:dyDescent="0.35">
      <c r="A12" s="305">
        <f t="shared" si="0"/>
        <v>9</v>
      </c>
      <c r="B12" s="311">
        <v>6</v>
      </c>
      <c r="C12" s="305">
        <v>5</v>
      </c>
      <c r="D12" s="305">
        <v>5</v>
      </c>
      <c r="E12" s="305">
        <v>5</v>
      </c>
      <c r="F12" s="305">
        <v>1</v>
      </c>
      <c r="G12" s="305">
        <v>6</v>
      </c>
      <c r="H12" s="305">
        <v>5</v>
      </c>
      <c r="I12" s="305">
        <v>2</v>
      </c>
      <c r="J12" s="305">
        <v>3</v>
      </c>
      <c r="K12" s="330">
        <v>2</v>
      </c>
    </row>
    <row r="13" spans="1:22" x14ac:dyDescent="0.35">
      <c r="A13" s="305">
        <f t="shared" si="0"/>
        <v>10</v>
      </c>
      <c r="B13" s="311">
        <v>5</v>
      </c>
      <c r="C13" s="305">
        <v>4</v>
      </c>
      <c r="D13" s="305">
        <v>6</v>
      </c>
      <c r="E13" s="305">
        <v>4</v>
      </c>
      <c r="F13" s="305">
        <v>3</v>
      </c>
      <c r="G13" s="305">
        <v>5</v>
      </c>
      <c r="H13" s="305">
        <v>3</v>
      </c>
      <c r="I13" s="305">
        <v>1</v>
      </c>
      <c r="J13" s="305">
        <v>7</v>
      </c>
      <c r="K13" s="330">
        <v>2</v>
      </c>
    </row>
    <row r="14" spans="1:22" x14ac:dyDescent="0.35">
      <c r="A14" s="305">
        <f t="shared" si="0"/>
        <v>11</v>
      </c>
      <c r="B14" s="311">
        <v>4</v>
      </c>
      <c r="C14" s="305">
        <v>3</v>
      </c>
      <c r="D14" s="305">
        <v>5</v>
      </c>
      <c r="E14" s="305">
        <v>2</v>
      </c>
      <c r="F14" s="305">
        <v>5</v>
      </c>
      <c r="G14" s="305">
        <v>3</v>
      </c>
      <c r="H14" s="305">
        <v>2</v>
      </c>
      <c r="I14" s="305">
        <v>3</v>
      </c>
      <c r="J14" s="305">
        <v>4</v>
      </c>
      <c r="K14" s="330">
        <v>1</v>
      </c>
    </row>
    <row r="15" spans="1:22" x14ac:dyDescent="0.35">
      <c r="A15" s="305">
        <f t="shared" si="0"/>
        <v>12</v>
      </c>
      <c r="B15" s="311">
        <v>4</v>
      </c>
      <c r="C15" s="305">
        <v>2</v>
      </c>
      <c r="D15" s="305">
        <v>3</v>
      </c>
      <c r="E15" s="305">
        <v>2</v>
      </c>
      <c r="F15" s="305">
        <v>5</v>
      </c>
      <c r="G15" s="305">
        <v>3</v>
      </c>
      <c r="H15" s="305">
        <v>4</v>
      </c>
      <c r="I15" s="305">
        <v>2</v>
      </c>
      <c r="J15" s="305">
        <v>3</v>
      </c>
      <c r="K15" s="330">
        <v>4</v>
      </c>
    </row>
    <row r="16" spans="1:22" x14ac:dyDescent="0.35">
      <c r="A16" s="305">
        <f t="shared" si="0"/>
        <v>13</v>
      </c>
      <c r="B16" s="311">
        <v>5</v>
      </c>
      <c r="C16" s="305">
        <v>5</v>
      </c>
      <c r="D16" s="305">
        <v>6</v>
      </c>
      <c r="E16" s="305">
        <v>2</v>
      </c>
      <c r="F16" s="305">
        <v>3</v>
      </c>
      <c r="G16" s="305">
        <v>3</v>
      </c>
      <c r="H16" s="305">
        <v>2</v>
      </c>
      <c r="I16" s="305">
        <v>4</v>
      </c>
      <c r="J16" s="305">
        <v>4</v>
      </c>
      <c r="K16" s="330">
        <v>5</v>
      </c>
    </row>
    <row r="17" spans="1:11" x14ac:dyDescent="0.35">
      <c r="A17" s="305">
        <f t="shared" si="0"/>
        <v>14</v>
      </c>
      <c r="B17" s="311">
        <v>6</v>
      </c>
      <c r="C17" s="305">
        <v>5</v>
      </c>
      <c r="D17" s="305">
        <v>5</v>
      </c>
      <c r="E17" s="305">
        <v>4</v>
      </c>
      <c r="F17" s="305">
        <v>2</v>
      </c>
      <c r="G17" s="305">
        <v>2</v>
      </c>
      <c r="H17" s="305">
        <v>1</v>
      </c>
      <c r="I17" s="305">
        <v>4</v>
      </c>
      <c r="J17" s="305">
        <v>6</v>
      </c>
      <c r="K17" s="330">
        <v>5</v>
      </c>
    </row>
    <row r="18" spans="1:11" x14ac:dyDescent="0.35">
      <c r="A18" s="305">
        <f t="shared" si="0"/>
        <v>15</v>
      </c>
      <c r="B18" s="309">
        <v>4</v>
      </c>
      <c r="C18" s="308">
        <v>3</v>
      </c>
      <c r="D18" s="308">
        <v>5</v>
      </c>
      <c r="E18" s="308">
        <v>5</v>
      </c>
      <c r="F18" s="308">
        <v>3</v>
      </c>
      <c r="G18" s="308">
        <v>1</v>
      </c>
      <c r="H18" s="308">
        <v>3</v>
      </c>
      <c r="I18" s="308">
        <v>2</v>
      </c>
      <c r="J18" s="308">
        <v>3</v>
      </c>
      <c r="K18" s="307">
        <v>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11"/>
  <dimension ref="A1:U20"/>
  <sheetViews>
    <sheetView workbookViewId="0"/>
  </sheetViews>
  <sheetFormatPr defaultRowHeight="14.5" x14ac:dyDescent="0.35"/>
  <cols>
    <col min="1" max="1" width="6.54296875" customWidth="1"/>
    <col min="2" max="11" width="6" customWidth="1"/>
    <col min="14" max="14" width="9.1796875" customWidth="1"/>
    <col min="15" max="15" width="3.453125" customWidth="1"/>
    <col min="16" max="16" width="29.54296875" customWidth="1"/>
  </cols>
  <sheetData>
    <row r="1" spans="1:21" x14ac:dyDescent="0.35">
      <c r="A1" s="1" t="s">
        <v>682</v>
      </c>
    </row>
    <row r="3" spans="1:21" x14ac:dyDescent="0.35">
      <c r="B3" s="298" t="s">
        <v>50</v>
      </c>
      <c r="C3" s="298" t="s">
        <v>640</v>
      </c>
      <c r="D3" s="298" t="s">
        <v>282</v>
      </c>
      <c r="E3" s="298" t="s">
        <v>639</v>
      </c>
      <c r="F3" s="298" t="s">
        <v>638</v>
      </c>
      <c r="G3" s="298" t="s">
        <v>637</v>
      </c>
      <c r="H3" s="298" t="s">
        <v>636</v>
      </c>
      <c r="I3" s="298" t="s">
        <v>635</v>
      </c>
      <c r="J3" s="298" t="s">
        <v>634</v>
      </c>
      <c r="K3" s="298" t="s">
        <v>633</v>
      </c>
    </row>
    <row r="4" spans="1:21" x14ac:dyDescent="0.35">
      <c r="A4" s="305">
        <v>1</v>
      </c>
      <c r="B4" s="334">
        <v>3</v>
      </c>
      <c r="C4" s="321">
        <v>2</v>
      </c>
      <c r="D4" s="321">
        <v>4</v>
      </c>
      <c r="E4" s="321">
        <v>1</v>
      </c>
      <c r="F4" s="321">
        <v>4</v>
      </c>
      <c r="G4" s="321">
        <v>5</v>
      </c>
      <c r="H4" s="321">
        <v>1</v>
      </c>
      <c r="I4" s="321">
        <v>4</v>
      </c>
      <c r="J4" s="321">
        <v>3</v>
      </c>
      <c r="K4" s="343">
        <v>2</v>
      </c>
      <c r="M4" s="30" t="s">
        <v>31</v>
      </c>
      <c r="N4" s="335">
        <f>COUNTA(A4:A18)</f>
        <v>15</v>
      </c>
      <c r="P4" t="e" cm="1">
        <f t="array" aca="1" ref="P4" ca="1">FTEXT(N4)</f>
        <v>#NAME?</v>
      </c>
      <c r="R4" s="298" t="s">
        <v>51</v>
      </c>
      <c r="S4" s="335">
        <v>10</v>
      </c>
    </row>
    <row r="5" spans="1:21" x14ac:dyDescent="0.35">
      <c r="A5" s="305">
        <f t="shared" ref="A5:A18" si="0">A4+1</f>
        <v>2</v>
      </c>
      <c r="B5" s="311">
        <v>5</v>
      </c>
      <c r="C5" s="305">
        <v>4</v>
      </c>
      <c r="D5" s="305">
        <v>6</v>
      </c>
      <c r="E5" s="305">
        <v>3</v>
      </c>
      <c r="F5" s="305">
        <v>5</v>
      </c>
      <c r="G5" s="305">
        <v>1</v>
      </c>
      <c r="H5" s="305">
        <v>2</v>
      </c>
      <c r="I5" s="305">
        <v>5</v>
      </c>
      <c r="J5" s="305">
        <v>5</v>
      </c>
      <c r="K5" s="330">
        <v>5</v>
      </c>
      <c r="M5" t="s">
        <v>51</v>
      </c>
      <c r="N5" s="100">
        <f>COUNTA(B3:K3)</f>
        <v>10</v>
      </c>
      <c r="P5" t="e" cm="1">
        <f t="array" aca="1" ref="P5" ca="1">FTEXT(N5)</f>
        <v>#NAME?</v>
      </c>
      <c r="R5" s="57" t="s">
        <v>561</v>
      </c>
      <c r="S5" s="100">
        <v>0.7</v>
      </c>
    </row>
    <row r="6" spans="1:21" x14ac:dyDescent="0.35">
      <c r="A6" s="305">
        <f t="shared" si="0"/>
        <v>3</v>
      </c>
      <c r="B6" s="311">
        <v>7</v>
      </c>
      <c r="C6" s="305">
        <v>3</v>
      </c>
      <c r="D6" s="305">
        <v>5</v>
      </c>
      <c r="E6" s="305">
        <v>5</v>
      </c>
      <c r="F6" s="305">
        <v>6</v>
      </c>
      <c r="G6" s="305">
        <v>4</v>
      </c>
      <c r="H6" s="305">
        <v>3</v>
      </c>
      <c r="I6" s="305">
        <v>3</v>
      </c>
      <c r="J6" s="305">
        <v>6</v>
      </c>
      <c r="K6" s="330">
        <v>5</v>
      </c>
      <c r="M6" s="17" t="s">
        <v>561</v>
      </c>
      <c r="N6" s="100" t="e" cm="1">
        <f t="array" aca="1" ref="N6" ca="1">CRONALPHA(B4:K18)</f>
        <v>#NAME?</v>
      </c>
      <c r="P6" t="e" cm="1">
        <f t="array" aca="1" ref="P6" ca="1">FTEXT(N6)</f>
        <v>#NAME?</v>
      </c>
      <c r="R6" s="57" t="s">
        <v>44</v>
      </c>
      <c r="S6" s="94">
        <v>0.05</v>
      </c>
    </row>
    <row r="7" spans="1:21" x14ac:dyDescent="0.35">
      <c r="A7" s="305">
        <f t="shared" si="0"/>
        <v>4</v>
      </c>
      <c r="B7" s="311">
        <v>2</v>
      </c>
      <c r="C7" s="305">
        <v>4</v>
      </c>
      <c r="D7" s="305">
        <v>3</v>
      </c>
      <c r="E7" s="305">
        <v>3</v>
      </c>
      <c r="F7" s="305">
        <v>2</v>
      </c>
      <c r="G7" s="305">
        <v>2</v>
      </c>
      <c r="H7" s="305">
        <v>2</v>
      </c>
      <c r="I7" s="305">
        <v>6</v>
      </c>
      <c r="J7" s="305">
        <v>6</v>
      </c>
      <c r="K7" s="330">
        <v>3</v>
      </c>
      <c r="M7" s="17" t="s">
        <v>681</v>
      </c>
      <c r="N7" s="342">
        <v>0.7</v>
      </c>
    </row>
    <row r="8" spans="1:21" x14ac:dyDescent="0.35">
      <c r="A8" s="305">
        <f t="shared" si="0"/>
        <v>5</v>
      </c>
      <c r="B8" s="311">
        <v>6</v>
      </c>
      <c r="C8" s="305">
        <v>5</v>
      </c>
      <c r="D8" s="305">
        <v>6</v>
      </c>
      <c r="E8" s="305">
        <v>5</v>
      </c>
      <c r="F8" s="305">
        <v>4</v>
      </c>
      <c r="G8" s="305">
        <v>4</v>
      </c>
      <c r="H8" s="305">
        <v>4</v>
      </c>
      <c r="I8" s="305">
        <v>6</v>
      </c>
      <c r="J8" s="305">
        <v>7</v>
      </c>
      <c r="K8" s="330">
        <v>5</v>
      </c>
      <c r="M8" s="17" t="s">
        <v>286</v>
      </c>
      <c r="N8" s="342" t="e">
        <f ca="1">(1-N7)/(1-N6)</f>
        <v>#NAME?</v>
      </c>
      <c r="P8" t="e" cm="1">
        <f t="array" aca="1" ref="P8" ca="1">FTEXT(N8)</f>
        <v>#NAME?</v>
      </c>
      <c r="R8" s="298" t="s">
        <v>31</v>
      </c>
      <c r="S8" s="298" t="s">
        <v>29</v>
      </c>
      <c r="T8" s="298" t="s">
        <v>30</v>
      </c>
      <c r="U8" s="298" t="s">
        <v>544</v>
      </c>
    </row>
    <row r="9" spans="1:21" x14ac:dyDescent="0.35">
      <c r="A9" s="305">
        <f t="shared" si="0"/>
        <v>6</v>
      </c>
      <c r="B9" s="311">
        <v>1</v>
      </c>
      <c r="C9" s="305">
        <v>2</v>
      </c>
      <c r="D9" s="305">
        <v>3</v>
      </c>
      <c r="E9" s="305">
        <v>4</v>
      </c>
      <c r="F9" s="305">
        <v>2</v>
      </c>
      <c r="G9" s="305">
        <v>5</v>
      </c>
      <c r="H9" s="305">
        <v>2</v>
      </c>
      <c r="I9" s="305">
        <v>3</v>
      </c>
      <c r="J9" s="305">
        <v>5</v>
      </c>
      <c r="K9" s="330">
        <v>2</v>
      </c>
      <c r="M9" s="17" t="s">
        <v>263</v>
      </c>
      <c r="N9" s="100">
        <f>N4-1</f>
        <v>14</v>
      </c>
      <c r="P9" t="e" cm="1">
        <f t="array" aca="1" ref="P9" ca="1">FTEXT(N9)</f>
        <v>#NAME?</v>
      </c>
      <c r="R9" s="298">
        <v>100</v>
      </c>
      <c r="S9" s="333">
        <f t="shared" ref="S9:S20" si="1">1-(1-$S$5)*FINV($S$6/2,R9-1,(R9-1)*($S$4-1))</f>
        <v>0.60407268859110042</v>
      </c>
      <c r="T9" s="332">
        <f t="shared" ref="T9:T20" si="2">1-(1-$S$5)*FINV(1-$S$6/2,R9-1,(R9-1)*($S$4-1))</f>
        <v>0.78053772863687665</v>
      </c>
      <c r="U9" s="341">
        <f t="shared" ref="U9:U20" si="3">T9-S9</f>
        <v>0.17646504004577623</v>
      </c>
    </row>
    <row r="10" spans="1:21" x14ac:dyDescent="0.35">
      <c r="A10" s="305">
        <f t="shared" si="0"/>
        <v>7</v>
      </c>
      <c r="B10" s="311">
        <v>4</v>
      </c>
      <c r="C10" s="305">
        <v>3</v>
      </c>
      <c r="D10" s="305">
        <v>5</v>
      </c>
      <c r="E10" s="305">
        <v>3</v>
      </c>
      <c r="F10" s="305">
        <v>5</v>
      </c>
      <c r="G10" s="305">
        <v>2</v>
      </c>
      <c r="H10" s="305">
        <v>1</v>
      </c>
      <c r="I10" s="305">
        <v>2</v>
      </c>
      <c r="J10" s="305">
        <v>4</v>
      </c>
      <c r="K10" s="330">
        <v>3</v>
      </c>
      <c r="M10" s="17" t="s">
        <v>264</v>
      </c>
      <c r="N10" s="100">
        <f>N9*(N5-1)</f>
        <v>126</v>
      </c>
      <c r="P10" t="e" cm="1">
        <f t="array" aca="1" ref="P10" ca="1">FTEXT(N10)</f>
        <v>#NAME?</v>
      </c>
      <c r="R10" s="298">
        <v>200</v>
      </c>
      <c r="S10" s="101">
        <f t="shared" si="1"/>
        <v>0.63398968321518223</v>
      </c>
      <c r="T10" s="4">
        <f t="shared" si="2"/>
        <v>0.7583569004808548</v>
      </c>
      <c r="U10" s="5">
        <f t="shared" si="3"/>
        <v>0.12436721726567257</v>
      </c>
    </row>
    <row r="11" spans="1:21" x14ac:dyDescent="0.35">
      <c r="A11" s="305">
        <f t="shared" si="0"/>
        <v>8</v>
      </c>
      <c r="B11" s="311">
        <v>2</v>
      </c>
      <c r="C11" s="305">
        <v>4</v>
      </c>
      <c r="D11" s="305">
        <v>4</v>
      </c>
      <c r="E11" s="305">
        <v>3</v>
      </c>
      <c r="F11" s="305">
        <v>7</v>
      </c>
      <c r="G11" s="305">
        <v>2</v>
      </c>
      <c r="H11" s="305">
        <v>2</v>
      </c>
      <c r="I11" s="305">
        <v>4</v>
      </c>
      <c r="J11" s="305">
        <v>6</v>
      </c>
      <c r="K11" s="330">
        <v>5</v>
      </c>
      <c r="M11" s="17" t="s">
        <v>59</v>
      </c>
      <c r="N11" s="94" t="e">
        <f ca="1">1-FDIST(N8,N9,N10)</f>
        <v>#NAME?</v>
      </c>
      <c r="P11" t="e" cm="1">
        <f t="array" aca="1" ref="P11" ca="1">FTEXT(N11)</f>
        <v>#NAME?</v>
      </c>
      <c r="R11" s="298">
        <v>400</v>
      </c>
      <c r="S11" s="101">
        <f t="shared" si="1"/>
        <v>0.65419367360392711</v>
      </c>
      <c r="T11" s="4">
        <f t="shared" si="2"/>
        <v>0.74198988427439727</v>
      </c>
      <c r="U11" s="5">
        <f t="shared" si="3"/>
        <v>8.7796210670470165E-2</v>
      </c>
    </row>
    <row r="12" spans="1:21" x14ac:dyDescent="0.35">
      <c r="A12" s="305">
        <f t="shared" si="0"/>
        <v>9</v>
      </c>
      <c r="B12" s="311">
        <v>6</v>
      </c>
      <c r="C12" s="305">
        <v>5</v>
      </c>
      <c r="D12" s="305">
        <v>5</v>
      </c>
      <c r="E12" s="305">
        <v>5</v>
      </c>
      <c r="F12" s="305">
        <v>1</v>
      </c>
      <c r="G12" s="305">
        <v>6</v>
      </c>
      <c r="H12" s="305">
        <v>5</v>
      </c>
      <c r="I12" s="305">
        <v>2</v>
      </c>
      <c r="J12" s="305">
        <v>3</v>
      </c>
      <c r="K12" s="330">
        <v>2</v>
      </c>
      <c r="R12" s="298">
        <v>800</v>
      </c>
      <c r="S12" s="101">
        <f t="shared" si="1"/>
        <v>0.66803200046630984</v>
      </c>
      <c r="T12" s="4">
        <f t="shared" si="2"/>
        <v>0.73006233534019893</v>
      </c>
      <c r="U12" s="5">
        <f t="shared" si="3"/>
        <v>6.2030334873889093E-2</v>
      </c>
    </row>
    <row r="13" spans="1:21" x14ac:dyDescent="0.35">
      <c r="A13" s="305">
        <f t="shared" si="0"/>
        <v>10</v>
      </c>
      <c r="B13" s="311">
        <v>5</v>
      </c>
      <c r="C13" s="305">
        <v>4</v>
      </c>
      <c r="D13" s="305">
        <v>6</v>
      </c>
      <c r="E13" s="305">
        <v>4</v>
      </c>
      <c r="F13" s="305">
        <v>3</v>
      </c>
      <c r="G13" s="305">
        <v>5</v>
      </c>
      <c r="H13" s="305">
        <v>3</v>
      </c>
      <c r="I13" s="305">
        <v>1</v>
      </c>
      <c r="J13" s="305">
        <v>7</v>
      </c>
      <c r="K13" s="330">
        <v>2</v>
      </c>
      <c r="M13" s="17" t="s">
        <v>44</v>
      </c>
      <c r="N13" s="340">
        <v>0.05</v>
      </c>
      <c r="R13" s="298">
        <v>1600</v>
      </c>
      <c r="S13" s="101">
        <f t="shared" si="1"/>
        <v>0.67760185930174988</v>
      </c>
      <c r="T13" s="4">
        <f t="shared" si="2"/>
        <v>0.72144594661810646</v>
      </c>
      <c r="U13" s="5">
        <f t="shared" si="3"/>
        <v>4.3844087316356584E-2</v>
      </c>
    </row>
    <row r="14" spans="1:21" x14ac:dyDescent="0.35">
      <c r="A14" s="305">
        <f t="shared" si="0"/>
        <v>11</v>
      </c>
      <c r="B14" s="311">
        <v>4</v>
      </c>
      <c r="C14" s="305">
        <v>3</v>
      </c>
      <c r="D14" s="305">
        <v>5</v>
      </c>
      <c r="E14" s="305">
        <v>2</v>
      </c>
      <c r="F14" s="305">
        <v>5</v>
      </c>
      <c r="G14" s="305">
        <v>3</v>
      </c>
      <c r="H14" s="305">
        <v>2</v>
      </c>
      <c r="I14" s="305">
        <v>3</v>
      </c>
      <c r="J14" s="305">
        <v>4</v>
      </c>
      <c r="K14" s="330">
        <v>1</v>
      </c>
      <c r="M14" s="17" t="s">
        <v>29</v>
      </c>
      <c r="N14" s="100" t="e">
        <f ca="1">1-(1-N6)*FINV(N13/2,N9,N10)</f>
        <v>#NAME?</v>
      </c>
      <c r="P14" t="e" cm="1">
        <f t="array" aca="1" ref="P14" ca="1">FTEXT(N14)</f>
        <v>#NAME?</v>
      </c>
      <c r="R14" s="298">
        <v>1200</v>
      </c>
      <c r="S14" s="101">
        <f t="shared" si="1"/>
        <v>0.67404820722393355</v>
      </c>
      <c r="T14" s="4">
        <f t="shared" si="2"/>
        <v>0.72468191722463593</v>
      </c>
      <c r="U14" s="5">
        <f t="shared" si="3"/>
        <v>5.0633710000702381E-2</v>
      </c>
    </row>
    <row r="15" spans="1:21" x14ac:dyDescent="0.35">
      <c r="A15" s="305">
        <f t="shared" si="0"/>
        <v>12</v>
      </c>
      <c r="B15" s="311">
        <v>4</v>
      </c>
      <c r="C15" s="305">
        <v>2</v>
      </c>
      <c r="D15" s="305">
        <v>3</v>
      </c>
      <c r="E15" s="305">
        <v>2</v>
      </c>
      <c r="F15" s="305">
        <v>5</v>
      </c>
      <c r="G15" s="305">
        <v>3</v>
      </c>
      <c r="H15" s="305">
        <v>4</v>
      </c>
      <c r="I15" s="305">
        <v>2</v>
      </c>
      <c r="J15" s="305">
        <v>3</v>
      </c>
      <c r="K15" s="330">
        <v>4</v>
      </c>
      <c r="M15" s="17" t="s">
        <v>30</v>
      </c>
      <c r="N15" s="94" t="e">
        <f ca="1">1-(1-N6)*FINV(1-N13/2,N9,N10)</f>
        <v>#NAME?</v>
      </c>
      <c r="P15" t="e" cm="1">
        <f t="array" aca="1" ref="P15" ca="1">FTEXT(N15)</f>
        <v>#NAME?</v>
      </c>
      <c r="R15" s="298">
        <v>1300</v>
      </c>
      <c r="S15" s="101">
        <f t="shared" si="1"/>
        <v>0.67509131915952914</v>
      </c>
      <c r="T15" s="4">
        <f t="shared" si="2"/>
        <v>0.72373656854036517</v>
      </c>
      <c r="U15" s="5">
        <f t="shared" si="3"/>
        <v>4.8645249380836031E-2</v>
      </c>
    </row>
    <row r="16" spans="1:21" x14ac:dyDescent="0.35">
      <c r="A16" s="305">
        <f t="shared" si="0"/>
        <v>13</v>
      </c>
      <c r="B16" s="311">
        <v>5</v>
      </c>
      <c r="C16" s="305">
        <v>5</v>
      </c>
      <c r="D16" s="305">
        <v>6</v>
      </c>
      <c r="E16" s="305">
        <v>2</v>
      </c>
      <c r="F16" s="305">
        <v>3</v>
      </c>
      <c r="G16" s="305">
        <v>3</v>
      </c>
      <c r="H16" s="305">
        <v>2</v>
      </c>
      <c r="I16" s="305">
        <v>4</v>
      </c>
      <c r="J16" s="305">
        <v>4</v>
      </c>
      <c r="K16" s="330">
        <v>5</v>
      </c>
      <c r="R16" s="298">
        <v>1250</v>
      </c>
      <c r="S16" s="101">
        <f t="shared" si="1"/>
        <v>0.67458567326570307</v>
      </c>
      <c r="T16" s="4">
        <f t="shared" si="2"/>
        <v>0.72419528974964265</v>
      </c>
      <c r="U16" s="5">
        <f t="shared" si="3"/>
        <v>4.9609616483939578E-2</v>
      </c>
    </row>
    <row r="17" spans="1:21" x14ac:dyDescent="0.35">
      <c r="A17" s="305">
        <f t="shared" si="0"/>
        <v>14</v>
      </c>
      <c r="B17" s="311">
        <v>6</v>
      </c>
      <c r="C17" s="305">
        <v>5</v>
      </c>
      <c r="D17" s="305">
        <v>5</v>
      </c>
      <c r="E17" s="305">
        <v>4</v>
      </c>
      <c r="F17" s="305">
        <v>2</v>
      </c>
      <c r="G17" s="305">
        <v>2</v>
      </c>
      <c r="H17" s="305">
        <v>1</v>
      </c>
      <c r="I17" s="305">
        <v>4</v>
      </c>
      <c r="J17" s="305">
        <v>6</v>
      </c>
      <c r="K17" s="330">
        <v>5</v>
      </c>
      <c r="R17" s="298">
        <v>1225</v>
      </c>
      <c r="S17" s="101">
        <f t="shared" si="1"/>
        <v>0.67432112294519242</v>
      </c>
      <c r="T17" s="4">
        <f t="shared" si="2"/>
        <v>0.72443494000142317</v>
      </c>
      <c r="U17" s="5">
        <f t="shared" si="3"/>
        <v>5.0113817056230747E-2</v>
      </c>
    </row>
    <row r="18" spans="1:21" x14ac:dyDescent="0.35">
      <c r="A18" s="305">
        <f t="shared" si="0"/>
        <v>15</v>
      </c>
      <c r="B18" s="309">
        <v>4</v>
      </c>
      <c r="C18" s="308">
        <v>3</v>
      </c>
      <c r="D18" s="308">
        <v>5</v>
      </c>
      <c r="E18" s="308">
        <v>5</v>
      </c>
      <c r="F18" s="308">
        <v>3</v>
      </c>
      <c r="G18" s="308">
        <v>1</v>
      </c>
      <c r="H18" s="308">
        <v>3</v>
      </c>
      <c r="I18" s="308">
        <v>2</v>
      </c>
      <c r="J18" s="308">
        <v>3</v>
      </c>
      <c r="K18" s="307">
        <v>4</v>
      </c>
      <c r="M18" t="e">
        <f t="array" aca="1" ref="M18:N20" ca="1">ICC(B4:K18,3,10,TRUE)</f>
        <v>#NAME?</v>
      </c>
      <c r="N18" s="335" t="e">
        <f ca="1"/>
        <v>#NAME?</v>
      </c>
      <c r="P18" t="e" cm="1">
        <f t="array" aca="1" ref="P18" ca="1">FTEXT(M18)</f>
        <v>#NAME?</v>
      </c>
      <c r="R18" s="298">
        <v>1235</v>
      </c>
      <c r="S18" s="101">
        <f t="shared" si="1"/>
        <v>0.67442792287127618</v>
      </c>
      <c r="T18" s="4">
        <f t="shared" si="2"/>
        <v>0.72433822117978575</v>
      </c>
      <c r="U18" s="5">
        <f t="shared" si="3"/>
        <v>4.9910298308509571E-2</v>
      </c>
    </row>
    <row r="19" spans="1:21" x14ac:dyDescent="0.35">
      <c r="M19" t="e">
        <f ca="1"/>
        <v>#NAME?</v>
      </c>
      <c r="N19" s="100" t="e">
        <f ca="1"/>
        <v>#NAME?</v>
      </c>
      <c r="R19" s="298">
        <v>1230</v>
      </c>
      <c r="S19" s="101">
        <f t="shared" si="1"/>
        <v>0.67437468844891946</v>
      </c>
      <c r="T19" s="4">
        <f t="shared" si="2"/>
        <v>0.7243864355578189</v>
      </c>
      <c r="U19" s="5">
        <f t="shared" si="3"/>
        <v>5.001174710889944E-2</v>
      </c>
    </row>
    <row r="20" spans="1:21" x14ac:dyDescent="0.35">
      <c r="M20" t="e">
        <f ca="1"/>
        <v>#NAME?</v>
      </c>
      <c r="N20" s="94" t="e">
        <f ca="1"/>
        <v>#NAME?</v>
      </c>
      <c r="R20" s="298">
        <v>1231</v>
      </c>
      <c r="S20" s="89">
        <f t="shared" si="1"/>
        <v>0.67438536171086128</v>
      </c>
      <c r="T20" s="159">
        <f t="shared" si="2"/>
        <v>0.72437676956999852</v>
      </c>
      <c r="U20" s="93">
        <f t="shared" si="3"/>
        <v>4.9991407859137249E-2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2"/>
  <dimension ref="A1:O19"/>
  <sheetViews>
    <sheetView workbookViewId="0"/>
  </sheetViews>
  <sheetFormatPr defaultRowHeight="14.5" x14ac:dyDescent="0.35"/>
  <cols>
    <col min="1" max="1" width="6.1796875" customWidth="1"/>
    <col min="2" max="2" width="9.1796875" customWidth="1"/>
    <col min="5" max="5" width="2.7265625" customWidth="1"/>
    <col min="6" max="6" width="19" customWidth="1"/>
    <col min="7" max="7" width="2.7265625" customWidth="1"/>
    <col min="8" max="8" width="20.54296875" customWidth="1"/>
    <col min="9" max="9" width="2.7265625" customWidth="1"/>
    <col min="10" max="10" width="9.7265625" customWidth="1"/>
    <col min="14" max="14" width="3.453125" customWidth="1"/>
    <col min="15" max="15" width="20.54296875" customWidth="1"/>
  </cols>
  <sheetData>
    <row r="1" spans="1:15" x14ac:dyDescent="0.35">
      <c r="A1" s="1" t="s">
        <v>688</v>
      </c>
    </row>
    <row r="2" spans="1:15" x14ac:dyDescent="0.35">
      <c r="A2" s="1"/>
    </row>
    <row r="3" spans="1:15" x14ac:dyDescent="0.35">
      <c r="A3" s="1" t="s">
        <v>687</v>
      </c>
      <c r="L3" s="1" t="s">
        <v>686</v>
      </c>
    </row>
    <row r="5" spans="1:15" x14ac:dyDescent="0.35">
      <c r="A5" s="30" t="s">
        <v>31</v>
      </c>
      <c r="B5" s="335">
        <v>100</v>
      </c>
      <c r="L5" s="30" t="s">
        <v>31</v>
      </c>
      <c r="M5" s="335">
        <v>100</v>
      </c>
    </row>
    <row r="6" spans="1:15" x14ac:dyDescent="0.35">
      <c r="A6" t="s">
        <v>51</v>
      </c>
      <c r="B6" s="100">
        <v>10</v>
      </c>
      <c r="L6" t="s">
        <v>51</v>
      </c>
      <c r="M6" s="100">
        <v>10</v>
      </c>
    </row>
    <row r="7" spans="1:15" x14ac:dyDescent="0.35">
      <c r="A7" s="17" t="s">
        <v>681</v>
      </c>
      <c r="B7" s="100">
        <v>0.7</v>
      </c>
      <c r="L7" s="17" t="s">
        <v>681</v>
      </c>
      <c r="M7" s="100">
        <v>0.7</v>
      </c>
    </row>
    <row r="8" spans="1:15" x14ac:dyDescent="0.35">
      <c r="A8" s="17" t="s">
        <v>685</v>
      </c>
      <c r="B8" s="342">
        <v>0.75</v>
      </c>
      <c r="L8" s="17" t="s">
        <v>685</v>
      </c>
      <c r="M8" s="342">
        <v>0.75</v>
      </c>
    </row>
    <row r="9" spans="1:15" x14ac:dyDescent="0.35">
      <c r="A9" s="87" t="s">
        <v>44</v>
      </c>
      <c r="B9" s="342">
        <v>0.05</v>
      </c>
      <c r="L9" s="87" t="s">
        <v>44</v>
      </c>
      <c r="M9" s="342">
        <v>0.05</v>
      </c>
    </row>
    <row r="10" spans="1:15" x14ac:dyDescent="0.35">
      <c r="A10" s="17" t="s">
        <v>263</v>
      </c>
      <c r="B10" s="100">
        <f>B5-1</f>
        <v>99</v>
      </c>
      <c r="F10" t="e" cm="1">
        <f t="array" aca="1" ref="F10" ca="1">FTEXT(B10)</f>
        <v>#NAME?</v>
      </c>
      <c r="L10" s="17" t="s">
        <v>263</v>
      </c>
      <c r="M10" s="100">
        <f>M5-1</f>
        <v>99</v>
      </c>
      <c r="O10" t="e" cm="1">
        <f t="array" aca="1" ref="O10" ca="1">FTEXT(M10)</f>
        <v>#NAME?</v>
      </c>
    </row>
    <row r="11" spans="1:15" x14ac:dyDescent="0.35">
      <c r="A11" s="17" t="s">
        <v>264</v>
      </c>
      <c r="B11" s="94">
        <f>B10*(B6-1)</f>
        <v>891</v>
      </c>
      <c r="F11" t="e" cm="1">
        <f t="array" aca="1" ref="F11" ca="1">FTEXT(B11)</f>
        <v>#NAME?</v>
      </c>
      <c r="L11" s="17" t="s">
        <v>264</v>
      </c>
      <c r="M11" s="94">
        <f>M10*(M6-1)</f>
        <v>891</v>
      </c>
      <c r="O11" t="e" cm="1">
        <f t="array" aca="1" ref="O11" ca="1">FTEXT(M11)</f>
        <v>#NAME?</v>
      </c>
    </row>
    <row r="12" spans="1:15" x14ac:dyDescent="0.35">
      <c r="F12" t="e" cm="1">
        <f t="array" aca="1" ref="F12" ca="1">FTEXT(B12)</f>
        <v>#NAME?</v>
      </c>
    </row>
    <row r="13" spans="1:15" x14ac:dyDescent="0.35">
      <c r="B13" s="298" t="s">
        <v>465</v>
      </c>
      <c r="C13" s="298" t="s">
        <v>464</v>
      </c>
      <c r="D13" s="298" t="s">
        <v>383</v>
      </c>
      <c r="F13" s="298" t="s">
        <v>465</v>
      </c>
      <c r="G13" s="298"/>
      <c r="H13" s="298" t="s">
        <v>464</v>
      </c>
      <c r="I13" s="298"/>
      <c r="J13" s="298" t="s">
        <v>383</v>
      </c>
      <c r="L13" s="17" t="s">
        <v>261</v>
      </c>
      <c r="M13" s="335">
        <f>FINV(M9,M10,M11)</f>
        <v>1.2627405196922372</v>
      </c>
      <c r="O13" t="e" cm="1">
        <f t="array" aca="1" ref="O13" ca="1">FTEXT(M13)</f>
        <v>#NAME?</v>
      </c>
    </row>
    <row r="14" spans="1:15" x14ac:dyDescent="0.35">
      <c r="A14" s="17" t="s">
        <v>261</v>
      </c>
      <c r="B14" s="333">
        <f>FINV(B9/2,B10,B11)</f>
        <v>1.3197577046963318</v>
      </c>
      <c r="C14" s="341">
        <f>FINV(1-B9/2,B10,B11)</f>
        <v>0.73154090454374454</v>
      </c>
      <c r="F14" t="e" cm="1">
        <f t="array" aca="1" ref="F14" ca="1">FTEXT(B14)</f>
        <v>#NAME?</v>
      </c>
      <c r="H14" t="e" cm="1">
        <f t="array" aca="1" ref="H14" ca="1">FTEXT(C14)</f>
        <v>#NAME?</v>
      </c>
      <c r="L14" s="17" t="s">
        <v>684</v>
      </c>
      <c r="M14" s="100">
        <f>1-(1-M7)/M13</f>
        <v>0.76242149885780341</v>
      </c>
      <c r="O14" t="e" cm="1">
        <f t="array" aca="1" ref="O14" ca="1">FTEXT(M14)</f>
        <v>#NAME?</v>
      </c>
    </row>
    <row r="15" spans="1:15" x14ac:dyDescent="0.35">
      <c r="A15" s="17" t="s">
        <v>684</v>
      </c>
      <c r="B15" s="101">
        <f>1-(1-B7)/B14</f>
        <v>0.77268554755736152</v>
      </c>
      <c r="C15" s="5">
        <f>1-(1-B7)/C14</f>
        <v>0.58990673230076274</v>
      </c>
      <c r="F15" t="e" cm="1">
        <f t="array" aca="1" ref="F15" ca="1">FTEXT(B15)</f>
        <v>#NAME?</v>
      </c>
      <c r="H15" t="e" cm="1">
        <f t="array" aca="1" ref="H15" ca="1">FTEXT(C15)</f>
        <v>#NAME?</v>
      </c>
      <c r="L15" s="87" t="s">
        <v>683</v>
      </c>
      <c r="M15" s="100">
        <f>(1-M8)/(1-M14)</f>
        <v>1.0522837664101974</v>
      </c>
      <c r="O15" t="e" cm="1">
        <f t="array" aca="1" ref="O15" ca="1">FTEXT(M15)</f>
        <v>#NAME?</v>
      </c>
    </row>
    <row r="16" spans="1:15" x14ac:dyDescent="0.35">
      <c r="A16" s="87" t="s">
        <v>683</v>
      </c>
      <c r="B16" s="101">
        <f>(1-B8)/(1-B15)</f>
        <v>1.0997980872469431</v>
      </c>
      <c r="C16" s="5">
        <f>(1-B8)/(1-C15)</f>
        <v>0.6096174204531204</v>
      </c>
      <c r="F16" t="e" cm="1">
        <f t="array" aca="1" ref="F16" ca="1">FTEXT(B16)</f>
        <v>#NAME?</v>
      </c>
      <c r="H16" t="e" cm="1">
        <f t="array" aca="1" ref="H16" ca="1">FTEXT(C16)</f>
        <v>#NAME?</v>
      </c>
      <c r="L16" s="87" t="s">
        <v>385</v>
      </c>
      <c r="M16" s="94">
        <f>FDIST(M15,M10,M11)</f>
        <v>0.35117718315108826</v>
      </c>
      <c r="O16" t="e" cm="1">
        <f t="array" aca="1" ref="O16" ca="1">FTEXT(M16)</f>
        <v>#NAME?</v>
      </c>
    </row>
    <row r="17" spans="1:15" x14ac:dyDescent="0.35">
      <c r="A17" s="87" t="s">
        <v>385</v>
      </c>
      <c r="B17" s="123">
        <f>FDIST(B16,B10,B11)</f>
        <v>0.24748133824421889</v>
      </c>
      <c r="C17" s="326">
        <f>1-FDIST(C16,B10,B11)</f>
        <v>1.1379694181832267E-3</v>
      </c>
      <c r="D17" s="109">
        <f>B17+C17</f>
        <v>0.24861930766240212</v>
      </c>
      <c r="F17" t="e" cm="1">
        <f t="array" aca="1" ref="F17" ca="1">FTEXT(B17)</f>
        <v>#NAME?</v>
      </c>
      <c r="H17" t="e" cm="1">
        <f t="array" aca="1" ref="H17" ca="1">FTEXT(C17)</f>
        <v>#NAME?</v>
      </c>
      <c r="J17" t="e" cm="1">
        <f t="array" aca="1" ref="J17" ca="1">FTEXT(D17)</f>
        <v>#NAME?</v>
      </c>
    </row>
    <row r="18" spans="1:15" x14ac:dyDescent="0.35">
      <c r="L18" s="87" t="s">
        <v>385</v>
      </c>
      <c r="M18" s="109" t="e" cm="1">
        <f t="array" aca="1" ref="M18" ca="1">CALPHA_POWER(M7,M8,M5,M6,1,M9)</f>
        <v>#NAME?</v>
      </c>
      <c r="O18" t="e" cm="1">
        <f t="array" aca="1" ref="O18" ca="1">FTEXT(M18)</f>
        <v>#NAME?</v>
      </c>
    </row>
    <row r="19" spans="1:15" x14ac:dyDescent="0.35">
      <c r="A19" s="87" t="s">
        <v>385</v>
      </c>
      <c r="D19" s="109" t="e" cm="1">
        <f t="array" aca="1" ref="D19" ca="1">CALPHA_POWER(B7,B8,B5,B6)</f>
        <v>#NAME?</v>
      </c>
      <c r="F19" t="e" cm="1">
        <f t="array" aca="1" ref="F19" ca="1">FTEXT(D19)</f>
        <v>#NAME?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13"/>
  <dimension ref="A1:I12"/>
  <sheetViews>
    <sheetView workbookViewId="0"/>
  </sheetViews>
  <sheetFormatPr defaultRowHeight="14.5" x14ac:dyDescent="0.35"/>
  <cols>
    <col min="1" max="1" width="6.1796875" customWidth="1"/>
    <col min="2" max="2" width="9.1796875" customWidth="1"/>
    <col min="3" max="3" width="2.7265625" customWidth="1"/>
    <col min="4" max="4" width="28.81640625" customWidth="1"/>
    <col min="7" max="7" width="9.1796875" customWidth="1"/>
    <col min="8" max="8" width="3.453125" customWidth="1"/>
    <col min="9" max="9" width="34.453125" customWidth="1"/>
  </cols>
  <sheetData>
    <row r="1" spans="1:9" x14ac:dyDescent="0.35">
      <c r="A1" s="1" t="s">
        <v>691</v>
      </c>
    </row>
    <row r="2" spans="1:9" x14ac:dyDescent="0.35">
      <c r="A2" s="1"/>
    </row>
    <row r="3" spans="1:9" x14ac:dyDescent="0.35">
      <c r="A3" s="1" t="s">
        <v>690</v>
      </c>
      <c r="F3" s="1" t="s">
        <v>689</v>
      </c>
    </row>
    <row r="5" spans="1:9" x14ac:dyDescent="0.35">
      <c r="A5" s="87" t="s">
        <v>385</v>
      </c>
      <c r="B5" s="335">
        <v>0.9</v>
      </c>
      <c r="F5" s="87" t="s">
        <v>385</v>
      </c>
      <c r="G5" s="335">
        <v>0.9</v>
      </c>
    </row>
    <row r="6" spans="1:9" x14ac:dyDescent="0.35">
      <c r="A6" t="s">
        <v>51</v>
      </c>
      <c r="B6" s="100">
        <v>10</v>
      </c>
      <c r="F6" t="s">
        <v>51</v>
      </c>
      <c r="G6" s="100">
        <v>10</v>
      </c>
    </row>
    <row r="7" spans="1:9" x14ac:dyDescent="0.35">
      <c r="A7" s="17" t="s">
        <v>681</v>
      </c>
      <c r="B7" s="100">
        <v>0.7</v>
      </c>
      <c r="F7" s="17" t="s">
        <v>681</v>
      </c>
      <c r="G7" s="100">
        <v>0.7</v>
      </c>
    </row>
    <row r="8" spans="1:9" x14ac:dyDescent="0.35">
      <c r="A8" s="17" t="s">
        <v>685</v>
      </c>
      <c r="B8" s="342">
        <v>0.75</v>
      </c>
      <c r="F8" s="17" t="s">
        <v>685</v>
      </c>
      <c r="G8" s="342">
        <v>0.75</v>
      </c>
    </row>
    <row r="9" spans="1:9" x14ac:dyDescent="0.35">
      <c r="A9" s="87" t="s">
        <v>44</v>
      </c>
      <c r="B9" s="344">
        <v>0.05</v>
      </c>
      <c r="F9" s="87" t="s">
        <v>44</v>
      </c>
      <c r="G9" s="344">
        <v>0.05</v>
      </c>
    </row>
    <row r="10" spans="1:9" x14ac:dyDescent="0.35">
      <c r="D10" t="e" cm="1">
        <f t="array" aca="1" ref="D10" ca="1">FTEXT(B10)</f>
        <v>#NAME?</v>
      </c>
    </row>
    <row r="11" spans="1:9" x14ac:dyDescent="0.35">
      <c r="A11" s="87" t="s">
        <v>31</v>
      </c>
      <c r="B11" s="335" t="e" cm="1">
        <f t="array" aca="1" ref="B11" ca="1">CALPHA_SIZE(B7,B8,B6,B5)</f>
        <v>#NAME?</v>
      </c>
      <c r="D11" t="e" cm="1">
        <f t="array" aca="1" ref="D11" ca="1">FTEXT(B11)</f>
        <v>#NAME?</v>
      </c>
      <c r="F11" s="87" t="s">
        <v>31</v>
      </c>
      <c r="G11" s="335" t="e" cm="1">
        <f t="array" aca="1" ref="G11" ca="1">CALPHA_SIZE(G7,G8,G6,G5,1,G9)</f>
        <v>#NAME?</v>
      </c>
      <c r="I11" t="e" cm="1">
        <f t="array" aca="1" ref="I11" ca="1">FTEXT(G11)</f>
        <v>#NAME?</v>
      </c>
    </row>
    <row r="12" spans="1:9" x14ac:dyDescent="0.35">
      <c r="A12" s="87" t="s">
        <v>385</v>
      </c>
      <c r="B12" s="94" t="e" cm="1">
        <f t="array" aca="1" ref="B12" ca="1">CALPHA_POWER(B7,B8,B11,B6)</f>
        <v>#NAME?</v>
      </c>
      <c r="D12" t="e" cm="1">
        <f t="array" aca="1" ref="D12" ca="1">FTEXT(B12)</f>
        <v>#NAME?</v>
      </c>
      <c r="F12" s="87" t="s">
        <v>385</v>
      </c>
      <c r="G12" s="94" t="e" cm="1">
        <f t="array" aca="1" ref="G12" ca="1">CALPHA_POWER(G7,G8,G11,G6,1,G9)</f>
        <v>#NAME?</v>
      </c>
      <c r="I12" t="e" cm="1">
        <f t="array" aca="1" ref="I12" ca="1">FTEXT(G12)</f>
        <v>#NAME?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14"/>
  <dimension ref="A1:AB21"/>
  <sheetViews>
    <sheetView zoomScaleNormal="100" workbookViewId="0"/>
  </sheetViews>
  <sheetFormatPr defaultRowHeight="14.5" x14ac:dyDescent="0.35"/>
  <cols>
    <col min="1" max="1" width="11.26953125" customWidth="1"/>
    <col min="2" max="4" width="10.26953125" customWidth="1"/>
    <col min="9" max="9" width="3.54296875" customWidth="1"/>
    <col min="10" max="10" width="26.1796875" customWidth="1"/>
    <col min="12" max="12" width="7.7265625" customWidth="1"/>
    <col min="14" max="14" width="3.54296875" customWidth="1"/>
    <col min="15" max="15" width="28.453125" customWidth="1"/>
    <col min="16" max="16" width="4.1796875" customWidth="1"/>
    <col min="20" max="20" width="3.54296875" customWidth="1"/>
    <col min="21" max="21" width="36.1796875" customWidth="1"/>
  </cols>
  <sheetData>
    <row r="1" spans="1:28" x14ac:dyDescent="0.35">
      <c r="A1" s="1" t="s">
        <v>709</v>
      </c>
    </row>
    <row r="2" spans="1:28" x14ac:dyDescent="0.35">
      <c r="W2" t="s">
        <v>714</v>
      </c>
      <c r="AA2" t="s">
        <v>713</v>
      </c>
    </row>
    <row r="3" spans="1:28" x14ac:dyDescent="0.35">
      <c r="B3" s="563" t="s">
        <v>712</v>
      </c>
      <c r="C3" s="563"/>
      <c r="D3" s="563"/>
      <c r="L3" t="s">
        <v>279</v>
      </c>
      <c r="Q3" t="s">
        <v>711</v>
      </c>
    </row>
    <row r="4" spans="1:28" x14ac:dyDescent="0.35">
      <c r="A4" t="s">
        <v>710</v>
      </c>
      <c r="B4" s="298" t="s">
        <v>708</v>
      </c>
      <c r="C4" s="298" t="s">
        <v>705</v>
      </c>
      <c r="D4" s="298" t="s">
        <v>703</v>
      </c>
      <c r="E4" s="298" t="s">
        <v>1</v>
      </c>
      <c r="W4" t="e">
        <f t="array" aca="1" ref="W4:X7" ca="1">WKAPPA(B5:D7,,TRUE)</f>
        <v>#NAME?</v>
      </c>
      <c r="X4" s="335" t="e">
        <f ca="1"/>
        <v>#NAME?</v>
      </c>
      <c r="AA4" t="s">
        <v>709</v>
      </c>
    </row>
    <row r="5" spans="1:28" x14ac:dyDescent="0.35">
      <c r="A5" s="30" t="s">
        <v>708</v>
      </c>
      <c r="B5" s="347">
        <v>10</v>
      </c>
      <c r="C5" s="346">
        <v>4</v>
      </c>
      <c r="D5" s="345">
        <v>1</v>
      </c>
      <c r="E5" s="298">
        <f>SUM(B5:D5)</f>
        <v>15</v>
      </c>
      <c r="G5" s="79" t="s">
        <v>707</v>
      </c>
      <c r="H5" s="335" t="e" cm="1">
        <f t="array" aca="1" ref="H5" ca="1">TRACE(B5:D7)/SUM(B5:D7)</f>
        <v>#NAME?</v>
      </c>
      <c r="J5" t="e" cm="1">
        <f t="array" aca="1" ref="J5" ca="1">FTEXT(H5)</f>
        <v>#NAME?</v>
      </c>
      <c r="L5" t="s">
        <v>706</v>
      </c>
      <c r="M5" s="335" t="e">
        <f ca="1">1-H7</f>
        <v>#NAME?</v>
      </c>
      <c r="O5" t="e" cm="1">
        <f t="array" aca="1" ref="O5" ca="1">FTEXT(M5)</f>
        <v>#NAME?</v>
      </c>
      <c r="Q5" s="333" t="e">
        <f ca="1">B5/$E$8*(1-($E5+B$8)/$E$8*$M$5)^2</f>
        <v>#NAME?</v>
      </c>
      <c r="R5" s="332"/>
      <c r="S5" s="341"/>
      <c r="W5" t="e">
        <f ca="1"/>
        <v>#NAME?</v>
      </c>
      <c r="X5" s="100" t="e">
        <f ca="1"/>
        <v>#NAME?</v>
      </c>
    </row>
    <row r="6" spans="1:28" x14ac:dyDescent="0.35">
      <c r="A6" s="30" t="s">
        <v>705</v>
      </c>
      <c r="B6" s="103">
        <v>6</v>
      </c>
      <c r="C6" s="299">
        <v>16</v>
      </c>
      <c r="D6" s="22">
        <v>2</v>
      </c>
      <c r="E6" s="298">
        <f>SUM(B6:D6)</f>
        <v>24</v>
      </c>
      <c r="G6" s="79" t="s">
        <v>704</v>
      </c>
      <c r="H6" s="100">
        <f>MMULT(B8:D8,E5:E7)/E8^2</f>
        <v>0.36520000000000002</v>
      </c>
      <c r="J6" t="e" cm="1">
        <f t="array" aca="1" ref="J6" ca="1">FTEXT(H6)</f>
        <v>#NAME?</v>
      </c>
      <c r="L6" t="s">
        <v>39</v>
      </c>
      <c r="M6" s="100" t="e">
        <f ca="1">SUM(Q5:S7)</f>
        <v>#NAME?</v>
      </c>
      <c r="O6" t="e" cm="1">
        <f t="array" aca="1" ref="O6" ca="1">FTEXT(M6)</f>
        <v>#NAME?</v>
      </c>
      <c r="Q6" s="101"/>
      <c r="R6" s="4" t="e">
        <f ca="1">C6/$E$8*(1-($E6+C$8)/$E$8*$M$5)^2</f>
        <v>#NAME?</v>
      </c>
      <c r="S6" s="5"/>
      <c r="W6" t="e">
        <f ca="1"/>
        <v>#NAME?</v>
      </c>
      <c r="X6" s="100" t="e">
        <f ca="1"/>
        <v>#NAME?</v>
      </c>
      <c r="AA6" t="s">
        <v>35</v>
      </c>
      <c r="AB6">
        <v>0.05</v>
      </c>
    </row>
    <row r="7" spans="1:28" x14ac:dyDescent="0.35">
      <c r="A7" s="30" t="s">
        <v>703</v>
      </c>
      <c r="B7" s="95">
        <v>0</v>
      </c>
      <c r="C7" s="300">
        <v>3</v>
      </c>
      <c r="D7" s="90">
        <v>8</v>
      </c>
      <c r="E7" s="298">
        <f>SUM(B7:D7)</f>
        <v>11</v>
      </c>
      <c r="G7" t="s">
        <v>702</v>
      </c>
      <c r="H7" s="94" t="e">
        <f ca="1">(H5-H6)/(1-H6)</f>
        <v>#NAME?</v>
      </c>
      <c r="J7" t="e" cm="1">
        <f t="array" aca="1" ref="J7" ca="1">FTEXT(H7)</f>
        <v>#NAME?</v>
      </c>
      <c r="L7" t="s">
        <v>40</v>
      </c>
      <c r="M7" s="100" t="e">
        <f ca="1">M5^2*SUM(Q11:S13)</f>
        <v>#NAME?</v>
      </c>
      <c r="O7" t="e" cm="1">
        <f t="array" aca="1" ref="O7" ca="1">FTEXT(M7)</f>
        <v>#NAME?</v>
      </c>
      <c r="Q7" s="89"/>
      <c r="R7" s="159"/>
      <c r="S7" s="93" t="e">
        <f ca="1">D7/$E$8*(1-($E7+D$8)/$E$8*$M$5)^2</f>
        <v>#NAME?</v>
      </c>
      <c r="U7" t="e" cm="1">
        <f t="array" aca="1" ref="U7" ca="1">FTEXT(S7)</f>
        <v>#NAME?</v>
      </c>
      <c r="W7" t="e">
        <f ca="1"/>
        <v>#NAME?</v>
      </c>
      <c r="X7" s="94" t="e">
        <f ca="1"/>
        <v>#NAME?</v>
      </c>
    </row>
    <row r="8" spans="1:28" x14ac:dyDescent="0.35">
      <c r="A8" s="18" t="s">
        <v>1</v>
      </c>
      <c r="B8" s="298">
        <f>SUM(B5:B7)</f>
        <v>16</v>
      </c>
      <c r="C8" s="298">
        <f>SUM(C5:C7)</f>
        <v>23</v>
      </c>
      <c r="D8" s="298">
        <f>SUM(D5:D7)</f>
        <v>11</v>
      </c>
      <c r="E8" s="298">
        <f>SUM(E5:E7)</f>
        <v>50</v>
      </c>
      <c r="L8" t="s">
        <v>41</v>
      </c>
      <c r="M8" s="100" t="e">
        <f ca="1">(H7-H6*M5)^2</f>
        <v>#NAME?</v>
      </c>
      <c r="O8" t="e" cm="1">
        <f t="array" aca="1" ref="O8" ca="1">FTEXT(M8)</f>
        <v>#NAME?</v>
      </c>
      <c r="AA8" t="e">
        <f t="array" aca="1" ref="AA8:AB11" ca="1">WKAPPA(B5:D7,,TRUE,AB6)</f>
        <v>#NAME?</v>
      </c>
      <c r="AB8" s="348" t="e">
        <f ca="1"/>
        <v>#NAME?</v>
      </c>
    </row>
    <row r="9" spans="1:28" x14ac:dyDescent="0.35">
      <c r="L9" t="s">
        <v>265</v>
      </c>
      <c r="M9" s="94" t="e">
        <f ca="1">SQRT((M6+M7-M8)/E8)/(1-H6)</f>
        <v>#NAME?</v>
      </c>
      <c r="O9" t="e" cm="1">
        <f t="array" aca="1" ref="O9" ca="1">FTEXT(M9)</f>
        <v>#NAME?</v>
      </c>
      <c r="Q9" t="s">
        <v>701</v>
      </c>
      <c r="AA9" t="e">
        <f ca="1"/>
        <v>#NAME?</v>
      </c>
      <c r="AB9" s="147" t="e">
        <f ca="1"/>
        <v>#NAME?</v>
      </c>
    </row>
    <row r="10" spans="1:28" x14ac:dyDescent="0.35">
      <c r="A10" t="s">
        <v>700</v>
      </c>
      <c r="B10" s="347">
        <f>B5</f>
        <v>10</v>
      </c>
      <c r="C10" s="346">
        <f>C6</f>
        <v>16</v>
      </c>
      <c r="D10" s="345">
        <f>D7</f>
        <v>8</v>
      </c>
      <c r="E10" s="298">
        <f>SUM(B10:D10)</f>
        <v>34</v>
      </c>
      <c r="AA10" t="e">
        <f ca="1"/>
        <v>#NAME?</v>
      </c>
      <c r="AB10" s="147" t="e">
        <f ca="1"/>
        <v>#NAME?</v>
      </c>
    </row>
    <row r="11" spans="1:28" x14ac:dyDescent="0.35">
      <c r="A11" s="18" t="s">
        <v>699</v>
      </c>
      <c r="B11" s="95">
        <f>B$8*$E5/$E$8</f>
        <v>4.8</v>
      </c>
      <c r="C11" s="300">
        <f>C$8*$E6/$E$8</f>
        <v>11.04</v>
      </c>
      <c r="D11" s="90">
        <f>D$8*$E7/$E$8</f>
        <v>2.42</v>
      </c>
      <c r="E11" s="298">
        <f>SUM(B11:D11)</f>
        <v>18.259999999999998</v>
      </c>
      <c r="L11" t="s">
        <v>698</v>
      </c>
      <c r="M11" s="335" t="e">
        <f ca="1">H7</f>
        <v>#NAME?</v>
      </c>
      <c r="O11" t="e" cm="1">
        <f t="array" aca="1" ref="O11" ca="1">FTEXT(M11)</f>
        <v>#NAME?</v>
      </c>
      <c r="Q11" s="333"/>
      <c r="R11" s="332">
        <f>C5/$E$8*(($E5+C$8)/$E$8)^2</f>
        <v>4.6207999999999999E-2</v>
      </c>
      <c r="S11" s="341">
        <f>D5/$E$8*(($E5+D$8)/$E$8)^2</f>
        <v>5.4080000000000005E-3</v>
      </c>
      <c r="U11" t="e" cm="1">
        <f t="array" aca="1" ref="U11" ca="1">FTEXT(S11)</f>
        <v>#NAME?</v>
      </c>
      <c r="AA11" t="e">
        <f ca="1"/>
        <v>#NAME?</v>
      </c>
      <c r="AB11" s="155" t="e">
        <f ca="1"/>
        <v>#NAME?</v>
      </c>
    </row>
    <row r="12" spans="1:28" x14ac:dyDescent="0.35">
      <c r="L12" t="s">
        <v>265</v>
      </c>
      <c r="M12" s="100" t="e">
        <f ca="1">M9</f>
        <v>#NAME?</v>
      </c>
      <c r="O12" t="e" cm="1">
        <f t="array" aca="1" ref="O12" ca="1">FTEXT(M12)</f>
        <v>#NAME?</v>
      </c>
      <c r="Q12" s="101">
        <f>B6/$E$8*(($E6+B$8)/$E$8)^2</f>
        <v>7.6800000000000007E-2</v>
      </c>
      <c r="R12" s="4"/>
      <c r="S12" s="5">
        <f>D6/$E$8*(($E6+D$8)/$E$8)^2</f>
        <v>1.9599999999999999E-2</v>
      </c>
    </row>
    <row r="13" spans="1:28" x14ac:dyDescent="0.35">
      <c r="A13" t="s">
        <v>697</v>
      </c>
      <c r="B13" s="109">
        <f>(E10-E11)/(E8-E11)</f>
        <v>0.49590422180214244</v>
      </c>
      <c r="L13" s="17" t="s">
        <v>44</v>
      </c>
      <c r="M13" s="100">
        <v>0.05</v>
      </c>
      <c r="O13" t="e" cm="1">
        <f t="array" aca="1" ref="O13" ca="1">FTEXT(M13)</f>
        <v>#NAME?</v>
      </c>
      <c r="Q13" s="89">
        <f>B7/$E$8*(($E7+B$8)/$E$8)^2</f>
        <v>0</v>
      </c>
      <c r="R13" s="159">
        <f>C7/$E$8*(($E7+C$8)/$E$8)^2</f>
        <v>2.7744000000000005E-2</v>
      </c>
      <c r="S13" s="93"/>
    </row>
    <row r="14" spans="1:28" x14ac:dyDescent="0.35">
      <c r="L14" s="87" t="s">
        <v>185</v>
      </c>
      <c r="M14" s="100">
        <f>NORMSINV(1-M13/2)</f>
        <v>1.9599639845400536</v>
      </c>
      <c r="O14" t="e" cm="1">
        <f t="array" aca="1" ref="O14" ca="1">FTEXT(M14)</f>
        <v>#NAME?</v>
      </c>
    </row>
    <row r="15" spans="1:28" x14ac:dyDescent="0.35">
      <c r="L15" s="87" t="s">
        <v>29</v>
      </c>
      <c r="M15" s="100" t="e">
        <f ca="1">M11-M12*M14</f>
        <v>#NAME?</v>
      </c>
      <c r="O15" t="e" cm="1">
        <f t="array" aca="1" ref="O15" ca="1">FTEXT(M15)</f>
        <v>#NAME?</v>
      </c>
    </row>
    <row r="16" spans="1:28" x14ac:dyDescent="0.35">
      <c r="B16" s="563" t="s">
        <v>696</v>
      </c>
      <c r="C16" s="563"/>
      <c r="D16" s="563"/>
      <c r="L16" s="87" t="s">
        <v>30</v>
      </c>
      <c r="M16" s="94" t="e">
        <f ca="1">M11+M12*M14</f>
        <v>#NAME?</v>
      </c>
      <c r="O16" t="e" cm="1">
        <f t="array" aca="1" ref="O16" ca="1">FTEXT(M16)</f>
        <v>#NAME?</v>
      </c>
    </row>
    <row r="17" spans="1:5" x14ac:dyDescent="0.35">
      <c r="A17" t="s">
        <v>695</v>
      </c>
      <c r="B17" s="298" t="s">
        <v>694</v>
      </c>
      <c r="C17" s="298" t="s">
        <v>693</v>
      </c>
      <c r="D17" s="298" t="s">
        <v>692</v>
      </c>
      <c r="E17" s="298" t="s">
        <v>1</v>
      </c>
    </row>
    <row r="18" spans="1:5" x14ac:dyDescent="0.35">
      <c r="A18" s="30" t="s">
        <v>694</v>
      </c>
      <c r="B18" s="347">
        <v>10</v>
      </c>
      <c r="C18" s="346">
        <v>4</v>
      </c>
      <c r="D18" s="345">
        <v>1</v>
      </c>
      <c r="E18" s="298">
        <f>SUM(B18:D18)</f>
        <v>15</v>
      </c>
    </row>
    <row r="19" spans="1:5" x14ac:dyDescent="0.35">
      <c r="A19" s="30" t="s">
        <v>693</v>
      </c>
      <c r="B19" s="103">
        <v>6</v>
      </c>
      <c r="C19" s="299">
        <v>16</v>
      </c>
      <c r="D19" s="22">
        <v>2</v>
      </c>
      <c r="E19" s="298">
        <f>SUM(B19:D19)</f>
        <v>24</v>
      </c>
    </row>
    <row r="20" spans="1:5" x14ac:dyDescent="0.35">
      <c r="A20" s="30" t="s">
        <v>692</v>
      </c>
      <c r="B20" s="95">
        <v>0</v>
      </c>
      <c r="C20" s="300">
        <v>3</v>
      </c>
      <c r="D20" s="90">
        <v>8</v>
      </c>
      <c r="E20" s="298">
        <f>SUM(B20:D20)</f>
        <v>11</v>
      </c>
    </row>
    <row r="21" spans="1:5" x14ac:dyDescent="0.35">
      <c r="A21" s="18" t="s">
        <v>1</v>
      </c>
      <c r="B21" s="298">
        <f>SUM(B18:B20)</f>
        <v>16</v>
      </c>
      <c r="C21" s="298">
        <f>SUM(C18:C20)</f>
        <v>23</v>
      </c>
      <c r="D21" s="298">
        <f>SUM(D18:D20)</f>
        <v>11</v>
      </c>
      <c r="E21" s="298">
        <f>SUM(E18:E20)</f>
        <v>50</v>
      </c>
    </row>
  </sheetData>
  <mergeCells count="2">
    <mergeCell ref="B3:D3"/>
    <mergeCell ref="B16:D16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48"/>
  <dimension ref="A1:J21"/>
  <sheetViews>
    <sheetView workbookViewId="0"/>
  </sheetViews>
  <sheetFormatPr defaultRowHeight="14.5" x14ac:dyDescent="0.35"/>
  <cols>
    <col min="1" max="1" width="5.453125" customWidth="1"/>
    <col min="4" max="4" width="2.1796875" customWidth="1"/>
    <col min="5" max="5" width="58" customWidth="1"/>
    <col min="7" max="7" width="6.7265625" bestFit="1" customWidth="1"/>
    <col min="9" max="9" width="2.453125" customWidth="1"/>
    <col min="10" max="10" width="27.26953125" customWidth="1"/>
  </cols>
  <sheetData>
    <row r="1" spans="1:10" x14ac:dyDescent="0.35">
      <c r="A1" s="1" t="s">
        <v>975</v>
      </c>
    </row>
    <row r="2" spans="1:10" x14ac:dyDescent="0.35">
      <c r="G2" s="4"/>
    </row>
    <row r="3" spans="1:10" x14ac:dyDescent="0.35">
      <c r="A3" s="17"/>
      <c r="B3" s="518" t="s">
        <v>976</v>
      </c>
      <c r="C3" s="518" t="s">
        <v>977</v>
      </c>
      <c r="D3" s="519"/>
      <c r="E3" s="519"/>
      <c r="G3" s="121" t="s">
        <v>976</v>
      </c>
      <c r="H3" s="426">
        <f>B4</f>
        <v>0.3</v>
      </c>
      <c r="J3" t="e" cm="1">
        <f t="array" aca="1" ref="J3" ca="1">FTEXT(H3)</f>
        <v>#NAME?</v>
      </c>
    </row>
    <row r="4" spans="1:10" x14ac:dyDescent="0.35">
      <c r="A4" s="263" t="s">
        <v>698</v>
      </c>
      <c r="B4">
        <v>0.3</v>
      </c>
      <c r="C4">
        <v>0.5</v>
      </c>
      <c r="G4" s="520" t="s">
        <v>977</v>
      </c>
      <c r="H4" s="100">
        <f>C4</f>
        <v>0.5</v>
      </c>
      <c r="J4" t="e" cm="1">
        <f t="array" aca="1" ref="J4" ca="1">FTEXT(H4)</f>
        <v>#NAME?</v>
      </c>
    </row>
    <row r="5" spans="1:10" x14ac:dyDescent="0.35">
      <c r="A5" s="17" t="s">
        <v>288</v>
      </c>
      <c r="B5">
        <v>0.4</v>
      </c>
      <c r="C5">
        <f>B5</f>
        <v>0.4</v>
      </c>
      <c r="E5" t="e" cm="1">
        <f t="array" aca="1" ref="E5" ca="1">FTEXT(C5)</f>
        <v>#NAME?</v>
      </c>
      <c r="G5" t="s">
        <v>978</v>
      </c>
      <c r="H5" s="100">
        <f>B18</f>
        <v>0.93466571564383383</v>
      </c>
      <c r="J5" t="e" cm="1">
        <f t="array" aca="1" ref="J5" ca="1">FTEXT(H5)</f>
        <v>#NAME?</v>
      </c>
    </row>
    <row r="6" spans="1:10" x14ac:dyDescent="0.35">
      <c r="A6" t="s">
        <v>979</v>
      </c>
      <c r="B6">
        <v>0.5</v>
      </c>
      <c r="C6">
        <f>B6</f>
        <v>0.5</v>
      </c>
      <c r="E6" t="e" cm="1">
        <f t="array" aca="1" ref="E6" ca="1">FTEXT(C6)</f>
        <v>#NAME?</v>
      </c>
      <c r="G6" t="s">
        <v>980</v>
      </c>
      <c r="H6" s="100">
        <f>C18</f>
        <v>0.84852813742385713</v>
      </c>
      <c r="J6" t="e" cm="1">
        <f t="array" aca="1" ref="J6" ca="1">FTEXT(H6)</f>
        <v>#NAME?</v>
      </c>
    </row>
    <row r="7" spans="1:10" x14ac:dyDescent="0.35">
      <c r="A7" t="s">
        <v>981</v>
      </c>
      <c r="B7">
        <f>1-B5</f>
        <v>0.6</v>
      </c>
      <c r="C7">
        <f>1-C5</f>
        <v>0.6</v>
      </c>
      <c r="E7" t="e" cm="1">
        <f t="array" aca="1" ref="E7" ca="1">FTEXT(C7)</f>
        <v>#NAME?</v>
      </c>
      <c r="G7" t="s">
        <v>88</v>
      </c>
      <c r="H7" s="100">
        <v>0.05</v>
      </c>
    </row>
    <row r="8" spans="1:10" x14ac:dyDescent="0.35">
      <c r="A8" t="s">
        <v>982</v>
      </c>
      <c r="B8">
        <f>1-B6</f>
        <v>0.5</v>
      </c>
      <c r="C8">
        <f>1-C6</f>
        <v>0.5</v>
      </c>
      <c r="E8" t="e" cm="1">
        <f t="array" aca="1" ref="E8" ca="1">FTEXT(C8)</f>
        <v>#NAME?</v>
      </c>
      <c r="G8" t="s">
        <v>277</v>
      </c>
      <c r="H8" s="100">
        <v>0.9</v>
      </c>
    </row>
    <row r="9" spans="1:10" x14ac:dyDescent="0.35">
      <c r="A9" t="s">
        <v>704</v>
      </c>
      <c r="B9">
        <f>B5*B6+B7*B8</f>
        <v>0.5</v>
      </c>
      <c r="C9">
        <f>C5*C6+C7*C8</f>
        <v>0.5</v>
      </c>
      <c r="E9" t="e" cm="1">
        <f t="array" aca="1" ref="E9" ca="1">FTEXT(C9)</f>
        <v>#NAME?</v>
      </c>
      <c r="G9" t="s">
        <v>983</v>
      </c>
      <c r="H9" s="100">
        <f>NORMSINV(1-H7/H11)</f>
        <v>1.6448536269514715</v>
      </c>
      <c r="J9" s="7" t="s">
        <v>984</v>
      </c>
    </row>
    <row r="10" spans="1:10" x14ac:dyDescent="0.35">
      <c r="A10" t="s">
        <v>707</v>
      </c>
      <c r="B10">
        <f>B9+B4*(1-B9)</f>
        <v>0.65</v>
      </c>
      <c r="C10">
        <f>C9+C4*(1-C9)</f>
        <v>0.75</v>
      </c>
      <c r="E10" t="e" cm="1">
        <f t="array" aca="1" ref="E10" ca="1">FTEXT(C10)</f>
        <v>#NAME?</v>
      </c>
      <c r="G10" t="s">
        <v>985</v>
      </c>
      <c r="H10" s="100">
        <f>NORMSINV(H8)</f>
        <v>1.2815515655446006</v>
      </c>
      <c r="J10" s="7" t="s">
        <v>986</v>
      </c>
    </row>
    <row r="11" spans="1:10" x14ac:dyDescent="0.35">
      <c r="A11" t="s">
        <v>987</v>
      </c>
      <c r="B11">
        <f>(B10-B5+B8)/2</f>
        <v>0.375</v>
      </c>
      <c r="C11">
        <f>(C10-C5+C8)/2</f>
        <v>0.42499999999999999</v>
      </c>
      <c r="E11" t="e" cm="1">
        <f t="array" aca="1" ref="E11" ca="1">FTEXT(C11)</f>
        <v>#NAME?</v>
      </c>
      <c r="G11" t="s">
        <v>275</v>
      </c>
      <c r="H11" s="100">
        <v>1</v>
      </c>
      <c r="J11" s="7" t="s">
        <v>986</v>
      </c>
    </row>
    <row r="12" spans="1:10" x14ac:dyDescent="0.35">
      <c r="A12" t="s">
        <v>988</v>
      </c>
      <c r="B12">
        <f>B10-B11</f>
        <v>0.27500000000000002</v>
      </c>
      <c r="C12">
        <f>C10-C11</f>
        <v>0.32500000000000001</v>
      </c>
      <c r="E12" t="e" cm="1">
        <f t="array" aca="1" ref="E12" ca="1">FTEXT(C12)</f>
        <v>#NAME?</v>
      </c>
      <c r="G12" t="s">
        <v>31</v>
      </c>
      <c r="H12" s="94">
        <f>((H5*H9+H6*H10)/(H4-H3))^2</f>
        <v>172.24211305888917</v>
      </c>
      <c r="J12" t="e" cm="1">
        <f t="array" aca="1" ref="J12" ca="1">FTEXT(H12)</f>
        <v>#NAME?</v>
      </c>
    </row>
    <row r="13" spans="1:10" x14ac:dyDescent="0.35">
      <c r="A13" t="s">
        <v>989</v>
      </c>
      <c r="B13">
        <f>B5-B12</f>
        <v>0.125</v>
      </c>
      <c r="C13">
        <f>C5-C12</f>
        <v>7.5000000000000011E-2</v>
      </c>
      <c r="E13" t="e" cm="1">
        <f t="array" aca="1" ref="E13" ca="1">FTEXT(C13)</f>
        <v>#NAME?</v>
      </c>
    </row>
    <row r="14" spans="1:10" x14ac:dyDescent="0.35">
      <c r="A14" t="s">
        <v>990</v>
      </c>
      <c r="B14">
        <f>B8-B12</f>
        <v>0.22499999999999998</v>
      </c>
      <c r="C14">
        <f>C8-C12</f>
        <v>0.17499999999999999</v>
      </c>
      <c r="E14" t="e" cm="1">
        <f t="array" aca="1" ref="E14" ca="1">FTEXT(C14)</f>
        <v>#NAME?</v>
      </c>
      <c r="G14" t="s">
        <v>31</v>
      </c>
      <c r="H14" s="249" t="e" cm="1">
        <f t="array" aca="1" ref="H14" ca="1">BKAPPA_SIZE(H3,H4,B5,B6,H8,H11,H7)</f>
        <v>#NAME?</v>
      </c>
      <c r="J14" t="e" cm="1">
        <f t="array" aca="1" ref="J14" ca="1">FTEXT(H14)</f>
        <v>#NAME?</v>
      </c>
    </row>
    <row r="15" spans="1:10" x14ac:dyDescent="0.35">
      <c r="A15" t="s">
        <v>39</v>
      </c>
      <c r="B15">
        <f>B12*((1-B9)-(1-B10)*(B5+B6))^2+B11*((1-B9)-(1-B10)*(B7+B8))^2</f>
        <v>1.4371249999999999E-2</v>
      </c>
      <c r="C15">
        <f>C12*((1-C9)-(1-C10)*(C5+C6))^2+C11*((1-C9)-(1-C10)*(C7+C8))^2</f>
        <v>4.6093750000000003E-2</v>
      </c>
      <c r="E15" t="e" cm="1">
        <f t="array" aca="1" ref="E15" ca="1">FTEXT(C15)</f>
        <v>#NAME?</v>
      </c>
    </row>
    <row r="16" spans="1:10" x14ac:dyDescent="0.35">
      <c r="A16" t="s">
        <v>40</v>
      </c>
      <c r="B16">
        <f>(1-B10)^2*(B13*(B6+B7)^2+B14*(B8+B5)^2)</f>
        <v>4.0853749999999994E-2</v>
      </c>
      <c r="C16">
        <f>(1-C10)^2*(C13*(C6+C7)^2+C14*(C8+C5)^2)</f>
        <v>1.4531250000000001E-2</v>
      </c>
      <c r="E16" t="e" cm="1">
        <f t="array" aca="1" ref="E16" ca="1">FTEXT(C16)</f>
        <v>#NAME?</v>
      </c>
      <c r="G16" t="s">
        <v>991</v>
      </c>
      <c r="H16" s="426" t="e" cm="1">
        <f t="array" aca="1" ref="H16" ca="1">BKAPPA_POWER(H3,H4,B5,B6,H14,H11,H7)</f>
        <v>#NAME?</v>
      </c>
      <c r="J16" t="e" cm="1">
        <f t="array" aca="1" ref="J16" ca="1">FTEXT(H16)</f>
        <v>#NAME?</v>
      </c>
    </row>
    <row r="17" spans="1:10" x14ac:dyDescent="0.35">
      <c r="A17" t="s">
        <v>41</v>
      </c>
      <c r="B17">
        <f>(B9*B10-2*B9+B10)^2</f>
        <v>6.250000000000011E-4</v>
      </c>
      <c r="C17">
        <f>(C9*C10-2*C9+C10)^2</f>
        <v>1.5625E-2</v>
      </c>
      <c r="E17" t="e" cm="1">
        <f t="array" aca="1" ref="E17" ca="1">FTEXT(C17)</f>
        <v>#NAME?</v>
      </c>
      <c r="G17" t="s">
        <v>991</v>
      </c>
      <c r="H17" s="94" t="e" cm="1">
        <f t="array" aca="1" ref="H17" ca="1">BKAPPA_POWER(H3,H4,B5,B6,INT(H14+1),H11,H7)</f>
        <v>#NAME?</v>
      </c>
      <c r="J17" t="e" cm="1">
        <f t="array" aca="1" ref="J17" ca="1">FTEXT(H17)</f>
        <v>#NAME?</v>
      </c>
    </row>
    <row r="18" spans="1:10" x14ac:dyDescent="0.35">
      <c r="A18" t="s">
        <v>992</v>
      </c>
      <c r="B18" s="159">
        <f>SQRT(B15+B16-B17)/(1-B9)^2</f>
        <v>0.93466571564383383</v>
      </c>
      <c r="C18" s="159">
        <f>SQRT(C15+C16-C17)/(1-C9)^2</f>
        <v>0.84852813742385713</v>
      </c>
      <c r="D18" s="4"/>
      <c r="E18" t="e" cm="1">
        <f t="array" aca="1" ref="E18" ca="1">FTEXT(C18)</f>
        <v>#NAME?</v>
      </c>
    </row>
    <row r="21" spans="1:10" x14ac:dyDescent="0.35">
      <c r="A21" t="s">
        <v>992</v>
      </c>
      <c r="B21" s="327" t="e" cm="1">
        <f t="array" aca="1" ref="B21" ca="1">BKAPPA_SD(B4,B5,B6)</f>
        <v>#NAME?</v>
      </c>
      <c r="C21" s="327" t="e" cm="1">
        <f t="array" aca="1" ref="C21" ca="1">BKAPPA_SD(C4,C5,C6)</f>
        <v>#NAME?</v>
      </c>
      <c r="D21" s="4"/>
      <c r="E21" t="e" cm="1">
        <f t="array" aca="1" ref="E21" ca="1">FTEXT(C21)</f>
        <v>#NAME?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5"/>
  <dimension ref="A1:U48"/>
  <sheetViews>
    <sheetView workbookViewId="0"/>
  </sheetViews>
  <sheetFormatPr defaultRowHeight="14.5" x14ac:dyDescent="0.35"/>
  <cols>
    <col min="6" max="6" width="3.81640625" customWidth="1"/>
    <col min="17" max="17" width="4.81640625" customWidth="1"/>
  </cols>
  <sheetData>
    <row r="1" spans="1:21" x14ac:dyDescent="0.35">
      <c r="A1" s="1" t="s">
        <v>720</v>
      </c>
      <c r="L1" t="s">
        <v>719</v>
      </c>
    </row>
    <row r="3" spans="1:21" x14ac:dyDescent="0.35">
      <c r="A3" s="9" t="s">
        <v>74</v>
      </c>
      <c r="L3" s="9" t="s">
        <v>74</v>
      </c>
    </row>
    <row r="5" spans="1:21" x14ac:dyDescent="0.35">
      <c r="B5" s="563" t="s">
        <v>696</v>
      </c>
      <c r="C5" s="563"/>
      <c r="D5" s="563"/>
      <c r="H5" s="563" t="s">
        <v>718</v>
      </c>
      <c r="I5" s="563"/>
      <c r="J5" s="563"/>
      <c r="M5" s="563" t="s">
        <v>696</v>
      </c>
      <c r="N5" s="563"/>
      <c r="O5" s="563"/>
      <c r="S5" s="563" t="s">
        <v>718</v>
      </c>
      <c r="T5" s="563"/>
      <c r="U5" s="563"/>
    </row>
    <row r="6" spans="1:21" x14ac:dyDescent="0.35">
      <c r="A6" t="s">
        <v>695</v>
      </c>
      <c r="B6" s="298" t="s">
        <v>693</v>
      </c>
      <c r="C6" s="298" t="s">
        <v>694</v>
      </c>
      <c r="D6" s="298" t="s">
        <v>692</v>
      </c>
      <c r="E6" s="298" t="s">
        <v>1</v>
      </c>
      <c r="H6" s="298" t="s">
        <v>693</v>
      </c>
      <c r="I6" s="298" t="s">
        <v>694</v>
      </c>
      <c r="J6" s="298" t="s">
        <v>692</v>
      </c>
      <c r="L6" t="s">
        <v>695</v>
      </c>
      <c r="M6" s="298" t="s">
        <v>693</v>
      </c>
      <c r="N6" s="298" t="s">
        <v>694</v>
      </c>
      <c r="O6" s="298" t="s">
        <v>692</v>
      </c>
      <c r="P6" s="298" t="s">
        <v>1</v>
      </c>
      <c r="S6" s="298" t="s">
        <v>693</v>
      </c>
      <c r="T6" s="298" t="s">
        <v>694</v>
      </c>
      <c r="U6" s="298" t="s">
        <v>692</v>
      </c>
    </row>
    <row r="7" spans="1:21" x14ac:dyDescent="0.35">
      <c r="A7" s="30" t="s">
        <v>693</v>
      </c>
      <c r="B7" s="347">
        <v>16</v>
      </c>
      <c r="C7" s="349">
        <v>6</v>
      </c>
      <c r="D7" s="345">
        <v>2</v>
      </c>
      <c r="E7" s="298">
        <f>SUM(B7:D7)</f>
        <v>24</v>
      </c>
      <c r="G7" s="30" t="s">
        <v>693</v>
      </c>
      <c r="H7" s="347">
        <v>0</v>
      </c>
      <c r="I7" s="349">
        <v>1</v>
      </c>
      <c r="J7" s="345">
        <v>2</v>
      </c>
      <c r="L7" s="30" t="s">
        <v>693</v>
      </c>
      <c r="M7" s="347">
        <v>16</v>
      </c>
      <c r="N7" s="349">
        <v>6</v>
      </c>
      <c r="O7" s="345">
        <v>2</v>
      </c>
      <c r="P7" s="298">
        <f>SUM(M7:O7)</f>
        <v>24</v>
      </c>
      <c r="R7" s="30" t="s">
        <v>693</v>
      </c>
      <c r="S7" s="347">
        <v>0</v>
      </c>
      <c r="T7" s="349">
        <v>1</v>
      </c>
      <c r="U7" s="345">
        <v>1</v>
      </c>
    </row>
    <row r="8" spans="1:21" x14ac:dyDescent="0.35">
      <c r="A8" s="30" t="s">
        <v>694</v>
      </c>
      <c r="B8" s="103">
        <v>4</v>
      </c>
      <c r="C8" s="299">
        <v>10</v>
      </c>
      <c r="D8" s="22">
        <v>1</v>
      </c>
      <c r="E8" s="298">
        <f>SUM(B8:D8)</f>
        <v>15</v>
      </c>
      <c r="G8" s="30" t="s">
        <v>694</v>
      </c>
      <c r="H8" s="103">
        <v>1</v>
      </c>
      <c r="I8" s="299">
        <v>0</v>
      </c>
      <c r="J8" s="22">
        <v>1</v>
      </c>
      <c r="L8" s="30" t="s">
        <v>694</v>
      </c>
      <c r="M8" s="103">
        <v>4</v>
      </c>
      <c r="N8" s="299">
        <v>10</v>
      </c>
      <c r="O8" s="22">
        <v>1</v>
      </c>
      <c r="P8" s="298">
        <f>SUM(M8:O8)</f>
        <v>15</v>
      </c>
      <c r="R8" s="30" t="s">
        <v>694</v>
      </c>
      <c r="S8" s="103">
        <v>1</v>
      </c>
      <c r="T8" s="299">
        <v>0</v>
      </c>
      <c r="U8" s="22">
        <v>1</v>
      </c>
    </row>
    <row r="9" spans="1:21" x14ac:dyDescent="0.35">
      <c r="A9" s="30" t="s">
        <v>692</v>
      </c>
      <c r="B9" s="95">
        <v>3</v>
      </c>
      <c r="C9" s="300">
        <v>0</v>
      </c>
      <c r="D9" s="90">
        <v>8</v>
      </c>
      <c r="E9" s="298">
        <f>SUM(B9:D9)</f>
        <v>11</v>
      </c>
      <c r="G9" s="30" t="s">
        <v>692</v>
      </c>
      <c r="H9" s="95">
        <v>2</v>
      </c>
      <c r="I9" s="300">
        <v>1</v>
      </c>
      <c r="J9" s="90">
        <v>0</v>
      </c>
      <c r="L9" s="30" t="s">
        <v>692</v>
      </c>
      <c r="M9" s="95">
        <v>3</v>
      </c>
      <c r="N9" s="300">
        <v>0</v>
      </c>
      <c r="O9" s="90">
        <v>8</v>
      </c>
      <c r="P9" s="298">
        <f>SUM(M9:O9)</f>
        <v>11</v>
      </c>
      <c r="R9" s="30" t="s">
        <v>692</v>
      </c>
      <c r="S9" s="95">
        <v>1</v>
      </c>
      <c r="T9" s="300">
        <v>1</v>
      </c>
      <c r="U9" s="90">
        <v>0</v>
      </c>
    </row>
    <row r="10" spans="1:21" x14ac:dyDescent="0.35">
      <c r="A10" s="18" t="s">
        <v>1</v>
      </c>
      <c r="B10" s="298">
        <f>SUM(B7:B9)</f>
        <v>23</v>
      </c>
      <c r="C10" s="298">
        <f>SUM(C7:C9)</f>
        <v>16</v>
      </c>
      <c r="D10" s="298">
        <f>SUM(D7:D9)</f>
        <v>11</v>
      </c>
      <c r="E10" s="298">
        <f>SUM(E7:E9)</f>
        <v>50</v>
      </c>
      <c r="L10" s="18" t="s">
        <v>1</v>
      </c>
      <c r="M10" s="298">
        <f>SUM(M7:M9)</f>
        <v>23</v>
      </c>
      <c r="N10" s="298">
        <f>SUM(N7:N9)</f>
        <v>16</v>
      </c>
      <c r="O10" s="298">
        <f>SUM(O7:O9)</f>
        <v>11</v>
      </c>
      <c r="P10" s="298">
        <f>SUM(P7:P9)</f>
        <v>50</v>
      </c>
    </row>
    <row r="11" spans="1:21" x14ac:dyDescent="0.35">
      <c r="A11" s="18"/>
      <c r="B11" s="298"/>
      <c r="C11" s="298"/>
      <c r="D11" s="298"/>
      <c r="E11" s="298"/>
      <c r="L11" s="18"/>
      <c r="M11" s="298"/>
      <c r="N11" s="298"/>
      <c r="O11" s="298"/>
      <c r="P11" s="298"/>
    </row>
    <row r="12" spans="1:21" x14ac:dyDescent="0.35">
      <c r="A12" s="30" t="s">
        <v>717</v>
      </c>
      <c r="C12" s="298"/>
      <c r="D12" s="298"/>
      <c r="E12" s="298"/>
      <c r="L12" s="30" t="s">
        <v>717</v>
      </c>
      <c r="N12" s="298"/>
      <c r="O12" s="298"/>
      <c r="P12" s="298"/>
    </row>
    <row r="13" spans="1:21" x14ac:dyDescent="0.35">
      <c r="A13" s="18"/>
      <c r="B13" s="298"/>
      <c r="C13" s="298"/>
      <c r="D13" s="298"/>
      <c r="E13" s="298"/>
      <c r="L13" s="18"/>
      <c r="M13" s="298"/>
      <c r="N13" s="298"/>
      <c r="O13" s="298"/>
      <c r="P13" s="298"/>
    </row>
    <row r="14" spans="1:21" x14ac:dyDescent="0.35">
      <c r="B14" s="563" t="s">
        <v>696</v>
      </c>
      <c r="C14" s="563"/>
      <c r="D14" s="563"/>
      <c r="M14" s="563" t="s">
        <v>696</v>
      </c>
      <c r="N14" s="563"/>
      <c r="O14" s="563"/>
    </row>
    <row r="15" spans="1:21" x14ac:dyDescent="0.35">
      <c r="A15" t="s">
        <v>695</v>
      </c>
      <c r="B15" s="298" t="s">
        <v>693</v>
      </c>
      <c r="C15" s="298" t="s">
        <v>694</v>
      </c>
      <c r="D15" s="298" t="s">
        <v>692</v>
      </c>
      <c r="E15" s="298" t="s">
        <v>1</v>
      </c>
      <c r="G15" s="30" t="s">
        <v>697</v>
      </c>
      <c r="H15" s="109">
        <f>1-SUMPRODUCT(B7:D9,H7:J9)/SUMPRODUCT(B16:D18,H7:J9)</f>
        <v>0.50095057034220547</v>
      </c>
      <c r="L15" t="s">
        <v>695</v>
      </c>
      <c r="M15" s="298" t="s">
        <v>693</v>
      </c>
      <c r="N15" s="298" t="s">
        <v>694</v>
      </c>
      <c r="O15" s="298" t="s">
        <v>692</v>
      </c>
      <c r="P15" s="298" t="s">
        <v>1</v>
      </c>
      <c r="R15" s="30" t="s">
        <v>697</v>
      </c>
      <c r="S15" s="109">
        <f>1-SUMPRODUCT(M7:O9,S7:U9)/SUMPRODUCT(M16:O18,S7:U9)</f>
        <v>0.49590422180214233</v>
      </c>
    </row>
    <row r="16" spans="1:21" x14ac:dyDescent="0.35">
      <c r="A16" s="30" t="s">
        <v>693</v>
      </c>
      <c r="B16" s="347">
        <f t="shared" ref="B16:D18" si="0">B$19*$P16/$P$19</f>
        <v>11.04</v>
      </c>
      <c r="C16" s="349">
        <f t="shared" si="0"/>
        <v>7.68</v>
      </c>
      <c r="D16" s="345">
        <f t="shared" si="0"/>
        <v>5.28</v>
      </c>
      <c r="E16" s="298">
        <f>E7</f>
        <v>24</v>
      </c>
      <c r="L16" s="30" t="s">
        <v>693</v>
      </c>
      <c r="M16" s="347">
        <f t="shared" ref="M16:O18" si="1">M$19*$P16/$P$19</f>
        <v>11.04</v>
      </c>
      <c r="N16" s="349">
        <f t="shared" si="1"/>
        <v>7.68</v>
      </c>
      <c r="O16" s="345">
        <f t="shared" si="1"/>
        <v>5.28</v>
      </c>
      <c r="P16" s="298">
        <f>P7</f>
        <v>24</v>
      </c>
    </row>
    <row r="17" spans="1:19" x14ac:dyDescent="0.35">
      <c r="A17" s="30" t="s">
        <v>694</v>
      </c>
      <c r="B17" s="103">
        <f t="shared" si="0"/>
        <v>6.9</v>
      </c>
      <c r="C17" s="299">
        <f t="shared" si="0"/>
        <v>4.8</v>
      </c>
      <c r="D17" s="22">
        <f t="shared" si="0"/>
        <v>3.3</v>
      </c>
      <c r="E17" s="298">
        <f>E8</f>
        <v>15</v>
      </c>
      <c r="L17" s="30" t="s">
        <v>694</v>
      </c>
      <c r="M17" s="103">
        <f t="shared" si="1"/>
        <v>6.9</v>
      </c>
      <c r="N17" s="299">
        <f t="shared" si="1"/>
        <v>4.8</v>
      </c>
      <c r="O17" s="22">
        <f t="shared" si="1"/>
        <v>3.3</v>
      </c>
      <c r="P17" s="298">
        <f>P8</f>
        <v>15</v>
      </c>
    </row>
    <row r="18" spans="1:19" x14ac:dyDescent="0.35">
      <c r="A18" s="30" t="s">
        <v>692</v>
      </c>
      <c r="B18" s="95">
        <f t="shared" si="0"/>
        <v>5.0599999999999996</v>
      </c>
      <c r="C18" s="300">
        <f t="shared" si="0"/>
        <v>3.52</v>
      </c>
      <c r="D18" s="90">
        <f t="shared" si="0"/>
        <v>2.42</v>
      </c>
      <c r="E18" s="298">
        <f>E9</f>
        <v>11</v>
      </c>
      <c r="L18" s="30" t="s">
        <v>692</v>
      </c>
      <c r="M18" s="95">
        <f t="shared" si="1"/>
        <v>5.0599999999999996</v>
      </c>
      <c r="N18" s="300">
        <f t="shared" si="1"/>
        <v>3.52</v>
      </c>
      <c r="O18" s="90">
        <f t="shared" si="1"/>
        <v>2.42</v>
      </c>
      <c r="P18" s="298">
        <f>P9</f>
        <v>11</v>
      </c>
    </row>
    <row r="19" spans="1:19" x14ac:dyDescent="0.35">
      <c r="A19" s="18" t="s">
        <v>1</v>
      </c>
      <c r="B19" s="298">
        <f>B10</f>
        <v>23</v>
      </c>
      <c r="C19" s="298">
        <f>C10</f>
        <v>16</v>
      </c>
      <c r="D19" s="298">
        <f>D10</f>
        <v>11</v>
      </c>
      <c r="E19" s="298">
        <f>E10</f>
        <v>50</v>
      </c>
      <c r="L19" s="18" t="s">
        <v>1</v>
      </c>
      <c r="M19" s="298">
        <f>M10</f>
        <v>23</v>
      </c>
      <c r="N19" s="298">
        <f>N10</f>
        <v>16</v>
      </c>
      <c r="O19" s="298">
        <f>O10</f>
        <v>11</v>
      </c>
      <c r="P19" s="298">
        <f>P10</f>
        <v>50</v>
      </c>
    </row>
    <row r="21" spans="1:19" x14ac:dyDescent="0.35">
      <c r="G21" t="s">
        <v>435</v>
      </c>
      <c r="R21" t="s">
        <v>435</v>
      </c>
    </row>
    <row r="23" spans="1:19" x14ac:dyDescent="0.35">
      <c r="G23" s="30" t="e">
        <f t="array" aca="1" ref="G23:H26" ca="1">WKAPPA(B7:D9,H7:J9,TRUE)</f>
        <v>#NAME?</v>
      </c>
      <c r="H23" s="335" t="e">
        <f ca="1"/>
        <v>#NAME?</v>
      </c>
      <c r="R23" s="30" t="e">
        <f t="array" aca="1" ref="R23:S26" ca="1">WKAPPA(M7:O9,S7:U9,TRUE)</f>
        <v>#NAME?</v>
      </c>
      <c r="S23" s="335" t="e">
        <f ca="1"/>
        <v>#NAME?</v>
      </c>
    </row>
    <row r="24" spans="1:19" x14ac:dyDescent="0.35">
      <c r="G24" t="e">
        <f ca="1"/>
        <v>#NAME?</v>
      </c>
      <c r="H24" s="100" t="e">
        <f ca="1"/>
        <v>#NAME?</v>
      </c>
      <c r="R24" t="e">
        <f ca="1"/>
        <v>#NAME?</v>
      </c>
      <c r="S24" s="100" t="e">
        <f ca="1"/>
        <v>#NAME?</v>
      </c>
    </row>
    <row r="25" spans="1:19" x14ac:dyDescent="0.35">
      <c r="G25" t="e">
        <f ca="1"/>
        <v>#NAME?</v>
      </c>
      <c r="H25" s="100" t="e">
        <f ca="1"/>
        <v>#NAME?</v>
      </c>
      <c r="R25" t="e">
        <f ca="1"/>
        <v>#NAME?</v>
      </c>
      <c r="S25" s="100" t="e">
        <f ca="1"/>
        <v>#NAME?</v>
      </c>
    </row>
    <row r="26" spans="1:19" x14ac:dyDescent="0.35">
      <c r="G26" t="e">
        <f ca="1"/>
        <v>#NAME?</v>
      </c>
      <c r="H26" s="94" t="e">
        <f ca="1"/>
        <v>#NAME?</v>
      </c>
      <c r="R26" t="e">
        <f ca="1"/>
        <v>#NAME?</v>
      </c>
      <c r="S26" s="94" t="e">
        <f ca="1"/>
        <v>#NAME?</v>
      </c>
    </row>
    <row r="28" spans="1:19" x14ac:dyDescent="0.35">
      <c r="G28" t="s">
        <v>350</v>
      </c>
      <c r="R28" t="s">
        <v>350</v>
      </c>
    </row>
    <row r="30" spans="1:19" x14ac:dyDescent="0.35">
      <c r="G30" t="s">
        <v>715</v>
      </c>
      <c r="R30" t="s">
        <v>715</v>
      </c>
    </row>
    <row r="32" spans="1:19" x14ac:dyDescent="0.35">
      <c r="G32" t="s">
        <v>35</v>
      </c>
      <c r="H32">
        <v>0.05</v>
      </c>
      <c r="R32" t="s">
        <v>35</v>
      </c>
      <c r="S32">
        <v>0.05</v>
      </c>
    </row>
    <row r="34" spans="7:19" x14ac:dyDescent="0.35">
      <c r="G34" t="e">
        <f t="array" aca="1" ref="G34:H37" ca="1">WKAPPA(B7:D9,H7:J9,TRUE,H32)</f>
        <v>#NAME?</v>
      </c>
      <c r="H34" s="348" t="e">
        <f ca="1"/>
        <v>#NAME?</v>
      </c>
      <c r="R34" t="e">
        <f t="array" aca="1" ref="R34:S37" ca="1">WKAPPA(M7:O9,S7:U9,TRUE,S32)</f>
        <v>#NAME?</v>
      </c>
      <c r="S34" s="348" t="e">
        <f ca="1"/>
        <v>#NAME?</v>
      </c>
    </row>
    <row r="35" spans="7:19" x14ac:dyDescent="0.35">
      <c r="G35" t="e">
        <f ca="1"/>
        <v>#NAME?</v>
      </c>
      <c r="H35" s="147" t="e">
        <f ca="1"/>
        <v>#NAME?</v>
      </c>
      <c r="R35" t="e">
        <f ca="1"/>
        <v>#NAME?</v>
      </c>
      <c r="S35" s="147" t="e">
        <f ca="1"/>
        <v>#NAME?</v>
      </c>
    </row>
    <row r="36" spans="7:19" x14ac:dyDescent="0.35">
      <c r="G36" t="e">
        <f ca="1"/>
        <v>#NAME?</v>
      </c>
      <c r="H36" s="147" t="e">
        <f ca="1"/>
        <v>#NAME?</v>
      </c>
      <c r="R36" t="e">
        <f ca="1"/>
        <v>#NAME?</v>
      </c>
      <c r="S36" s="147" t="e">
        <f ca="1"/>
        <v>#NAME?</v>
      </c>
    </row>
    <row r="37" spans="7:19" x14ac:dyDescent="0.35">
      <c r="G37" t="e">
        <f ca="1"/>
        <v>#NAME?</v>
      </c>
      <c r="H37" s="155" t="e">
        <f ca="1"/>
        <v>#NAME?</v>
      </c>
      <c r="R37" t="e">
        <f ca="1"/>
        <v>#NAME?</v>
      </c>
      <c r="S37" s="155" t="e">
        <f ca="1"/>
        <v>#NAME?</v>
      </c>
    </row>
    <row r="39" spans="7:19" x14ac:dyDescent="0.35">
      <c r="G39" t="s">
        <v>716</v>
      </c>
      <c r="R39" t="s">
        <v>716</v>
      </c>
    </row>
    <row r="41" spans="7:19" x14ac:dyDescent="0.35">
      <c r="G41" t="s">
        <v>715</v>
      </c>
      <c r="R41" t="s">
        <v>715</v>
      </c>
    </row>
    <row r="43" spans="7:19" x14ac:dyDescent="0.35">
      <c r="G43" t="s">
        <v>35</v>
      </c>
      <c r="H43">
        <v>0.05</v>
      </c>
      <c r="R43" t="s">
        <v>35</v>
      </c>
      <c r="S43">
        <v>0.05</v>
      </c>
    </row>
    <row r="45" spans="7:19" x14ac:dyDescent="0.35">
      <c r="G45" t="e">
        <f t="array" aca="1" ref="G45:H48" ca="1">WKAPPA(B7:D9,1,TRUE,H43)</f>
        <v>#NAME?</v>
      </c>
      <c r="H45" s="348" t="e">
        <f ca="1"/>
        <v>#NAME?</v>
      </c>
      <c r="R45" t="e">
        <f t="array" aca="1" ref="R45:S48" ca="1">WKAPPA(M7:O9,0,TRUE,S43)</f>
        <v>#NAME?</v>
      </c>
      <c r="S45" s="348" t="e">
        <f ca="1"/>
        <v>#NAME?</v>
      </c>
    </row>
    <row r="46" spans="7:19" x14ac:dyDescent="0.35">
      <c r="G46" t="e">
        <f ca="1"/>
        <v>#NAME?</v>
      </c>
      <c r="H46" s="147" t="e">
        <f ca="1"/>
        <v>#NAME?</v>
      </c>
      <c r="R46" t="e">
        <f ca="1"/>
        <v>#NAME?</v>
      </c>
      <c r="S46" s="147" t="e">
        <f ca="1"/>
        <v>#NAME?</v>
      </c>
    </row>
    <row r="47" spans="7:19" x14ac:dyDescent="0.35">
      <c r="G47" t="e">
        <f ca="1"/>
        <v>#NAME?</v>
      </c>
      <c r="H47" s="147" t="e">
        <f ca="1"/>
        <v>#NAME?</v>
      </c>
      <c r="R47" t="e">
        <f ca="1"/>
        <v>#NAME?</v>
      </c>
      <c r="S47" s="147" t="e">
        <f ca="1"/>
        <v>#NAME?</v>
      </c>
    </row>
    <row r="48" spans="7:19" x14ac:dyDescent="0.35">
      <c r="G48" t="e">
        <f ca="1"/>
        <v>#NAME?</v>
      </c>
      <c r="H48" s="155" t="e">
        <f ca="1"/>
        <v>#NAME?</v>
      </c>
      <c r="R48" t="e">
        <f ca="1"/>
        <v>#NAME?</v>
      </c>
      <c r="S48" s="155" t="e">
        <f ca="1"/>
        <v>#NAME?</v>
      </c>
    </row>
  </sheetData>
  <mergeCells count="6">
    <mergeCell ref="H5:J5"/>
    <mergeCell ref="B14:D14"/>
    <mergeCell ref="M5:O5"/>
    <mergeCell ref="S5:U5"/>
    <mergeCell ref="M14:O14"/>
    <mergeCell ref="B5:D5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6"/>
  <dimension ref="A1:AB49"/>
  <sheetViews>
    <sheetView workbookViewId="0"/>
  </sheetViews>
  <sheetFormatPr defaultRowHeight="14.5" x14ac:dyDescent="0.35"/>
  <cols>
    <col min="6" max="6" width="3.81640625" customWidth="1"/>
    <col min="17" max="17" width="4.81640625" customWidth="1"/>
  </cols>
  <sheetData>
    <row r="1" spans="1:28" x14ac:dyDescent="0.35">
      <c r="A1" s="1" t="s">
        <v>726</v>
      </c>
      <c r="L1" t="s">
        <v>719</v>
      </c>
      <c r="X1" t="s">
        <v>350</v>
      </c>
    </row>
    <row r="3" spans="1:28" x14ac:dyDescent="0.35">
      <c r="A3" s="9" t="s">
        <v>74</v>
      </c>
      <c r="L3" s="9" t="s">
        <v>74</v>
      </c>
      <c r="X3" t="s">
        <v>715</v>
      </c>
      <c r="AA3" t="s">
        <v>715</v>
      </c>
    </row>
    <row r="5" spans="1:28" x14ac:dyDescent="0.35">
      <c r="B5" s="563" t="s">
        <v>696</v>
      </c>
      <c r="C5" s="563"/>
      <c r="D5" s="563"/>
      <c r="H5" s="563" t="s">
        <v>725</v>
      </c>
      <c r="I5" s="563"/>
      <c r="J5" s="563"/>
      <c r="M5" s="563" t="s">
        <v>696</v>
      </c>
      <c r="N5" s="563"/>
      <c r="O5" s="563"/>
      <c r="S5" s="563" t="s">
        <v>725</v>
      </c>
      <c r="T5" s="563"/>
      <c r="U5" s="563"/>
      <c r="X5" t="s">
        <v>35</v>
      </c>
      <c r="Y5">
        <v>0.05</v>
      </c>
      <c r="AA5" t="s">
        <v>35</v>
      </c>
      <c r="AB5">
        <v>0.05</v>
      </c>
    </row>
    <row r="6" spans="1:28" x14ac:dyDescent="0.35">
      <c r="A6" t="s">
        <v>695</v>
      </c>
      <c r="B6" s="298" t="s">
        <v>693</v>
      </c>
      <c r="C6" s="298" t="s">
        <v>694</v>
      </c>
      <c r="D6" s="298" t="s">
        <v>692</v>
      </c>
      <c r="E6" s="298" t="s">
        <v>1</v>
      </c>
      <c r="H6" s="298" t="s">
        <v>693</v>
      </c>
      <c r="I6" s="298" t="s">
        <v>694</v>
      </c>
      <c r="J6" s="298" t="s">
        <v>692</v>
      </c>
      <c r="L6" t="s">
        <v>695</v>
      </c>
      <c r="M6" s="298" t="s">
        <v>693</v>
      </c>
      <c r="N6" s="298" t="s">
        <v>694</v>
      </c>
      <c r="O6" s="298" t="s">
        <v>692</v>
      </c>
      <c r="P6" s="298" t="s">
        <v>1</v>
      </c>
      <c r="S6" s="298" t="s">
        <v>693</v>
      </c>
      <c r="T6" s="298" t="s">
        <v>694</v>
      </c>
      <c r="U6" s="298" t="s">
        <v>692</v>
      </c>
    </row>
    <row r="7" spans="1:28" x14ac:dyDescent="0.35">
      <c r="A7" s="30" t="s">
        <v>693</v>
      </c>
      <c r="B7" s="347">
        <v>16</v>
      </c>
      <c r="C7" s="346">
        <v>6</v>
      </c>
      <c r="D7" s="350">
        <v>2</v>
      </c>
      <c r="E7" s="298">
        <f>SUM(B7:D7)</f>
        <v>24</v>
      </c>
      <c r="G7" s="30" t="s">
        <v>693</v>
      </c>
      <c r="H7" s="347">
        <v>0</v>
      </c>
      <c r="I7" s="346">
        <v>1</v>
      </c>
      <c r="J7" s="350">
        <v>2</v>
      </c>
      <c r="L7" s="30" t="s">
        <v>693</v>
      </c>
      <c r="M7" s="347">
        <v>16</v>
      </c>
      <c r="N7" s="346">
        <v>6</v>
      </c>
      <c r="O7" s="350">
        <v>2</v>
      </c>
      <c r="P7" s="298">
        <f>SUM(M7:O7)</f>
        <v>24</v>
      </c>
      <c r="R7" s="30" t="s">
        <v>693</v>
      </c>
      <c r="S7" s="347">
        <v>0</v>
      </c>
      <c r="T7" s="346">
        <v>1</v>
      </c>
      <c r="U7" s="350">
        <v>1</v>
      </c>
      <c r="X7" t="e">
        <f t="array" aca="1" ref="X7:Y10" ca="1">WKAPPA(B7:D9,1,TRUE,Y5)</f>
        <v>#NAME?</v>
      </c>
      <c r="Y7" s="348" t="e">
        <f ca="1"/>
        <v>#NAME?</v>
      </c>
      <c r="AA7" t="e">
        <f t="array" aca="1" ref="AA7:AB10" ca="1">WKAPPA(B7:D9,2,TRUE,AB5)</f>
        <v>#NAME?</v>
      </c>
      <c r="AB7" s="348" t="e">
        <f ca="1"/>
        <v>#NAME?</v>
      </c>
    </row>
    <row r="8" spans="1:28" x14ac:dyDescent="0.35">
      <c r="A8" s="30" t="s">
        <v>694</v>
      </c>
      <c r="B8" s="103">
        <v>4</v>
      </c>
      <c r="C8" s="299">
        <v>10</v>
      </c>
      <c r="D8" s="22">
        <v>1</v>
      </c>
      <c r="E8" s="298">
        <f>SUM(B8:D8)</f>
        <v>15</v>
      </c>
      <c r="G8" s="30" t="s">
        <v>694</v>
      </c>
      <c r="H8" s="103">
        <v>1</v>
      </c>
      <c r="I8" s="299">
        <v>0</v>
      </c>
      <c r="J8" s="22">
        <v>1</v>
      </c>
      <c r="L8" s="30" t="s">
        <v>694</v>
      </c>
      <c r="M8" s="103">
        <v>4</v>
      </c>
      <c r="N8" s="299">
        <v>10</v>
      </c>
      <c r="O8" s="22">
        <v>1</v>
      </c>
      <c r="P8" s="298">
        <f>SUM(M8:O8)</f>
        <v>15</v>
      </c>
      <c r="R8" s="30" t="s">
        <v>694</v>
      </c>
      <c r="S8" s="103">
        <v>1</v>
      </c>
      <c r="T8" s="299">
        <v>0</v>
      </c>
      <c r="U8" s="22">
        <v>1</v>
      </c>
      <c r="X8" t="e">
        <f ca="1"/>
        <v>#NAME?</v>
      </c>
      <c r="Y8" s="147" t="e">
        <f ca="1"/>
        <v>#NAME?</v>
      </c>
      <c r="AA8" t="e">
        <f ca="1"/>
        <v>#NAME?</v>
      </c>
      <c r="AB8" s="147" t="e">
        <f ca="1"/>
        <v>#NAME?</v>
      </c>
    </row>
    <row r="9" spans="1:28" x14ac:dyDescent="0.35">
      <c r="A9" s="30" t="s">
        <v>692</v>
      </c>
      <c r="B9" s="95">
        <v>3</v>
      </c>
      <c r="C9" s="300">
        <v>0</v>
      </c>
      <c r="D9" s="90">
        <v>8</v>
      </c>
      <c r="E9" s="298">
        <f>SUM(B9:D9)</f>
        <v>11</v>
      </c>
      <c r="G9" s="30" t="s">
        <v>692</v>
      </c>
      <c r="H9" s="95">
        <v>2</v>
      </c>
      <c r="I9" s="300">
        <v>1</v>
      </c>
      <c r="J9" s="90">
        <v>0</v>
      </c>
      <c r="L9" s="30" t="s">
        <v>692</v>
      </c>
      <c r="M9" s="95">
        <v>3</v>
      </c>
      <c r="N9" s="300">
        <v>0</v>
      </c>
      <c r="O9" s="90">
        <v>8</v>
      </c>
      <c r="P9" s="298">
        <f>SUM(M9:O9)</f>
        <v>11</v>
      </c>
      <c r="R9" s="30" t="s">
        <v>692</v>
      </c>
      <c r="S9" s="95">
        <v>1</v>
      </c>
      <c r="T9" s="300">
        <v>1</v>
      </c>
      <c r="U9" s="90">
        <v>0</v>
      </c>
      <c r="X9" t="e">
        <f ca="1"/>
        <v>#NAME?</v>
      </c>
      <c r="Y9" s="147" t="e">
        <f ca="1"/>
        <v>#NAME?</v>
      </c>
      <c r="AA9" t="e">
        <f ca="1"/>
        <v>#NAME?</v>
      </c>
      <c r="AB9" s="147" t="e">
        <f ca="1"/>
        <v>#NAME?</v>
      </c>
    </row>
    <row r="10" spans="1:28" x14ac:dyDescent="0.35">
      <c r="A10" s="18" t="s">
        <v>1</v>
      </c>
      <c r="B10" s="298">
        <f>SUM(B7:B9)</f>
        <v>23</v>
      </c>
      <c r="C10" s="298">
        <f>SUM(C7:C9)</f>
        <v>16</v>
      </c>
      <c r="D10" s="298">
        <f>SUM(D7:D9)</f>
        <v>11</v>
      </c>
      <c r="E10" s="298">
        <f>SUM(E7:E9)</f>
        <v>50</v>
      </c>
      <c r="L10" s="18" t="s">
        <v>1</v>
      </c>
      <c r="M10" s="298">
        <f>SUM(M7:M9)</f>
        <v>23</v>
      </c>
      <c r="N10" s="298">
        <f>SUM(N7:N9)</f>
        <v>16</v>
      </c>
      <c r="O10" s="298">
        <f>SUM(O7:O9)</f>
        <v>11</v>
      </c>
      <c r="P10" s="298">
        <f>SUM(P7:P9)</f>
        <v>50</v>
      </c>
      <c r="X10" t="e">
        <f ca="1"/>
        <v>#NAME?</v>
      </c>
      <c r="Y10" s="155" t="e">
        <f ca="1"/>
        <v>#NAME?</v>
      </c>
      <c r="AA10" t="e">
        <f ca="1"/>
        <v>#NAME?</v>
      </c>
      <c r="AB10" s="155" t="e">
        <f ca="1"/>
        <v>#NAME?</v>
      </c>
    </row>
    <row r="11" spans="1:28" x14ac:dyDescent="0.35">
      <c r="A11" s="18"/>
      <c r="B11" s="298"/>
      <c r="C11" s="298"/>
      <c r="D11" s="298"/>
      <c r="E11" s="298"/>
      <c r="H11" s="563" t="s">
        <v>724</v>
      </c>
      <c r="I11" s="563"/>
      <c r="J11" s="563"/>
      <c r="L11" s="18"/>
      <c r="M11" s="298"/>
      <c r="N11" s="298"/>
      <c r="O11" s="298"/>
      <c r="P11" s="298"/>
      <c r="S11" s="563" t="s">
        <v>724</v>
      </c>
      <c r="T11" s="563"/>
      <c r="U11" s="563"/>
    </row>
    <row r="12" spans="1:28" x14ac:dyDescent="0.35">
      <c r="A12" s="18"/>
      <c r="B12" s="298"/>
      <c r="C12" s="298"/>
      <c r="D12" s="298"/>
      <c r="E12" s="298"/>
      <c r="H12" s="298" t="s">
        <v>693</v>
      </c>
      <c r="I12" s="298" t="s">
        <v>694</v>
      </c>
      <c r="J12" s="298" t="s">
        <v>692</v>
      </c>
      <c r="L12" s="18"/>
      <c r="M12" s="298"/>
      <c r="N12" s="298"/>
      <c r="O12" s="298"/>
      <c r="P12" s="298"/>
      <c r="S12" s="298" t="s">
        <v>693</v>
      </c>
      <c r="T12" s="298" t="s">
        <v>694</v>
      </c>
      <c r="U12" s="298" t="s">
        <v>692</v>
      </c>
    </row>
    <row r="13" spans="1:28" x14ac:dyDescent="0.35">
      <c r="A13" s="30" t="s">
        <v>717</v>
      </c>
      <c r="C13" s="298"/>
      <c r="D13" s="298"/>
      <c r="E13" s="298"/>
      <c r="G13" s="30" t="s">
        <v>693</v>
      </c>
      <c r="H13" s="347">
        <f t="array" ref="H13:J15">1-H7:J9/MAX(H7:J9)</f>
        <v>1</v>
      </c>
      <c r="I13" s="349">
        <v>0.5</v>
      </c>
      <c r="J13" s="345">
        <v>0</v>
      </c>
      <c r="L13" s="30" t="s">
        <v>717</v>
      </c>
      <c r="N13" s="298"/>
      <c r="O13" s="298"/>
      <c r="P13" s="298"/>
      <c r="R13" s="30" t="s">
        <v>693</v>
      </c>
      <c r="S13" s="347">
        <f t="array" ref="S13:U15">1-S7:U9/MAX(S7:U9)</f>
        <v>1</v>
      </c>
      <c r="T13" s="349">
        <v>0</v>
      </c>
      <c r="U13" s="345">
        <v>0</v>
      </c>
    </row>
    <row r="14" spans="1:28" x14ac:dyDescent="0.35">
      <c r="A14" s="18"/>
      <c r="B14" s="298"/>
      <c r="C14" s="298"/>
      <c r="D14" s="298"/>
      <c r="E14" s="298"/>
      <c r="G14" s="30" t="s">
        <v>694</v>
      </c>
      <c r="H14" s="103">
        <v>0.5</v>
      </c>
      <c r="I14" s="299">
        <v>1</v>
      </c>
      <c r="J14" s="22">
        <v>0.5</v>
      </c>
      <c r="L14" s="18"/>
      <c r="M14" s="298"/>
      <c r="N14" s="298"/>
      <c r="O14" s="298"/>
      <c r="P14" s="298"/>
      <c r="R14" s="30" t="s">
        <v>694</v>
      </c>
      <c r="S14" s="103">
        <v>0</v>
      </c>
      <c r="T14" s="299">
        <v>1</v>
      </c>
      <c r="U14" s="22">
        <v>0</v>
      </c>
    </row>
    <row r="15" spans="1:28" x14ac:dyDescent="0.35">
      <c r="A15" t="s">
        <v>695</v>
      </c>
      <c r="B15" s="298" t="s">
        <v>693</v>
      </c>
      <c r="C15" s="298" t="s">
        <v>694</v>
      </c>
      <c r="D15" s="298" t="s">
        <v>692</v>
      </c>
      <c r="E15" s="298" t="s">
        <v>1</v>
      </c>
      <c r="G15" s="30" t="s">
        <v>692</v>
      </c>
      <c r="H15" s="95">
        <v>0</v>
      </c>
      <c r="I15" s="300">
        <v>0.5</v>
      </c>
      <c r="J15" s="90">
        <v>1</v>
      </c>
      <c r="L15" t="s">
        <v>695</v>
      </c>
      <c r="M15" s="298" t="s">
        <v>693</v>
      </c>
      <c r="N15" s="298" t="s">
        <v>694</v>
      </c>
      <c r="O15" s="298" t="s">
        <v>692</v>
      </c>
      <c r="P15" s="298" t="s">
        <v>1</v>
      </c>
      <c r="R15" s="30" t="s">
        <v>692</v>
      </c>
      <c r="S15" s="95">
        <v>0</v>
      </c>
      <c r="T15" s="300">
        <v>0</v>
      </c>
      <c r="U15" s="90">
        <v>1</v>
      </c>
    </row>
    <row r="16" spans="1:28" x14ac:dyDescent="0.35">
      <c r="A16" s="30" t="s">
        <v>693</v>
      </c>
      <c r="B16" s="347">
        <f t="shared" ref="B16:D18" si="0">B$19*$P16/$P$19</f>
        <v>11.04</v>
      </c>
      <c r="C16" s="349">
        <f t="shared" si="0"/>
        <v>7.68</v>
      </c>
      <c r="D16" s="345">
        <f t="shared" si="0"/>
        <v>5.28</v>
      </c>
      <c r="E16" s="298">
        <f>E7</f>
        <v>24</v>
      </c>
      <c r="L16" s="30" t="s">
        <v>693</v>
      </c>
      <c r="M16" s="347">
        <f t="shared" ref="M16:O18" si="1">M$19*$P16/$P$19</f>
        <v>11.04</v>
      </c>
      <c r="N16" s="349">
        <f t="shared" si="1"/>
        <v>7.68</v>
      </c>
      <c r="O16" s="345">
        <f t="shared" si="1"/>
        <v>5.28</v>
      </c>
      <c r="P16" s="298">
        <f>P7</f>
        <v>24</v>
      </c>
    </row>
    <row r="17" spans="1:22" x14ac:dyDescent="0.35">
      <c r="A17" s="30" t="s">
        <v>694</v>
      </c>
      <c r="B17" s="103">
        <f t="shared" si="0"/>
        <v>6.9</v>
      </c>
      <c r="C17" s="299">
        <f t="shared" si="0"/>
        <v>4.8</v>
      </c>
      <c r="D17" s="22">
        <f t="shared" si="0"/>
        <v>3.3</v>
      </c>
      <c r="E17" s="298">
        <f>E8</f>
        <v>15</v>
      </c>
      <c r="G17" s="79" t="s">
        <v>723</v>
      </c>
      <c r="H17" s="335">
        <f>SUMPRODUCT(B16:D18,H13:J15)/E10</f>
        <v>0.57920000000000005</v>
      </c>
      <c r="L17" s="30" t="s">
        <v>694</v>
      </c>
      <c r="M17" s="103">
        <f t="shared" si="1"/>
        <v>6.9</v>
      </c>
      <c r="N17" s="299">
        <f t="shared" si="1"/>
        <v>4.8</v>
      </c>
      <c r="O17" s="22">
        <f t="shared" si="1"/>
        <v>3.3</v>
      </c>
      <c r="P17" s="298">
        <f>P8</f>
        <v>15</v>
      </c>
      <c r="R17" s="79" t="s">
        <v>723</v>
      </c>
      <c r="S17" s="335">
        <f>SUMPRODUCT(M16:O18,S13:U15)/P10</f>
        <v>0.36519999999999997</v>
      </c>
    </row>
    <row r="18" spans="1:22" x14ac:dyDescent="0.35">
      <c r="A18" s="30" t="s">
        <v>692</v>
      </c>
      <c r="B18" s="95">
        <f t="shared" si="0"/>
        <v>5.0599999999999996</v>
      </c>
      <c r="C18" s="300">
        <f t="shared" si="0"/>
        <v>3.52</v>
      </c>
      <c r="D18" s="90">
        <f t="shared" si="0"/>
        <v>2.42</v>
      </c>
      <c r="E18" s="298">
        <f>E9</f>
        <v>11</v>
      </c>
      <c r="G18" s="79" t="s">
        <v>722</v>
      </c>
      <c r="H18" s="100">
        <f>SUMPRODUCT(H13:J15,B7:D9)/E10</f>
        <v>0.79</v>
      </c>
      <c r="L18" s="30" t="s">
        <v>692</v>
      </c>
      <c r="M18" s="95">
        <f t="shared" si="1"/>
        <v>5.0599999999999996</v>
      </c>
      <c r="N18" s="300">
        <f t="shared" si="1"/>
        <v>3.52</v>
      </c>
      <c r="O18" s="90">
        <f t="shared" si="1"/>
        <v>2.42</v>
      </c>
      <c r="P18" s="298">
        <f>P9</f>
        <v>11</v>
      </c>
      <c r="R18" s="79" t="s">
        <v>722</v>
      </c>
      <c r="S18" s="100">
        <f>SUMPRODUCT(S13:U15,M7:O9)/P10</f>
        <v>0.68</v>
      </c>
    </row>
    <row r="19" spans="1:22" x14ac:dyDescent="0.35">
      <c r="A19" s="18" t="s">
        <v>1</v>
      </c>
      <c r="B19" s="298">
        <f>B10</f>
        <v>23</v>
      </c>
      <c r="C19" s="298">
        <f>C10</f>
        <v>16</v>
      </c>
      <c r="D19" s="298">
        <f>D10</f>
        <v>11</v>
      </c>
      <c r="E19" s="298">
        <f>E10</f>
        <v>50</v>
      </c>
      <c r="G19" s="79" t="s">
        <v>702</v>
      </c>
      <c r="H19" s="94">
        <f>(H18-H17)/(1-H17)</f>
        <v>0.50095057034220536</v>
      </c>
      <c r="L19" s="18" t="s">
        <v>1</v>
      </c>
      <c r="M19" s="298">
        <f>M10</f>
        <v>23</v>
      </c>
      <c r="N19" s="298">
        <f>N10</f>
        <v>16</v>
      </c>
      <c r="O19" s="298">
        <f>O10</f>
        <v>11</v>
      </c>
      <c r="P19" s="298">
        <f>P10</f>
        <v>50</v>
      </c>
      <c r="R19" s="79" t="s">
        <v>702</v>
      </c>
      <c r="S19" s="94">
        <f>(S18-S17)/(1-S17)</f>
        <v>0.4959042218021425</v>
      </c>
    </row>
    <row r="21" spans="1:22" x14ac:dyDescent="0.35">
      <c r="H21" s="563" t="s">
        <v>721</v>
      </c>
      <c r="I21" s="563"/>
      <c r="J21" s="563"/>
      <c r="S21" s="563" t="s">
        <v>721</v>
      </c>
      <c r="T21" s="563"/>
      <c r="U21" s="563"/>
    </row>
    <row r="22" spans="1:22" x14ac:dyDescent="0.35">
      <c r="H22" s="298" t="s">
        <v>693</v>
      </c>
      <c r="I22" s="298" t="s">
        <v>694</v>
      </c>
      <c r="J22" s="298" t="s">
        <v>692</v>
      </c>
      <c r="S22" s="298" t="s">
        <v>693</v>
      </c>
      <c r="T22" s="298" t="s">
        <v>694</v>
      </c>
      <c r="U22" s="298" t="s">
        <v>692</v>
      </c>
    </row>
    <row r="23" spans="1:22" x14ac:dyDescent="0.35">
      <c r="G23" s="30" t="s">
        <v>693</v>
      </c>
      <c r="H23" s="347">
        <f t="shared" ref="H23:J25" si="2">$K23+H$26</f>
        <v>1.25</v>
      </c>
      <c r="I23" s="349">
        <f t="shared" si="2"/>
        <v>1.27</v>
      </c>
      <c r="J23" s="345">
        <f t="shared" si="2"/>
        <v>0.99</v>
      </c>
      <c r="K23" s="298">
        <f>SUMPRODUCT(B$19:D$19,H13:J13)/$E$19</f>
        <v>0.62</v>
      </c>
      <c r="R23" s="30" t="s">
        <v>693</v>
      </c>
      <c r="S23" s="347">
        <f t="shared" ref="S23:U25" si="3">$V23+S$26</f>
        <v>0.94</v>
      </c>
      <c r="T23" s="349">
        <f t="shared" si="3"/>
        <v>0.76</v>
      </c>
      <c r="U23" s="345">
        <f t="shared" si="3"/>
        <v>0.68</v>
      </c>
      <c r="V23" s="298">
        <f>SUMPRODUCT(M$19:O$19,S13:U13)/$P$19</f>
        <v>0.46</v>
      </c>
    </row>
    <row r="24" spans="1:22" x14ac:dyDescent="0.35">
      <c r="G24" s="30" t="s">
        <v>694</v>
      </c>
      <c r="H24" s="103">
        <f t="shared" si="2"/>
        <v>1.29</v>
      </c>
      <c r="I24" s="299">
        <f t="shared" si="2"/>
        <v>1.31</v>
      </c>
      <c r="J24" s="22">
        <f t="shared" si="2"/>
        <v>1.03</v>
      </c>
      <c r="K24" s="298">
        <f>SUMPRODUCT(B$19:D$19,H14:J14)/$E$19</f>
        <v>0.66</v>
      </c>
      <c r="R24" s="30" t="s">
        <v>694</v>
      </c>
      <c r="S24" s="103">
        <f t="shared" si="3"/>
        <v>0.8</v>
      </c>
      <c r="T24" s="299">
        <f t="shared" si="3"/>
        <v>0.62</v>
      </c>
      <c r="U24" s="22">
        <f t="shared" si="3"/>
        <v>0.54</v>
      </c>
      <c r="V24" s="298">
        <f>SUMPRODUCT(M$19:O$19,S14:U14)/$P$19</f>
        <v>0.32</v>
      </c>
    </row>
    <row r="25" spans="1:22" x14ac:dyDescent="0.35">
      <c r="G25" s="30" t="s">
        <v>692</v>
      </c>
      <c r="H25" s="95">
        <f t="shared" si="2"/>
        <v>1.01</v>
      </c>
      <c r="I25" s="300">
        <f t="shared" si="2"/>
        <v>1.03</v>
      </c>
      <c r="J25" s="90">
        <f t="shared" si="2"/>
        <v>0.75</v>
      </c>
      <c r="K25" s="298">
        <f>SUMPRODUCT(B$19:D$19,H15:J15)/$E$19</f>
        <v>0.38</v>
      </c>
      <c r="R25" s="30" t="s">
        <v>692</v>
      </c>
      <c r="S25" s="95">
        <f t="shared" si="3"/>
        <v>0.7</v>
      </c>
      <c r="T25" s="300">
        <f t="shared" si="3"/>
        <v>0.52</v>
      </c>
      <c r="U25" s="90">
        <f t="shared" si="3"/>
        <v>0.44</v>
      </c>
      <c r="V25" s="298">
        <f>SUMPRODUCT(M$19:O$19,S15:U15)/$P$19</f>
        <v>0.22</v>
      </c>
    </row>
    <row r="26" spans="1:22" x14ac:dyDescent="0.35">
      <c r="H26" s="298">
        <f>SUMPRODUCT($E16:$E18,H13:H15)/$E$19</f>
        <v>0.63</v>
      </c>
      <c r="I26" s="298">
        <f>SUMPRODUCT($E16:$E18,I13:I15)/$E$19</f>
        <v>0.65</v>
      </c>
      <c r="J26" s="298">
        <f>SUMPRODUCT($E16:$E18,J13:J15)/$E$19</f>
        <v>0.37</v>
      </c>
      <c r="S26" s="298">
        <f>SUMPRODUCT($E16:$E18,S13:S15)/$P$19</f>
        <v>0.48</v>
      </c>
      <c r="T26" s="298">
        <f>SUMPRODUCT($E16:$E18,T13:T15)/$P$19</f>
        <v>0.3</v>
      </c>
      <c r="U26" s="298">
        <f>SUMPRODUCT($E16:$E18,U13:U15)/$P$19</f>
        <v>0.22</v>
      </c>
    </row>
    <row r="28" spans="1:22" x14ac:dyDescent="0.35">
      <c r="H28" s="298" t="s">
        <v>693</v>
      </c>
      <c r="I28" s="298" t="s">
        <v>694</v>
      </c>
      <c r="J28" s="298" t="s">
        <v>692</v>
      </c>
      <c r="S28" s="298" t="s">
        <v>693</v>
      </c>
      <c r="T28" s="298" t="s">
        <v>694</v>
      </c>
      <c r="U28" s="298" t="s">
        <v>692</v>
      </c>
    </row>
    <row r="29" spans="1:22" x14ac:dyDescent="0.35">
      <c r="G29" s="30" t="s">
        <v>693</v>
      </c>
      <c r="H29" s="347">
        <f t="shared" ref="H29:J31" si="4">B7/$E$10*(H13-H23*(1-$H$19))^2</f>
        <v>4.5285622894649359E-2</v>
      </c>
      <c r="I29" s="349">
        <f t="shared" si="4"/>
        <v>2.1480608184302188E-3</v>
      </c>
      <c r="J29" s="345">
        <f t="shared" si="4"/>
        <v>9.7637692644103567E-3</v>
      </c>
      <c r="R29" s="30" t="s">
        <v>693</v>
      </c>
      <c r="S29" s="347">
        <f t="shared" ref="S29:U31" si="5">M7/$P$10*(S13-S23*(1-$S$19))^2</f>
        <v>8.8586812590800645E-2</v>
      </c>
      <c r="T29" s="349">
        <f t="shared" si="5"/>
        <v>1.7613049314908577E-2</v>
      </c>
      <c r="U29" s="345">
        <f t="shared" si="5"/>
        <v>4.7000657913283273E-3</v>
      </c>
    </row>
    <row r="30" spans="1:22" x14ac:dyDescent="0.35">
      <c r="G30" s="30" t="s">
        <v>694</v>
      </c>
      <c r="H30" s="103">
        <f t="shared" si="4"/>
        <v>1.6536716231259671E-3</v>
      </c>
      <c r="I30" s="299">
        <f t="shared" si="4"/>
        <v>2.3977154234555945E-2</v>
      </c>
      <c r="J30" s="22">
        <f t="shared" si="4"/>
        <v>3.9317197733088227E-6</v>
      </c>
      <c r="R30" s="30" t="s">
        <v>694</v>
      </c>
      <c r="S30" s="103">
        <f t="shared" si="5"/>
        <v>1.3010562744161463E-2</v>
      </c>
      <c r="T30" s="299">
        <f t="shared" si="5"/>
        <v>9.4520420127461285E-2</v>
      </c>
      <c r="U30" s="22">
        <f t="shared" si="5"/>
        <v>1.4819844125771415E-3</v>
      </c>
    </row>
    <row r="31" spans="1:22" x14ac:dyDescent="0.35">
      <c r="G31" s="30" t="s">
        <v>692</v>
      </c>
      <c r="H31" s="95">
        <f t="shared" si="4"/>
        <v>1.524337469639578E-2</v>
      </c>
      <c r="I31" s="300">
        <f t="shared" si="4"/>
        <v>0</v>
      </c>
      <c r="J31" s="90">
        <f t="shared" si="4"/>
        <v>6.2642666873888586E-2</v>
      </c>
      <c r="R31" s="30" t="s">
        <v>692</v>
      </c>
      <c r="S31" s="95">
        <f t="shared" si="5"/>
        <v>7.4709090757489605E-3</v>
      </c>
      <c r="T31" s="300">
        <f t="shared" si="5"/>
        <v>0</v>
      </c>
      <c r="U31" s="90">
        <f t="shared" si="5"/>
        <v>9.6894704889959354E-2</v>
      </c>
    </row>
    <row r="33" spans="7:19" x14ac:dyDescent="0.35">
      <c r="G33" s="79" t="s">
        <v>265</v>
      </c>
      <c r="H33" s="335">
        <f>SQRT((SUM(H29:J31)-(H19-H17*(1-H19))^2)/E19)/(1-H17)</f>
        <v>0.11437308747291849</v>
      </c>
      <c r="R33" s="79" t="s">
        <v>265</v>
      </c>
      <c r="S33" s="335">
        <f>SQRT((SUM(S29:U31)-(S19-S17*(1-S19))^2)/P19)/(1-S17)</f>
        <v>0.10615553946218627</v>
      </c>
    </row>
    <row r="34" spans="7:19" x14ac:dyDescent="0.35">
      <c r="G34" s="79" t="s">
        <v>88</v>
      </c>
      <c r="H34" s="100">
        <v>0.05</v>
      </c>
      <c r="R34" s="79" t="s">
        <v>88</v>
      </c>
      <c r="S34" s="100">
        <v>0.05</v>
      </c>
    </row>
    <row r="35" spans="7:19" x14ac:dyDescent="0.35">
      <c r="G35" s="79" t="s">
        <v>185</v>
      </c>
      <c r="H35" s="100">
        <f>_xlfn.NORM.S.INV(1-H34/2)</f>
        <v>1.9599639845400536</v>
      </c>
      <c r="R35" s="79" t="s">
        <v>185</v>
      </c>
      <c r="S35" s="100">
        <f>_xlfn.NORM.S.INV(1-S34/2)</f>
        <v>1.9599639845400536</v>
      </c>
    </row>
    <row r="36" spans="7:19" x14ac:dyDescent="0.35">
      <c r="G36" s="79" t="s">
        <v>29</v>
      </c>
      <c r="H36" s="100">
        <f>H19-H33*H35</f>
        <v>0.2767834380946359</v>
      </c>
      <c r="R36" s="79" t="s">
        <v>29</v>
      </c>
      <c r="S36" s="100">
        <f>S19-S33*S35</f>
        <v>0.28784318769683703</v>
      </c>
    </row>
    <row r="37" spans="7:19" x14ac:dyDescent="0.35">
      <c r="G37" s="79" t="s">
        <v>30</v>
      </c>
      <c r="H37" s="94">
        <f>H19+H33*H35</f>
        <v>0.72511770258977482</v>
      </c>
      <c r="R37" s="79" t="s">
        <v>30</v>
      </c>
      <c r="S37" s="94">
        <f>S19+S33*S35</f>
        <v>0.70396525590744796</v>
      </c>
    </row>
    <row r="39" spans="7:19" x14ac:dyDescent="0.35">
      <c r="G39" s="79" t="s">
        <v>435</v>
      </c>
      <c r="R39" s="79" t="s">
        <v>435</v>
      </c>
    </row>
    <row r="41" spans="7:19" x14ac:dyDescent="0.35">
      <c r="G41" t="e">
        <f t="array" aca="1" ref="G41:H44" ca="1">WKAPPA(B7:D9,H7:J9,TRUE)</f>
        <v>#NAME?</v>
      </c>
      <c r="H41" s="335" t="e">
        <f ca="1"/>
        <v>#NAME?</v>
      </c>
      <c r="R41" t="e">
        <f t="array" aca="1" ref="R41:S44" ca="1">WKAPPA(M7:O9,S7:U9,TRUE)</f>
        <v>#NAME?</v>
      </c>
      <c r="S41" s="335" t="e">
        <f ca="1"/>
        <v>#NAME?</v>
      </c>
    </row>
    <row r="42" spans="7:19" x14ac:dyDescent="0.35">
      <c r="G42" t="e">
        <f ca="1"/>
        <v>#NAME?</v>
      </c>
      <c r="H42" s="100" t="e">
        <f ca="1"/>
        <v>#NAME?</v>
      </c>
      <c r="R42" t="e">
        <f ca="1"/>
        <v>#NAME?</v>
      </c>
      <c r="S42" s="100" t="e">
        <f ca="1"/>
        <v>#NAME?</v>
      </c>
    </row>
    <row r="43" spans="7:19" x14ac:dyDescent="0.35">
      <c r="G43" t="e">
        <f ca="1"/>
        <v>#NAME?</v>
      </c>
      <c r="H43" s="100" t="e">
        <f ca="1"/>
        <v>#NAME?</v>
      </c>
      <c r="R43" t="e">
        <f ca="1"/>
        <v>#NAME?</v>
      </c>
      <c r="S43" s="100" t="e">
        <f ca="1"/>
        <v>#NAME?</v>
      </c>
    </row>
    <row r="44" spans="7:19" x14ac:dyDescent="0.35">
      <c r="G44" t="e">
        <f ca="1"/>
        <v>#NAME?</v>
      </c>
      <c r="H44" s="94" t="e">
        <f ca="1"/>
        <v>#NAME?</v>
      </c>
      <c r="R44" t="e">
        <f ca="1"/>
        <v>#NAME?</v>
      </c>
      <c r="S44" s="94" t="e">
        <f ca="1"/>
        <v>#NAME?</v>
      </c>
    </row>
    <row r="46" spans="7:19" x14ac:dyDescent="0.35">
      <c r="G46" t="e">
        <f t="array" aca="1" ref="G46:H49" ca="1">WKAPPA(B7:D9,1,TRUE)</f>
        <v>#NAME?</v>
      </c>
      <c r="H46" s="335" t="e">
        <f ca="1"/>
        <v>#NAME?</v>
      </c>
      <c r="R46" t="e">
        <f t="array" aca="1" ref="R46:S49" ca="1">WKAPPA(M7:O9,0,TRUE)</f>
        <v>#NAME?</v>
      </c>
      <c r="S46" s="335" t="e">
        <f ca="1"/>
        <v>#NAME?</v>
      </c>
    </row>
    <row r="47" spans="7:19" x14ac:dyDescent="0.35">
      <c r="G47" t="e">
        <f ca="1"/>
        <v>#NAME?</v>
      </c>
      <c r="H47" s="100" t="e">
        <f ca="1"/>
        <v>#NAME?</v>
      </c>
      <c r="R47" t="e">
        <f ca="1"/>
        <v>#NAME?</v>
      </c>
      <c r="S47" s="100" t="e">
        <f ca="1"/>
        <v>#NAME?</v>
      </c>
    </row>
    <row r="48" spans="7:19" x14ac:dyDescent="0.35">
      <c r="G48" t="e">
        <f ca="1"/>
        <v>#NAME?</v>
      </c>
      <c r="H48" s="100" t="e">
        <f ca="1"/>
        <v>#NAME?</v>
      </c>
      <c r="R48" t="e">
        <f ca="1"/>
        <v>#NAME?</v>
      </c>
      <c r="S48" s="100" t="e">
        <f ca="1"/>
        <v>#NAME?</v>
      </c>
    </row>
    <row r="49" spans="7:19" x14ac:dyDescent="0.35">
      <c r="G49" t="e">
        <f ca="1"/>
        <v>#NAME?</v>
      </c>
      <c r="H49" s="94" t="e">
        <f ca="1"/>
        <v>#NAME?</v>
      </c>
      <c r="R49" t="e">
        <f ca="1"/>
        <v>#NAME?</v>
      </c>
      <c r="S49" s="94" t="e">
        <f ca="1"/>
        <v>#NAME?</v>
      </c>
    </row>
  </sheetData>
  <mergeCells count="8">
    <mergeCell ref="H11:J11"/>
    <mergeCell ref="S11:U11"/>
    <mergeCell ref="H21:J21"/>
    <mergeCell ref="S21:U21"/>
    <mergeCell ref="B5:D5"/>
    <mergeCell ref="H5:J5"/>
    <mergeCell ref="M5:O5"/>
    <mergeCell ref="S5:U5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7"/>
  <dimension ref="A1:AJ55"/>
  <sheetViews>
    <sheetView workbookViewId="0"/>
  </sheetViews>
  <sheetFormatPr defaultRowHeight="14.5" x14ac:dyDescent="0.35"/>
  <cols>
    <col min="1" max="1" width="4.453125" customWidth="1"/>
    <col min="2" max="6" width="9.7265625" customWidth="1"/>
    <col min="7" max="7" width="8.81640625" customWidth="1"/>
    <col min="8" max="8" width="9.7265625" customWidth="1"/>
    <col min="9" max="9" width="2.7265625" customWidth="1"/>
    <col min="10" max="10" width="71.7265625" customWidth="1"/>
    <col min="13" max="16" width="9.81640625" customWidth="1"/>
    <col min="17" max="17" width="5" customWidth="1"/>
    <col min="22" max="32" width="5.26953125" customWidth="1"/>
    <col min="33" max="33" width="7.1796875" customWidth="1"/>
  </cols>
  <sheetData>
    <row r="1" spans="1:36" x14ac:dyDescent="0.35">
      <c r="A1" s="1" t="s">
        <v>623</v>
      </c>
      <c r="J1" s="7"/>
    </row>
    <row r="3" spans="1:36" ht="16.5" x14ac:dyDescent="0.45">
      <c r="B3" s="298" t="s">
        <v>708</v>
      </c>
      <c r="C3" s="298" t="s">
        <v>705</v>
      </c>
      <c r="D3" s="298" t="s">
        <v>736</v>
      </c>
      <c r="E3" s="298" t="s">
        <v>96</v>
      </c>
      <c r="F3" s="298"/>
      <c r="G3" s="298"/>
      <c r="H3" s="298"/>
      <c r="I3" s="298"/>
      <c r="J3" s="298"/>
      <c r="M3" s="298" t="s">
        <v>708</v>
      </c>
      <c r="N3" s="298" t="s">
        <v>705</v>
      </c>
      <c r="O3" s="298" t="s">
        <v>703</v>
      </c>
      <c r="P3" s="6" t="s">
        <v>732</v>
      </c>
      <c r="U3" s="298" t="s">
        <v>733</v>
      </c>
      <c r="V3">
        <v>0</v>
      </c>
      <c r="W3">
        <f t="shared" ref="W3:AF3" si="0">V3+1</f>
        <v>1</v>
      </c>
      <c r="X3">
        <f t="shared" si="0"/>
        <v>2</v>
      </c>
      <c r="Y3">
        <f t="shared" si="0"/>
        <v>3</v>
      </c>
      <c r="Z3">
        <f t="shared" si="0"/>
        <v>4</v>
      </c>
      <c r="AA3">
        <f t="shared" si="0"/>
        <v>5</v>
      </c>
      <c r="AB3">
        <f t="shared" si="0"/>
        <v>6</v>
      </c>
      <c r="AC3">
        <f t="shared" si="0"/>
        <v>7</v>
      </c>
      <c r="AD3">
        <f t="shared" si="0"/>
        <v>8</v>
      </c>
      <c r="AE3">
        <f t="shared" si="0"/>
        <v>9</v>
      </c>
      <c r="AF3">
        <f t="shared" si="0"/>
        <v>10</v>
      </c>
      <c r="AG3" s="6" t="s">
        <v>732</v>
      </c>
    </row>
    <row r="4" spans="1:36" x14ac:dyDescent="0.35">
      <c r="A4">
        <v>1</v>
      </c>
      <c r="B4" s="333">
        <v>4</v>
      </c>
      <c r="C4" s="354">
        <v>2</v>
      </c>
      <c r="D4" s="354"/>
      <c r="E4" s="341"/>
      <c r="G4" t="s">
        <v>271</v>
      </c>
      <c r="H4" s="335">
        <f>SUM(B4:E4)</f>
        <v>6</v>
      </c>
      <c r="I4" s="4"/>
      <c r="J4" s="4" t="e" cm="1">
        <f t="array" aca="1" ref="J4" ca="1">FTEXT(H4)</f>
        <v>#NAME?</v>
      </c>
      <c r="L4" s="298">
        <v>1</v>
      </c>
      <c r="M4" s="333">
        <v>2</v>
      </c>
      <c r="N4" s="354"/>
      <c r="O4" s="341"/>
      <c r="P4" s="335">
        <f t="shared" ref="P4:P35" si="1">(SUMSQ(M4:O4)-$S$4)/$S$8</f>
        <v>1</v>
      </c>
      <c r="R4" t="s">
        <v>271</v>
      </c>
      <c r="S4" s="335">
        <f>SUM(M4:O4)</f>
        <v>2</v>
      </c>
      <c r="U4" s="298">
        <v>1</v>
      </c>
      <c r="V4" s="333">
        <v>1</v>
      </c>
      <c r="W4" s="354">
        <v>2</v>
      </c>
      <c r="X4" s="354">
        <v>1</v>
      </c>
      <c r="Y4" s="354"/>
      <c r="Z4" s="354"/>
      <c r="AA4" s="354"/>
      <c r="AB4" s="354"/>
      <c r="AC4" s="354"/>
      <c r="AD4" s="354"/>
      <c r="AE4" s="354"/>
      <c r="AF4" s="341"/>
      <c r="AG4" s="335">
        <f t="shared" ref="AG4:AG11" si="2">(SUMSQ(V4:AF4)-$AJ$4)/$AJ$8</f>
        <v>0.16666666666666666</v>
      </c>
      <c r="AI4" t="s">
        <v>271</v>
      </c>
      <c r="AJ4" s="335">
        <f>SUM(V4:AF4)</f>
        <v>4</v>
      </c>
    </row>
    <row r="5" spans="1:36" x14ac:dyDescent="0.35">
      <c r="A5">
        <f t="shared" ref="A5:A15" si="3">A4+1</f>
        <v>2</v>
      </c>
      <c r="B5" s="101">
        <v>1</v>
      </c>
      <c r="C5" s="4">
        <v>2</v>
      </c>
      <c r="D5" s="4">
        <v>3</v>
      </c>
      <c r="E5" s="5"/>
      <c r="G5" t="s">
        <v>31</v>
      </c>
      <c r="H5" s="100">
        <f>COUNTA(A4:A15)</f>
        <v>12</v>
      </c>
      <c r="I5" s="4"/>
      <c r="J5" s="4" t="e" cm="1">
        <f t="array" aca="1" ref="J5" ca="1">FTEXT(H5)</f>
        <v>#NAME?</v>
      </c>
      <c r="L5" s="298">
        <f t="shared" ref="L5:L36" si="4">L4+1</f>
        <v>2</v>
      </c>
      <c r="M5" s="101">
        <v>2</v>
      </c>
      <c r="N5" s="4"/>
      <c r="O5" s="5"/>
      <c r="P5" s="100">
        <f t="shared" si="1"/>
        <v>1</v>
      </c>
      <c r="R5" t="s">
        <v>31</v>
      </c>
      <c r="S5" s="100">
        <f>COUNTA(L4:L53)</f>
        <v>50</v>
      </c>
      <c r="U5" s="298">
        <f t="shared" ref="U5:U11" si="5">U4+1</f>
        <v>2</v>
      </c>
      <c r="V5" s="101"/>
      <c r="W5" s="4">
        <v>1</v>
      </c>
      <c r="X5" s="4">
        <v>1</v>
      </c>
      <c r="Y5" s="4">
        <v>2</v>
      </c>
      <c r="Z5" s="4"/>
      <c r="AA5" s="4"/>
      <c r="AB5" s="4"/>
      <c r="AC5" s="4"/>
      <c r="AD5" s="4"/>
      <c r="AE5" s="4"/>
      <c r="AF5" s="5"/>
      <c r="AG5" s="100">
        <f t="shared" si="2"/>
        <v>0.16666666666666666</v>
      </c>
      <c r="AI5" t="s">
        <v>31</v>
      </c>
      <c r="AJ5" s="100">
        <f>COUNTA(U4:U11)</f>
        <v>8</v>
      </c>
    </row>
    <row r="6" spans="1:36" ht="16.5" x14ac:dyDescent="0.45">
      <c r="A6">
        <f t="shared" si="3"/>
        <v>3</v>
      </c>
      <c r="B6" s="101"/>
      <c r="C6" s="4">
        <v>1</v>
      </c>
      <c r="D6" s="4">
        <v>4</v>
      </c>
      <c r="E6" s="5">
        <v>1</v>
      </c>
      <c r="G6" t="s">
        <v>732</v>
      </c>
      <c r="H6" s="100">
        <f>(SUMSQ(B4:E15)-H4*H5)/(H4*H5*(H4-1))</f>
        <v>0.48888888888888887</v>
      </c>
      <c r="I6" s="4"/>
      <c r="J6" s="4" t="e" cm="1">
        <f t="array" aca="1" ref="J6" ca="1">FTEXT(H6)</f>
        <v>#NAME?</v>
      </c>
      <c r="L6" s="298">
        <f t="shared" si="4"/>
        <v>3</v>
      </c>
      <c r="M6" s="101">
        <v>2</v>
      </c>
      <c r="N6" s="4"/>
      <c r="O6" s="5"/>
      <c r="P6" s="100">
        <f t="shared" si="1"/>
        <v>1</v>
      </c>
      <c r="R6" t="s">
        <v>51</v>
      </c>
      <c r="S6" s="94">
        <f>COUNTA(M3:O3)</f>
        <v>3</v>
      </c>
      <c r="U6" s="298">
        <f t="shared" si="5"/>
        <v>3</v>
      </c>
      <c r="V6" s="101"/>
      <c r="W6" s="4">
        <v>1</v>
      </c>
      <c r="X6" s="4"/>
      <c r="Y6" s="4">
        <v>1</v>
      </c>
      <c r="Z6" s="4">
        <v>1</v>
      </c>
      <c r="AA6" s="4"/>
      <c r="AB6" s="4"/>
      <c r="AC6" s="4"/>
      <c r="AD6" s="4">
        <v>1</v>
      </c>
      <c r="AE6" s="4"/>
      <c r="AF6" s="5"/>
      <c r="AG6" s="100">
        <f t="shared" si="2"/>
        <v>0</v>
      </c>
      <c r="AI6" t="s">
        <v>51</v>
      </c>
      <c r="AJ6" s="94">
        <f>COUNTA(V3:AF3)</f>
        <v>11</v>
      </c>
    </row>
    <row r="7" spans="1:36" ht="16.5" x14ac:dyDescent="0.45">
      <c r="A7">
        <f t="shared" si="3"/>
        <v>4</v>
      </c>
      <c r="B7" s="101"/>
      <c r="C7" s="18">
        <v>1</v>
      </c>
      <c r="D7" s="4">
        <v>1</v>
      </c>
      <c r="E7" s="5">
        <v>4</v>
      </c>
      <c r="G7" t="s">
        <v>727</v>
      </c>
      <c r="H7" s="94">
        <f>SUMSQ(B17:E17)</f>
        <v>0.27314814814814814</v>
      </c>
      <c r="I7" s="4"/>
      <c r="J7" s="4" t="e" cm="1">
        <f t="array" aca="1" ref="J7" ca="1">FTEXT(H7)</f>
        <v>#NAME?</v>
      </c>
      <c r="L7" s="298">
        <f t="shared" si="4"/>
        <v>4</v>
      </c>
      <c r="M7" s="101">
        <v>2</v>
      </c>
      <c r="N7" s="4"/>
      <c r="O7" s="5"/>
      <c r="P7" s="100">
        <f t="shared" si="1"/>
        <v>1</v>
      </c>
      <c r="R7" t="s">
        <v>735</v>
      </c>
      <c r="S7" s="335">
        <f>S4*S5</f>
        <v>100</v>
      </c>
      <c r="U7" s="298">
        <f t="shared" si="5"/>
        <v>4</v>
      </c>
      <c r="V7" s="101"/>
      <c r="W7" s="4"/>
      <c r="X7" s="4"/>
      <c r="Y7" s="4">
        <v>2</v>
      </c>
      <c r="Z7" s="4">
        <v>1</v>
      </c>
      <c r="AA7" s="4"/>
      <c r="AB7" s="4">
        <v>1</v>
      </c>
      <c r="AC7" s="4"/>
      <c r="AD7" s="4"/>
      <c r="AE7" s="4"/>
      <c r="AF7" s="5"/>
      <c r="AG7" s="100">
        <f t="shared" si="2"/>
        <v>0.16666666666666666</v>
      </c>
      <c r="AI7" t="s">
        <v>735</v>
      </c>
      <c r="AJ7" s="335">
        <f>AJ4*AJ5</f>
        <v>32</v>
      </c>
    </row>
    <row r="8" spans="1:36" x14ac:dyDescent="0.35">
      <c r="A8">
        <f t="shared" si="3"/>
        <v>5</v>
      </c>
      <c r="B8" s="101">
        <v>1</v>
      </c>
      <c r="C8" s="4"/>
      <c r="D8" s="18">
        <v>5</v>
      </c>
      <c r="E8" s="5"/>
      <c r="G8" t="s">
        <v>702</v>
      </c>
      <c r="H8" s="335">
        <f>(H6-H7)/(1-H7)</f>
        <v>0.29681528662420381</v>
      </c>
      <c r="I8" s="4"/>
      <c r="J8" s="4" t="e" cm="1">
        <f t="array" aca="1" ref="J8" ca="1">FTEXT(H8)</f>
        <v>#NAME?</v>
      </c>
      <c r="L8" s="298">
        <f t="shared" si="4"/>
        <v>5</v>
      </c>
      <c r="M8" s="101">
        <v>2</v>
      </c>
      <c r="N8" s="4"/>
      <c r="O8" s="5"/>
      <c r="P8" s="100">
        <f t="shared" si="1"/>
        <v>1</v>
      </c>
      <c r="R8" t="s">
        <v>734</v>
      </c>
      <c r="S8" s="100">
        <f>S4*(S4-1)</f>
        <v>2</v>
      </c>
      <c r="U8" s="298">
        <f t="shared" si="5"/>
        <v>5</v>
      </c>
      <c r="V8" s="101"/>
      <c r="W8" s="4"/>
      <c r="X8" s="4"/>
      <c r="Y8" s="4"/>
      <c r="Z8" s="4"/>
      <c r="AA8" s="4">
        <v>2</v>
      </c>
      <c r="AB8" s="4">
        <v>2</v>
      </c>
      <c r="AC8" s="4"/>
      <c r="AD8" s="4"/>
      <c r="AE8" s="4"/>
      <c r="AF8" s="5"/>
      <c r="AG8" s="100">
        <f t="shared" si="2"/>
        <v>0.33333333333333331</v>
      </c>
      <c r="AI8" t="s">
        <v>734</v>
      </c>
      <c r="AJ8" s="94">
        <f>AJ4*(AJ4-1)</f>
        <v>12</v>
      </c>
    </row>
    <row r="9" spans="1:36" ht="16.5" x14ac:dyDescent="0.45">
      <c r="A9">
        <f t="shared" si="3"/>
        <v>6</v>
      </c>
      <c r="B9" s="101"/>
      <c r="C9" s="4"/>
      <c r="D9" s="18">
        <v>1</v>
      </c>
      <c r="E9" s="5">
        <v>5</v>
      </c>
      <c r="G9" t="s">
        <v>731</v>
      </c>
      <c r="H9" s="100">
        <f>B20*SQRT(SUM(B18:E18)^2-SUMPRODUCT(B18:E18,1-2*B17:E17))/SUM(B18:E18)</f>
        <v>4.431471412990922E-2</v>
      </c>
      <c r="I9" s="4"/>
      <c r="J9" s="4" t="e" cm="1">
        <f t="array" aca="1" ref="J9" ca="1">FTEXT(H9)</f>
        <v>#NAME?</v>
      </c>
      <c r="L9" s="298">
        <f t="shared" si="4"/>
        <v>6</v>
      </c>
      <c r="M9" s="101">
        <v>2</v>
      </c>
      <c r="N9" s="4"/>
      <c r="O9" s="5"/>
      <c r="P9" s="100">
        <f t="shared" si="1"/>
        <v>1</v>
      </c>
      <c r="R9" t="s">
        <v>732</v>
      </c>
      <c r="S9" s="335">
        <f>SUM(P4:P53)/S5</f>
        <v>0.68</v>
      </c>
      <c r="U9" s="298">
        <f t="shared" si="5"/>
        <v>6</v>
      </c>
      <c r="V9" s="101"/>
      <c r="W9" s="4"/>
      <c r="X9" s="4">
        <v>1</v>
      </c>
      <c r="Y9" s="4"/>
      <c r="Z9" s="4"/>
      <c r="AA9" s="4">
        <v>1</v>
      </c>
      <c r="AB9" s="4">
        <v>1</v>
      </c>
      <c r="AC9" s="18">
        <v>1</v>
      </c>
      <c r="AD9" s="4"/>
      <c r="AE9" s="4"/>
      <c r="AF9" s="5"/>
      <c r="AG9" s="100">
        <f t="shared" si="2"/>
        <v>0</v>
      </c>
      <c r="AI9" t="s">
        <v>732</v>
      </c>
      <c r="AJ9" s="335">
        <f>SUM(AG4:AG11)/AJ5</f>
        <v>0.1875</v>
      </c>
    </row>
    <row r="10" spans="1:36" ht="16.5" x14ac:dyDescent="0.45">
      <c r="A10">
        <f t="shared" si="3"/>
        <v>7</v>
      </c>
      <c r="B10" s="101">
        <v>2</v>
      </c>
      <c r="C10" s="18">
        <v>3</v>
      </c>
      <c r="D10" s="4"/>
      <c r="E10" s="5">
        <v>1</v>
      </c>
      <c r="G10" t="s">
        <v>36</v>
      </c>
      <c r="H10" s="100">
        <f>H8/H9</f>
        <v>6.6978946485829862</v>
      </c>
      <c r="I10" s="4"/>
      <c r="J10" s="4" t="e" cm="1">
        <f t="array" aca="1" ref="J10" ca="1">FTEXT(H10)</f>
        <v>#NAME?</v>
      </c>
      <c r="L10" s="298">
        <f t="shared" si="4"/>
        <v>7</v>
      </c>
      <c r="M10" s="101">
        <v>2</v>
      </c>
      <c r="N10" s="4"/>
      <c r="O10" s="5"/>
      <c r="P10" s="100">
        <f t="shared" si="1"/>
        <v>1</v>
      </c>
      <c r="R10" t="s">
        <v>727</v>
      </c>
      <c r="S10" s="94">
        <f>SUMSQ(M55:O55)</f>
        <v>0.3654</v>
      </c>
      <c r="U10" s="298">
        <f t="shared" si="5"/>
        <v>7</v>
      </c>
      <c r="V10" s="101"/>
      <c r="W10" s="4"/>
      <c r="X10" s="4"/>
      <c r="Y10" s="4"/>
      <c r="Z10" s="4"/>
      <c r="AA10" s="4"/>
      <c r="AB10" s="4"/>
      <c r="AC10" s="4">
        <v>2</v>
      </c>
      <c r="AD10" s="4">
        <v>1</v>
      </c>
      <c r="AE10" s="4">
        <v>1</v>
      </c>
      <c r="AF10" s="5"/>
      <c r="AG10" s="100">
        <f t="shared" si="2"/>
        <v>0.16666666666666666</v>
      </c>
      <c r="AI10" t="s">
        <v>727</v>
      </c>
      <c r="AJ10" s="100">
        <f>SUMSQ(V13:AF13)</f>
        <v>0.111328125</v>
      </c>
    </row>
    <row r="11" spans="1:36" x14ac:dyDescent="0.35">
      <c r="A11">
        <f t="shared" si="3"/>
        <v>8</v>
      </c>
      <c r="B11" s="101"/>
      <c r="C11" s="18">
        <v>3</v>
      </c>
      <c r="D11" s="18">
        <v>3</v>
      </c>
      <c r="E11" s="5"/>
      <c r="G11" t="s">
        <v>59</v>
      </c>
      <c r="H11" s="94">
        <f>2*(1-NORMSDIST(H10))</f>
        <v>2.1144419548591031E-11</v>
      </c>
      <c r="I11" s="4"/>
      <c r="J11" s="4" t="e" cm="1">
        <f t="array" aca="1" ref="J11" ca="1">FTEXT(H11)</f>
        <v>#NAME?</v>
      </c>
      <c r="L11" s="298">
        <f t="shared" si="4"/>
        <v>8</v>
      </c>
      <c r="M11" s="101">
        <v>2</v>
      </c>
      <c r="N11" s="4"/>
      <c r="O11" s="5"/>
      <c r="P11" s="100">
        <f t="shared" si="1"/>
        <v>1</v>
      </c>
      <c r="R11" t="s">
        <v>702</v>
      </c>
      <c r="S11" s="109">
        <f>(S9-S10)/(1-S10)</f>
        <v>0.49574535140245829</v>
      </c>
      <c r="U11" s="298">
        <f t="shared" si="5"/>
        <v>8</v>
      </c>
      <c r="V11" s="89"/>
      <c r="W11" s="159"/>
      <c r="X11" s="159"/>
      <c r="Y11" s="159"/>
      <c r="Z11" s="159"/>
      <c r="AA11" s="159"/>
      <c r="AB11" s="159"/>
      <c r="AC11" s="159"/>
      <c r="AD11" s="159">
        <v>1</v>
      </c>
      <c r="AE11" s="159">
        <v>3</v>
      </c>
      <c r="AF11" s="93"/>
      <c r="AG11" s="94">
        <f t="shared" si="2"/>
        <v>0.5</v>
      </c>
      <c r="AI11" t="s">
        <v>702</v>
      </c>
      <c r="AJ11" s="109">
        <f>(AJ9-AJ10)/(1-AJ10)</f>
        <v>8.5714285714285715E-2</v>
      </c>
    </row>
    <row r="12" spans="1:36" x14ac:dyDescent="0.35">
      <c r="A12">
        <f t="shared" si="3"/>
        <v>9</v>
      </c>
      <c r="B12" s="101"/>
      <c r="C12" s="18">
        <v>2</v>
      </c>
      <c r="D12" s="18">
        <v>4</v>
      </c>
      <c r="E12" s="5"/>
      <c r="J12" s="4"/>
      <c r="L12" s="298">
        <f t="shared" si="4"/>
        <v>9</v>
      </c>
      <c r="M12" s="101">
        <v>2</v>
      </c>
      <c r="N12" s="4"/>
      <c r="O12" s="5"/>
      <c r="P12" s="100">
        <f t="shared" si="1"/>
        <v>1</v>
      </c>
      <c r="U12" s="298" t="s">
        <v>351</v>
      </c>
      <c r="V12" s="333">
        <f t="shared" ref="V12:AF12" si="6">SUM(V4:V11)</f>
        <v>1</v>
      </c>
      <c r="W12" s="354">
        <f t="shared" si="6"/>
        <v>4</v>
      </c>
      <c r="X12" s="354">
        <f t="shared" si="6"/>
        <v>3</v>
      </c>
      <c r="Y12" s="354">
        <f t="shared" si="6"/>
        <v>5</v>
      </c>
      <c r="Z12" s="354">
        <f t="shared" si="6"/>
        <v>2</v>
      </c>
      <c r="AA12" s="354">
        <f t="shared" si="6"/>
        <v>3</v>
      </c>
      <c r="AB12" s="354">
        <f t="shared" si="6"/>
        <v>4</v>
      </c>
      <c r="AC12" s="354">
        <f t="shared" si="6"/>
        <v>3</v>
      </c>
      <c r="AD12" s="354">
        <f t="shared" si="6"/>
        <v>3</v>
      </c>
      <c r="AE12" s="354">
        <f t="shared" si="6"/>
        <v>4</v>
      </c>
      <c r="AF12" s="341">
        <f t="shared" si="6"/>
        <v>0</v>
      </c>
    </row>
    <row r="13" spans="1:36" x14ac:dyDescent="0.35">
      <c r="A13">
        <f t="shared" si="3"/>
        <v>10</v>
      </c>
      <c r="B13" s="101"/>
      <c r="C13" s="4"/>
      <c r="D13" s="18">
        <v>3</v>
      </c>
      <c r="E13" s="5">
        <v>3</v>
      </c>
      <c r="G13" t="s">
        <v>88</v>
      </c>
      <c r="H13" s="335">
        <v>0.05</v>
      </c>
      <c r="I13" s="4"/>
      <c r="J13" s="4"/>
      <c r="L13" s="298">
        <f t="shared" si="4"/>
        <v>10</v>
      </c>
      <c r="M13" s="101">
        <v>2</v>
      </c>
      <c r="N13" s="4"/>
      <c r="O13" s="5"/>
      <c r="P13" s="100">
        <f t="shared" si="1"/>
        <v>1</v>
      </c>
      <c r="R13" t="s">
        <v>702</v>
      </c>
      <c r="S13" s="109" t="e" cm="1">
        <f t="array" aca="1" ref="S13" ca="1">KAPPA(M4:O53)</f>
        <v>#NAME?</v>
      </c>
      <c r="U13" s="298" t="s">
        <v>656</v>
      </c>
      <c r="V13" s="89">
        <f t="shared" ref="V13:AF13" si="7">V12/$AJ$7</f>
        <v>3.125E-2</v>
      </c>
      <c r="W13" s="159">
        <f t="shared" si="7"/>
        <v>0.125</v>
      </c>
      <c r="X13" s="159">
        <f t="shared" si="7"/>
        <v>9.375E-2</v>
      </c>
      <c r="Y13" s="159">
        <f t="shared" si="7"/>
        <v>0.15625</v>
      </c>
      <c r="Z13" s="159">
        <f t="shared" si="7"/>
        <v>6.25E-2</v>
      </c>
      <c r="AA13" s="159">
        <f t="shared" si="7"/>
        <v>9.375E-2</v>
      </c>
      <c r="AB13" s="159">
        <f t="shared" si="7"/>
        <v>0.125</v>
      </c>
      <c r="AC13" s="159">
        <f t="shared" si="7"/>
        <v>9.375E-2</v>
      </c>
      <c r="AD13" s="159">
        <f t="shared" si="7"/>
        <v>9.375E-2</v>
      </c>
      <c r="AE13" s="159">
        <f t="shared" si="7"/>
        <v>0.125</v>
      </c>
      <c r="AF13" s="93">
        <f t="shared" si="7"/>
        <v>0</v>
      </c>
      <c r="AI13" t="s">
        <v>702</v>
      </c>
      <c r="AJ13" s="109" t="e" cm="1">
        <f t="array" aca="1" ref="AJ13" ca="1">KAPPA(V4:AF11)</f>
        <v>#NAME?</v>
      </c>
    </row>
    <row r="14" spans="1:36" x14ac:dyDescent="0.35">
      <c r="A14">
        <f t="shared" si="3"/>
        <v>11</v>
      </c>
      <c r="B14" s="101">
        <v>4</v>
      </c>
      <c r="C14" s="18"/>
      <c r="D14" s="18">
        <v>2</v>
      </c>
      <c r="E14" s="5"/>
      <c r="G14" t="s">
        <v>29</v>
      </c>
      <c r="H14" s="100">
        <f>H8+H9*NORMSINV(H13/2)</f>
        <v>0.20996004294439352</v>
      </c>
      <c r="I14" s="4"/>
      <c r="J14" s="4" t="e" cm="1">
        <f t="array" aca="1" ref="J14" ca="1">FTEXT(H14)</f>
        <v>#NAME?</v>
      </c>
      <c r="L14" s="298">
        <f t="shared" si="4"/>
        <v>11</v>
      </c>
      <c r="M14" s="101"/>
      <c r="N14" s="4">
        <v>2</v>
      </c>
      <c r="O14" s="5"/>
      <c r="P14" s="100">
        <f t="shared" si="1"/>
        <v>1</v>
      </c>
    </row>
    <row r="15" spans="1:36" x14ac:dyDescent="0.35">
      <c r="A15">
        <f t="shared" si="3"/>
        <v>12</v>
      </c>
      <c r="B15" s="89"/>
      <c r="C15" s="159">
        <v>6</v>
      </c>
      <c r="D15" s="159"/>
      <c r="E15" s="93"/>
      <c r="G15" t="s">
        <v>30</v>
      </c>
      <c r="H15" s="94">
        <f>H8-H9*NORMSINV(H13/2)</f>
        <v>0.3836705303040141</v>
      </c>
      <c r="I15" s="4"/>
      <c r="J15" s="4" t="e" cm="1">
        <f t="array" aca="1" ref="J15" ca="1">FTEXT(H15)</f>
        <v>#NAME?</v>
      </c>
      <c r="L15" s="298">
        <f t="shared" si="4"/>
        <v>12</v>
      </c>
      <c r="M15" s="101"/>
      <c r="N15" s="4">
        <v>2</v>
      </c>
      <c r="O15" s="5"/>
      <c r="P15" s="100">
        <f t="shared" si="1"/>
        <v>1</v>
      </c>
    </row>
    <row r="16" spans="1:36" x14ac:dyDescent="0.35">
      <c r="L16" s="298">
        <f t="shared" si="4"/>
        <v>13</v>
      </c>
      <c r="M16" s="101"/>
      <c r="N16" s="4">
        <v>2</v>
      </c>
      <c r="O16" s="5"/>
      <c r="P16" s="100">
        <f t="shared" si="1"/>
        <v>1</v>
      </c>
      <c r="U16" s="298" t="s">
        <v>733</v>
      </c>
      <c r="V16">
        <v>0</v>
      </c>
      <c r="W16">
        <f t="shared" ref="W16:AF16" si="8">V16+1</f>
        <v>1</v>
      </c>
      <c r="X16">
        <f t="shared" si="8"/>
        <v>2</v>
      </c>
      <c r="Y16">
        <f t="shared" si="8"/>
        <v>3</v>
      </c>
      <c r="Z16">
        <f t="shared" si="8"/>
        <v>4</v>
      </c>
      <c r="AA16">
        <f t="shared" si="8"/>
        <v>5</v>
      </c>
      <c r="AB16">
        <f t="shared" si="8"/>
        <v>6</v>
      </c>
      <c r="AC16">
        <f t="shared" si="8"/>
        <v>7</v>
      </c>
      <c r="AD16">
        <f t="shared" si="8"/>
        <v>8</v>
      </c>
      <c r="AE16">
        <f t="shared" si="8"/>
        <v>9</v>
      </c>
      <c r="AF16">
        <f t="shared" si="8"/>
        <v>10</v>
      </c>
    </row>
    <row r="17" spans="1:36" x14ac:dyDescent="0.35">
      <c r="A17" s="6" t="s">
        <v>656</v>
      </c>
      <c r="B17" s="333">
        <f>SUM(B4:B15)/($H$4*$H$5)</f>
        <v>0.16666666666666666</v>
      </c>
      <c r="C17" s="354">
        <f>SUM(C4:C15)/($H$4*$H$5)</f>
        <v>0.27777777777777779</v>
      </c>
      <c r="D17" s="354">
        <f>SUM(D4:D15)/($H$4*$H$5)</f>
        <v>0.3611111111111111</v>
      </c>
      <c r="E17" s="341">
        <f>SUM(E4:E15)/($H$4*$H$5)</f>
        <v>0.19444444444444445</v>
      </c>
      <c r="J17" t="e" cm="1">
        <f t="array" aca="1" ref="J17" ca="1">FTEXT(B17)</f>
        <v>#NAME?</v>
      </c>
      <c r="L17" s="298">
        <f t="shared" si="4"/>
        <v>14</v>
      </c>
      <c r="M17" s="101"/>
      <c r="N17" s="4">
        <v>2</v>
      </c>
      <c r="O17" s="5"/>
      <c r="P17" s="100">
        <f t="shared" si="1"/>
        <v>1</v>
      </c>
      <c r="U17" s="298">
        <v>1</v>
      </c>
      <c r="V17" s="333">
        <v>1</v>
      </c>
      <c r="W17" s="354">
        <v>2</v>
      </c>
      <c r="X17" s="354">
        <v>1</v>
      </c>
      <c r="Y17" s="354"/>
      <c r="Z17" s="354"/>
      <c r="AA17" s="354"/>
      <c r="AB17" s="354"/>
      <c r="AC17" s="354"/>
      <c r="AD17" s="354"/>
      <c r="AE17" s="354"/>
      <c r="AF17" s="341"/>
      <c r="AI17" t="s">
        <v>271</v>
      </c>
      <c r="AJ17" s="335">
        <f>SUM(V17:AF17)</f>
        <v>4</v>
      </c>
    </row>
    <row r="18" spans="1:36" x14ac:dyDescent="0.35">
      <c r="A18" s="6" t="s">
        <v>40</v>
      </c>
      <c r="B18" s="101">
        <f>B17*(1-B17)</f>
        <v>0.1388888888888889</v>
      </c>
      <c r="C18" s="4">
        <f>C17*(1-C17)</f>
        <v>0.20061728395061729</v>
      </c>
      <c r="D18" s="4">
        <f>D17*(1-D17)</f>
        <v>0.23070987654320985</v>
      </c>
      <c r="E18" s="5">
        <f>E17*(1-E17)</f>
        <v>0.1566358024691358</v>
      </c>
      <c r="J18" t="e" cm="1">
        <f t="array" aca="1" ref="J18" ca="1">FTEXT(B18)</f>
        <v>#NAME?</v>
      </c>
      <c r="L18" s="298">
        <f t="shared" si="4"/>
        <v>15</v>
      </c>
      <c r="M18" s="101"/>
      <c r="N18" s="4">
        <v>2</v>
      </c>
      <c r="O18" s="5"/>
      <c r="P18" s="100">
        <f t="shared" si="1"/>
        <v>1</v>
      </c>
      <c r="U18" s="298">
        <f t="shared" ref="U18:U24" si="9">U17+1</f>
        <v>2</v>
      </c>
      <c r="V18" s="101"/>
      <c r="W18" s="4">
        <v>1</v>
      </c>
      <c r="X18" s="4">
        <v>1</v>
      </c>
      <c r="Y18" s="4">
        <v>2</v>
      </c>
      <c r="Z18" s="4"/>
      <c r="AA18" s="4"/>
      <c r="AB18" s="4"/>
      <c r="AC18" s="4"/>
      <c r="AD18" s="4"/>
      <c r="AE18" s="4"/>
      <c r="AF18" s="5"/>
      <c r="AI18" t="s">
        <v>31</v>
      </c>
      <c r="AJ18" s="100">
        <f>COUNTA(U17:U24)</f>
        <v>8</v>
      </c>
    </row>
    <row r="19" spans="1:36" ht="16.5" x14ac:dyDescent="0.45">
      <c r="A19" s="23" t="s">
        <v>698</v>
      </c>
      <c r="B19" s="101">
        <f>1-SUMPRODUCT(B4:B15,$H$4-B4:B15)/($H$4*$H$5*($H$4-1)*B17*(1-B17))</f>
        <v>0.31999999999999995</v>
      </c>
      <c r="C19" s="4">
        <f>1-SUMPRODUCT(C4:C15,$H$4-C4:C15)/($H$4*$H$5*($H$4-1)*C17*(1-C17))</f>
        <v>0.27999999999999992</v>
      </c>
      <c r="D19" s="4">
        <f>1-SUMPRODUCT(D4:D15,$H$4-D4:D15)/($H$4*$H$5*($H$4-1)*D17*(1-D17))</f>
        <v>0.20535117056856178</v>
      </c>
      <c r="E19" s="5">
        <f>1-SUMPRODUCT(E4:E15,$H$4-E4:E15)/($H$4*$H$5*($H$4-1)*E17*(1-E17))</f>
        <v>0.43251231527093603</v>
      </c>
      <c r="J19" t="e" cm="1">
        <f t="array" aca="1" ref="J19" ca="1">FTEXT(B19)</f>
        <v>#NAME?</v>
      </c>
      <c r="L19" s="298">
        <f t="shared" si="4"/>
        <v>16</v>
      </c>
      <c r="M19" s="101"/>
      <c r="N19" s="4">
        <v>2</v>
      </c>
      <c r="O19" s="5"/>
      <c r="P19" s="100">
        <f t="shared" si="1"/>
        <v>1</v>
      </c>
      <c r="U19" s="298">
        <f t="shared" si="9"/>
        <v>3</v>
      </c>
      <c r="V19" s="101"/>
      <c r="W19" s="4">
        <v>1</v>
      </c>
      <c r="X19" s="4"/>
      <c r="Y19" s="4">
        <v>1</v>
      </c>
      <c r="Z19" s="4">
        <v>1</v>
      </c>
      <c r="AA19" s="4"/>
      <c r="AB19" s="4"/>
      <c r="AC19" s="4"/>
      <c r="AD19" s="4">
        <v>1</v>
      </c>
      <c r="AE19" s="4"/>
      <c r="AF19" s="5"/>
      <c r="AI19" t="s">
        <v>732</v>
      </c>
      <c r="AJ19" s="335">
        <f>SUMSQ(V17:AF24)/(AJ17*(AJ17-1)*AJ18)-1/(AJ17-1)</f>
        <v>0.18750000000000006</v>
      </c>
    </row>
    <row r="20" spans="1:36" ht="16.5" x14ac:dyDescent="0.45">
      <c r="A20" s="355" t="s">
        <v>731</v>
      </c>
      <c r="B20" s="101">
        <f>SQRT(2/(H4*(H4-1)*H5))</f>
        <v>7.4535599249992993E-2</v>
      </c>
      <c r="C20" s="4">
        <f>B20</f>
        <v>7.4535599249992993E-2</v>
      </c>
      <c r="D20" s="4">
        <f>C20</f>
        <v>7.4535599249992993E-2</v>
      </c>
      <c r="E20" s="5">
        <f>D20</f>
        <v>7.4535599249992993E-2</v>
      </c>
      <c r="I20" s="4"/>
      <c r="J20" t="e" cm="1">
        <f t="array" aca="1" ref="J20" ca="1">FTEXT(B20)</f>
        <v>#NAME?</v>
      </c>
      <c r="L20" s="298">
        <f t="shared" si="4"/>
        <v>17</v>
      </c>
      <c r="M20" s="101"/>
      <c r="N20" s="4">
        <v>2</v>
      </c>
      <c r="O20" s="5"/>
      <c r="P20" s="100">
        <f t="shared" si="1"/>
        <v>1</v>
      </c>
      <c r="U20" s="298">
        <f t="shared" si="9"/>
        <v>4</v>
      </c>
      <c r="V20" s="101"/>
      <c r="W20" s="4"/>
      <c r="X20" s="4"/>
      <c r="Y20" s="4">
        <v>2</v>
      </c>
      <c r="Z20" s="4">
        <v>1</v>
      </c>
      <c r="AA20" s="4"/>
      <c r="AB20" s="4">
        <v>1</v>
      </c>
      <c r="AC20" s="4"/>
      <c r="AD20" s="4"/>
      <c r="AE20" s="4"/>
      <c r="AF20" s="5"/>
      <c r="AI20" t="s">
        <v>727</v>
      </c>
      <c r="AJ20" s="100">
        <f>SUMSQ(V25:AF25)/(AJ17*AJ18)^2</f>
        <v>0.111328125</v>
      </c>
    </row>
    <row r="21" spans="1:36" x14ac:dyDescent="0.35">
      <c r="A21" s="355" t="s">
        <v>36</v>
      </c>
      <c r="B21" s="101">
        <f>B19/B20</f>
        <v>4.2932505167995956</v>
      </c>
      <c r="C21" s="4">
        <f>C19/C20</f>
        <v>3.7565942021996452</v>
      </c>
      <c r="D21" s="4">
        <f>D19/D20</f>
        <v>2.7550750599027496</v>
      </c>
      <c r="E21" s="5">
        <f>E19/E20</f>
        <v>5.8027616283098</v>
      </c>
      <c r="I21" s="4"/>
      <c r="J21" t="e" cm="1">
        <f t="array" aca="1" ref="J21" ca="1">FTEXT(B21)</f>
        <v>#NAME?</v>
      </c>
      <c r="L21" s="298">
        <f t="shared" si="4"/>
        <v>18</v>
      </c>
      <c r="M21" s="101"/>
      <c r="N21" s="4">
        <v>2</v>
      </c>
      <c r="O21" s="5"/>
      <c r="P21" s="100">
        <f t="shared" si="1"/>
        <v>1</v>
      </c>
      <c r="U21" s="298">
        <f t="shared" si="9"/>
        <v>5</v>
      </c>
      <c r="V21" s="101"/>
      <c r="W21" s="4"/>
      <c r="X21" s="4"/>
      <c r="Y21" s="4"/>
      <c r="Z21" s="4"/>
      <c r="AA21" s="4">
        <v>2</v>
      </c>
      <c r="AB21" s="4">
        <v>2</v>
      </c>
      <c r="AC21" s="4"/>
      <c r="AD21" s="4"/>
      <c r="AE21" s="4"/>
      <c r="AF21" s="5"/>
      <c r="AI21" t="s">
        <v>702</v>
      </c>
      <c r="AJ21" s="109">
        <f>(AJ19-AJ20)/(1-AJ20)</f>
        <v>8.5714285714285771E-2</v>
      </c>
    </row>
    <row r="22" spans="1:36" x14ac:dyDescent="0.35">
      <c r="A22" s="355" t="s">
        <v>86</v>
      </c>
      <c r="B22" s="89">
        <f>2*(1-NORMSDIST(B21))</f>
        <v>1.7607614403392091E-5</v>
      </c>
      <c r="C22" s="159">
        <f>2*(1-NORMSDIST(C21))</f>
        <v>1.7224145338756713E-4</v>
      </c>
      <c r="D22" s="159">
        <f>2*(1-NORMSDIST(D21))</f>
        <v>5.8678672211311955E-3</v>
      </c>
      <c r="E22" s="93">
        <f>2*(1-NORMSDIST(E21))</f>
        <v>6.5231495760542657E-9</v>
      </c>
      <c r="J22" t="e" cm="1">
        <f t="array" aca="1" ref="J22" ca="1">FTEXT(B22)</f>
        <v>#NAME?</v>
      </c>
      <c r="L22" s="298">
        <f t="shared" si="4"/>
        <v>19</v>
      </c>
      <c r="M22" s="101"/>
      <c r="N22" s="4">
        <v>2</v>
      </c>
      <c r="O22" s="5"/>
      <c r="P22" s="100">
        <f t="shared" si="1"/>
        <v>1</v>
      </c>
      <c r="U22" s="298">
        <f t="shared" si="9"/>
        <v>6</v>
      </c>
      <c r="V22" s="101"/>
      <c r="W22" s="4"/>
      <c r="X22" s="4">
        <v>1</v>
      </c>
      <c r="Y22" s="4"/>
      <c r="Z22" s="4"/>
      <c r="AA22" s="4">
        <v>1</v>
      </c>
      <c r="AB22" s="4">
        <v>1</v>
      </c>
      <c r="AC22" s="18">
        <v>1</v>
      </c>
      <c r="AD22" s="4"/>
      <c r="AE22" s="4"/>
      <c r="AF22" s="5"/>
    </row>
    <row r="23" spans="1:36" x14ac:dyDescent="0.35">
      <c r="L23" s="298">
        <f t="shared" si="4"/>
        <v>20</v>
      </c>
      <c r="M23" s="101"/>
      <c r="N23" s="4">
        <v>2</v>
      </c>
      <c r="O23" s="5"/>
      <c r="P23" s="100">
        <f t="shared" si="1"/>
        <v>1</v>
      </c>
      <c r="U23" s="298">
        <f t="shared" si="9"/>
        <v>7</v>
      </c>
      <c r="V23" s="101"/>
      <c r="W23" s="4"/>
      <c r="X23" s="4"/>
      <c r="Y23" s="4"/>
      <c r="Z23" s="4"/>
      <c r="AA23" s="4"/>
      <c r="AB23" s="4"/>
      <c r="AC23" s="4">
        <v>2</v>
      </c>
      <c r="AD23" s="4">
        <v>1</v>
      </c>
      <c r="AE23" s="4">
        <v>1</v>
      </c>
      <c r="AF23" s="5"/>
    </row>
    <row r="24" spans="1:36" x14ac:dyDescent="0.35">
      <c r="B24" t="s">
        <v>730</v>
      </c>
      <c r="L24" s="298">
        <f t="shared" si="4"/>
        <v>21</v>
      </c>
      <c r="M24" s="101"/>
      <c r="N24" s="4">
        <v>2</v>
      </c>
      <c r="O24" s="5"/>
      <c r="P24" s="100">
        <f t="shared" si="1"/>
        <v>1</v>
      </c>
      <c r="U24" s="298">
        <f t="shared" si="9"/>
        <v>8</v>
      </c>
      <c r="V24" s="89"/>
      <c r="W24" s="159"/>
      <c r="X24" s="159"/>
      <c r="Y24" s="159"/>
      <c r="Z24" s="159"/>
      <c r="AA24" s="159"/>
      <c r="AB24" s="159"/>
      <c r="AC24" s="159"/>
      <c r="AD24" s="159">
        <v>1</v>
      </c>
      <c r="AE24" s="159">
        <v>3</v>
      </c>
      <c r="AF24" s="93"/>
    </row>
    <row r="25" spans="1:36" x14ac:dyDescent="0.35">
      <c r="L25" s="298">
        <f t="shared" si="4"/>
        <v>22</v>
      </c>
      <c r="M25" s="101"/>
      <c r="N25" s="4">
        <v>2</v>
      </c>
      <c r="O25" s="5"/>
      <c r="P25" s="100">
        <f t="shared" si="1"/>
        <v>1</v>
      </c>
      <c r="U25" s="298" t="s">
        <v>351</v>
      </c>
      <c r="V25" s="333">
        <f t="shared" ref="V25:AF25" si="10">SUM(V17:V24)</f>
        <v>1</v>
      </c>
      <c r="W25" s="354">
        <f t="shared" si="10"/>
        <v>4</v>
      </c>
      <c r="X25" s="354">
        <f t="shared" si="10"/>
        <v>3</v>
      </c>
      <c r="Y25" s="354">
        <f t="shared" si="10"/>
        <v>5</v>
      </c>
      <c r="Z25" s="354">
        <f t="shared" si="10"/>
        <v>2</v>
      </c>
      <c r="AA25" s="354">
        <f t="shared" si="10"/>
        <v>3</v>
      </c>
      <c r="AB25" s="354">
        <f t="shared" si="10"/>
        <v>4</v>
      </c>
      <c r="AC25" s="354">
        <f t="shared" si="10"/>
        <v>3</v>
      </c>
      <c r="AD25" s="354">
        <f t="shared" si="10"/>
        <v>3</v>
      </c>
      <c r="AE25" s="354">
        <f t="shared" si="10"/>
        <v>4</v>
      </c>
      <c r="AF25" s="341">
        <f t="shared" si="10"/>
        <v>0</v>
      </c>
    </row>
    <row r="26" spans="1:36" ht="16.5" x14ac:dyDescent="0.45">
      <c r="B26" t="s">
        <v>88</v>
      </c>
      <c r="C26" s="348">
        <v>0.05</v>
      </c>
      <c r="L26" s="298">
        <f t="shared" si="4"/>
        <v>23</v>
      </c>
      <c r="M26" s="101"/>
      <c r="N26" s="4">
        <v>2</v>
      </c>
      <c r="O26" s="5"/>
      <c r="P26" s="100">
        <f t="shared" si="1"/>
        <v>1</v>
      </c>
      <c r="U26" s="298" t="s">
        <v>727</v>
      </c>
      <c r="V26" s="89">
        <f t="shared" ref="V26:AF26" si="11">V25/$AJ$7</f>
        <v>3.125E-2</v>
      </c>
      <c r="W26" s="159">
        <f t="shared" si="11"/>
        <v>0.125</v>
      </c>
      <c r="X26" s="159">
        <f t="shared" si="11"/>
        <v>9.375E-2</v>
      </c>
      <c r="Y26" s="159">
        <f t="shared" si="11"/>
        <v>0.15625</v>
      </c>
      <c r="Z26" s="159">
        <f t="shared" si="11"/>
        <v>6.25E-2</v>
      </c>
      <c r="AA26" s="159">
        <f t="shared" si="11"/>
        <v>9.375E-2</v>
      </c>
      <c r="AB26" s="159">
        <f t="shared" si="11"/>
        <v>0.125</v>
      </c>
      <c r="AC26" s="159">
        <f t="shared" si="11"/>
        <v>9.375E-2</v>
      </c>
      <c r="AD26" s="159">
        <f t="shared" si="11"/>
        <v>9.375E-2</v>
      </c>
      <c r="AE26" s="159">
        <f t="shared" si="11"/>
        <v>0.125</v>
      </c>
      <c r="AF26" s="93">
        <f t="shared" si="11"/>
        <v>0</v>
      </c>
    </row>
    <row r="27" spans="1:36" x14ac:dyDescent="0.35">
      <c r="B27" t="s">
        <v>275</v>
      </c>
      <c r="C27" s="155">
        <v>2</v>
      </c>
      <c r="L27" s="298">
        <f t="shared" si="4"/>
        <v>24</v>
      </c>
      <c r="M27" s="101"/>
      <c r="N27" s="4">
        <v>2</v>
      </c>
      <c r="O27" s="5"/>
      <c r="P27" s="100">
        <f t="shared" si="1"/>
        <v>1</v>
      </c>
    </row>
    <row r="28" spans="1:36" x14ac:dyDescent="0.35">
      <c r="L28" s="298">
        <f t="shared" si="4"/>
        <v>25</v>
      </c>
      <c r="M28" s="101"/>
      <c r="N28" s="4">
        <v>2</v>
      </c>
      <c r="O28" s="5"/>
      <c r="P28" s="100">
        <f t="shared" si="1"/>
        <v>1</v>
      </c>
    </row>
    <row r="29" spans="1:36" x14ac:dyDescent="0.35">
      <c r="C29" s="298" t="s">
        <v>1</v>
      </c>
      <c r="D29" s="298" t="str">
        <f>B3</f>
        <v>Psychotic</v>
      </c>
      <c r="E29" s="298" t="str">
        <f>C3</f>
        <v>Borderline</v>
      </c>
      <c r="F29" s="298" t="str">
        <f>D3</f>
        <v>Bipolar</v>
      </c>
      <c r="G29" s="298" t="str">
        <f>E3</f>
        <v>None</v>
      </c>
      <c r="L29" s="298">
        <f t="shared" si="4"/>
        <v>26</v>
      </c>
      <c r="M29" s="101"/>
      <c r="N29" s="4">
        <v>2</v>
      </c>
      <c r="O29" s="5"/>
      <c r="P29" s="100">
        <f t="shared" si="1"/>
        <v>1</v>
      </c>
    </row>
    <row r="30" spans="1:36" x14ac:dyDescent="0.35">
      <c r="B30" t="e">
        <f t="array" aca="1" ref="B30:C35" ca="1">KAPPA(B4:E15,0,TRUE,C26,C27)</f>
        <v>#NAME?</v>
      </c>
      <c r="C30" s="348" t="e">
        <f ca="1"/>
        <v>#NAME?</v>
      </c>
      <c r="D30" s="353" t="e">
        <f t="array" aca="1" ref="D30:D35" ca="1">KAPPA(B4:E15, 1,,C26,C27)</f>
        <v>#NAME?</v>
      </c>
      <c r="E30" s="352" t="e">
        <f t="array" aca="1" ref="E30:E35" ca="1">KAPPA(B4:E15, 2,,C26,C27)</f>
        <v>#NAME?</v>
      </c>
      <c r="F30" s="352" t="e">
        <f t="array" aca="1" ref="F30:F35" ca="1">KAPPA(B4:E15, 3,,C26,C27)</f>
        <v>#NAME?</v>
      </c>
      <c r="G30" s="351" t="e">
        <f t="array" aca="1" ref="G30:G35" ca="1">KAPPA(B4:E15, 4,,C26,C27)</f>
        <v>#NAME?</v>
      </c>
      <c r="L30" s="298">
        <f t="shared" si="4"/>
        <v>27</v>
      </c>
      <c r="M30" s="101"/>
      <c r="N30" s="4"/>
      <c r="O30" s="5">
        <v>2</v>
      </c>
      <c r="P30" s="100">
        <f t="shared" si="1"/>
        <v>1</v>
      </c>
    </row>
    <row r="31" spans="1:36" x14ac:dyDescent="0.35">
      <c r="B31" t="e">
        <f ca="1"/>
        <v>#NAME?</v>
      </c>
      <c r="C31" s="147" t="e">
        <f ca="1"/>
        <v>#NAME?</v>
      </c>
      <c r="D31" s="99" t="e">
        <f ca="1"/>
        <v>#NAME?</v>
      </c>
      <c r="E31" s="4" t="e">
        <f ca="1"/>
        <v>#NAME?</v>
      </c>
      <c r="F31" s="4" t="e">
        <f ca="1"/>
        <v>#NAME?</v>
      </c>
      <c r="G31" s="32" t="e">
        <f ca="1"/>
        <v>#NAME?</v>
      </c>
      <c r="L31" s="298">
        <f t="shared" si="4"/>
        <v>28</v>
      </c>
      <c r="M31" s="101"/>
      <c r="N31" s="4"/>
      <c r="O31" s="5">
        <v>2</v>
      </c>
      <c r="P31" s="100">
        <f t="shared" si="1"/>
        <v>1</v>
      </c>
    </row>
    <row r="32" spans="1:36" x14ac:dyDescent="0.35">
      <c r="B32" t="e">
        <f ca="1"/>
        <v>#NAME?</v>
      </c>
      <c r="C32" s="147" t="e">
        <f ca="1"/>
        <v>#NAME?</v>
      </c>
      <c r="D32" s="99" t="e">
        <f ca="1"/>
        <v>#NAME?</v>
      </c>
      <c r="E32" s="4" t="e">
        <f ca="1"/>
        <v>#NAME?</v>
      </c>
      <c r="F32" s="4" t="e">
        <f ca="1"/>
        <v>#NAME?</v>
      </c>
      <c r="G32" s="32" t="e">
        <f ca="1"/>
        <v>#NAME?</v>
      </c>
      <c r="L32" s="298">
        <f t="shared" si="4"/>
        <v>29</v>
      </c>
      <c r="M32" s="101"/>
      <c r="N32" s="4"/>
      <c r="O32" s="5">
        <v>2</v>
      </c>
      <c r="P32" s="100">
        <f t="shared" si="1"/>
        <v>1</v>
      </c>
    </row>
    <row r="33" spans="2:16" x14ac:dyDescent="0.35">
      <c r="B33" t="e">
        <f ca="1"/>
        <v>#NAME?</v>
      </c>
      <c r="C33" s="147" t="e">
        <f ca="1"/>
        <v>#NAME?</v>
      </c>
      <c r="D33" s="99" t="e">
        <f ca="1"/>
        <v>#NAME?</v>
      </c>
      <c r="E33" s="4" t="e">
        <f ca="1"/>
        <v>#NAME?</v>
      </c>
      <c r="F33" s="4" t="e">
        <f ca="1"/>
        <v>#NAME?</v>
      </c>
      <c r="G33" s="32" t="e">
        <f ca="1"/>
        <v>#NAME?</v>
      </c>
      <c r="L33" s="298">
        <f t="shared" si="4"/>
        <v>30</v>
      </c>
      <c r="M33" s="101"/>
      <c r="N33" s="4"/>
      <c r="O33" s="5">
        <v>2</v>
      </c>
      <c r="P33" s="100">
        <f t="shared" si="1"/>
        <v>1</v>
      </c>
    </row>
    <row r="34" spans="2:16" x14ac:dyDescent="0.35">
      <c r="B34" t="e">
        <f ca="1"/>
        <v>#NAME?</v>
      </c>
      <c r="C34" s="147" t="e">
        <f ca="1"/>
        <v>#NAME?</v>
      </c>
      <c r="D34" s="99" t="e">
        <f ca="1"/>
        <v>#NAME?</v>
      </c>
      <c r="E34" s="4" t="e">
        <f ca="1"/>
        <v>#NAME?</v>
      </c>
      <c r="F34" s="4" t="e">
        <f ca="1"/>
        <v>#NAME?</v>
      </c>
      <c r="G34" s="32" t="e">
        <f ca="1"/>
        <v>#NAME?</v>
      </c>
      <c r="L34" s="298">
        <f t="shared" si="4"/>
        <v>31</v>
      </c>
      <c r="M34" s="101"/>
      <c r="N34" s="4"/>
      <c r="O34" s="5">
        <v>2</v>
      </c>
      <c r="P34" s="100">
        <f t="shared" si="1"/>
        <v>1</v>
      </c>
    </row>
    <row r="35" spans="2:16" x14ac:dyDescent="0.35">
      <c r="B35" t="e">
        <f ca="1"/>
        <v>#NAME?</v>
      </c>
      <c r="C35" s="155" t="e">
        <f ca="1"/>
        <v>#NAME?</v>
      </c>
      <c r="D35" s="156" t="e">
        <f ca="1"/>
        <v>#NAME?</v>
      </c>
      <c r="E35" s="157" t="e">
        <f ca="1"/>
        <v>#NAME?</v>
      </c>
      <c r="F35" s="157" t="e">
        <f ca="1"/>
        <v>#NAME?</v>
      </c>
      <c r="G35" s="158" t="e">
        <f ca="1"/>
        <v>#NAME?</v>
      </c>
      <c r="L35" s="298">
        <f t="shared" si="4"/>
        <v>32</v>
      </c>
      <c r="M35" s="101"/>
      <c r="N35" s="4"/>
      <c r="O35" s="5">
        <v>2</v>
      </c>
      <c r="P35" s="100">
        <f t="shared" si="1"/>
        <v>1</v>
      </c>
    </row>
    <row r="36" spans="2:16" x14ac:dyDescent="0.35">
      <c r="L36" s="298">
        <f t="shared" si="4"/>
        <v>33</v>
      </c>
      <c r="M36" s="101"/>
      <c r="N36" s="4"/>
      <c r="O36" s="5">
        <v>2</v>
      </c>
      <c r="P36" s="100">
        <f t="shared" ref="P36:P53" si="12">(SUMSQ(M36:O36)-$S$4)/$S$8</f>
        <v>1</v>
      </c>
    </row>
    <row r="37" spans="2:16" x14ac:dyDescent="0.35">
      <c r="B37" t="s">
        <v>729</v>
      </c>
      <c r="F37" t="s">
        <v>435</v>
      </c>
      <c r="L37" s="298">
        <f t="shared" ref="L37:L53" si="13">L36+1</f>
        <v>34</v>
      </c>
      <c r="M37" s="101"/>
      <c r="N37" s="4"/>
      <c r="O37" s="5">
        <v>2</v>
      </c>
      <c r="P37" s="100">
        <f t="shared" si="12"/>
        <v>1</v>
      </c>
    </row>
    <row r="38" spans="2:16" x14ac:dyDescent="0.35">
      <c r="L38" s="298">
        <f t="shared" si="13"/>
        <v>35</v>
      </c>
      <c r="M38" s="101">
        <v>1</v>
      </c>
      <c r="N38" s="4">
        <v>1</v>
      </c>
      <c r="O38" s="5"/>
      <c r="P38" s="100">
        <f t="shared" si="12"/>
        <v>0</v>
      </c>
    </row>
    <row r="39" spans="2:16" x14ac:dyDescent="0.35">
      <c r="B39" t="e">
        <f t="array" aca="1" ref="B39:C44" ca="1">KAPPA(B4:E15,0,TRUE)</f>
        <v>#NAME?</v>
      </c>
      <c r="C39" s="335" t="e">
        <f ca="1"/>
        <v>#NAME?</v>
      </c>
      <c r="F39" t="s">
        <v>702</v>
      </c>
      <c r="G39" s="335" t="e" cm="1">
        <f t="array" aca="1" ref="G39" ca="1">KAPPA(B4:E15)</f>
        <v>#NAME?</v>
      </c>
      <c r="L39" s="298">
        <f t="shared" si="13"/>
        <v>36</v>
      </c>
      <c r="M39" s="101">
        <v>1</v>
      </c>
      <c r="N39" s="4">
        <v>1</v>
      </c>
      <c r="O39" s="5"/>
      <c r="P39" s="100">
        <f t="shared" si="12"/>
        <v>0</v>
      </c>
    </row>
    <row r="40" spans="2:16" x14ac:dyDescent="0.35">
      <c r="B40" t="e">
        <f ca="1"/>
        <v>#NAME?</v>
      </c>
      <c r="C40" s="100" t="e">
        <f ca="1"/>
        <v>#NAME?</v>
      </c>
      <c r="F40" t="s">
        <v>728</v>
      </c>
      <c r="G40" s="94" t="e" cm="1">
        <f t="array" aca="1" ref="G40" ca="1">KAPPA(B4:E15,1)</f>
        <v>#NAME?</v>
      </c>
      <c r="L40" s="298">
        <f t="shared" si="13"/>
        <v>37</v>
      </c>
      <c r="M40" s="101">
        <v>1</v>
      </c>
      <c r="N40" s="4">
        <v>1</v>
      </c>
      <c r="O40" s="5"/>
      <c r="P40" s="100">
        <f t="shared" si="12"/>
        <v>0</v>
      </c>
    </row>
    <row r="41" spans="2:16" x14ac:dyDescent="0.35">
      <c r="B41" t="e">
        <f ca="1"/>
        <v>#NAME?</v>
      </c>
      <c r="C41" s="100" t="e">
        <f ca="1"/>
        <v>#NAME?</v>
      </c>
      <c r="L41" s="298">
        <f t="shared" si="13"/>
        <v>38</v>
      </c>
      <c r="M41" s="101">
        <v>1</v>
      </c>
      <c r="N41" s="4">
        <v>1</v>
      </c>
      <c r="O41" s="5"/>
      <c r="P41" s="100">
        <f t="shared" si="12"/>
        <v>0</v>
      </c>
    </row>
    <row r="42" spans="2:16" x14ac:dyDescent="0.35">
      <c r="B42" t="e">
        <f ca="1"/>
        <v>#NAME?</v>
      </c>
      <c r="C42" s="100" t="e">
        <f ca="1"/>
        <v>#NAME?</v>
      </c>
      <c r="L42" s="298">
        <f t="shared" si="13"/>
        <v>39</v>
      </c>
      <c r="M42" s="101">
        <v>1</v>
      </c>
      <c r="N42" s="4">
        <v>1</v>
      </c>
      <c r="O42" s="5"/>
      <c r="P42" s="100">
        <f t="shared" si="12"/>
        <v>0</v>
      </c>
    </row>
    <row r="43" spans="2:16" x14ac:dyDescent="0.35">
      <c r="B43" t="e">
        <f ca="1"/>
        <v>#NAME?</v>
      </c>
      <c r="C43" s="100" t="e">
        <f ca="1"/>
        <v>#NAME?</v>
      </c>
      <c r="L43" s="298">
        <f t="shared" si="13"/>
        <v>40</v>
      </c>
      <c r="M43" s="101">
        <v>1</v>
      </c>
      <c r="N43" s="4">
        <v>1</v>
      </c>
      <c r="O43" s="5"/>
      <c r="P43" s="100">
        <f t="shared" si="12"/>
        <v>0</v>
      </c>
    </row>
    <row r="44" spans="2:16" x14ac:dyDescent="0.35">
      <c r="B44" t="e">
        <f ca="1"/>
        <v>#NAME?</v>
      </c>
      <c r="C44" s="94" t="e">
        <f ca="1"/>
        <v>#NAME?</v>
      </c>
      <c r="L44" s="298">
        <f t="shared" si="13"/>
        <v>41</v>
      </c>
      <c r="M44" s="101">
        <v>1</v>
      </c>
      <c r="N44" s="4">
        <v>1</v>
      </c>
      <c r="O44" s="5"/>
      <c r="P44" s="100">
        <f t="shared" si="12"/>
        <v>0</v>
      </c>
    </row>
    <row r="45" spans="2:16" x14ac:dyDescent="0.35">
      <c r="L45" s="298">
        <f t="shared" si="13"/>
        <v>42</v>
      </c>
      <c r="M45" s="101">
        <v>1</v>
      </c>
      <c r="N45" s="4">
        <v>1</v>
      </c>
      <c r="O45" s="5"/>
      <c r="P45" s="100">
        <f t="shared" si="12"/>
        <v>0</v>
      </c>
    </row>
    <row r="46" spans="2:16" x14ac:dyDescent="0.35">
      <c r="L46" s="298">
        <f t="shared" si="13"/>
        <v>43</v>
      </c>
      <c r="M46" s="101">
        <v>1</v>
      </c>
      <c r="N46" s="4">
        <v>1</v>
      </c>
      <c r="O46" s="5"/>
      <c r="P46" s="100">
        <f t="shared" si="12"/>
        <v>0</v>
      </c>
    </row>
    <row r="47" spans="2:16" x14ac:dyDescent="0.35">
      <c r="L47" s="298">
        <f t="shared" si="13"/>
        <v>44</v>
      </c>
      <c r="M47" s="101">
        <v>1</v>
      </c>
      <c r="N47" s="4">
        <v>1</v>
      </c>
      <c r="O47" s="5"/>
      <c r="P47" s="100">
        <f t="shared" si="12"/>
        <v>0</v>
      </c>
    </row>
    <row r="48" spans="2:16" x14ac:dyDescent="0.35">
      <c r="L48" s="298">
        <f t="shared" si="13"/>
        <v>45</v>
      </c>
      <c r="M48" s="101">
        <v>1</v>
      </c>
      <c r="N48" s="4"/>
      <c r="O48" s="5">
        <v>1</v>
      </c>
      <c r="P48" s="100">
        <f t="shared" si="12"/>
        <v>0</v>
      </c>
    </row>
    <row r="49" spans="12:16" x14ac:dyDescent="0.35">
      <c r="L49" s="298">
        <f t="shared" si="13"/>
        <v>46</v>
      </c>
      <c r="M49" s="101"/>
      <c r="N49" s="4">
        <v>1</v>
      </c>
      <c r="O49" s="5">
        <v>1</v>
      </c>
      <c r="P49" s="100">
        <f t="shared" si="12"/>
        <v>0</v>
      </c>
    </row>
    <row r="50" spans="12:16" x14ac:dyDescent="0.35">
      <c r="L50" s="298">
        <f t="shared" si="13"/>
        <v>47</v>
      </c>
      <c r="M50" s="101"/>
      <c r="N50" s="4">
        <v>1</v>
      </c>
      <c r="O50" s="5">
        <v>1</v>
      </c>
      <c r="P50" s="100">
        <f t="shared" si="12"/>
        <v>0</v>
      </c>
    </row>
    <row r="51" spans="12:16" x14ac:dyDescent="0.35">
      <c r="L51" s="298">
        <f t="shared" si="13"/>
        <v>48</v>
      </c>
      <c r="M51" s="101"/>
      <c r="N51" s="4">
        <v>1</v>
      </c>
      <c r="O51" s="5">
        <v>1</v>
      </c>
      <c r="P51" s="100">
        <f t="shared" si="12"/>
        <v>0</v>
      </c>
    </row>
    <row r="52" spans="12:16" x14ac:dyDescent="0.35">
      <c r="L52" s="298">
        <f t="shared" si="13"/>
        <v>49</v>
      </c>
      <c r="M52" s="101"/>
      <c r="N52" s="4">
        <v>1</v>
      </c>
      <c r="O52" s="5">
        <v>1</v>
      </c>
      <c r="P52" s="100">
        <f t="shared" si="12"/>
        <v>0</v>
      </c>
    </row>
    <row r="53" spans="12:16" x14ac:dyDescent="0.35">
      <c r="L53" s="298">
        <f t="shared" si="13"/>
        <v>50</v>
      </c>
      <c r="M53" s="89"/>
      <c r="N53" s="159">
        <v>1</v>
      </c>
      <c r="O53" s="93">
        <v>1</v>
      </c>
      <c r="P53" s="94">
        <f t="shared" si="12"/>
        <v>0</v>
      </c>
    </row>
    <row r="54" spans="12:16" x14ac:dyDescent="0.35">
      <c r="L54" s="298" t="s">
        <v>351</v>
      </c>
      <c r="M54" s="333">
        <f>SUM(M4:M53)</f>
        <v>31</v>
      </c>
      <c r="N54" s="332">
        <f>SUM(N4:N53)</f>
        <v>47</v>
      </c>
      <c r="O54" s="331">
        <f>SUM(O4:O53)</f>
        <v>22</v>
      </c>
    </row>
    <row r="55" spans="12:16" ht="16.5" x14ac:dyDescent="0.45">
      <c r="L55" s="298" t="s">
        <v>727</v>
      </c>
      <c r="M55" s="89">
        <f>M54/$S$7</f>
        <v>0.31</v>
      </c>
      <c r="N55" s="159">
        <f>N54/$S$7</f>
        <v>0.47</v>
      </c>
      <c r="O55" s="93">
        <f>O54/$S$7</f>
        <v>0.22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8"/>
  <dimension ref="A1:U31"/>
  <sheetViews>
    <sheetView workbookViewId="0"/>
  </sheetViews>
  <sheetFormatPr defaultRowHeight="14.5" x14ac:dyDescent="0.35"/>
  <cols>
    <col min="12" max="12" width="4.54296875" customWidth="1"/>
    <col min="14" max="14" width="9.1796875" customWidth="1"/>
  </cols>
  <sheetData>
    <row r="1" spans="1:21" x14ac:dyDescent="0.35">
      <c r="A1" s="1" t="s">
        <v>611</v>
      </c>
    </row>
    <row r="4" spans="1:21" x14ac:dyDescent="0.35">
      <c r="A4" s="298" t="s">
        <v>748</v>
      </c>
      <c r="B4" s="298" t="s">
        <v>218</v>
      </c>
      <c r="C4" s="298" t="s">
        <v>98</v>
      </c>
      <c r="D4" s="298" t="s">
        <v>99</v>
      </c>
      <c r="E4" s="298" t="s">
        <v>100</v>
      </c>
      <c r="F4" s="298" t="s">
        <v>536</v>
      </c>
      <c r="G4" s="298" t="s">
        <v>101</v>
      </c>
      <c r="H4" s="298" t="s">
        <v>281</v>
      </c>
      <c r="I4" s="298" t="s">
        <v>537</v>
      </c>
      <c r="M4" s="298" t="s">
        <v>748</v>
      </c>
      <c r="N4" s="298" t="s">
        <v>218</v>
      </c>
      <c r="O4" s="298" t="s">
        <v>98</v>
      </c>
      <c r="P4" s="298" t="s">
        <v>99</v>
      </c>
      <c r="Q4" s="298" t="s">
        <v>100</v>
      </c>
      <c r="R4" s="298" t="s">
        <v>536</v>
      </c>
      <c r="S4" s="298" t="s">
        <v>101</v>
      </c>
      <c r="T4" s="298" t="s">
        <v>281</v>
      </c>
      <c r="U4" s="298" t="s">
        <v>537</v>
      </c>
    </row>
    <row r="5" spans="1:21" x14ac:dyDescent="0.35">
      <c r="A5" s="298">
        <v>1</v>
      </c>
      <c r="B5" s="347">
        <v>7</v>
      </c>
      <c r="C5" s="346">
        <v>8</v>
      </c>
      <c r="D5" s="346">
        <v>6</v>
      </c>
      <c r="E5" s="346">
        <v>4</v>
      </c>
      <c r="F5" s="346">
        <v>5</v>
      </c>
      <c r="G5" s="346">
        <v>3</v>
      </c>
      <c r="H5" s="346">
        <v>2</v>
      </c>
      <c r="I5" s="345">
        <v>1</v>
      </c>
      <c r="J5">
        <f t="shared" ref="J5:J11" si="0">SUM(B5:I5)</f>
        <v>36</v>
      </c>
      <c r="M5" s="298">
        <v>1</v>
      </c>
      <c r="N5" s="347">
        <v>7</v>
      </c>
      <c r="O5" s="346">
        <v>8</v>
      </c>
      <c r="P5" s="346">
        <v>6</v>
      </c>
      <c r="Q5" s="346">
        <v>4</v>
      </c>
      <c r="R5" s="346">
        <v>5</v>
      </c>
      <c r="S5" s="346">
        <v>3</v>
      </c>
      <c r="T5" s="346">
        <v>2</v>
      </c>
      <c r="U5" s="345">
        <v>1</v>
      </c>
    </row>
    <row r="6" spans="1:21" x14ac:dyDescent="0.35">
      <c r="A6" s="298">
        <v>2</v>
      </c>
      <c r="B6" s="103">
        <v>8</v>
      </c>
      <c r="C6" s="299">
        <v>7</v>
      </c>
      <c r="D6" s="299">
        <v>2</v>
      </c>
      <c r="E6" s="299">
        <v>6</v>
      </c>
      <c r="F6" s="299">
        <v>4.5</v>
      </c>
      <c r="G6" s="299">
        <v>4.5</v>
      </c>
      <c r="H6" s="299">
        <v>3</v>
      </c>
      <c r="I6" s="22">
        <v>1</v>
      </c>
      <c r="J6">
        <f t="shared" si="0"/>
        <v>36</v>
      </c>
      <c r="M6" s="298">
        <v>2</v>
      </c>
      <c r="N6" s="103">
        <v>8</v>
      </c>
      <c r="O6" s="299">
        <v>7</v>
      </c>
      <c r="P6" s="299">
        <v>2</v>
      </c>
      <c r="Q6" s="299">
        <v>6</v>
      </c>
      <c r="R6" s="299">
        <v>4.5</v>
      </c>
      <c r="S6" s="299">
        <v>4.5</v>
      </c>
      <c r="T6" s="299">
        <v>3</v>
      </c>
      <c r="U6" s="22">
        <v>1</v>
      </c>
    </row>
    <row r="7" spans="1:21" x14ac:dyDescent="0.35">
      <c r="A7" s="298">
        <v>3</v>
      </c>
      <c r="B7" s="103">
        <v>8</v>
      </c>
      <c r="C7" s="299">
        <v>5.5</v>
      </c>
      <c r="D7" s="299">
        <v>7</v>
      </c>
      <c r="E7" s="299">
        <v>5.5</v>
      </c>
      <c r="F7" s="299">
        <v>4</v>
      </c>
      <c r="G7" s="299">
        <v>3</v>
      </c>
      <c r="H7" s="299">
        <v>2</v>
      </c>
      <c r="I7" s="22">
        <v>1</v>
      </c>
      <c r="J7">
        <f t="shared" si="0"/>
        <v>36</v>
      </c>
      <c r="M7" s="298">
        <v>3</v>
      </c>
      <c r="N7" s="103">
        <v>8</v>
      </c>
      <c r="O7" s="299">
        <v>5.5</v>
      </c>
      <c r="P7" s="299">
        <v>7</v>
      </c>
      <c r="Q7" s="299">
        <v>5.5</v>
      </c>
      <c r="R7" s="299">
        <v>4</v>
      </c>
      <c r="S7" s="299">
        <v>3</v>
      </c>
      <c r="T7" s="299">
        <v>2</v>
      </c>
      <c r="U7" s="22">
        <v>1</v>
      </c>
    </row>
    <row r="8" spans="1:21" x14ac:dyDescent="0.35">
      <c r="A8" s="298">
        <v>4</v>
      </c>
      <c r="B8" s="103">
        <v>8</v>
      </c>
      <c r="C8" s="299">
        <v>6.5</v>
      </c>
      <c r="D8" s="299">
        <v>4</v>
      </c>
      <c r="E8" s="299">
        <v>5</v>
      </c>
      <c r="F8" s="299">
        <v>3</v>
      </c>
      <c r="G8" s="299">
        <v>6.5</v>
      </c>
      <c r="H8" s="299">
        <v>1</v>
      </c>
      <c r="I8" s="22">
        <v>2</v>
      </c>
      <c r="J8">
        <f t="shared" si="0"/>
        <v>36</v>
      </c>
      <c r="M8" s="298">
        <v>4</v>
      </c>
      <c r="N8" s="103">
        <v>8</v>
      </c>
      <c r="O8" s="299">
        <v>6.5</v>
      </c>
      <c r="P8" s="299">
        <v>4</v>
      </c>
      <c r="Q8" s="299">
        <v>5</v>
      </c>
      <c r="R8" s="299">
        <v>3</v>
      </c>
      <c r="S8" s="299">
        <v>6.5</v>
      </c>
      <c r="T8" s="299">
        <v>1</v>
      </c>
      <c r="U8" s="22">
        <v>2</v>
      </c>
    </row>
    <row r="9" spans="1:21" x14ac:dyDescent="0.35">
      <c r="A9" s="298">
        <v>5</v>
      </c>
      <c r="B9" s="103">
        <v>6</v>
      </c>
      <c r="C9" s="299">
        <v>4.5</v>
      </c>
      <c r="D9" s="299">
        <v>2</v>
      </c>
      <c r="E9" s="299">
        <v>7</v>
      </c>
      <c r="F9" s="299">
        <v>3</v>
      </c>
      <c r="G9" s="299">
        <v>8</v>
      </c>
      <c r="H9" s="299">
        <v>1</v>
      </c>
      <c r="I9" s="22">
        <v>4.5</v>
      </c>
      <c r="J9">
        <f t="shared" si="0"/>
        <v>36</v>
      </c>
      <c r="M9" s="298">
        <v>5</v>
      </c>
      <c r="N9" s="103">
        <v>6</v>
      </c>
      <c r="O9" s="299">
        <v>4.5</v>
      </c>
      <c r="P9" s="299">
        <v>2</v>
      </c>
      <c r="Q9" s="299">
        <v>7</v>
      </c>
      <c r="R9" s="299">
        <v>3</v>
      </c>
      <c r="S9" s="299">
        <v>8</v>
      </c>
      <c r="T9" s="299">
        <v>1</v>
      </c>
      <c r="U9" s="22">
        <v>4.5</v>
      </c>
    </row>
    <row r="10" spans="1:21" x14ac:dyDescent="0.35">
      <c r="A10" s="298">
        <v>6</v>
      </c>
      <c r="B10" s="103">
        <v>7.5</v>
      </c>
      <c r="C10" s="299">
        <v>6</v>
      </c>
      <c r="D10" s="299">
        <v>7.5</v>
      </c>
      <c r="E10" s="299">
        <v>2.5</v>
      </c>
      <c r="F10" s="299">
        <v>5</v>
      </c>
      <c r="G10" s="299">
        <v>4</v>
      </c>
      <c r="H10" s="299">
        <v>1</v>
      </c>
      <c r="I10" s="22">
        <v>2.5</v>
      </c>
      <c r="J10">
        <f t="shared" si="0"/>
        <v>36</v>
      </c>
      <c r="M10" s="298">
        <v>6</v>
      </c>
      <c r="N10" s="103">
        <v>7.5</v>
      </c>
      <c r="O10" s="299">
        <v>6</v>
      </c>
      <c r="P10" s="299">
        <v>7.5</v>
      </c>
      <c r="Q10" s="299">
        <v>2.5</v>
      </c>
      <c r="R10" s="299">
        <v>5</v>
      </c>
      <c r="S10" s="299">
        <v>4</v>
      </c>
      <c r="T10" s="299">
        <v>1</v>
      </c>
      <c r="U10" s="22">
        <v>2.5</v>
      </c>
    </row>
    <row r="11" spans="1:21" x14ac:dyDescent="0.35">
      <c r="A11" s="298">
        <v>7</v>
      </c>
      <c r="B11" s="95">
        <v>6</v>
      </c>
      <c r="C11" s="300">
        <v>7</v>
      </c>
      <c r="D11" s="300">
        <v>4</v>
      </c>
      <c r="E11" s="300">
        <v>8</v>
      </c>
      <c r="F11" s="300">
        <v>4</v>
      </c>
      <c r="G11" s="300">
        <v>4</v>
      </c>
      <c r="H11" s="300">
        <v>2</v>
      </c>
      <c r="I11" s="90">
        <v>1</v>
      </c>
      <c r="J11">
        <f t="shared" si="0"/>
        <v>36</v>
      </c>
      <c r="M11" s="298">
        <v>7</v>
      </c>
      <c r="N11" s="95">
        <v>6</v>
      </c>
      <c r="O11" s="300">
        <v>7</v>
      </c>
      <c r="P11" s="300">
        <v>4</v>
      </c>
      <c r="Q11" s="300">
        <v>8</v>
      </c>
      <c r="R11" s="300">
        <v>4</v>
      </c>
      <c r="S11" s="300">
        <v>4</v>
      </c>
      <c r="T11" s="300">
        <v>2</v>
      </c>
      <c r="U11" s="90">
        <v>1</v>
      </c>
    </row>
    <row r="12" spans="1:21" x14ac:dyDescent="0.35">
      <c r="B12" s="298">
        <f t="shared" ref="B12:I12" si="1">SUM(B5:B11)</f>
        <v>50.5</v>
      </c>
      <c r="C12" s="298">
        <f t="shared" si="1"/>
        <v>44.5</v>
      </c>
      <c r="D12" s="298">
        <f t="shared" si="1"/>
        <v>32.5</v>
      </c>
      <c r="E12" s="298">
        <f t="shared" si="1"/>
        <v>38</v>
      </c>
      <c r="F12" s="298">
        <f t="shared" si="1"/>
        <v>28.5</v>
      </c>
      <c r="G12" s="298">
        <f t="shared" si="1"/>
        <v>33</v>
      </c>
      <c r="H12" s="298">
        <f t="shared" si="1"/>
        <v>12</v>
      </c>
      <c r="I12" s="298">
        <f t="shared" si="1"/>
        <v>13</v>
      </c>
    </row>
    <row r="14" spans="1:21" x14ac:dyDescent="0.35">
      <c r="B14" t="s">
        <v>51</v>
      </c>
      <c r="C14" s="335">
        <f>COUNTA(B5:I5)</f>
        <v>8</v>
      </c>
      <c r="E14" s="7" t="s">
        <v>747</v>
      </c>
      <c r="M14" t="s">
        <v>746</v>
      </c>
    </row>
    <row r="15" spans="1:21" x14ac:dyDescent="0.35">
      <c r="B15" t="s">
        <v>271</v>
      </c>
      <c r="C15" s="100">
        <f>COUNTA(A5:A11)</f>
        <v>7</v>
      </c>
      <c r="E15" s="7" t="s">
        <v>745</v>
      </c>
    </row>
    <row r="16" spans="1:21" x14ac:dyDescent="0.35">
      <c r="B16" t="s">
        <v>286</v>
      </c>
      <c r="C16" s="100">
        <f>12*DEVSQ(B12:I12)/(C15^2*(C14^3-C14))</f>
        <v>0.63508260447035958</v>
      </c>
      <c r="E16" s="7" t="s">
        <v>744</v>
      </c>
      <c r="M16" t="e">
        <f t="array" aca="1" ref="M16:N20" ca="1">KENDALLW(B5:I11,TRUE)</f>
        <v>#NAME?</v>
      </c>
      <c r="N16" s="335" t="e">
        <f ca="1"/>
        <v>#NAME?</v>
      </c>
    </row>
    <row r="17" spans="2:14" x14ac:dyDescent="0.35">
      <c r="B17" t="s">
        <v>95</v>
      </c>
      <c r="C17" s="100">
        <f>(C15*C16-1)/(C15-1)</f>
        <v>0.57426303854875282</v>
      </c>
      <c r="E17" s="7" t="s">
        <v>743</v>
      </c>
      <c r="M17" t="e">
        <f ca="1"/>
        <v>#NAME?</v>
      </c>
      <c r="N17" s="100" t="e">
        <f ca="1"/>
        <v>#NAME?</v>
      </c>
    </row>
    <row r="18" spans="2:14" x14ac:dyDescent="0.35">
      <c r="B18" s="17" t="s">
        <v>90</v>
      </c>
      <c r="C18" s="100">
        <f>C15*(C14-1)*C16</f>
        <v>31.11904761904762</v>
      </c>
      <c r="E18" s="7" t="s">
        <v>742</v>
      </c>
      <c r="M18" t="e">
        <f ca="1"/>
        <v>#NAME?</v>
      </c>
      <c r="N18" s="100" t="e">
        <f ca="1"/>
        <v>#NAME?</v>
      </c>
    </row>
    <row r="19" spans="2:14" x14ac:dyDescent="0.35">
      <c r="B19" s="17" t="s">
        <v>53</v>
      </c>
      <c r="C19" s="100">
        <f>C14-1</f>
        <v>7</v>
      </c>
      <c r="E19" s="7" t="s">
        <v>741</v>
      </c>
      <c r="M19" t="e">
        <f ca="1"/>
        <v>#NAME?</v>
      </c>
      <c r="N19" s="100" t="e">
        <f ca="1"/>
        <v>#NAME?</v>
      </c>
    </row>
    <row r="20" spans="2:14" x14ac:dyDescent="0.35">
      <c r="B20" s="17" t="s">
        <v>59</v>
      </c>
      <c r="C20" s="94">
        <f>CHIDIST(C18,C19)</f>
        <v>5.9107829694807225E-5</v>
      </c>
      <c r="E20" s="7" t="s">
        <v>740</v>
      </c>
      <c r="M20" t="e">
        <f ca="1"/>
        <v>#NAME?</v>
      </c>
      <c r="N20" s="94" t="e">
        <f ca="1"/>
        <v>#NAME?</v>
      </c>
    </row>
    <row r="22" spans="2:14" x14ac:dyDescent="0.35">
      <c r="B22" t="s">
        <v>286</v>
      </c>
      <c r="C22" s="335">
        <f>12*SUMSQ(B12:I12)/(C15^2*(C14^3-C14))-3*(C14+1)/(C14-1)</f>
        <v>0.63508260447035925</v>
      </c>
      <c r="E22" s="7" t="s">
        <v>739</v>
      </c>
    </row>
    <row r="23" spans="2:14" x14ac:dyDescent="0.35">
      <c r="B23" t="s">
        <v>286</v>
      </c>
      <c r="C23" s="94" t="e" cm="1">
        <f t="array" aca="1" ref="C23" ca="1">FRIEDMAN(B5:I11)/(C15*(C14-1))</f>
        <v>#NAME?</v>
      </c>
      <c r="E23" s="7" t="s">
        <v>738</v>
      </c>
      <c r="M23" t="s">
        <v>737</v>
      </c>
    </row>
    <row r="25" spans="2:14" x14ac:dyDescent="0.35">
      <c r="M25" t="s">
        <v>611</v>
      </c>
    </row>
    <row r="27" spans="2:14" x14ac:dyDescent="0.35">
      <c r="M27" t="s">
        <v>286</v>
      </c>
      <c r="N27" s="348" t="e">
        <f ca="1">N29/(COUNT(B5:B11)*(COUNT(B5:I5)-1))</f>
        <v>#NAME?</v>
      </c>
    </row>
    <row r="28" spans="2:14" x14ac:dyDescent="0.35">
      <c r="M28" t="s">
        <v>95</v>
      </c>
      <c r="N28" s="147" t="e">
        <f ca="1">(COUNT(B5:B11)*N27-1)/(COUNT(B5:B11)-1)</f>
        <v>#NAME?</v>
      </c>
    </row>
    <row r="29" spans="2:14" x14ac:dyDescent="0.35">
      <c r="M29" t="s">
        <v>89</v>
      </c>
      <c r="N29" s="147" t="e" cm="1">
        <f t="array" aca="1" ref="N29" ca="1">FRIEDMAN(B5:I11)</f>
        <v>#NAME?</v>
      </c>
    </row>
    <row r="30" spans="2:14" x14ac:dyDescent="0.35">
      <c r="M30" t="s">
        <v>53</v>
      </c>
      <c r="N30" s="147">
        <f>COUNT(B5:I5)-1</f>
        <v>7</v>
      </c>
    </row>
    <row r="31" spans="2:14" x14ac:dyDescent="0.35">
      <c r="M31" t="s">
        <v>59</v>
      </c>
      <c r="N31" s="155" t="e">
        <f ca="1">CHIDIST(N29,N30)</f>
        <v>#NAME?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9"/>
  <dimension ref="A1:Y21"/>
  <sheetViews>
    <sheetView workbookViewId="0"/>
  </sheetViews>
  <sheetFormatPr defaultRowHeight="14.5" x14ac:dyDescent="0.35"/>
  <cols>
    <col min="1" max="1" width="4.453125" customWidth="1"/>
    <col min="2" max="9" width="8.1796875" customWidth="1"/>
    <col min="10" max="10" width="7.1796875" customWidth="1"/>
    <col min="11" max="11" width="7.54296875" customWidth="1"/>
    <col min="12" max="19" width="5.81640625" customWidth="1"/>
  </cols>
  <sheetData>
    <row r="1" spans="1:25" x14ac:dyDescent="0.35">
      <c r="A1" s="1" t="s">
        <v>757</v>
      </c>
    </row>
    <row r="4" spans="1:25" x14ac:dyDescent="0.35">
      <c r="B4" s="298" t="s">
        <v>218</v>
      </c>
      <c r="C4" s="298" t="s">
        <v>98</v>
      </c>
      <c r="D4" s="298" t="s">
        <v>99</v>
      </c>
      <c r="E4" s="298" t="s">
        <v>100</v>
      </c>
      <c r="F4" s="298" t="s">
        <v>536</v>
      </c>
      <c r="G4" s="298" t="s">
        <v>101</v>
      </c>
      <c r="H4" s="298" t="s">
        <v>281</v>
      </c>
      <c r="I4" s="298" t="s">
        <v>537</v>
      </c>
      <c r="K4" s="298" t="s">
        <v>756</v>
      </c>
      <c r="L4" s="298" t="s">
        <v>218</v>
      </c>
      <c r="M4" s="298" t="s">
        <v>98</v>
      </c>
      <c r="N4" s="298" t="s">
        <v>99</v>
      </c>
      <c r="O4" s="298" t="s">
        <v>100</v>
      </c>
      <c r="P4" s="298" t="s">
        <v>536</v>
      </c>
      <c r="Q4" s="298" t="s">
        <v>101</v>
      </c>
      <c r="R4" s="298" t="s">
        <v>281</v>
      </c>
      <c r="S4" s="298" t="s">
        <v>537</v>
      </c>
      <c r="U4" t="s">
        <v>435</v>
      </c>
      <c r="X4" t="s">
        <v>611</v>
      </c>
    </row>
    <row r="5" spans="1:25" x14ac:dyDescent="0.35">
      <c r="B5" s="347">
        <v>7</v>
      </c>
      <c r="C5" s="346">
        <v>8</v>
      </c>
      <c r="D5" s="346">
        <v>6</v>
      </c>
      <c r="E5" s="346">
        <v>4</v>
      </c>
      <c r="F5" s="346">
        <v>5</v>
      </c>
      <c r="G5" s="346">
        <v>3</v>
      </c>
      <c r="H5" s="346">
        <v>2</v>
      </c>
      <c r="I5" s="345">
        <v>1</v>
      </c>
      <c r="K5" s="298">
        <v>1</v>
      </c>
      <c r="L5" s="347">
        <f>IF(COUNTIF($A5:A5,B5)=0,COUNTIF(C5:$J5,B5),0)</f>
        <v>0</v>
      </c>
      <c r="M5" s="346">
        <f>IF(COUNTIF($A5:B5,C5)=0,COUNTIF(D5:$J5,C5),0)</f>
        <v>0</v>
      </c>
      <c r="N5" s="346">
        <f>IF(COUNTIF($A5:C5,D5)=0,COUNTIF(E5:$J5,D5),0)</f>
        <v>0</v>
      </c>
      <c r="O5" s="346">
        <f>IF(COUNTIF($A5:D5,E5)=0,COUNTIF(F5:$J5,E5),0)</f>
        <v>0</v>
      </c>
      <c r="P5" s="346">
        <f>IF(COUNTIF($A5:E5,F5)=0,COUNTIF(G5:$J5,F5),0)</f>
        <v>0</v>
      </c>
      <c r="Q5" s="346">
        <f>IF(COUNTIF($A5:F5,G5)=0,COUNTIF(H5:$J5,G5),0)</f>
        <v>0</v>
      </c>
      <c r="R5" s="346">
        <f>IF(COUNTIF($A5:G5,H5)=0,COUNTIF(I5:$J5,H5),0)</f>
        <v>0</v>
      </c>
      <c r="S5" s="345">
        <f>IF(COUNTIF($A5:H5,I5)=0,COUNTIF(J5:$J5,I5),0)</f>
        <v>0</v>
      </c>
    </row>
    <row r="6" spans="1:25" x14ac:dyDescent="0.35">
      <c r="B6" s="103">
        <v>8</v>
      </c>
      <c r="C6" s="299">
        <v>7</v>
      </c>
      <c r="D6" s="299">
        <v>2</v>
      </c>
      <c r="E6" s="299">
        <v>6</v>
      </c>
      <c r="F6" s="299">
        <v>4.5</v>
      </c>
      <c r="G6" s="299">
        <v>4.5</v>
      </c>
      <c r="H6" s="299">
        <v>3</v>
      </c>
      <c r="I6" s="22">
        <v>1</v>
      </c>
      <c r="K6" s="298">
        <v>2</v>
      </c>
      <c r="L6" s="103">
        <f>IF(COUNTIF($A6:A6,B6)=0,COUNTIF(C6:$J6,B6),0)</f>
        <v>0</v>
      </c>
      <c r="M6" s="299">
        <f>IF(COUNTIF($A6:B6,C6)=0,COUNTIF(D6:$J6,C6),0)</f>
        <v>0</v>
      </c>
      <c r="N6" s="299">
        <f>IF(COUNTIF($A6:C6,D6)=0,COUNTIF(E6:$J6,D6),0)</f>
        <v>0</v>
      </c>
      <c r="O6" s="299">
        <f>IF(COUNTIF($A6:D6,E6)=0,COUNTIF(F6:$J6,E6),0)</f>
        <v>0</v>
      </c>
      <c r="P6" s="299">
        <f>IF(COUNTIF($A6:E6,F6)=0,COUNTIF(G6:$J6,F6),0)</f>
        <v>1</v>
      </c>
      <c r="Q6" s="299">
        <f>IF(COUNTIF($A6:F6,G6)=0,COUNTIF(H6:$J6,G6),0)</f>
        <v>0</v>
      </c>
      <c r="R6" s="299">
        <f>IF(COUNTIF($A6:G6,H6)=0,COUNTIF(I6:$J6,H6),0)</f>
        <v>0</v>
      </c>
      <c r="S6" s="22">
        <f>IF(COUNTIF($A6:H6,I6)=0,COUNTIF(J6:$J6,I6),0)</f>
        <v>0</v>
      </c>
      <c r="U6" t="e">
        <f t="array" aca="1" ref="U6:V10" ca="1">KENDALLW(B5:I11,TRUE,TRUE)</f>
        <v>#NAME?</v>
      </c>
      <c r="V6" s="335" t="e">
        <f ca="1"/>
        <v>#NAME?</v>
      </c>
      <c r="X6" t="s">
        <v>286</v>
      </c>
      <c r="Y6" s="348" t="e">
        <f t="array" aca="1" ref="Y6:Y10" ca="1">KENDALLW(B5:I11,,TRUE)</f>
        <v>#NAME?</v>
      </c>
    </row>
    <row r="7" spans="1:25" x14ac:dyDescent="0.35">
      <c r="B7" s="103">
        <v>8</v>
      </c>
      <c r="C7" s="299">
        <v>5.5</v>
      </c>
      <c r="D7" s="299">
        <v>7</v>
      </c>
      <c r="E7" s="299">
        <v>5.5</v>
      </c>
      <c r="F7" s="299">
        <v>4</v>
      </c>
      <c r="G7" s="299">
        <v>3</v>
      </c>
      <c r="H7" s="299">
        <v>2</v>
      </c>
      <c r="I7" s="22">
        <v>1</v>
      </c>
      <c r="K7" s="298">
        <v>3</v>
      </c>
      <c r="L7" s="103">
        <f>IF(COUNTIF($A7:A7,B7)=0,COUNTIF(C7:$J7,B7),0)</f>
        <v>0</v>
      </c>
      <c r="M7" s="299">
        <f>IF(COUNTIF($A7:B7,C7)=0,COUNTIF(D7:$J7,C7),0)</f>
        <v>1</v>
      </c>
      <c r="N7" s="299">
        <f>IF(COUNTIF($A7:C7,D7)=0,COUNTIF(E7:$J7,D7),0)</f>
        <v>0</v>
      </c>
      <c r="O7" s="299">
        <f>IF(COUNTIF($A7:D7,E7)=0,COUNTIF(F7:$J7,E7),0)</f>
        <v>0</v>
      </c>
      <c r="P7" s="299">
        <f>IF(COUNTIF($A7:E7,F7)=0,COUNTIF(G7:$J7,F7),0)</f>
        <v>0</v>
      </c>
      <c r="Q7" s="299">
        <f>IF(COUNTIF($A7:F7,G7)=0,COUNTIF(H7:$J7,G7),0)</f>
        <v>0</v>
      </c>
      <c r="R7" s="299">
        <f>IF(COUNTIF($A7:G7,H7)=0,COUNTIF(I7:$J7,H7),0)</f>
        <v>0</v>
      </c>
      <c r="S7" s="22">
        <f>IF(COUNTIF($A7:H7,I7)=0,COUNTIF(J7:$J7,I7),0)</f>
        <v>0</v>
      </c>
      <c r="U7" t="e">
        <f ca="1"/>
        <v>#NAME?</v>
      </c>
      <c r="V7" s="100" t="e">
        <f ca="1"/>
        <v>#NAME?</v>
      </c>
      <c r="X7" t="s">
        <v>95</v>
      </c>
      <c r="Y7" s="147" t="e">
        <f ca="1"/>
        <v>#NAME?</v>
      </c>
    </row>
    <row r="8" spans="1:25" x14ac:dyDescent="0.35">
      <c r="B8" s="103">
        <v>8</v>
      </c>
      <c r="C8" s="299">
        <v>6.5</v>
      </c>
      <c r="D8" s="299">
        <v>4</v>
      </c>
      <c r="E8" s="299">
        <v>5</v>
      </c>
      <c r="F8" s="299">
        <v>3</v>
      </c>
      <c r="G8" s="299">
        <v>6.5</v>
      </c>
      <c r="H8" s="299">
        <v>1</v>
      </c>
      <c r="I8" s="22">
        <v>2</v>
      </c>
      <c r="K8" s="298">
        <v>4</v>
      </c>
      <c r="L8" s="103">
        <f>IF(COUNTIF($A8:A8,B8)=0,COUNTIF(C8:$J8,B8),0)</f>
        <v>0</v>
      </c>
      <c r="M8" s="299">
        <f>IF(COUNTIF($A8:B8,C8)=0,COUNTIF(D8:$J8,C8),0)</f>
        <v>1</v>
      </c>
      <c r="N8" s="299">
        <f>IF(COUNTIF($A8:C8,D8)=0,COUNTIF(E8:$J8,D8),0)</f>
        <v>0</v>
      </c>
      <c r="O8" s="299">
        <f>IF(COUNTIF($A8:D8,E8)=0,COUNTIF(F8:$J8,E8),0)</f>
        <v>0</v>
      </c>
      <c r="P8" s="299">
        <f>IF(COUNTIF($A8:E8,F8)=0,COUNTIF(G8:$J8,F8),0)</f>
        <v>0</v>
      </c>
      <c r="Q8" s="299">
        <f>IF(COUNTIF($A8:F8,G8)=0,COUNTIF(H8:$J8,G8),0)</f>
        <v>0</v>
      </c>
      <c r="R8" s="299">
        <f>IF(COUNTIF($A8:G8,H8)=0,COUNTIF(I8:$J8,H8),0)</f>
        <v>0</v>
      </c>
      <c r="S8" s="22">
        <f>IF(COUNTIF($A8:H8,I8)=0,COUNTIF(J8:$J8,I8),0)</f>
        <v>0</v>
      </c>
      <c r="U8" t="e">
        <f ca="1"/>
        <v>#NAME?</v>
      </c>
      <c r="V8" s="100" t="e">
        <f ca="1"/>
        <v>#NAME?</v>
      </c>
      <c r="X8" t="s">
        <v>89</v>
      </c>
      <c r="Y8" s="147" t="e">
        <f ca="1"/>
        <v>#NAME?</v>
      </c>
    </row>
    <row r="9" spans="1:25" x14ac:dyDescent="0.35">
      <c r="B9" s="103">
        <v>6</v>
      </c>
      <c r="C9" s="299">
        <v>4.5</v>
      </c>
      <c r="D9" s="299">
        <v>2</v>
      </c>
      <c r="E9" s="299">
        <v>7</v>
      </c>
      <c r="F9" s="299">
        <v>3</v>
      </c>
      <c r="G9" s="299">
        <v>8</v>
      </c>
      <c r="H9" s="299">
        <v>1</v>
      </c>
      <c r="I9" s="22">
        <v>4.5</v>
      </c>
      <c r="K9" s="298">
        <v>5</v>
      </c>
      <c r="L9" s="103">
        <f>IF(COUNTIF($A9:A9,B9)=0,COUNTIF(C9:$J9,B9),0)</f>
        <v>0</v>
      </c>
      <c r="M9" s="299">
        <f>IF(COUNTIF($A9:B9,C9)=0,COUNTIF(D9:$J9,C9),0)</f>
        <v>1</v>
      </c>
      <c r="N9" s="299">
        <f>IF(COUNTIF($A9:C9,D9)=0,COUNTIF(E9:$J9,D9),0)</f>
        <v>0</v>
      </c>
      <c r="O9" s="299">
        <f>IF(COUNTIF($A9:D9,E9)=0,COUNTIF(F9:$J9,E9),0)</f>
        <v>0</v>
      </c>
      <c r="P9" s="299">
        <f>IF(COUNTIF($A9:E9,F9)=0,COUNTIF(G9:$J9,F9),0)</f>
        <v>0</v>
      </c>
      <c r="Q9" s="299">
        <f>IF(COUNTIF($A9:F9,G9)=0,COUNTIF(H9:$J9,G9),0)</f>
        <v>0</v>
      </c>
      <c r="R9" s="299">
        <f>IF(COUNTIF($A9:G9,H9)=0,COUNTIF(I9:$J9,H9),0)</f>
        <v>0</v>
      </c>
      <c r="S9" s="22">
        <f>IF(COUNTIF($A9:H9,I9)=0,COUNTIF(J9:$J9,I9),0)</f>
        <v>0</v>
      </c>
      <c r="U9" t="e">
        <f ca="1"/>
        <v>#NAME?</v>
      </c>
      <c r="V9" s="100" t="e">
        <f ca="1"/>
        <v>#NAME?</v>
      </c>
      <c r="X9" t="s">
        <v>53</v>
      </c>
      <c r="Y9" s="147" t="e">
        <f ca="1"/>
        <v>#NAME?</v>
      </c>
    </row>
    <row r="10" spans="1:25" x14ac:dyDescent="0.35">
      <c r="B10" s="103">
        <v>7.5</v>
      </c>
      <c r="C10" s="299">
        <v>6</v>
      </c>
      <c r="D10" s="299">
        <v>7.5</v>
      </c>
      <c r="E10" s="299">
        <v>2.5</v>
      </c>
      <c r="F10" s="299">
        <v>5</v>
      </c>
      <c r="G10" s="299">
        <v>4</v>
      </c>
      <c r="H10" s="299">
        <v>1</v>
      </c>
      <c r="I10" s="22">
        <v>2.5</v>
      </c>
      <c r="K10" s="298">
        <v>6</v>
      </c>
      <c r="L10" s="103">
        <f>IF(COUNTIF($A10:A10,B10)=0,COUNTIF(C10:$J10,B10),0)</f>
        <v>1</v>
      </c>
      <c r="M10" s="299">
        <f>IF(COUNTIF($A10:B10,C10)=0,COUNTIF(D10:$J10,C10),0)</f>
        <v>0</v>
      </c>
      <c r="N10" s="299">
        <f>IF(COUNTIF($A10:C10,D10)=0,COUNTIF(E10:$J10,D10),0)</f>
        <v>0</v>
      </c>
      <c r="O10" s="299">
        <f>IF(COUNTIF($A10:D10,E10)=0,COUNTIF(F10:$J10,E10),0)</f>
        <v>1</v>
      </c>
      <c r="P10" s="299">
        <f>IF(COUNTIF($A10:E10,F10)=0,COUNTIF(G10:$J10,F10),0)</f>
        <v>0</v>
      </c>
      <c r="Q10" s="299">
        <f>IF(COUNTIF($A10:F10,G10)=0,COUNTIF(H10:$J10,G10),0)</f>
        <v>0</v>
      </c>
      <c r="R10" s="299">
        <f>IF(COUNTIF($A10:G10,H10)=0,COUNTIF(I10:$J10,H10),0)</f>
        <v>0</v>
      </c>
      <c r="S10" s="22">
        <f>IF(COUNTIF($A10:H10,I10)=0,COUNTIF(J10:$J10,I10),0)</f>
        <v>0</v>
      </c>
      <c r="U10" t="e">
        <f ca="1"/>
        <v>#NAME?</v>
      </c>
      <c r="V10" s="94" t="e">
        <f ca="1"/>
        <v>#NAME?</v>
      </c>
      <c r="X10" t="s">
        <v>59</v>
      </c>
      <c r="Y10" s="155" t="e">
        <f ca="1"/>
        <v>#NAME?</v>
      </c>
    </row>
    <row r="11" spans="1:25" x14ac:dyDescent="0.35">
      <c r="B11" s="95">
        <v>6</v>
      </c>
      <c r="C11" s="300">
        <v>7</v>
      </c>
      <c r="D11" s="300">
        <v>4</v>
      </c>
      <c r="E11" s="300">
        <v>8</v>
      </c>
      <c r="F11" s="300">
        <v>4</v>
      </c>
      <c r="G11" s="300">
        <v>4</v>
      </c>
      <c r="H11" s="300">
        <v>2</v>
      </c>
      <c r="I11" s="90">
        <v>1</v>
      </c>
      <c r="K11" s="298">
        <v>7</v>
      </c>
      <c r="L11" s="95">
        <f>IF(COUNTIF($A11:A11,B11)=0,COUNTIF(C11:$J11,B11),0)</f>
        <v>0</v>
      </c>
      <c r="M11" s="300">
        <f>IF(COUNTIF($A11:B11,C11)=0,COUNTIF(D11:$J11,C11),0)</f>
        <v>0</v>
      </c>
      <c r="N11" s="300">
        <f>IF(COUNTIF($A11:C11,D11)=0,COUNTIF(E11:$J11,D11),0)</f>
        <v>2</v>
      </c>
      <c r="O11" s="300">
        <f>IF(COUNTIF($A11:D11,E11)=0,COUNTIF(F11:$J11,E11),0)</f>
        <v>0</v>
      </c>
      <c r="P11" s="300">
        <f>IF(COUNTIF($A11:E11,F11)=0,COUNTIF(G11:$J11,F11),0)</f>
        <v>0</v>
      </c>
      <c r="Q11" s="300">
        <f>IF(COUNTIF($A11:F11,G11)=0,COUNTIF(H11:$J11,G11),0)</f>
        <v>0</v>
      </c>
      <c r="R11" s="300">
        <f>IF(COUNTIF($A11:G11,H11)=0,COUNTIF(I11:$J11,H11),0)</f>
        <v>0</v>
      </c>
      <c r="S11" s="90">
        <f>IF(COUNTIF($A11:H11,I11)=0,COUNTIF(J11:$J11,I11),0)</f>
        <v>0</v>
      </c>
    </row>
    <row r="12" spans="1:25" x14ac:dyDescent="0.35">
      <c r="B12" s="298">
        <f t="shared" ref="B12:I12" si="0">SUM(B5:B11)</f>
        <v>50.5</v>
      </c>
      <c r="C12" s="298">
        <f t="shared" si="0"/>
        <v>44.5</v>
      </c>
      <c r="D12" s="298">
        <f t="shared" si="0"/>
        <v>32.5</v>
      </c>
      <c r="E12" s="298">
        <f t="shared" si="0"/>
        <v>38</v>
      </c>
      <c r="F12" s="298">
        <f t="shared" si="0"/>
        <v>28.5</v>
      </c>
      <c r="G12" s="298">
        <f t="shared" si="0"/>
        <v>33</v>
      </c>
      <c r="H12" s="298">
        <f t="shared" si="0"/>
        <v>12</v>
      </c>
      <c r="I12" s="298">
        <f t="shared" si="0"/>
        <v>13</v>
      </c>
    </row>
    <row r="14" spans="1:25" x14ac:dyDescent="0.35">
      <c r="B14" t="s">
        <v>51</v>
      </c>
      <c r="C14" s="335">
        <f>COUNTA(B5:I5)</f>
        <v>8</v>
      </c>
      <c r="E14" s="7" t="s">
        <v>755</v>
      </c>
    </row>
    <row r="15" spans="1:25" x14ac:dyDescent="0.35">
      <c r="B15" t="s">
        <v>271</v>
      </c>
      <c r="C15" s="100">
        <f>COUNT(B5:B11)</f>
        <v>7</v>
      </c>
      <c r="E15" s="7" t="s">
        <v>754</v>
      </c>
    </row>
    <row r="16" spans="1:25" x14ac:dyDescent="0.35">
      <c r="B16" t="s">
        <v>260</v>
      </c>
      <c r="C16" s="100">
        <f>SUMPRODUCT((L5:S11+1)^3-(L5:S11+1))</f>
        <v>60</v>
      </c>
      <c r="E16" s="7" t="s">
        <v>753</v>
      </c>
    </row>
    <row r="17" spans="2:5" x14ac:dyDescent="0.35">
      <c r="B17" t="s">
        <v>286</v>
      </c>
      <c r="C17" s="100">
        <f>(12*SUMSQ(B12:I12)-3*C15^2*C14*(C14+1)^2)/(C15^2*(C14^3-C14)-C15*C16)</f>
        <v>0.6460701927829956</v>
      </c>
      <c r="E17" s="7" t="s">
        <v>752</v>
      </c>
    </row>
    <row r="18" spans="2:5" x14ac:dyDescent="0.35">
      <c r="B18" t="s">
        <v>95</v>
      </c>
      <c r="C18" s="100">
        <f>(C15*C17-1)/(C15-1)</f>
        <v>0.58708189158016155</v>
      </c>
      <c r="E18" s="7" t="s">
        <v>751</v>
      </c>
    </row>
    <row r="19" spans="2:5" x14ac:dyDescent="0.35">
      <c r="B19" s="17" t="s">
        <v>90</v>
      </c>
      <c r="C19" s="100">
        <f>C15*(C14-1)*C17</f>
        <v>31.657439446366784</v>
      </c>
      <c r="E19" s="7" t="s">
        <v>750</v>
      </c>
    </row>
    <row r="20" spans="2:5" x14ac:dyDescent="0.35">
      <c r="B20" s="17" t="s">
        <v>53</v>
      </c>
      <c r="C20" s="100">
        <f>C14-1</f>
        <v>7</v>
      </c>
      <c r="E20" s="7" t="s">
        <v>741</v>
      </c>
    </row>
    <row r="21" spans="2:5" x14ac:dyDescent="0.35">
      <c r="B21" s="17" t="s">
        <v>59</v>
      </c>
      <c r="C21" s="94">
        <f>CHIDIST(C19,C20)</f>
        <v>4.7005265136025461E-5</v>
      </c>
      <c r="E21" s="7" t="s">
        <v>749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20"/>
  <dimension ref="A1:AG27"/>
  <sheetViews>
    <sheetView topLeftCell="M1" workbookViewId="0"/>
  </sheetViews>
  <sheetFormatPr defaultRowHeight="14.5" x14ac:dyDescent="0.35"/>
  <cols>
    <col min="1" max="1" width="6" customWidth="1"/>
    <col min="7" max="7" width="4.1796875" customWidth="1"/>
    <col min="8" max="8" width="5.26953125" customWidth="1"/>
    <col min="14" max="14" width="4.1796875" customWidth="1"/>
    <col min="15" max="18" width="9.1796875" customWidth="1"/>
    <col min="19" max="19" width="3.7265625" customWidth="1"/>
    <col min="22" max="22" width="4.1796875" customWidth="1"/>
    <col min="23" max="25" width="9.1796875" customWidth="1"/>
    <col min="29" max="29" width="11.54296875" customWidth="1"/>
    <col min="32" max="32" width="10.81640625" customWidth="1"/>
  </cols>
  <sheetData>
    <row r="1" spans="1:33" x14ac:dyDescent="0.35">
      <c r="A1" t="s">
        <v>786</v>
      </c>
      <c r="H1" t="s">
        <v>787</v>
      </c>
      <c r="N1" t="s">
        <v>788</v>
      </c>
      <c r="AC1" t="s">
        <v>622</v>
      </c>
      <c r="AF1" t="s">
        <v>622</v>
      </c>
    </row>
    <row r="3" spans="1:33" x14ac:dyDescent="0.35">
      <c r="A3" s="298"/>
      <c r="B3" s="298" t="s">
        <v>218</v>
      </c>
      <c r="C3" s="298" t="s">
        <v>98</v>
      </c>
      <c r="D3" s="298" t="s">
        <v>99</v>
      </c>
      <c r="E3" s="298" t="s">
        <v>100</v>
      </c>
      <c r="F3" s="298" t="s">
        <v>536</v>
      </c>
      <c r="G3" s="298"/>
      <c r="I3">
        <v>1</v>
      </c>
      <c r="J3">
        <v>2</v>
      </c>
      <c r="K3">
        <v>3</v>
      </c>
      <c r="L3">
        <v>4</v>
      </c>
      <c r="O3">
        <v>1</v>
      </c>
      <c r="P3">
        <v>2</v>
      </c>
      <c r="Q3">
        <v>3</v>
      </c>
      <c r="R3">
        <v>4</v>
      </c>
      <c r="T3" s="6" t="s">
        <v>95</v>
      </c>
      <c r="U3" s="6" t="s">
        <v>86</v>
      </c>
      <c r="V3" s="6"/>
      <c r="W3" s="23" t="s">
        <v>789</v>
      </c>
      <c r="X3" s="23" t="s">
        <v>790</v>
      </c>
      <c r="Y3" s="23" t="s">
        <v>44</v>
      </c>
      <c r="Z3" s="23" t="s">
        <v>791</v>
      </c>
      <c r="AC3" t="s">
        <v>35</v>
      </c>
      <c r="AD3" s="348">
        <v>0.05</v>
      </c>
      <c r="AF3" t="s">
        <v>35</v>
      </c>
      <c r="AG3" s="348">
        <v>0.05</v>
      </c>
    </row>
    <row r="4" spans="1:33" x14ac:dyDescent="0.35">
      <c r="A4" s="298">
        <v>1</v>
      </c>
      <c r="B4" s="347">
        <v>1</v>
      </c>
      <c r="C4" s="346">
        <v>2</v>
      </c>
      <c r="D4" s="346"/>
      <c r="E4" s="346">
        <v>3</v>
      </c>
      <c r="F4" s="345">
        <v>4</v>
      </c>
      <c r="G4" s="299"/>
      <c r="H4" s="298">
        <v>1</v>
      </c>
      <c r="I4" s="333">
        <f>COUNTIF($B4:$F4,I$3)</f>
        <v>1</v>
      </c>
      <c r="J4" s="332">
        <f t="shared" ref="J4:L11" si="0">COUNTIF($B4:$F4,J$3)</f>
        <v>1</v>
      </c>
      <c r="K4" s="332">
        <f t="shared" si="0"/>
        <v>1</v>
      </c>
      <c r="L4" s="341">
        <f t="shared" si="0"/>
        <v>1</v>
      </c>
      <c r="M4" s="4"/>
      <c r="N4" s="298">
        <v>1</v>
      </c>
      <c r="O4" s="333">
        <f t="array" ref="O4:R11">MMULT(I4:L11,O15:R18)</f>
        <v>1</v>
      </c>
      <c r="P4" s="332">
        <v>1</v>
      </c>
      <c r="Q4" s="332">
        <v>1</v>
      </c>
      <c r="R4" s="341">
        <v>1</v>
      </c>
      <c r="S4" s="4"/>
      <c r="T4" s="333">
        <f>SUM(I4:L4)</f>
        <v>4</v>
      </c>
      <c r="U4" s="341">
        <f t="shared" ref="U4:U11" si="1">SUMPRODUCT(I4:L4,O4:R4-1)/($U$15*(T4-1))</f>
        <v>0</v>
      </c>
      <c r="V4">
        <v>1</v>
      </c>
      <c r="W4" s="333">
        <f>(U4-$U$17*(T4/$U$15-1))</f>
        <v>2.2720333808263795E-2</v>
      </c>
      <c r="X4" s="332">
        <f>SUMPRODUCT(I4:L4,$O$22:$R$22)/$U$15-$U$18*(T4/$U$15-1)</f>
        <v>0.25066151027885203</v>
      </c>
      <c r="Y4" s="332">
        <f>(W4-$U$18)/(1-$U$18)</f>
        <v>-0.32287505166000824</v>
      </c>
      <c r="Z4" s="341">
        <f>Y4-2*(1-$U$19)*(X4-$U$18)/(1-$U$18)</f>
        <v>-0.29906934555601328</v>
      </c>
      <c r="AC4" t="s">
        <v>823</v>
      </c>
      <c r="AD4" s="147">
        <v>0</v>
      </c>
      <c r="AF4" t="s">
        <v>823</v>
      </c>
      <c r="AG4" s="155">
        <v>0</v>
      </c>
    </row>
    <row r="5" spans="1:33" x14ac:dyDescent="0.35">
      <c r="A5" s="298">
        <v>2</v>
      </c>
      <c r="B5" s="103">
        <v>2</v>
      </c>
      <c r="C5" s="299">
        <v>2</v>
      </c>
      <c r="D5" s="299">
        <v>3</v>
      </c>
      <c r="E5" s="299">
        <v>2</v>
      </c>
      <c r="F5" s="22"/>
      <c r="G5" s="299"/>
      <c r="H5" s="298">
        <v>2</v>
      </c>
      <c r="I5" s="101">
        <f t="shared" ref="I5:I11" si="2">COUNTIF($B5:$F5,I$3)</f>
        <v>0</v>
      </c>
      <c r="J5" s="4">
        <f t="shared" si="0"/>
        <v>3</v>
      </c>
      <c r="K5" s="4">
        <f t="shared" si="0"/>
        <v>1</v>
      </c>
      <c r="L5" s="5">
        <f t="shared" si="0"/>
        <v>0</v>
      </c>
      <c r="M5" s="4"/>
      <c r="N5" s="298">
        <v>2</v>
      </c>
      <c r="O5" s="101">
        <v>0</v>
      </c>
      <c r="P5" s="4">
        <v>3</v>
      </c>
      <c r="Q5" s="4">
        <v>1</v>
      </c>
      <c r="R5" s="5">
        <v>0</v>
      </c>
      <c r="S5" s="4"/>
      <c r="T5" s="101">
        <f t="shared" ref="T5:T11" si="3">SUM(I5:L5)</f>
        <v>4</v>
      </c>
      <c r="U5" s="5">
        <f t="shared" si="1"/>
        <v>0.47058823529411764</v>
      </c>
      <c r="V5">
        <v>2</v>
      </c>
      <c r="W5" s="101">
        <f t="shared" ref="W5:W11" si="4">(U5-$U$17*(T5/$U$15-1))</f>
        <v>0.49330856910238141</v>
      </c>
      <c r="X5" s="4">
        <f t="shared" ref="X5:X11" si="5">SUMPRODUCT(I5:L5,$O$22:$R$22)/$U$15-$U$18*(T5/$U$15-1)</f>
        <v>0.25758192550376546</v>
      </c>
      <c r="Y5" s="4">
        <f t="shared" ref="Y5:Y11" si="6">(W5-$U$18)/(1-$U$18)</f>
        <v>0.3141272902603664</v>
      </c>
      <c r="Z5" s="5">
        <f t="shared" ref="Z5:Z11" si="7">Y5-2*(1-$U$19)*(X5-$U$18)/(1-$U$18)</f>
        <v>0.3223677269886725</v>
      </c>
      <c r="AC5" t="s">
        <v>824</v>
      </c>
      <c r="AD5" s="155">
        <v>0</v>
      </c>
    </row>
    <row r="6" spans="1:33" x14ac:dyDescent="0.35">
      <c r="A6" s="298">
        <v>3</v>
      </c>
      <c r="B6" s="103">
        <v>1</v>
      </c>
      <c r="C6" s="299">
        <v>1</v>
      </c>
      <c r="D6" s="299">
        <v>1</v>
      </c>
      <c r="E6" s="299">
        <v>2</v>
      </c>
      <c r="F6" s="22">
        <v>2</v>
      </c>
      <c r="G6" s="299"/>
      <c r="H6" s="298">
        <v>3</v>
      </c>
      <c r="I6" s="101">
        <f t="shared" si="2"/>
        <v>3</v>
      </c>
      <c r="J6" s="4">
        <f t="shared" si="0"/>
        <v>2</v>
      </c>
      <c r="K6" s="4">
        <f t="shared" si="0"/>
        <v>0</v>
      </c>
      <c r="L6" s="5">
        <f t="shared" si="0"/>
        <v>0</v>
      </c>
      <c r="M6" s="4"/>
      <c r="N6" s="298">
        <v>3</v>
      </c>
      <c r="O6" s="101">
        <v>3</v>
      </c>
      <c r="P6" s="4">
        <v>2</v>
      </c>
      <c r="Q6" s="4">
        <v>0</v>
      </c>
      <c r="R6" s="5">
        <v>0</v>
      </c>
      <c r="S6" s="4"/>
      <c r="T6" s="101">
        <f t="shared" si="3"/>
        <v>5</v>
      </c>
      <c r="U6" s="5">
        <f t="shared" si="1"/>
        <v>0.47058823529411764</v>
      </c>
      <c r="V6">
        <v>3</v>
      </c>
      <c r="W6" s="101">
        <f t="shared" si="4"/>
        <v>0.40242723386932627</v>
      </c>
      <c r="X6" s="4">
        <f t="shared" si="5"/>
        <v>0.18919193975167917</v>
      </c>
      <c r="Y6" s="4">
        <f t="shared" si="6"/>
        <v>0.19110759057721449</v>
      </c>
      <c r="Z6" s="5">
        <f t="shared" si="7"/>
        <v>0.35316951290056481</v>
      </c>
      <c r="AF6" t="e">
        <f t="array" aca="1" ref="AF6:AG9" ca="1">KRIP_SES(I4:L11,TRUE,0,,AG3,AG4)</f>
        <v>#NAME?</v>
      </c>
      <c r="AG6" s="348" t="e">
        <f ca="1"/>
        <v>#NAME?</v>
      </c>
    </row>
    <row r="7" spans="1:33" x14ac:dyDescent="0.35">
      <c r="A7" s="298">
        <v>4</v>
      </c>
      <c r="B7" s="103">
        <v>4</v>
      </c>
      <c r="C7" s="299">
        <v>4</v>
      </c>
      <c r="D7" s="299">
        <v>3</v>
      </c>
      <c r="E7" s="299">
        <v>4</v>
      </c>
      <c r="F7" s="22">
        <v>2</v>
      </c>
      <c r="G7" s="299"/>
      <c r="H7" s="298">
        <v>4</v>
      </c>
      <c r="I7" s="101">
        <f t="shared" si="2"/>
        <v>0</v>
      </c>
      <c r="J7" s="4">
        <f t="shared" si="0"/>
        <v>1</v>
      </c>
      <c r="K7" s="4">
        <f t="shared" si="0"/>
        <v>1</v>
      </c>
      <c r="L7" s="5">
        <f t="shared" si="0"/>
        <v>3</v>
      </c>
      <c r="M7" s="4"/>
      <c r="N7" s="298">
        <v>4</v>
      </c>
      <c r="O7" s="101">
        <v>0</v>
      </c>
      <c r="P7" s="4">
        <v>1</v>
      </c>
      <c r="Q7" s="4">
        <v>1</v>
      </c>
      <c r="R7" s="5">
        <v>3</v>
      </c>
      <c r="S7" s="4"/>
      <c r="T7" s="101">
        <f t="shared" si="3"/>
        <v>5</v>
      </c>
      <c r="U7" s="5">
        <f t="shared" si="1"/>
        <v>0.35294117647058826</v>
      </c>
      <c r="V7">
        <v>4</v>
      </c>
      <c r="W7" s="101">
        <f t="shared" si="4"/>
        <v>0.28478017504579689</v>
      </c>
      <c r="X7" s="4">
        <f t="shared" si="5"/>
        <v>0.27223692245064113</v>
      </c>
      <c r="Y7" s="4">
        <f t="shared" si="6"/>
        <v>3.185700509712084E-2</v>
      </c>
      <c r="Z7" s="5">
        <f t="shared" si="7"/>
        <v>7.1356949122030923E-3</v>
      </c>
      <c r="AC7" t="e">
        <f t="array" aca="1" ref="AC7:AD13" ca="1">KRIP(B4:F13,TRUE,0,,AD3,AD4,AD5)</f>
        <v>#NAME?</v>
      </c>
      <c r="AD7" s="348" t="e">
        <f ca="1"/>
        <v>#NAME?</v>
      </c>
      <c r="AF7" t="e">
        <f ca="1"/>
        <v>#NAME?</v>
      </c>
      <c r="AG7" s="147" t="e">
        <f ca="1"/>
        <v>#NAME?</v>
      </c>
    </row>
    <row r="8" spans="1:33" x14ac:dyDescent="0.35">
      <c r="A8" s="298">
        <v>5</v>
      </c>
      <c r="B8" s="103">
        <v>3</v>
      </c>
      <c r="C8" s="299">
        <v>3</v>
      </c>
      <c r="D8" s="299">
        <v>4</v>
      </c>
      <c r="E8" s="299"/>
      <c r="F8" s="22">
        <v>3</v>
      </c>
      <c r="G8" s="299"/>
      <c r="H8" s="298">
        <v>5</v>
      </c>
      <c r="I8" s="101">
        <f t="shared" si="2"/>
        <v>0</v>
      </c>
      <c r="J8" s="4">
        <f t="shared" si="0"/>
        <v>0</v>
      </c>
      <c r="K8" s="4">
        <f t="shared" si="0"/>
        <v>3</v>
      </c>
      <c r="L8" s="5">
        <f t="shared" si="0"/>
        <v>1</v>
      </c>
      <c r="M8" s="4"/>
      <c r="N8" s="298">
        <v>5</v>
      </c>
      <c r="O8" s="101">
        <v>0</v>
      </c>
      <c r="P8" s="4">
        <v>0</v>
      </c>
      <c r="Q8" s="4">
        <v>3</v>
      </c>
      <c r="R8" s="5">
        <v>1</v>
      </c>
      <c r="S8" s="4"/>
      <c r="T8" s="101">
        <f t="shared" si="3"/>
        <v>4</v>
      </c>
      <c r="U8" s="5">
        <f t="shared" si="1"/>
        <v>0.47058823529411764</v>
      </c>
      <c r="V8">
        <v>5</v>
      </c>
      <c r="W8" s="101">
        <f t="shared" si="4"/>
        <v>0.49330856910238141</v>
      </c>
      <c r="X8" s="4">
        <f t="shared" si="5"/>
        <v>0.30602483207816</v>
      </c>
      <c r="Y8" s="4">
        <f t="shared" si="6"/>
        <v>0.3141272902603664</v>
      </c>
      <c r="Z8" s="5">
        <f t="shared" si="7"/>
        <v>0.2134108413588493</v>
      </c>
      <c r="AC8" t="e">
        <f ca="1"/>
        <v>#NAME?</v>
      </c>
      <c r="AD8" s="147" t="e">
        <f ca="1"/>
        <v>#NAME?</v>
      </c>
      <c r="AF8" t="e">
        <f ca="1"/>
        <v>#NAME?</v>
      </c>
      <c r="AG8" s="147" t="e">
        <f ca="1"/>
        <v>#NAME?</v>
      </c>
    </row>
    <row r="9" spans="1:33" x14ac:dyDescent="0.35">
      <c r="A9" s="298">
        <v>6</v>
      </c>
      <c r="B9" s="103">
        <v>2</v>
      </c>
      <c r="C9" s="299"/>
      <c r="D9" s="299">
        <v>1</v>
      </c>
      <c r="E9" s="299">
        <v>1</v>
      </c>
      <c r="F9" s="22"/>
      <c r="G9" s="299"/>
      <c r="H9" s="298">
        <v>6</v>
      </c>
      <c r="I9" s="101">
        <f t="shared" si="2"/>
        <v>2</v>
      </c>
      <c r="J9" s="4">
        <f t="shared" si="0"/>
        <v>1</v>
      </c>
      <c r="K9" s="4">
        <f t="shared" si="0"/>
        <v>0</v>
      </c>
      <c r="L9" s="5">
        <f t="shared" si="0"/>
        <v>0</v>
      </c>
      <c r="M9" s="4"/>
      <c r="N9" s="298">
        <v>6</v>
      </c>
      <c r="O9" s="101">
        <v>2</v>
      </c>
      <c r="P9" s="4">
        <v>1</v>
      </c>
      <c r="Q9" s="4">
        <v>0</v>
      </c>
      <c r="R9" s="5">
        <v>0</v>
      </c>
      <c r="S9" s="4"/>
      <c r="T9" s="101">
        <f t="shared" si="3"/>
        <v>3</v>
      </c>
      <c r="U9" s="5">
        <f t="shared" si="1"/>
        <v>0.23529411764705882</v>
      </c>
      <c r="V9">
        <v>6</v>
      </c>
      <c r="W9" s="101">
        <f t="shared" si="4"/>
        <v>0.34889578668837773</v>
      </c>
      <c r="X9" s="4">
        <f t="shared" si="5"/>
        <v>0.21524526765723589</v>
      </c>
      <c r="Y9" s="4">
        <f t="shared" si="6"/>
        <v>0.11864581898333097</v>
      </c>
      <c r="Z9" s="5">
        <f t="shared" si="7"/>
        <v>0.22210908012761671</v>
      </c>
      <c r="AC9" t="e">
        <f ca="1"/>
        <v>#NAME?</v>
      </c>
      <c r="AD9" s="147" t="e">
        <f ca="1"/>
        <v>#NAME?</v>
      </c>
      <c r="AF9" t="e">
        <f ca="1"/>
        <v>#NAME?</v>
      </c>
      <c r="AG9" s="155" t="e">
        <f ca="1"/>
        <v>#NAME?</v>
      </c>
    </row>
    <row r="10" spans="1:33" x14ac:dyDescent="0.35">
      <c r="A10" s="298">
        <v>7</v>
      </c>
      <c r="B10" s="103">
        <v>3</v>
      </c>
      <c r="C10" s="299">
        <v>3</v>
      </c>
      <c r="D10" s="299">
        <v>3</v>
      </c>
      <c r="E10" s="299">
        <v>4</v>
      </c>
      <c r="F10" s="22"/>
      <c r="G10" s="299"/>
      <c r="H10" s="298">
        <v>7</v>
      </c>
      <c r="I10" s="101">
        <f t="shared" si="2"/>
        <v>0</v>
      </c>
      <c r="J10" s="4">
        <f t="shared" si="0"/>
        <v>0</v>
      </c>
      <c r="K10" s="4">
        <f t="shared" si="0"/>
        <v>3</v>
      </c>
      <c r="L10" s="5">
        <f t="shared" si="0"/>
        <v>1</v>
      </c>
      <c r="M10" s="4"/>
      <c r="N10" s="298">
        <v>7</v>
      </c>
      <c r="O10" s="101">
        <v>0</v>
      </c>
      <c r="P10" s="4">
        <v>0</v>
      </c>
      <c r="Q10" s="4">
        <v>3</v>
      </c>
      <c r="R10" s="5">
        <v>1</v>
      </c>
      <c r="S10" s="4"/>
      <c r="T10" s="101">
        <f t="shared" si="3"/>
        <v>4</v>
      </c>
      <c r="U10" s="5">
        <f t="shared" si="1"/>
        <v>0.47058823529411764</v>
      </c>
      <c r="V10">
        <v>7</v>
      </c>
      <c r="W10" s="101">
        <f t="shared" si="4"/>
        <v>0.49330856910238141</v>
      </c>
      <c r="X10" s="4">
        <f t="shared" si="5"/>
        <v>0.30602483207816</v>
      </c>
      <c r="Y10" s="4">
        <f t="shared" si="6"/>
        <v>0.3141272902603664</v>
      </c>
      <c r="Z10" s="5">
        <f t="shared" si="7"/>
        <v>0.2134108413588493</v>
      </c>
      <c r="AC10" t="e">
        <f ca="1"/>
        <v>#NAME?</v>
      </c>
      <c r="AD10" s="147" t="e">
        <f ca="1"/>
        <v>#NAME?</v>
      </c>
    </row>
    <row r="11" spans="1:33" x14ac:dyDescent="0.35">
      <c r="A11" s="298">
        <v>8</v>
      </c>
      <c r="B11" s="103">
        <v>4</v>
      </c>
      <c r="C11" s="299">
        <v>3</v>
      </c>
      <c r="D11" s="299">
        <v>4</v>
      </c>
      <c r="E11" s="299">
        <v>3</v>
      </c>
      <c r="F11" s="22">
        <v>4</v>
      </c>
      <c r="G11" s="299"/>
      <c r="H11" s="298">
        <v>8</v>
      </c>
      <c r="I11" s="89">
        <f t="shared" si="2"/>
        <v>0</v>
      </c>
      <c r="J11" s="159">
        <f t="shared" si="0"/>
        <v>0</v>
      </c>
      <c r="K11" s="159">
        <f t="shared" si="0"/>
        <v>2</v>
      </c>
      <c r="L11" s="93">
        <f t="shared" si="0"/>
        <v>3</v>
      </c>
      <c r="M11" s="4"/>
      <c r="N11" s="298">
        <v>8</v>
      </c>
      <c r="O11" s="89">
        <v>0</v>
      </c>
      <c r="P11" s="159">
        <v>0</v>
      </c>
      <c r="Q11" s="159">
        <v>2</v>
      </c>
      <c r="R11" s="93">
        <v>3</v>
      </c>
      <c r="S11" s="4"/>
      <c r="T11" s="89">
        <f t="shared" si="3"/>
        <v>5</v>
      </c>
      <c r="U11" s="93">
        <f t="shared" si="1"/>
        <v>0.47058823529411764</v>
      </c>
      <c r="V11">
        <v>8</v>
      </c>
      <c r="W11" s="89">
        <f t="shared" si="4"/>
        <v>0.40242723386932627</v>
      </c>
      <c r="X11" s="159">
        <f t="shared" si="5"/>
        <v>0.29299816812538165</v>
      </c>
      <c r="Y11" s="159">
        <f t="shared" si="6"/>
        <v>0.19110759057721449</v>
      </c>
      <c r="Z11" s="93">
        <f t="shared" si="7"/>
        <v>0.11969047226522965</v>
      </c>
      <c r="AC11" t="e">
        <f ca="1"/>
        <v>#NAME?</v>
      </c>
      <c r="AD11" s="147" t="e">
        <f ca="1"/>
        <v>#NAME?</v>
      </c>
    </row>
    <row r="12" spans="1:33" x14ac:dyDescent="0.35">
      <c r="A12" s="298">
        <v>9</v>
      </c>
      <c r="B12" s="103"/>
      <c r="C12" s="299"/>
      <c r="D12" s="299"/>
      <c r="E12" s="299"/>
      <c r="F12" s="22"/>
      <c r="G12" s="299"/>
      <c r="H12" s="298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AC12" t="e">
        <f ca="1"/>
        <v>#NAME?</v>
      </c>
      <c r="AD12" s="147" t="e">
        <f ca="1"/>
        <v>#NAME?</v>
      </c>
    </row>
    <row r="13" spans="1:33" x14ac:dyDescent="0.35">
      <c r="A13" s="298">
        <v>10</v>
      </c>
      <c r="B13" s="95"/>
      <c r="C13" s="300">
        <v>3</v>
      </c>
      <c r="D13" s="300"/>
      <c r="E13" s="300"/>
      <c r="F13" s="90"/>
      <c r="G13" s="299"/>
      <c r="N13" s="30" t="s">
        <v>718</v>
      </c>
      <c r="T13" s="30" t="s">
        <v>31</v>
      </c>
      <c r="U13" s="335">
        <f>COUNT(H4:H11)</f>
        <v>8</v>
      </c>
      <c r="X13" t="s">
        <v>792</v>
      </c>
      <c r="Y13" t="s">
        <v>810</v>
      </c>
      <c r="AC13" t="e">
        <f ca="1"/>
        <v>#NAME?</v>
      </c>
      <c r="AD13" s="155" t="e">
        <f ca="1"/>
        <v>#NAME?</v>
      </c>
    </row>
    <row r="14" spans="1:33" x14ac:dyDescent="0.35">
      <c r="A14" s="298"/>
      <c r="B14" s="299"/>
      <c r="C14" s="299"/>
      <c r="D14" s="299"/>
      <c r="E14" s="299"/>
      <c r="F14" s="299"/>
      <c r="G14" s="299"/>
      <c r="O14">
        <v>1</v>
      </c>
      <c r="P14">
        <v>2</v>
      </c>
      <c r="Q14">
        <v>3</v>
      </c>
      <c r="R14">
        <v>4</v>
      </c>
      <c r="T14" s="30" t="s">
        <v>656</v>
      </c>
      <c r="U14" s="100">
        <f>COUNT(I3:L3)</f>
        <v>4</v>
      </c>
      <c r="W14" s="17" t="s">
        <v>44</v>
      </c>
      <c r="X14" s="335">
        <v>0.05</v>
      </c>
      <c r="Y14" s="335">
        <v>0.05</v>
      </c>
    </row>
    <row r="15" spans="1:33" x14ac:dyDescent="0.35">
      <c r="N15" s="298">
        <v>1</v>
      </c>
      <c r="O15" s="333">
        <v>1</v>
      </c>
      <c r="P15" s="332">
        <v>0</v>
      </c>
      <c r="Q15" s="332">
        <v>0</v>
      </c>
      <c r="R15" s="341">
        <v>0</v>
      </c>
      <c r="T15" t="s">
        <v>793</v>
      </c>
      <c r="U15" s="100">
        <f>AVERAGE(T4:T11)</f>
        <v>4.25</v>
      </c>
      <c r="W15" t="s">
        <v>265</v>
      </c>
      <c r="X15" s="100">
        <f t="array" ref="X15">SQRT(SUMSQ(Z4:Z11-U19)/(U13*(U13-1)))</f>
        <v>7.464289072090792E-2</v>
      </c>
      <c r="Y15" s="100" t="e">
        <f ca="1">SQRT(X15^2+X22^2)</f>
        <v>#NAME?</v>
      </c>
    </row>
    <row r="16" spans="1:33" x14ac:dyDescent="0.35">
      <c r="N16" s="298">
        <v>2</v>
      </c>
      <c r="O16" s="101">
        <v>0</v>
      </c>
      <c r="P16" s="4">
        <v>1</v>
      </c>
      <c r="Q16" s="4">
        <v>0</v>
      </c>
      <c r="R16" s="5">
        <v>0</v>
      </c>
      <c r="T16" t="s">
        <v>794</v>
      </c>
      <c r="U16" s="100">
        <f>1/(U13*U15)</f>
        <v>2.9411764705882353E-2</v>
      </c>
      <c r="W16" t="s">
        <v>29</v>
      </c>
      <c r="X16" s="100">
        <f>U19-X15*TINV(X14,U13-1)</f>
        <v>-7.2986425350493878E-3</v>
      </c>
      <c r="Y16" s="100" t="e">
        <f ca="1">U19-Y15*TINV(X14,U13-1)</f>
        <v>#NAME?</v>
      </c>
    </row>
    <row r="17" spans="14:27" x14ac:dyDescent="0.35">
      <c r="N17" s="299">
        <v>3</v>
      </c>
      <c r="O17" s="101">
        <v>0</v>
      </c>
      <c r="P17" s="4">
        <v>0</v>
      </c>
      <c r="Q17" s="4">
        <v>1</v>
      </c>
      <c r="R17" s="5">
        <v>0</v>
      </c>
      <c r="T17" s="30" t="s">
        <v>707</v>
      </c>
      <c r="U17" s="100">
        <f>AVERAGE(U4:U11)*(1-U16)+U16</f>
        <v>0.38624567474048443</v>
      </c>
      <c r="W17" t="s">
        <v>30</v>
      </c>
      <c r="X17" s="94">
        <f>MIN(U19+X15*TINV(X14,U13-1),1)</f>
        <v>0.34570613668024841</v>
      </c>
      <c r="Y17" s="94" t="e">
        <f ca="1">MIN(U19+Y15*TINV(X14,U13-1),1)</f>
        <v>#NAME?</v>
      </c>
    </row>
    <row r="18" spans="14:27" x14ac:dyDescent="0.35">
      <c r="N18" s="74">
        <v>4</v>
      </c>
      <c r="O18" s="89">
        <v>0</v>
      </c>
      <c r="P18" s="159">
        <v>0</v>
      </c>
      <c r="Q18" s="159">
        <v>0</v>
      </c>
      <c r="R18" s="93">
        <v>1</v>
      </c>
      <c r="T18" s="30" t="s">
        <v>704</v>
      </c>
      <c r="U18" s="100">
        <f t="array" ref="U18">SUMPRODUCT(MMULT(TRANSPOSE(O20:R20),O20:R20),O15:R18)</f>
        <v>0.26124567474048443</v>
      </c>
    </row>
    <row r="19" spans="14:27" x14ac:dyDescent="0.35">
      <c r="N19" s="4"/>
      <c r="O19" s="4"/>
      <c r="P19" s="4"/>
      <c r="Q19" s="4"/>
      <c r="R19" s="4"/>
      <c r="T19" s="30" t="s">
        <v>795</v>
      </c>
      <c r="U19" s="94">
        <f>(U17-U18)/(1-U18)</f>
        <v>0.16920374707259953</v>
      </c>
    </row>
    <row r="20" spans="14:27" x14ac:dyDescent="0.35">
      <c r="N20" s="57" t="s">
        <v>796</v>
      </c>
      <c r="O20" s="123">
        <f>SUM(I4:I11)*$U$16</f>
        <v>0.1764705882352941</v>
      </c>
      <c r="P20" s="327">
        <f>SUM(J4:J11)*$U$16</f>
        <v>0.23529411764705882</v>
      </c>
      <c r="Q20" s="327">
        <f>SUM(K4:K11)*$U$16</f>
        <v>0.3235294117647059</v>
      </c>
      <c r="R20" s="326">
        <f>SUM(L4:L11)*$U$16</f>
        <v>0.26470588235294118</v>
      </c>
    </row>
    <row r="21" spans="14:27" x14ac:dyDescent="0.35">
      <c r="N21" s="298"/>
      <c r="T21" s="79" t="s">
        <v>795</v>
      </c>
      <c r="U21" s="109" t="e" cm="1">
        <f t="array" aca="1" ref="U21" ca="1">KALPHA(I4:L11)</f>
        <v>#NAME?</v>
      </c>
      <c r="W21" t="s">
        <v>798</v>
      </c>
      <c r="Z21" t="e">
        <f t="array" aca="1" ref="Z21:AA27" ca="1">KRIP(B4:F13,TRUE)</f>
        <v>#NAME?</v>
      </c>
      <c r="AA21" s="335" t="e">
        <f ca="1"/>
        <v>#NAME?</v>
      </c>
    </row>
    <row r="22" spans="14:27" x14ac:dyDescent="0.35">
      <c r="N22" s="298" t="s">
        <v>799</v>
      </c>
      <c r="O22" s="123">
        <f t="array" ref="O22:R22">MMULT(O20:R20,O15:R18)</f>
        <v>0.1764705882352941</v>
      </c>
      <c r="P22" s="327">
        <v>0.23529411764705882</v>
      </c>
      <c r="Q22" s="327">
        <v>0.3235294117647059</v>
      </c>
      <c r="R22" s="326">
        <v>0.26470588235294118</v>
      </c>
      <c r="W22" t="s">
        <v>265</v>
      </c>
      <c r="X22" s="109" t="e" cm="1">
        <f t="array" aca="1" ref="X22" ca="1">KRIP_SER(B4:F13)</f>
        <v>#NAME?</v>
      </c>
      <c r="Z22" t="e">
        <f ca="1"/>
        <v>#NAME?</v>
      </c>
      <c r="AA22" s="100" t="e">
        <f ca="1"/>
        <v>#NAME?</v>
      </c>
    </row>
    <row r="23" spans="14:27" x14ac:dyDescent="0.35">
      <c r="Z23" t="e">
        <f ca="1"/>
        <v>#NAME?</v>
      </c>
      <c r="AA23" s="100" t="e">
        <f ca="1"/>
        <v>#NAME?</v>
      </c>
    </row>
    <row r="24" spans="14:27" x14ac:dyDescent="0.35">
      <c r="W24" t="e">
        <f t="array" aca="1" ref="W24:X27" ca="1">KRIP_SES(I4:L11,TRUE)</f>
        <v>#NAME?</v>
      </c>
      <c r="X24" s="335" t="e">
        <f ca="1"/>
        <v>#NAME?</v>
      </c>
      <c r="Z24" t="e">
        <f ca="1"/>
        <v>#NAME?</v>
      </c>
      <c r="AA24" s="100" t="e">
        <f ca="1"/>
        <v>#NAME?</v>
      </c>
    </row>
    <row r="25" spans="14:27" x14ac:dyDescent="0.35">
      <c r="W25" t="e">
        <f ca="1"/>
        <v>#NAME?</v>
      </c>
      <c r="X25" s="100" t="e">
        <f ca="1"/>
        <v>#NAME?</v>
      </c>
      <c r="Z25" t="e">
        <f ca="1"/>
        <v>#NAME?</v>
      </c>
      <c r="AA25" s="100" t="e">
        <f ca="1"/>
        <v>#NAME?</v>
      </c>
    </row>
    <row r="26" spans="14:27" x14ac:dyDescent="0.35">
      <c r="W26" t="e">
        <f ca="1"/>
        <v>#NAME?</v>
      </c>
      <c r="X26" s="100" t="e">
        <f ca="1"/>
        <v>#NAME?</v>
      </c>
      <c r="Z26" t="e">
        <f ca="1"/>
        <v>#NAME?</v>
      </c>
      <c r="AA26" s="100" t="e">
        <f ca="1"/>
        <v>#NAME?</v>
      </c>
    </row>
    <row r="27" spans="14:27" x14ac:dyDescent="0.35">
      <c r="W27" t="e">
        <f ca="1"/>
        <v>#NAME?</v>
      </c>
      <c r="X27" s="94" t="e">
        <f ca="1"/>
        <v>#NAME?</v>
      </c>
      <c r="Z27" t="e">
        <f ca="1"/>
        <v>#NAME?</v>
      </c>
      <c r="AA27" s="94" t="e">
        <f ca="1"/>
        <v>#NAME?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32"/>
  <dimension ref="A1:AQ15"/>
  <sheetViews>
    <sheetView workbookViewId="0"/>
  </sheetViews>
  <sheetFormatPr defaultRowHeight="14.5" x14ac:dyDescent="0.35"/>
  <cols>
    <col min="1" max="1" width="4.54296875" customWidth="1"/>
    <col min="2" max="6" width="5.26953125" customWidth="1"/>
    <col min="7" max="9" width="4.7265625" customWidth="1"/>
    <col min="10" max="10" width="9.1796875" customWidth="1"/>
    <col min="11" max="12" width="4.7265625" customWidth="1"/>
    <col min="13" max="13" width="9.1796875" customWidth="1"/>
    <col min="14" max="14" width="4.7265625" customWidth="1"/>
    <col min="15" max="38" width="5.54296875" customWidth="1"/>
    <col min="40" max="40" width="10.54296875" customWidth="1"/>
    <col min="42" max="42" width="3" customWidth="1"/>
    <col min="43" max="43" width="28.7265625" customWidth="1"/>
  </cols>
  <sheetData>
    <row r="1" spans="1:43" x14ac:dyDescent="0.35">
      <c r="A1" t="s">
        <v>786</v>
      </c>
    </row>
    <row r="3" spans="1:43" x14ac:dyDescent="0.35">
      <c r="A3" s="298"/>
      <c r="B3" s="298" t="s">
        <v>218</v>
      </c>
      <c r="C3" s="298" t="s">
        <v>98</v>
      </c>
      <c r="D3" s="298" t="s">
        <v>99</v>
      </c>
      <c r="E3" s="298" t="s">
        <v>100</v>
      </c>
      <c r="F3" s="298" t="s">
        <v>536</v>
      </c>
      <c r="J3" s="298" t="s">
        <v>795</v>
      </c>
      <c r="O3" s="298">
        <v>1</v>
      </c>
      <c r="P3" s="298">
        <v>2</v>
      </c>
      <c r="Q3" s="298">
        <v>3</v>
      </c>
      <c r="R3" s="298">
        <v>4</v>
      </c>
      <c r="T3" s="298">
        <v>1</v>
      </c>
      <c r="U3" s="298">
        <v>2</v>
      </c>
      <c r="V3" s="298">
        <v>3</v>
      </c>
      <c r="W3" s="298">
        <v>4</v>
      </c>
      <c r="Y3" s="298">
        <v>1</v>
      </c>
      <c r="Z3" s="298">
        <v>2</v>
      </c>
      <c r="AA3" s="298">
        <v>3</v>
      </c>
      <c r="AB3" s="298">
        <v>4</v>
      </c>
      <c r="AD3" s="298">
        <v>1</v>
      </c>
      <c r="AE3" s="298">
        <v>2</v>
      </c>
      <c r="AF3" s="298">
        <v>3</v>
      </c>
      <c r="AG3" s="298">
        <v>4</v>
      </c>
      <c r="AI3" s="298">
        <v>1</v>
      </c>
      <c r="AJ3" s="298">
        <v>2</v>
      </c>
      <c r="AK3" s="298">
        <v>3</v>
      </c>
      <c r="AL3" s="298">
        <v>4</v>
      </c>
    </row>
    <row r="4" spans="1:43" x14ac:dyDescent="0.35">
      <c r="A4" s="298">
        <v>1</v>
      </c>
      <c r="B4" s="347">
        <v>1</v>
      </c>
      <c r="C4" s="346">
        <v>2</v>
      </c>
      <c r="D4" s="346"/>
      <c r="E4" s="346">
        <v>3</v>
      </c>
      <c r="F4" s="345">
        <v>4</v>
      </c>
      <c r="H4" s="298" t="s">
        <v>218</v>
      </c>
      <c r="I4" s="298">
        <v>1</v>
      </c>
      <c r="J4" s="335" t="e" cm="1">
        <f t="array" aca="1" ref="J4" ca="1">KALPHA(KTRANS($B$4:$F$13,I4))</f>
        <v>#NAME?</v>
      </c>
      <c r="L4" t="s">
        <v>6</v>
      </c>
      <c r="M4" s="335" t="e">
        <f ca="1">(COUNTA(B3:F3)-1)*VARP(J4:J8)</f>
        <v>#NAME?</v>
      </c>
      <c r="O4" s="347" t="e">
        <f t="array" aca="1" ref="O4:R13" ca="1">KTRANS($B$4:$F$13,1)</f>
        <v>#NAME?</v>
      </c>
      <c r="P4" s="346" t="e">
        <f ca="1"/>
        <v>#NAME?</v>
      </c>
      <c r="Q4" s="346" t="e">
        <f ca="1"/>
        <v>#NAME?</v>
      </c>
      <c r="R4" s="345" t="e">
        <f ca="1"/>
        <v>#NAME?</v>
      </c>
      <c r="T4" s="347" t="e">
        <f t="array" aca="1" ref="T4:W13" ca="1">KTRANS($B$4:$F$13,2)</f>
        <v>#NAME?</v>
      </c>
      <c r="U4" s="346" t="e">
        <f ca="1"/>
        <v>#NAME?</v>
      </c>
      <c r="V4" s="346" t="e">
        <f ca="1"/>
        <v>#NAME?</v>
      </c>
      <c r="W4" s="345" t="e">
        <f ca="1"/>
        <v>#NAME?</v>
      </c>
      <c r="Y4" s="347" t="e">
        <f t="array" aca="1" ref="Y4:AB13" ca="1">KTRANS($B$4:$F$13,3)</f>
        <v>#NAME?</v>
      </c>
      <c r="Z4" s="346" t="e">
        <f ca="1"/>
        <v>#NAME?</v>
      </c>
      <c r="AA4" s="346" t="e">
        <f ca="1"/>
        <v>#NAME?</v>
      </c>
      <c r="AB4" s="345" t="e">
        <f ca="1"/>
        <v>#NAME?</v>
      </c>
      <c r="AD4" s="347" t="e">
        <f t="array" aca="1" ref="AD4:AG13" ca="1">KTRANS($B$4:$F$13,4)</f>
        <v>#NAME?</v>
      </c>
      <c r="AE4" s="346" t="e">
        <f ca="1"/>
        <v>#NAME?</v>
      </c>
      <c r="AF4" s="346" t="e">
        <f ca="1"/>
        <v>#NAME?</v>
      </c>
      <c r="AG4" s="345" t="e">
        <f ca="1"/>
        <v>#NAME?</v>
      </c>
      <c r="AI4" s="347" t="e">
        <f t="array" aca="1" ref="AI4:AL13" ca="1">KTRANS($B$4:$F$13,5)</f>
        <v>#NAME?</v>
      </c>
      <c r="AJ4" s="346" t="e">
        <f ca="1"/>
        <v>#NAME?</v>
      </c>
      <c r="AK4" s="346" t="e">
        <f ca="1"/>
        <v>#NAME?</v>
      </c>
      <c r="AL4" s="345" t="e">
        <f ca="1"/>
        <v>#NAME?</v>
      </c>
      <c r="AN4" t="s">
        <v>702</v>
      </c>
      <c r="AO4" s="335" t="e" cm="1">
        <f t="array" aca="1" ref="AO4" ca="1">KALPHA(KTRANS(B4:F13))</f>
        <v>#NAME?</v>
      </c>
      <c r="AQ4" t="e" cm="1">
        <f t="array" aca="1" ref="AQ4" ca="1">FTEXT(AO4)</f>
        <v>#NAME?</v>
      </c>
    </row>
    <row r="5" spans="1:43" x14ac:dyDescent="0.35">
      <c r="A5" s="298">
        <v>2</v>
      </c>
      <c r="B5" s="103">
        <v>2</v>
      </c>
      <c r="C5" s="299">
        <v>2</v>
      </c>
      <c r="D5" s="299">
        <v>3</v>
      </c>
      <c r="E5" s="299">
        <v>2</v>
      </c>
      <c r="F5" s="22"/>
      <c r="H5" s="298" t="s">
        <v>98</v>
      </c>
      <c r="I5" s="298">
        <v>2</v>
      </c>
      <c r="J5" s="100" t="e" cm="1">
        <f t="array" aca="1" ref="J5" ca="1">KALPHA(KTRANS($B$4:$F$13,I5))</f>
        <v>#NAME?</v>
      </c>
      <c r="L5" t="s">
        <v>265</v>
      </c>
      <c r="M5" s="94" t="e">
        <f ca="1">SQRT(M4)</f>
        <v>#NAME?</v>
      </c>
      <c r="O5" s="103" t="e">
        <f ca="1"/>
        <v>#NAME?</v>
      </c>
      <c r="P5" s="299" t="e">
        <f ca="1"/>
        <v>#NAME?</v>
      </c>
      <c r="Q5" s="299" t="e">
        <f ca="1"/>
        <v>#NAME?</v>
      </c>
      <c r="R5" s="22" t="e">
        <f ca="1"/>
        <v>#NAME?</v>
      </c>
      <c r="T5" s="103" t="e">
        <f ca="1"/>
        <v>#NAME?</v>
      </c>
      <c r="U5" s="299" t="e">
        <f ca="1"/>
        <v>#NAME?</v>
      </c>
      <c r="V5" s="299" t="e">
        <f ca="1"/>
        <v>#NAME?</v>
      </c>
      <c r="W5" s="22" t="e">
        <f ca="1"/>
        <v>#NAME?</v>
      </c>
      <c r="Y5" s="103" t="e">
        <f ca="1"/>
        <v>#NAME?</v>
      </c>
      <c r="Z5" s="299" t="e">
        <f ca="1"/>
        <v>#NAME?</v>
      </c>
      <c r="AA5" s="299" t="e">
        <f ca="1"/>
        <v>#NAME?</v>
      </c>
      <c r="AB5" s="22" t="e">
        <f ca="1"/>
        <v>#NAME?</v>
      </c>
      <c r="AD5" s="103" t="e">
        <f ca="1"/>
        <v>#NAME?</v>
      </c>
      <c r="AE5" s="299" t="e">
        <f ca="1"/>
        <v>#NAME?</v>
      </c>
      <c r="AF5" s="299" t="e">
        <f ca="1"/>
        <v>#NAME?</v>
      </c>
      <c r="AG5" s="22" t="e">
        <f ca="1"/>
        <v>#NAME?</v>
      </c>
      <c r="AI5" s="103" t="e">
        <f ca="1"/>
        <v>#NAME?</v>
      </c>
      <c r="AJ5" s="299" t="e">
        <f ca="1"/>
        <v>#NAME?</v>
      </c>
      <c r="AK5" s="299" t="e">
        <f ca="1"/>
        <v>#NAME?</v>
      </c>
      <c r="AL5" s="22" t="e">
        <f ca="1"/>
        <v>#NAME?</v>
      </c>
      <c r="AN5" t="s">
        <v>816</v>
      </c>
      <c r="AO5" s="100">
        <f>'Krip cat'!X15</f>
        <v>7.464289072090792E-2</v>
      </c>
      <c r="AQ5" s="7" t="s">
        <v>817</v>
      </c>
    </row>
    <row r="6" spans="1:43" x14ac:dyDescent="0.35">
      <c r="A6" s="298">
        <v>3</v>
      </c>
      <c r="B6" s="103">
        <v>1</v>
      </c>
      <c r="C6" s="299">
        <v>1</v>
      </c>
      <c r="D6" s="299">
        <v>1</v>
      </c>
      <c r="E6" s="299">
        <v>2</v>
      </c>
      <c r="F6" s="22">
        <v>2</v>
      </c>
      <c r="H6" s="298" t="s">
        <v>99</v>
      </c>
      <c r="I6" s="74">
        <v>3</v>
      </c>
      <c r="J6" s="100" t="e" cm="1">
        <f t="array" aca="1" ref="J6" ca="1">KALPHA(KTRANS($B$4:$F$13,I6))</f>
        <v>#NAME?</v>
      </c>
      <c r="O6" s="103" t="e">
        <f ca="1"/>
        <v>#NAME?</v>
      </c>
      <c r="P6" s="299" t="e">
        <f ca="1"/>
        <v>#NAME?</v>
      </c>
      <c r="Q6" s="299" t="e">
        <f ca="1"/>
        <v>#NAME?</v>
      </c>
      <c r="R6" s="22" t="e">
        <f ca="1"/>
        <v>#NAME?</v>
      </c>
      <c r="T6" s="103" t="e">
        <f ca="1"/>
        <v>#NAME?</v>
      </c>
      <c r="U6" s="299" t="e">
        <f ca="1"/>
        <v>#NAME?</v>
      </c>
      <c r="V6" s="299" t="e">
        <f ca="1"/>
        <v>#NAME?</v>
      </c>
      <c r="W6" s="22" t="e">
        <f ca="1"/>
        <v>#NAME?</v>
      </c>
      <c r="Y6" s="103" t="e">
        <f ca="1"/>
        <v>#NAME?</v>
      </c>
      <c r="Z6" s="299" t="e">
        <f ca="1"/>
        <v>#NAME?</v>
      </c>
      <c r="AA6" s="299" t="e">
        <f ca="1"/>
        <v>#NAME?</v>
      </c>
      <c r="AB6" s="22" t="e">
        <f ca="1"/>
        <v>#NAME?</v>
      </c>
      <c r="AD6" s="103" t="e">
        <f ca="1"/>
        <v>#NAME?</v>
      </c>
      <c r="AE6" s="299" t="e">
        <f ca="1"/>
        <v>#NAME?</v>
      </c>
      <c r="AF6" s="299" t="e">
        <f ca="1"/>
        <v>#NAME?</v>
      </c>
      <c r="AG6" s="22" t="e">
        <f ca="1"/>
        <v>#NAME?</v>
      </c>
      <c r="AI6" s="103" t="e">
        <f ca="1"/>
        <v>#NAME?</v>
      </c>
      <c r="AJ6" s="299" t="e">
        <f ca="1"/>
        <v>#NAME?</v>
      </c>
      <c r="AK6" s="299" t="e">
        <f ca="1"/>
        <v>#NAME?</v>
      </c>
      <c r="AL6" s="22" t="e">
        <f ca="1"/>
        <v>#NAME?</v>
      </c>
      <c r="AN6" t="s">
        <v>818</v>
      </c>
      <c r="AO6" s="100" t="e">
        <f ca="1">M5</f>
        <v>#NAME?</v>
      </c>
      <c r="AQ6" t="e" cm="1">
        <f t="array" aca="1" ref="AQ6" ca="1">FTEXT(AO6)</f>
        <v>#NAME?</v>
      </c>
    </row>
    <row r="7" spans="1:43" x14ac:dyDescent="0.35">
      <c r="A7" s="298">
        <v>4</v>
      </c>
      <c r="B7" s="103">
        <v>4</v>
      </c>
      <c r="C7" s="299">
        <v>4</v>
      </c>
      <c r="D7" s="299">
        <v>3</v>
      </c>
      <c r="E7" s="299">
        <v>4</v>
      </c>
      <c r="F7" s="22">
        <v>2</v>
      </c>
      <c r="H7" s="298" t="s">
        <v>100</v>
      </c>
      <c r="I7" s="74">
        <v>4</v>
      </c>
      <c r="J7" s="100" t="e" cm="1">
        <f t="array" aca="1" ref="J7" ca="1">KALPHA(KTRANS($B$4:$F$13,I7))</f>
        <v>#NAME?</v>
      </c>
      <c r="O7" s="103" t="e">
        <f ca="1"/>
        <v>#NAME?</v>
      </c>
      <c r="P7" s="299" t="e">
        <f ca="1"/>
        <v>#NAME?</v>
      </c>
      <c r="Q7" s="299" t="e">
        <f ca="1"/>
        <v>#NAME?</v>
      </c>
      <c r="R7" s="22" t="e">
        <f ca="1"/>
        <v>#NAME?</v>
      </c>
      <c r="T7" s="103" t="e">
        <f ca="1"/>
        <v>#NAME?</v>
      </c>
      <c r="U7" s="299" t="e">
        <f ca="1"/>
        <v>#NAME?</v>
      </c>
      <c r="V7" s="299" t="e">
        <f ca="1"/>
        <v>#NAME?</v>
      </c>
      <c r="W7" s="22" t="e">
        <f ca="1"/>
        <v>#NAME?</v>
      </c>
      <c r="Y7" s="103" t="e">
        <f ca="1"/>
        <v>#NAME?</v>
      </c>
      <c r="Z7" s="299" t="e">
        <f ca="1"/>
        <v>#NAME?</v>
      </c>
      <c r="AA7" s="299" t="e">
        <f ca="1"/>
        <v>#NAME?</v>
      </c>
      <c r="AB7" s="22" t="e">
        <f ca="1"/>
        <v>#NAME?</v>
      </c>
      <c r="AD7" s="103" t="e">
        <f ca="1"/>
        <v>#NAME?</v>
      </c>
      <c r="AE7" s="299" t="e">
        <f ca="1"/>
        <v>#NAME?</v>
      </c>
      <c r="AF7" s="299" t="e">
        <f ca="1"/>
        <v>#NAME?</v>
      </c>
      <c r="AG7" s="22" t="e">
        <f ca="1"/>
        <v>#NAME?</v>
      </c>
      <c r="AI7" s="103" t="e">
        <f ca="1"/>
        <v>#NAME?</v>
      </c>
      <c r="AJ7" s="299" t="e">
        <f ca="1"/>
        <v>#NAME?</v>
      </c>
      <c r="AK7" s="299" t="e">
        <f ca="1"/>
        <v>#NAME?</v>
      </c>
      <c r="AL7" s="22" t="e">
        <f ca="1"/>
        <v>#NAME?</v>
      </c>
      <c r="AN7" t="s">
        <v>819</v>
      </c>
      <c r="AO7" s="94" t="e">
        <f ca="1">SQRT(AO5^2+AO6^2)</f>
        <v>#NAME?</v>
      </c>
      <c r="AQ7" t="e" cm="1">
        <f t="array" aca="1" ref="AQ7" ca="1">FTEXT(AO7)</f>
        <v>#NAME?</v>
      </c>
    </row>
    <row r="8" spans="1:43" x14ac:dyDescent="0.35">
      <c r="A8" s="298">
        <v>5</v>
      </c>
      <c r="B8" s="103">
        <v>3</v>
      </c>
      <c r="C8" s="299">
        <v>3</v>
      </c>
      <c r="D8" s="299">
        <v>4</v>
      </c>
      <c r="E8" s="299"/>
      <c r="F8" s="22">
        <v>3</v>
      </c>
      <c r="H8" s="298" t="s">
        <v>536</v>
      </c>
      <c r="I8" s="298">
        <v>5</v>
      </c>
      <c r="J8" s="94" t="e" cm="1">
        <f t="array" aca="1" ref="J8" ca="1">KALPHA(KTRANS($B$4:$F$13,I8))</f>
        <v>#NAME?</v>
      </c>
      <c r="O8" s="103" t="e">
        <f ca="1"/>
        <v>#NAME?</v>
      </c>
      <c r="P8" s="299" t="e">
        <f ca="1"/>
        <v>#NAME?</v>
      </c>
      <c r="Q8" s="299" t="e">
        <f ca="1"/>
        <v>#NAME?</v>
      </c>
      <c r="R8" s="22" t="e">
        <f ca="1"/>
        <v>#NAME?</v>
      </c>
      <c r="T8" s="103" t="e">
        <f ca="1"/>
        <v>#NAME?</v>
      </c>
      <c r="U8" s="299" t="e">
        <f ca="1"/>
        <v>#NAME?</v>
      </c>
      <c r="V8" s="299" t="e">
        <f ca="1"/>
        <v>#NAME?</v>
      </c>
      <c r="W8" s="22" t="e">
        <f ca="1"/>
        <v>#NAME?</v>
      </c>
      <c r="Y8" s="103" t="e">
        <f ca="1"/>
        <v>#NAME?</v>
      </c>
      <c r="Z8" s="299" t="e">
        <f ca="1"/>
        <v>#NAME?</v>
      </c>
      <c r="AA8" s="299" t="e">
        <f ca="1"/>
        <v>#NAME?</v>
      </c>
      <c r="AB8" s="22" t="e">
        <f ca="1"/>
        <v>#NAME?</v>
      </c>
      <c r="AD8" s="103" t="e">
        <f ca="1"/>
        <v>#NAME?</v>
      </c>
      <c r="AE8" s="299" t="e">
        <f ca="1"/>
        <v>#NAME?</v>
      </c>
      <c r="AF8" s="299" t="e">
        <f ca="1"/>
        <v>#NAME?</v>
      </c>
      <c r="AG8" s="22" t="e">
        <f ca="1"/>
        <v>#NAME?</v>
      </c>
      <c r="AI8" s="103" t="e">
        <f ca="1"/>
        <v>#NAME?</v>
      </c>
      <c r="AJ8" s="299" t="e">
        <f ca="1"/>
        <v>#NAME?</v>
      </c>
      <c r="AK8" s="299" t="e">
        <f ca="1"/>
        <v>#NAME?</v>
      </c>
      <c r="AL8" s="22" t="e">
        <f ca="1"/>
        <v>#NAME?</v>
      </c>
      <c r="AQ8" t="e" cm="1">
        <f t="array" aca="1" ref="AQ8" ca="1">FTEXT(AO8)</f>
        <v>#NAME?</v>
      </c>
    </row>
    <row r="9" spans="1:43" x14ac:dyDescent="0.35">
      <c r="A9" s="298">
        <v>6</v>
      </c>
      <c r="B9" s="103">
        <v>2</v>
      </c>
      <c r="C9" s="299"/>
      <c r="D9" s="299">
        <v>1</v>
      </c>
      <c r="E9" s="299">
        <v>1</v>
      </c>
      <c r="F9" s="22"/>
      <c r="O9" s="103" t="e">
        <f ca="1"/>
        <v>#NAME?</v>
      </c>
      <c r="P9" s="299" t="e">
        <f ca="1"/>
        <v>#NAME?</v>
      </c>
      <c r="Q9" s="299" t="e">
        <f ca="1"/>
        <v>#NAME?</v>
      </c>
      <c r="R9" s="22" t="e">
        <f ca="1"/>
        <v>#NAME?</v>
      </c>
      <c r="T9" s="103" t="e">
        <f ca="1"/>
        <v>#NAME?</v>
      </c>
      <c r="U9" s="299" t="e">
        <f ca="1"/>
        <v>#NAME?</v>
      </c>
      <c r="V9" s="299" t="e">
        <f ca="1"/>
        <v>#NAME?</v>
      </c>
      <c r="W9" s="22" t="e">
        <f ca="1"/>
        <v>#NAME?</v>
      </c>
      <c r="Y9" s="103" t="e">
        <f ca="1"/>
        <v>#NAME?</v>
      </c>
      <c r="Z9" s="299" t="e">
        <f ca="1"/>
        <v>#NAME?</v>
      </c>
      <c r="AA9" s="299" t="e">
        <f ca="1"/>
        <v>#NAME?</v>
      </c>
      <c r="AB9" s="22" t="e">
        <f ca="1"/>
        <v>#NAME?</v>
      </c>
      <c r="AD9" s="103" t="e">
        <f ca="1"/>
        <v>#NAME?</v>
      </c>
      <c r="AE9" s="299" t="e">
        <f ca="1"/>
        <v>#NAME?</v>
      </c>
      <c r="AF9" s="299" t="e">
        <f ca="1"/>
        <v>#NAME?</v>
      </c>
      <c r="AG9" s="22" t="e">
        <f ca="1"/>
        <v>#NAME?</v>
      </c>
      <c r="AI9" s="103" t="e">
        <f ca="1"/>
        <v>#NAME?</v>
      </c>
      <c r="AJ9" s="299" t="e">
        <f ca="1"/>
        <v>#NAME?</v>
      </c>
      <c r="AK9" s="299" t="e">
        <f ca="1"/>
        <v>#NAME?</v>
      </c>
      <c r="AL9" s="22" t="e">
        <f ca="1"/>
        <v>#NAME?</v>
      </c>
      <c r="AN9" t="s">
        <v>31</v>
      </c>
      <c r="AO9" s="335">
        <f>A11</f>
        <v>8</v>
      </c>
      <c r="AQ9" s="7" t="s">
        <v>820</v>
      </c>
    </row>
    <row r="10" spans="1:43" x14ac:dyDescent="0.35">
      <c r="A10" s="298">
        <v>7</v>
      </c>
      <c r="B10" s="103">
        <v>3</v>
      </c>
      <c r="C10" s="299">
        <v>3</v>
      </c>
      <c r="D10" s="299">
        <v>3</v>
      </c>
      <c r="E10" s="299">
        <v>4</v>
      </c>
      <c r="F10" s="22"/>
      <c r="O10" s="103" t="e">
        <f ca="1"/>
        <v>#NAME?</v>
      </c>
      <c r="P10" s="299" t="e">
        <f ca="1"/>
        <v>#NAME?</v>
      </c>
      <c r="Q10" s="299" t="e">
        <f ca="1"/>
        <v>#NAME?</v>
      </c>
      <c r="R10" s="22" t="e">
        <f ca="1"/>
        <v>#NAME?</v>
      </c>
      <c r="T10" s="103" t="e">
        <f ca="1"/>
        <v>#NAME?</v>
      </c>
      <c r="U10" s="299" t="e">
        <f ca="1"/>
        <v>#NAME?</v>
      </c>
      <c r="V10" s="299" t="e">
        <f ca="1"/>
        <v>#NAME?</v>
      </c>
      <c r="W10" s="22" t="e">
        <f ca="1"/>
        <v>#NAME?</v>
      </c>
      <c r="Y10" s="103" t="e">
        <f ca="1"/>
        <v>#NAME?</v>
      </c>
      <c r="Z10" s="299" t="e">
        <f ca="1"/>
        <v>#NAME?</v>
      </c>
      <c r="AA10" s="299" t="e">
        <f ca="1"/>
        <v>#NAME?</v>
      </c>
      <c r="AB10" s="22" t="e">
        <f ca="1"/>
        <v>#NAME?</v>
      </c>
      <c r="AD10" s="103" t="e">
        <f ca="1"/>
        <v>#NAME?</v>
      </c>
      <c r="AE10" s="299" t="e">
        <f ca="1"/>
        <v>#NAME?</v>
      </c>
      <c r="AF10" s="299" t="e">
        <f ca="1"/>
        <v>#NAME?</v>
      </c>
      <c r="AG10" s="22" t="e">
        <f ca="1"/>
        <v>#NAME?</v>
      </c>
      <c r="AI10" s="103" t="e">
        <f ca="1"/>
        <v>#NAME?</v>
      </c>
      <c r="AJ10" s="299" t="e">
        <f ca="1"/>
        <v>#NAME?</v>
      </c>
      <c r="AK10" s="299" t="e">
        <f ca="1"/>
        <v>#NAME?</v>
      </c>
      <c r="AL10" s="22" t="e">
        <f ca="1"/>
        <v>#NAME?</v>
      </c>
      <c r="AN10" s="17" t="s">
        <v>44</v>
      </c>
      <c r="AO10" s="100">
        <v>0.05</v>
      </c>
    </row>
    <row r="11" spans="1:43" x14ac:dyDescent="0.35">
      <c r="A11" s="298">
        <v>8</v>
      </c>
      <c r="B11" s="103">
        <v>4</v>
      </c>
      <c r="C11" s="299">
        <v>3</v>
      </c>
      <c r="D11" s="299">
        <v>4</v>
      </c>
      <c r="E11" s="299">
        <v>3</v>
      </c>
      <c r="F11" s="22">
        <v>4</v>
      </c>
      <c r="O11" s="95" t="e">
        <f ca="1"/>
        <v>#NAME?</v>
      </c>
      <c r="P11" s="300" t="e">
        <f ca="1"/>
        <v>#NAME?</v>
      </c>
      <c r="Q11" s="300" t="e">
        <f ca="1"/>
        <v>#NAME?</v>
      </c>
      <c r="R11" s="90" t="e">
        <f ca="1"/>
        <v>#NAME?</v>
      </c>
      <c r="T11" s="95" t="e">
        <f ca="1"/>
        <v>#NAME?</v>
      </c>
      <c r="U11" s="300" t="e">
        <f ca="1"/>
        <v>#NAME?</v>
      </c>
      <c r="V11" s="300" t="e">
        <f ca="1"/>
        <v>#NAME?</v>
      </c>
      <c r="W11" s="90" t="e">
        <f ca="1"/>
        <v>#NAME?</v>
      </c>
      <c r="Y11" s="95" t="e">
        <f ca="1"/>
        <v>#NAME?</v>
      </c>
      <c r="Z11" s="300" t="e">
        <f ca="1"/>
        <v>#NAME?</v>
      </c>
      <c r="AA11" s="300" t="e">
        <f ca="1"/>
        <v>#NAME?</v>
      </c>
      <c r="AB11" s="90" t="e">
        <f ca="1"/>
        <v>#NAME?</v>
      </c>
      <c r="AD11" s="95" t="e">
        <f ca="1"/>
        <v>#NAME?</v>
      </c>
      <c r="AE11" s="300" t="e">
        <f ca="1"/>
        <v>#NAME?</v>
      </c>
      <c r="AF11" s="300" t="e">
        <f ca="1"/>
        <v>#NAME?</v>
      </c>
      <c r="AG11" s="90" t="e">
        <f ca="1"/>
        <v>#NAME?</v>
      </c>
      <c r="AI11" s="95" t="e">
        <f ca="1"/>
        <v>#NAME?</v>
      </c>
      <c r="AJ11" s="300" t="e">
        <f ca="1"/>
        <v>#NAME?</v>
      </c>
      <c r="AK11" s="300" t="e">
        <f ca="1"/>
        <v>#NAME?</v>
      </c>
      <c r="AL11" s="90" t="e">
        <f ca="1"/>
        <v>#NAME?</v>
      </c>
      <c r="AN11" s="17" t="s">
        <v>29</v>
      </c>
      <c r="AO11" s="100" t="e">
        <f ca="1">AO4-AO7*TINV(AO10,AO9-1)</f>
        <v>#NAME?</v>
      </c>
      <c r="AQ11" t="e" cm="1">
        <f t="array" aca="1" ref="AQ11" ca="1">FTEXT(AO11)</f>
        <v>#NAME?</v>
      </c>
    </row>
    <row r="12" spans="1:43" x14ac:dyDescent="0.35">
      <c r="A12" s="298">
        <v>9</v>
      </c>
      <c r="B12" s="103"/>
      <c r="C12" s="299"/>
      <c r="D12" s="299"/>
      <c r="E12" s="299"/>
      <c r="F12" s="22"/>
      <c r="O12" s="299" t="e">
        <f ca="1"/>
        <v>#NAME?</v>
      </c>
      <c r="P12" s="299" t="e">
        <f ca="1"/>
        <v>#NAME?</v>
      </c>
      <c r="Q12" s="299" t="e">
        <f ca="1"/>
        <v>#NAME?</v>
      </c>
      <c r="R12" s="299" t="e">
        <f ca="1"/>
        <v>#NAME?</v>
      </c>
      <c r="T12" s="299" t="e">
        <f ca="1"/>
        <v>#NAME?</v>
      </c>
      <c r="U12" s="299" t="e">
        <f ca="1"/>
        <v>#NAME?</v>
      </c>
      <c r="V12" s="299" t="e">
        <f ca="1"/>
        <v>#NAME?</v>
      </c>
      <c r="W12" s="299" t="e">
        <f ca="1"/>
        <v>#NAME?</v>
      </c>
      <c r="Y12" s="299" t="e">
        <f ca="1"/>
        <v>#NAME?</v>
      </c>
      <c r="Z12" s="299" t="e">
        <f ca="1"/>
        <v>#NAME?</v>
      </c>
      <c r="AA12" s="299" t="e">
        <f ca="1"/>
        <v>#NAME?</v>
      </c>
      <c r="AB12" s="299" t="e">
        <f ca="1"/>
        <v>#NAME?</v>
      </c>
      <c r="AD12" s="299" t="e">
        <f ca="1"/>
        <v>#NAME?</v>
      </c>
      <c r="AE12" s="299" t="e">
        <f ca="1"/>
        <v>#NAME?</v>
      </c>
      <c r="AF12" s="299" t="e">
        <f ca="1"/>
        <v>#NAME?</v>
      </c>
      <c r="AG12" s="299" t="e">
        <f ca="1"/>
        <v>#NAME?</v>
      </c>
      <c r="AI12" s="299" t="e">
        <f ca="1"/>
        <v>#NAME?</v>
      </c>
      <c r="AJ12" s="299" t="e">
        <f ca="1"/>
        <v>#NAME?</v>
      </c>
      <c r="AK12" s="299" t="e">
        <f ca="1"/>
        <v>#NAME?</v>
      </c>
      <c r="AL12" s="299" t="e">
        <f ca="1"/>
        <v>#NAME?</v>
      </c>
      <c r="AN12" s="17" t="s">
        <v>30</v>
      </c>
      <c r="AO12" s="94" t="e">
        <f ca="1">AO4+AO7*TINV(AO10,AO9-1)</f>
        <v>#NAME?</v>
      </c>
      <c r="AQ12" t="e" cm="1">
        <f t="array" aca="1" ref="AQ12" ca="1">FTEXT(AO12)</f>
        <v>#NAME?</v>
      </c>
    </row>
    <row r="13" spans="1:43" x14ac:dyDescent="0.35">
      <c r="A13" s="298">
        <v>10</v>
      </c>
      <c r="B13" s="95"/>
      <c r="C13" s="300">
        <v>3</v>
      </c>
      <c r="D13" s="300"/>
      <c r="E13" s="300"/>
      <c r="F13" s="90"/>
      <c r="O13" s="299" t="e">
        <f ca="1"/>
        <v>#NAME?</v>
      </c>
      <c r="P13" s="299" t="e">
        <f ca="1"/>
        <v>#NAME?</v>
      </c>
      <c r="Q13" s="299" t="e">
        <f ca="1"/>
        <v>#NAME?</v>
      </c>
      <c r="R13" s="299" t="e">
        <f ca="1"/>
        <v>#NAME?</v>
      </c>
      <c r="T13" s="299" t="e">
        <f ca="1"/>
        <v>#NAME?</v>
      </c>
      <c r="U13" s="299" t="e">
        <f ca="1"/>
        <v>#NAME?</v>
      </c>
      <c r="V13" s="299" t="e">
        <f ca="1"/>
        <v>#NAME?</v>
      </c>
      <c r="W13" s="299" t="e">
        <f ca="1"/>
        <v>#NAME?</v>
      </c>
      <c r="Y13" s="299" t="e">
        <f ca="1"/>
        <v>#NAME?</v>
      </c>
      <c r="Z13" s="299" t="e">
        <f ca="1"/>
        <v>#NAME?</v>
      </c>
      <c r="AA13" s="299" t="e">
        <f ca="1"/>
        <v>#NAME?</v>
      </c>
      <c r="AB13" s="299" t="e">
        <f ca="1"/>
        <v>#NAME?</v>
      </c>
      <c r="AD13" s="299" t="e">
        <f ca="1"/>
        <v>#NAME?</v>
      </c>
      <c r="AE13" s="299" t="e">
        <f ca="1"/>
        <v>#NAME?</v>
      </c>
      <c r="AF13" s="299" t="e">
        <f ca="1"/>
        <v>#NAME?</v>
      </c>
      <c r="AG13" s="299" t="e">
        <f ca="1"/>
        <v>#NAME?</v>
      </c>
      <c r="AI13" s="299" t="e">
        <f ca="1"/>
        <v>#NAME?</v>
      </c>
      <c r="AJ13" s="299" t="e">
        <f ca="1"/>
        <v>#NAME?</v>
      </c>
      <c r="AK13" s="299" t="e">
        <f ca="1"/>
        <v>#NAME?</v>
      </c>
      <c r="AL13" s="299" t="e">
        <f ca="1"/>
        <v>#NAME?</v>
      </c>
    </row>
    <row r="14" spans="1:43" x14ac:dyDescent="0.35">
      <c r="A14" s="298"/>
      <c r="B14" s="299"/>
      <c r="C14" s="299"/>
      <c r="D14" s="299"/>
      <c r="E14" s="299"/>
      <c r="F14" s="299"/>
    </row>
    <row r="15" spans="1:43" x14ac:dyDescent="0.35">
      <c r="P15" s="563" t="e" cm="1">
        <f t="array" aca="1" ref="P15" ca="1">KALPHA(O4:R11)</f>
        <v>#NAME?</v>
      </c>
      <c r="Q15" s="563"/>
      <c r="U15" s="563" t="e" cm="1">
        <f t="array" aca="1" ref="U15" ca="1">KALPHA(T4:W11)</f>
        <v>#NAME?</v>
      </c>
      <c r="V15" s="563"/>
      <c r="Z15" s="563" t="e" cm="1">
        <f t="array" aca="1" ref="Z15" ca="1">KALPHA(Y4:AB11)</f>
        <v>#NAME?</v>
      </c>
      <c r="AA15" s="563"/>
      <c r="AE15" s="563" t="e" cm="1">
        <f t="array" aca="1" ref="AE15" ca="1">KALPHA(AD4:AG11)</f>
        <v>#NAME?</v>
      </c>
      <c r="AF15" s="563"/>
      <c r="AJ15" s="566" t="e" cm="1">
        <f t="array" aca="1" ref="AJ15" ca="1">KALPHA(AI4:AL11)</f>
        <v>#NAME?</v>
      </c>
      <c r="AK15" s="566"/>
    </row>
  </sheetData>
  <mergeCells count="5">
    <mergeCell ref="P15:Q15"/>
    <mergeCell ref="U15:V15"/>
    <mergeCell ref="Z15:AA15"/>
    <mergeCell ref="AE15:AF15"/>
    <mergeCell ref="AJ15:AK15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21"/>
  <dimension ref="A1:AA27"/>
  <sheetViews>
    <sheetView workbookViewId="0"/>
  </sheetViews>
  <sheetFormatPr defaultRowHeight="14.5" x14ac:dyDescent="0.35"/>
  <cols>
    <col min="1" max="1" width="6" customWidth="1"/>
    <col min="7" max="7" width="4.1796875" customWidth="1"/>
    <col min="8" max="8" width="5.26953125" customWidth="1"/>
    <col min="14" max="14" width="4.1796875" customWidth="1"/>
    <col min="15" max="18" width="9.1796875" customWidth="1"/>
    <col min="19" max="19" width="3.7265625" customWidth="1"/>
    <col min="22" max="22" width="4.1796875" customWidth="1"/>
    <col min="23" max="25" width="9.1796875" customWidth="1"/>
  </cols>
  <sheetData>
    <row r="1" spans="1:26" x14ac:dyDescent="0.35">
      <c r="A1" t="s">
        <v>786</v>
      </c>
      <c r="H1" t="s">
        <v>787</v>
      </c>
      <c r="N1" t="s">
        <v>788</v>
      </c>
    </row>
    <row r="3" spans="1:26" x14ac:dyDescent="0.35">
      <c r="A3" s="298"/>
      <c r="B3" s="298" t="s">
        <v>218</v>
      </c>
      <c r="C3" s="298" t="s">
        <v>98</v>
      </c>
      <c r="D3" s="298" t="s">
        <v>99</v>
      </c>
      <c r="E3" s="298" t="s">
        <v>100</v>
      </c>
      <c r="F3" s="298" t="s">
        <v>536</v>
      </c>
      <c r="G3" s="298"/>
      <c r="I3">
        <v>1</v>
      </c>
      <c r="J3">
        <v>2</v>
      </c>
      <c r="K3">
        <v>3</v>
      </c>
      <c r="L3">
        <v>4</v>
      </c>
      <c r="O3">
        <v>1</v>
      </c>
      <c r="P3">
        <v>2</v>
      </c>
      <c r="Q3">
        <v>3</v>
      </c>
      <c r="R3">
        <v>4</v>
      </c>
      <c r="T3" s="6" t="s">
        <v>95</v>
      </c>
      <c r="U3" s="6" t="s">
        <v>86</v>
      </c>
      <c r="V3" s="6"/>
      <c r="W3" s="23" t="s">
        <v>789</v>
      </c>
      <c r="X3" s="23" t="s">
        <v>790</v>
      </c>
      <c r="Y3" s="23" t="s">
        <v>44</v>
      </c>
      <c r="Z3" s="23" t="s">
        <v>791</v>
      </c>
    </row>
    <row r="4" spans="1:26" x14ac:dyDescent="0.35">
      <c r="A4" s="298">
        <v>1</v>
      </c>
      <c r="B4" s="347">
        <v>1</v>
      </c>
      <c r="C4" s="346">
        <v>2</v>
      </c>
      <c r="D4" s="346"/>
      <c r="E4" s="346">
        <v>3</v>
      </c>
      <c r="F4" s="345">
        <v>4</v>
      </c>
      <c r="G4" s="299"/>
      <c r="H4" s="298">
        <v>1</v>
      </c>
      <c r="I4" s="333">
        <f>COUNTIF($B4:$F4,I$3)</f>
        <v>1</v>
      </c>
      <c r="J4" s="332">
        <f t="shared" ref="J4:L11" si="0">COUNTIF($B4:$F4,J$3)</f>
        <v>1</v>
      </c>
      <c r="K4" s="332">
        <f t="shared" si="0"/>
        <v>1</v>
      </c>
      <c r="L4" s="341">
        <f t="shared" si="0"/>
        <v>1</v>
      </c>
      <c r="M4" s="4"/>
      <c r="N4" s="298">
        <v>1</v>
      </c>
      <c r="O4" s="333">
        <f t="array" ref="O4:R11">MMULT(I4:L11,O15:R18)</f>
        <v>2.3333333333333335</v>
      </c>
      <c r="P4" s="332">
        <v>3.166666666666667</v>
      </c>
      <c r="Q4" s="332">
        <v>3.166666666666667</v>
      </c>
      <c r="R4" s="341">
        <v>2.3333333333333335</v>
      </c>
      <c r="S4" s="4"/>
      <c r="T4" s="333">
        <f>SUM(I4:L4)</f>
        <v>4</v>
      </c>
      <c r="U4" s="341">
        <f t="shared" ref="U4:U11" si="1">SUMPRODUCT(I4:L4,O4:R4-1)/($U$15*(T4-1))</f>
        <v>0.54901960784313741</v>
      </c>
      <c r="V4" s="6"/>
      <c r="W4" s="333">
        <f>(U4-$U$17*(T4/$U$15-1))</f>
        <v>0.59930711038740769</v>
      </c>
      <c r="X4" s="332">
        <f>SUMPRODUCT(I4:L4,$O$22:$R$22)/$U$15-$U$18*(T4/$U$15-1)</f>
        <v>0.70091254494877531</v>
      </c>
      <c r="Y4" s="332">
        <f t="shared" ref="Y4:Y11" si="2">(W4-$U$18)/(1-$U$18)</f>
        <v>-0.42816335167160369</v>
      </c>
      <c r="Z4" s="341">
        <f>Y4-2*(1-$U$19)*(X4-$U$18)/(1-$U$18)</f>
        <v>-0.35987261215753774</v>
      </c>
    </row>
    <row r="5" spans="1:26" x14ac:dyDescent="0.35">
      <c r="A5" s="298">
        <v>2</v>
      </c>
      <c r="B5" s="103">
        <v>2</v>
      </c>
      <c r="C5" s="299">
        <v>2</v>
      </c>
      <c r="D5" s="299">
        <v>3</v>
      </c>
      <c r="E5" s="299">
        <v>2</v>
      </c>
      <c r="F5" s="22"/>
      <c r="G5" s="299"/>
      <c r="H5" s="298">
        <v>2</v>
      </c>
      <c r="I5" s="101">
        <f t="shared" ref="I5:I11" si="3">COUNTIF($B5:$F5,I$3)</f>
        <v>0</v>
      </c>
      <c r="J5" s="4">
        <f t="shared" si="0"/>
        <v>3</v>
      </c>
      <c r="K5" s="4">
        <f t="shared" si="0"/>
        <v>1</v>
      </c>
      <c r="L5" s="5">
        <f t="shared" si="0"/>
        <v>0</v>
      </c>
      <c r="M5" s="4"/>
      <c r="N5" s="298">
        <v>2</v>
      </c>
      <c r="O5" s="101">
        <v>3</v>
      </c>
      <c r="P5" s="4">
        <v>3.8333333333333335</v>
      </c>
      <c r="Q5" s="4">
        <v>3.5</v>
      </c>
      <c r="R5" s="5">
        <v>2.3333333333333335</v>
      </c>
      <c r="S5" s="4"/>
      <c r="T5" s="101">
        <f t="shared" ref="T5:T11" si="4">SUM(I5:L5)</f>
        <v>4</v>
      </c>
      <c r="U5" s="5">
        <f t="shared" si="1"/>
        <v>0.86274509803921573</v>
      </c>
      <c r="V5" s="6"/>
      <c r="W5" s="101">
        <f t="shared" ref="W5:W11" si="5">(U5-$U$17*(T5/$U$15-1))</f>
        <v>0.91303260058348601</v>
      </c>
      <c r="X5" s="4">
        <f t="shared" ref="X5:X11" si="6">SUMPRODUCT(I5:L5,$O$22:$R$22)/$U$15-$U$18*(T5/$U$15-1)</f>
        <v>0.7908779428726509</v>
      </c>
      <c r="Y5" s="4">
        <f t="shared" si="2"/>
        <v>0.69002780968502508</v>
      </c>
      <c r="Z5" s="5">
        <f t="shared" ref="Z5:Z11" si="7">Y5-2*(1-$U$19)*(X5-$U$18)/(1-$U$18)</f>
        <v>0.42662067155934347</v>
      </c>
    </row>
    <row r="6" spans="1:26" x14ac:dyDescent="0.35">
      <c r="A6" s="298">
        <v>3</v>
      </c>
      <c r="B6" s="103">
        <v>1</v>
      </c>
      <c r="C6" s="299">
        <v>1</v>
      </c>
      <c r="D6" s="299">
        <v>1</v>
      </c>
      <c r="E6" s="299">
        <v>2</v>
      </c>
      <c r="F6" s="22">
        <v>2</v>
      </c>
      <c r="G6" s="299"/>
      <c r="H6" s="298">
        <v>3</v>
      </c>
      <c r="I6" s="101">
        <f t="shared" si="3"/>
        <v>3</v>
      </c>
      <c r="J6" s="4">
        <f t="shared" si="0"/>
        <v>2</v>
      </c>
      <c r="K6" s="4">
        <f t="shared" si="0"/>
        <v>0</v>
      </c>
      <c r="L6" s="5">
        <f t="shared" si="0"/>
        <v>0</v>
      </c>
      <c r="M6" s="4"/>
      <c r="N6" s="298">
        <v>3</v>
      </c>
      <c r="O6" s="101">
        <v>4.666666666666667</v>
      </c>
      <c r="P6" s="4">
        <v>4.5</v>
      </c>
      <c r="Q6" s="4">
        <v>3.166666666666667</v>
      </c>
      <c r="R6" s="5">
        <v>1</v>
      </c>
      <c r="S6" s="4"/>
      <c r="T6" s="101">
        <f t="shared" si="4"/>
        <v>5</v>
      </c>
      <c r="U6" s="5">
        <f t="shared" si="1"/>
        <v>1.0588235294117647</v>
      </c>
      <c r="V6" s="6"/>
      <c r="W6" s="101">
        <f t="shared" si="5"/>
        <v>0.90796102177895377</v>
      </c>
      <c r="X6" s="4">
        <f t="shared" si="6"/>
        <v>0.61929235361964863</v>
      </c>
      <c r="Y6" s="4">
        <f t="shared" si="2"/>
        <v>0.67195151441871692</v>
      </c>
      <c r="Z6" s="5">
        <f t="shared" si="7"/>
        <v>1.0411717764068515</v>
      </c>
    </row>
    <row r="7" spans="1:26" x14ac:dyDescent="0.35">
      <c r="A7" s="298">
        <v>4</v>
      </c>
      <c r="B7" s="103">
        <v>4</v>
      </c>
      <c r="C7" s="299">
        <v>4</v>
      </c>
      <c r="D7" s="299">
        <v>3</v>
      </c>
      <c r="E7" s="299">
        <v>4</v>
      </c>
      <c r="F7" s="22">
        <v>2</v>
      </c>
      <c r="G7" s="299"/>
      <c r="H7" s="298">
        <v>4</v>
      </c>
      <c r="I7" s="101">
        <f t="shared" si="3"/>
        <v>0</v>
      </c>
      <c r="J7" s="4">
        <f t="shared" si="0"/>
        <v>1</v>
      </c>
      <c r="K7" s="4">
        <f t="shared" si="0"/>
        <v>1</v>
      </c>
      <c r="L7" s="5">
        <f t="shared" si="0"/>
        <v>3</v>
      </c>
      <c r="M7" s="4"/>
      <c r="N7" s="298">
        <v>4</v>
      </c>
      <c r="O7" s="101">
        <v>1.3333333333333335</v>
      </c>
      <c r="P7" s="4">
        <v>3.3333333333333335</v>
      </c>
      <c r="Q7" s="4">
        <v>4.3333333333333339</v>
      </c>
      <c r="R7" s="5">
        <v>4.3333333333333339</v>
      </c>
      <c r="S7" s="4"/>
      <c r="T7" s="101">
        <f t="shared" si="4"/>
        <v>5</v>
      </c>
      <c r="U7" s="5">
        <f t="shared" si="1"/>
        <v>0.92156862745098056</v>
      </c>
      <c r="V7" s="6"/>
      <c r="W7" s="101">
        <f t="shared" si="5"/>
        <v>0.77070611981816961</v>
      </c>
      <c r="X7" s="4">
        <f t="shared" si="6"/>
        <v>0.71271795915598091</v>
      </c>
      <c r="Y7" s="4">
        <f t="shared" si="2"/>
        <v>0.18274288132519226</v>
      </c>
      <c r="Z7" s="5">
        <f t="shared" si="7"/>
        <v>0.20750765499512766</v>
      </c>
    </row>
    <row r="8" spans="1:26" x14ac:dyDescent="0.35">
      <c r="A8" s="298">
        <v>5</v>
      </c>
      <c r="B8" s="103">
        <v>3</v>
      </c>
      <c r="C8" s="299">
        <v>3</v>
      </c>
      <c r="D8" s="299">
        <v>4</v>
      </c>
      <c r="E8" s="299"/>
      <c r="F8" s="22">
        <v>3</v>
      </c>
      <c r="G8" s="299"/>
      <c r="H8" s="298">
        <v>5</v>
      </c>
      <c r="I8" s="101">
        <f t="shared" si="3"/>
        <v>0</v>
      </c>
      <c r="J8" s="4">
        <f t="shared" si="0"/>
        <v>0</v>
      </c>
      <c r="K8" s="4">
        <f t="shared" si="0"/>
        <v>3</v>
      </c>
      <c r="L8" s="5">
        <f t="shared" si="0"/>
        <v>1</v>
      </c>
      <c r="M8" s="4"/>
      <c r="N8" s="298">
        <v>5</v>
      </c>
      <c r="O8" s="101">
        <v>1.5</v>
      </c>
      <c r="P8" s="4">
        <v>3</v>
      </c>
      <c r="Q8" s="4">
        <v>3.8333333333333335</v>
      </c>
      <c r="R8" s="5">
        <v>3.5</v>
      </c>
      <c r="S8" s="4"/>
      <c r="T8" s="101">
        <f t="shared" si="4"/>
        <v>4</v>
      </c>
      <c r="U8" s="5">
        <f t="shared" si="1"/>
        <v>0.86274509803921573</v>
      </c>
      <c r="V8" s="6"/>
      <c r="W8" s="101">
        <f t="shared" si="5"/>
        <v>0.91303260058348601</v>
      </c>
      <c r="X8" s="4">
        <f t="shared" si="6"/>
        <v>0.78049732003528072</v>
      </c>
      <c r="Y8" s="4">
        <f t="shared" si="2"/>
        <v>0.69002780968502508</v>
      </c>
      <c r="Z8" s="5">
        <f t="shared" si="7"/>
        <v>0.46489350359469861</v>
      </c>
    </row>
    <row r="9" spans="1:26" x14ac:dyDescent="0.35">
      <c r="A9" s="298">
        <v>6</v>
      </c>
      <c r="B9" s="103">
        <v>2</v>
      </c>
      <c r="C9" s="299"/>
      <c r="D9" s="299">
        <v>1</v>
      </c>
      <c r="E9" s="299">
        <v>1</v>
      </c>
      <c r="F9" s="22"/>
      <c r="G9" s="299"/>
      <c r="H9" s="298">
        <v>6</v>
      </c>
      <c r="I9" s="101">
        <f t="shared" si="3"/>
        <v>2</v>
      </c>
      <c r="J9" s="4">
        <f t="shared" si="0"/>
        <v>1</v>
      </c>
      <c r="K9" s="4">
        <f t="shared" si="0"/>
        <v>0</v>
      </c>
      <c r="L9" s="5">
        <f t="shared" si="0"/>
        <v>0</v>
      </c>
      <c r="M9" s="4"/>
      <c r="N9" s="298">
        <v>6</v>
      </c>
      <c r="O9" s="101">
        <v>2.8333333333333335</v>
      </c>
      <c r="P9" s="4">
        <v>2.666666666666667</v>
      </c>
      <c r="Q9" s="4">
        <v>1.8333333333333335</v>
      </c>
      <c r="R9" s="5">
        <v>0.5</v>
      </c>
      <c r="S9" s="4"/>
      <c r="T9" s="101">
        <f t="shared" si="4"/>
        <v>3</v>
      </c>
      <c r="U9" s="5">
        <f t="shared" si="1"/>
        <v>0.62745098039215697</v>
      </c>
      <c r="V9" s="6"/>
      <c r="W9" s="101">
        <f t="shared" si="5"/>
        <v>0.87888849311350847</v>
      </c>
      <c r="X9" s="4">
        <f t="shared" si="6"/>
        <v>0.64758463939208899</v>
      </c>
      <c r="Y9" s="4">
        <f t="shared" si="2"/>
        <v>0.56833020978175464</v>
      </c>
      <c r="Z9" s="5">
        <f t="shared" si="7"/>
        <v>0.83323824328137186</v>
      </c>
    </row>
    <row r="10" spans="1:26" x14ac:dyDescent="0.35">
      <c r="A10" s="298">
        <v>7</v>
      </c>
      <c r="B10" s="103">
        <v>3</v>
      </c>
      <c r="C10" s="299">
        <v>3</v>
      </c>
      <c r="D10" s="299">
        <v>3</v>
      </c>
      <c r="E10" s="299">
        <v>4</v>
      </c>
      <c r="F10" s="22"/>
      <c r="G10" s="299"/>
      <c r="H10" s="298">
        <v>7</v>
      </c>
      <c r="I10" s="101">
        <f t="shared" si="3"/>
        <v>0</v>
      </c>
      <c r="J10" s="4">
        <f t="shared" si="0"/>
        <v>0</v>
      </c>
      <c r="K10" s="4">
        <f t="shared" si="0"/>
        <v>3</v>
      </c>
      <c r="L10" s="5">
        <f t="shared" si="0"/>
        <v>1</v>
      </c>
      <c r="M10" s="4"/>
      <c r="N10" s="298">
        <v>7</v>
      </c>
      <c r="O10" s="101">
        <v>1.5</v>
      </c>
      <c r="P10" s="4">
        <v>3</v>
      </c>
      <c r="Q10" s="4">
        <v>3.8333333333333335</v>
      </c>
      <c r="R10" s="5">
        <v>3.5</v>
      </c>
      <c r="S10" s="4"/>
      <c r="T10" s="101">
        <f t="shared" si="4"/>
        <v>4</v>
      </c>
      <c r="U10" s="5">
        <f t="shared" si="1"/>
        <v>0.86274509803921573</v>
      </c>
      <c r="V10" s="6"/>
      <c r="W10" s="101">
        <f t="shared" si="5"/>
        <v>0.91303260058348601</v>
      </c>
      <c r="X10" s="4">
        <f t="shared" si="6"/>
        <v>0.78049732003528072</v>
      </c>
      <c r="Y10" s="4">
        <f t="shared" si="2"/>
        <v>0.69002780968502508</v>
      </c>
      <c r="Z10" s="5">
        <f t="shared" si="7"/>
        <v>0.46489350359469861</v>
      </c>
    </row>
    <row r="11" spans="1:26" x14ac:dyDescent="0.35">
      <c r="A11" s="298">
        <v>8</v>
      </c>
      <c r="B11" s="103">
        <v>4</v>
      </c>
      <c r="C11" s="299">
        <v>3</v>
      </c>
      <c r="D11" s="299">
        <v>4</v>
      </c>
      <c r="E11" s="299">
        <v>3</v>
      </c>
      <c r="F11" s="22">
        <v>4</v>
      </c>
      <c r="G11" s="299"/>
      <c r="H11" s="298">
        <v>8</v>
      </c>
      <c r="I11" s="89">
        <f t="shared" si="3"/>
        <v>0</v>
      </c>
      <c r="J11" s="159">
        <f t="shared" si="0"/>
        <v>0</v>
      </c>
      <c r="K11" s="159">
        <f t="shared" si="0"/>
        <v>2</v>
      </c>
      <c r="L11" s="93">
        <f t="shared" si="0"/>
        <v>3</v>
      </c>
      <c r="M11" s="4"/>
      <c r="N11" s="298">
        <v>8</v>
      </c>
      <c r="O11" s="89">
        <v>1</v>
      </c>
      <c r="P11" s="159">
        <v>3.166666666666667</v>
      </c>
      <c r="Q11" s="159">
        <v>4.5</v>
      </c>
      <c r="R11" s="93">
        <v>4.666666666666667</v>
      </c>
      <c r="S11" s="4"/>
      <c r="T11" s="89">
        <f t="shared" si="4"/>
        <v>5</v>
      </c>
      <c r="U11" s="93">
        <f t="shared" si="1"/>
        <v>1.0588235294117647</v>
      </c>
      <c r="V11" s="6"/>
      <c r="W11" s="89">
        <f t="shared" si="5"/>
        <v>0.90796102177895377</v>
      </c>
      <c r="X11" s="159">
        <f t="shared" si="6"/>
        <v>0.72309858199335109</v>
      </c>
      <c r="Y11" s="159">
        <f t="shared" si="2"/>
        <v>0.67195151441871692</v>
      </c>
      <c r="Z11" s="93">
        <f t="shared" si="7"/>
        <v>0.65844345605329713</v>
      </c>
    </row>
    <row r="12" spans="1:26" x14ac:dyDescent="0.35">
      <c r="A12" s="298">
        <v>9</v>
      </c>
      <c r="B12" s="103"/>
      <c r="C12" s="299"/>
      <c r="D12" s="299"/>
      <c r="E12" s="299"/>
      <c r="F12" s="22"/>
      <c r="G12" s="299"/>
      <c r="H12" s="298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spans="1:26" x14ac:dyDescent="0.35">
      <c r="A13" s="298">
        <v>10</v>
      </c>
      <c r="B13" s="95"/>
      <c r="C13" s="300">
        <v>3</v>
      </c>
      <c r="D13" s="300"/>
      <c r="E13" s="300"/>
      <c r="F13" s="90"/>
      <c r="G13" s="299"/>
      <c r="N13" s="30" t="s">
        <v>718</v>
      </c>
      <c r="T13" s="30" t="s">
        <v>31</v>
      </c>
      <c r="U13" s="335">
        <f>COUNT(H4:H11)</f>
        <v>8</v>
      </c>
      <c r="X13" t="s">
        <v>792</v>
      </c>
      <c r="Y13" t="s">
        <v>810</v>
      </c>
    </row>
    <row r="14" spans="1:26" x14ac:dyDescent="0.35">
      <c r="A14" s="298"/>
      <c r="B14" s="299"/>
      <c r="C14" s="299"/>
      <c r="D14" s="299"/>
      <c r="E14" s="299"/>
      <c r="F14" s="299"/>
      <c r="G14" s="299"/>
      <c r="O14">
        <v>1</v>
      </c>
      <c r="P14">
        <v>2</v>
      </c>
      <c r="Q14">
        <v>3</v>
      </c>
      <c r="R14">
        <v>4</v>
      </c>
      <c r="T14" s="30" t="s">
        <v>656</v>
      </c>
      <c r="U14" s="100">
        <f>COUNT(I3:L3)</f>
        <v>4</v>
      </c>
      <c r="W14" s="17" t="s">
        <v>44</v>
      </c>
      <c r="X14" s="335">
        <v>0.05</v>
      </c>
      <c r="Y14" s="335">
        <v>0.05</v>
      </c>
    </row>
    <row r="15" spans="1:26" x14ac:dyDescent="0.35">
      <c r="N15" s="298">
        <v>1</v>
      </c>
      <c r="O15" s="333">
        <f>IF(O$14=$N15,1,1-COMBIN(ABS(O$14-$N15)+1,2)/COMBIN($U$14,2))</f>
        <v>1</v>
      </c>
      <c r="P15" s="332">
        <f t="shared" ref="P15:R18" si="8">IF(P$14=$N15,1,1-COMBIN(ABS(P$14-$N15)+1,2)/COMBIN($U$14,2))</f>
        <v>0.83333333333333337</v>
      </c>
      <c r="Q15" s="332">
        <f t="shared" si="8"/>
        <v>0.5</v>
      </c>
      <c r="R15" s="341">
        <f t="shared" si="8"/>
        <v>0</v>
      </c>
      <c r="T15" t="s">
        <v>793</v>
      </c>
      <c r="U15" s="100">
        <f>AVERAGE(T4:T11)</f>
        <v>4.25</v>
      </c>
      <c r="W15" t="s">
        <v>265</v>
      </c>
      <c r="X15" s="100">
        <f t="array" ref="X15">SQRT(SUMSQ(Z4:Z11-U19)/(U13*(U13-1)))</f>
        <v>0.14970884375470961</v>
      </c>
      <c r="Y15" s="100" t="e">
        <f ca="1">SQRT(X15^2+X22^2)</f>
        <v>#NAME?</v>
      </c>
    </row>
    <row r="16" spans="1:26" x14ac:dyDescent="0.35">
      <c r="N16" s="298">
        <v>2</v>
      </c>
      <c r="O16" s="101">
        <f t="shared" ref="O16:O18" si="9">IF(O$14=$N16,1,1-COMBIN(ABS(O$14-$N16)+1,2)/COMBIN($U$14,2))</f>
        <v>0.83333333333333337</v>
      </c>
      <c r="P16" s="4">
        <f t="shared" si="8"/>
        <v>1</v>
      </c>
      <c r="Q16" s="4">
        <f t="shared" si="8"/>
        <v>0.83333333333333337</v>
      </c>
      <c r="R16" s="5">
        <f t="shared" si="8"/>
        <v>0.5</v>
      </c>
      <c r="T16" t="s">
        <v>794</v>
      </c>
      <c r="U16" s="100">
        <f>1/(U13*U15)</f>
        <v>2.9411764705882353E-2</v>
      </c>
      <c r="W16" t="s">
        <v>29</v>
      </c>
      <c r="X16" s="100">
        <f>U19-X15*TINV(X14,U13-1)</f>
        <v>0.12878003779079839</v>
      </c>
      <c r="Y16" s="100" t="e">
        <f ca="1">U19-Y15*TINV(X14,U13-1)</f>
        <v>#NAME?</v>
      </c>
    </row>
    <row r="17" spans="14:27" x14ac:dyDescent="0.35">
      <c r="N17" s="299">
        <v>3</v>
      </c>
      <c r="O17" s="101">
        <f t="shared" si="9"/>
        <v>0.5</v>
      </c>
      <c r="P17" s="4">
        <f t="shared" si="8"/>
        <v>0.83333333333333337</v>
      </c>
      <c r="Q17" s="4">
        <f t="shared" si="8"/>
        <v>1</v>
      </c>
      <c r="R17" s="5">
        <f t="shared" si="8"/>
        <v>0.83333333333333337</v>
      </c>
      <c r="T17" s="30" t="s">
        <v>707</v>
      </c>
      <c r="U17" s="100">
        <f>AVERAGE(U4:U11)*(1-U16)+U16</f>
        <v>0.85488754325259519</v>
      </c>
      <c r="W17" t="s">
        <v>30</v>
      </c>
      <c r="X17" s="94">
        <f>MIN(U19+X15*TINV(X14,U13-1),1)</f>
        <v>0.83679036303140109</v>
      </c>
      <c r="Y17" s="94" t="e">
        <f ca="1">MIN(U19+Y15*TINV(X14,U13-1),1)</f>
        <v>#NAME?</v>
      </c>
    </row>
    <row r="18" spans="14:27" x14ac:dyDescent="0.35">
      <c r="N18" s="74">
        <v>4</v>
      </c>
      <c r="O18" s="89">
        <f t="shared" si="9"/>
        <v>0</v>
      </c>
      <c r="P18" s="159">
        <f t="shared" si="8"/>
        <v>0.5</v>
      </c>
      <c r="Q18" s="159">
        <f t="shared" si="8"/>
        <v>0.83333333333333337</v>
      </c>
      <c r="R18" s="93">
        <f t="shared" si="8"/>
        <v>1</v>
      </c>
      <c r="T18" s="30" t="s">
        <v>704</v>
      </c>
      <c r="U18" s="100">
        <f t="array" ref="U18">SUMPRODUCT(MMULT(TRANSPOSE(O20:R20),O20:R20),O15:R18)</f>
        <v>0.71943483275663211</v>
      </c>
    </row>
    <row r="19" spans="14:27" x14ac:dyDescent="0.35">
      <c r="N19" s="4"/>
      <c r="O19" s="4"/>
      <c r="P19" s="4"/>
      <c r="Q19" s="4"/>
      <c r="R19" s="4"/>
      <c r="T19" s="30" t="s">
        <v>795</v>
      </c>
      <c r="U19" s="94">
        <f>(U17-U18)/(1-U18)</f>
        <v>0.48278520041109974</v>
      </c>
    </row>
    <row r="20" spans="14:27" x14ac:dyDescent="0.35">
      <c r="N20" s="57" t="s">
        <v>796</v>
      </c>
      <c r="O20" s="123">
        <f>SUM(I4:I11)*$U$16</f>
        <v>0.1764705882352941</v>
      </c>
      <c r="P20" s="327">
        <f>SUM(J4:J11)*$U$16</f>
        <v>0.23529411764705882</v>
      </c>
      <c r="Q20" s="327">
        <f>SUM(K4:K11)*$U$16</f>
        <v>0.3235294117647059</v>
      </c>
      <c r="R20" s="326">
        <f>SUM(L4:L11)*$U$16</f>
        <v>0.26470588235294118</v>
      </c>
    </row>
    <row r="21" spans="14:27" x14ac:dyDescent="0.35">
      <c r="N21" s="298"/>
      <c r="T21" s="79" t="s">
        <v>795</v>
      </c>
      <c r="U21" s="109" t="e" cm="1">
        <f t="array" aca="1" ref="U21" ca="1">KALPHA(I4:L11,1)</f>
        <v>#NAME?</v>
      </c>
      <c r="W21" t="s">
        <v>798</v>
      </c>
      <c r="Z21" t="e">
        <f t="array" aca="1" ref="Z21:AA27" ca="1">KRIP(B4:F13,TRUE,1)</f>
        <v>#NAME?</v>
      </c>
      <c r="AA21" s="335" t="e">
        <f ca="1"/>
        <v>#NAME?</v>
      </c>
    </row>
    <row r="22" spans="14:27" x14ac:dyDescent="0.35">
      <c r="N22" s="298" t="s">
        <v>799</v>
      </c>
      <c r="O22" s="123">
        <f t="array" ref="O22:R22">MMULT(O20:R20,O15:R18)</f>
        <v>0.53431372549019607</v>
      </c>
      <c r="P22" s="327">
        <v>0.78431372549019607</v>
      </c>
      <c r="Q22" s="327">
        <v>0.82843137254901966</v>
      </c>
      <c r="R22" s="326">
        <v>0.65196078431372562</v>
      </c>
      <c r="W22" t="s">
        <v>265</v>
      </c>
      <c r="X22" s="109" t="e" cm="1">
        <f t="array" aca="1" ref="X22" ca="1">KRIP_SER(B4:F13,1)</f>
        <v>#NAME?</v>
      </c>
      <c r="Z22" t="e">
        <f ca="1"/>
        <v>#NAME?</v>
      </c>
      <c r="AA22" s="100" t="e">
        <f ca="1"/>
        <v>#NAME?</v>
      </c>
    </row>
    <row r="23" spans="14:27" x14ac:dyDescent="0.35">
      <c r="Z23" t="e">
        <f ca="1"/>
        <v>#NAME?</v>
      </c>
      <c r="AA23" s="100" t="e">
        <f ca="1"/>
        <v>#NAME?</v>
      </c>
    </row>
    <row r="24" spans="14:27" x14ac:dyDescent="0.35">
      <c r="W24" t="e">
        <f t="array" aca="1" ref="W24:X27" ca="1">KRIP_SES(I4:L11,TRUE,1)</f>
        <v>#NAME?</v>
      </c>
      <c r="X24" s="335" t="e">
        <f ca="1"/>
        <v>#NAME?</v>
      </c>
      <c r="Z24" t="e">
        <f ca="1"/>
        <v>#NAME?</v>
      </c>
      <c r="AA24" s="100" t="e">
        <f ca="1"/>
        <v>#NAME?</v>
      </c>
    </row>
    <row r="25" spans="14:27" x14ac:dyDescent="0.35">
      <c r="W25" t="e">
        <f ca="1"/>
        <v>#NAME?</v>
      </c>
      <c r="X25" s="100" t="e">
        <f ca="1"/>
        <v>#NAME?</v>
      </c>
      <c r="Z25" t="e">
        <f ca="1"/>
        <v>#NAME?</v>
      </c>
      <c r="AA25" s="100" t="e">
        <f ca="1"/>
        <v>#NAME?</v>
      </c>
    </row>
    <row r="26" spans="14:27" x14ac:dyDescent="0.35">
      <c r="W26" t="e">
        <f ca="1"/>
        <v>#NAME?</v>
      </c>
      <c r="X26" s="100" t="e">
        <f ca="1"/>
        <v>#NAME?</v>
      </c>
      <c r="Z26" t="e">
        <f ca="1"/>
        <v>#NAME?</v>
      </c>
      <c r="AA26" s="100" t="e">
        <f ca="1"/>
        <v>#NAME?</v>
      </c>
    </row>
    <row r="27" spans="14:27" x14ac:dyDescent="0.35">
      <c r="W27" t="e">
        <f ca="1"/>
        <v>#NAME?</v>
      </c>
      <c r="X27" s="94" t="e">
        <f ca="1"/>
        <v>#NAME?</v>
      </c>
      <c r="Z27" t="e">
        <f ca="1"/>
        <v>#NAME?</v>
      </c>
      <c r="AA27" s="94" t="e">
        <f ca="1"/>
        <v>#NAME?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22"/>
  <dimension ref="A1:AG27"/>
  <sheetViews>
    <sheetView topLeftCell="O1" workbookViewId="0">
      <selection activeCell="AG7" sqref="AG7"/>
    </sheetView>
  </sheetViews>
  <sheetFormatPr defaultRowHeight="14.5" x14ac:dyDescent="0.35"/>
  <cols>
    <col min="1" max="1" width="6" customWidth="1"/>
    <col min="7" max="7" width="4.1796875" customWidth="1"/>
    <col min="8" max="8" width="5.26953125" customWidth="1"/>
    <col min="14" max="14" width="4.1796875" customWidth="1"/>
    <col min="15" max="18" width="9.1796875" customWidth="1"/>
    <col min="19" max="19" width="3.7265625" customWidth="1"/>
    <col min="22" max="22" width="4.1796875" customWidth="1"/>
    <col min="23" max="25" width="9.1796875" customWidth="1"/>
    <col min="29" max="29" width="11.54296875" customWidth="1"/>
    <col min="32" max="32" width="11.1796875" customWidth="1"/>
  </cols>
  <sheetData>
    <row r="1" spans="1:33" x14ac:dyDescent="0.35">
      <c r="A1" t="s">
        <v>786</v>
      </c>
      <c r="H1" t="s">
        <v>787</v>
      </c>
      <c r="N1" t="s">
        <v>788</v>
      </c>
      <c r="AC1" t="s">
        <v>622</v>
      </c>
      <c r="AF1" t="s">
        <v>622</v>
      </c>
    </row>
    <row r="3" spans="1:33" x14ac:dyDescent="0.35">
      <c r="A3" s="298"/>
      <c r="B3" s="298" t="s">
        <v>218</v>
      </c>
      <c r="C3" s="298" t="s">
        <v>98</v>
      </c>
      <c r="D3" s="298" t="s">
        <v>99</v>
      </c>
      <c r="E3" s="298" t="s">
        <v>100</v>
      </c>
      <c r="F3" s="298" t="s">
        <v>536</v>
      </c>
      <c r="G3" s="298"/>
      <c r="I3">
        <v>1</v>
      </c>
      <c r="J3">
        <v>2</v>
      </c>
      <c r="K3">
        <v>3</v>
      </c>
      <c r="L3">
        <v>4</v>
      </c>
      <c r="O3">
        <v>1</v>
      </c>
      <c r="P3">
        <v>2</v>
      </c>
      <c r="Q3">
        <v>3</v>
      </c>
      <c r="R3">
        <v>4</v>
      </c>
      <c r="T3" s="6" t="s">
        <v>95</v>
      </c>
      <c r="U3" s="6" t="s">
        <v>86</v>
      </c>
      <c r="V3" s="6"/>
      <c r="W3" s="23" t="s">
        <v>789</v>
      </c>
      <c r="X3" s="23" t="s">
        <v>790</v>
      </c>
      <c r="Y3" s="23" t="s">
        <v>44</v>
      </c>
      <c r="Z3" s="23" t="s">
        <v>791</v>
      </c>
      <c r="AC3" t="s">
        <v>35</v>
      </c>
      <c r="AD3" s="348">
        <v>0.05</v>
      </c>
      <c r="AF3" t="s">
        <v>35</v>
      </c>
      <c r="AG3" s="348">
        <v>0.05</v>
      </c>
    </row>
    <row r="4" spans="1:33" x14ac:dyDescent="0.35">
      <c r="A4" s="298">
        <v>1</v>
      </c>
      <c r="B4" s="347">
        <v>1</v>
      </c>
      <c r="C4" s="346">
        <v>2</v>
      </c>
      <c r="D4" s="346"/>
      <c r="E4" s="346">
        <v>3</v>
      </c>
      <c r="F4" s="345">
        <v>4</v>
      </c>
      <c r="G4" s="299"/>
      <c r="H4" s="298">
        <v>1</v>
      </c>
      <c r="I4" s="333">
        <f>COUNTIF($B4:$F4,I$3)</f>
        <v>1</v>
      </c>
      <c r="J4" s="332">
        <f t="shared" ref="J4:L11" si="0">COUNTIF($B4:$F4,J$3)</f>
        <v>1</v>
      </c>
      <c r="K4" s="332">
        <f t="shared" si="0"/>
        <v>1</v>
      </c>
      <c r="L4" s="341">
        <f t="shared" si="0"/>
        <v>1</v>
      </c>
      <c r="M4" s="4"/>
      <c r="N4" s="298">
        <v>1</v>
      </c>
      <c r="O4" s="333">
        <f t="array" ref="O4:R11">MMULT(I4:L11,O15:R18)</f>
        <v>2.4444444444444446</v>
      </c>
      <c r="P4" s="332">
        <v>3.333333333333333</v>
      </c>
      <c r="Q4" s="332">
        <v>3.3333333333333335</v>
      </c>
      <c r="R4" s="341">
        <v>2.4444444444444446</v>
      </c>
      <c r="S4" s="4"/>
      <c r="T4" s="333">
        <f>SUM(I4:L4)</f>
        <v>4</v>
      </c>
      <c r="U4" s="341">
        <f t="shared" ref="U4:U11" si="1">SUMPRODUCT(I4:L4,O4:R4-1)/($U$15*(T4-1))</f>
        <v>0.59259259259259256</v>
      </c>
      <c r="V4" s="6"/>
      <c r="W4" s="333">
        <f>(U4-$U$17*(T4/$U$15-1))</f>
        <v>0.64482363495186612</v>
      </c>
      <c r="X4" s="332">
        <f>SUMPRODUCT(I4:L4,$O$22:$R$22)/$U$15-$U$18*(T4/$U$15-1)</f>
        <v>0.73647013592057364</v>
      </c>
      <c r="Y4" s="332">
        <f t="shared" ref="Y4:Y11" si="2">(W4-$U$18)/(1-$U$18)</f>
        <v>-0.45139626942685973</v>
      </c>
      <c r="Z4" s="341">
        <f>Y4-2*(1-$U$19)*(X4-$U$18)/(1-$U$18)</f>
        <v>-0.38096814161834086</v>
      </c>
      <c r="AC4" t="s">
        <v>823</v>
      </c>
      <c r="AD4" s="147">
        <v>0</v>
      </c>
      <c r="AF4" t="s">
        <v>823</v>
      </c>
      <c r="AG4" s="155">
        <v>0</v>
      </c>
    </row>
    <row r="5" spans="1:33" x14ac:dyDescent="0.35">
      <c r="A5" s="298">
        <v>2</v>
      </c>
      <c r="B5" s="103">
        <v>2</v>
      </c>
      <c r="C5" s="299">
        <v>2</v>
      </c>
      <c r="D5" s="299">
        <v>3</v>
      </c>
      <c r="E5" s="299">
        <v>2</v>
      </c>
      <c r="F5" s="22"/>
      <c r="G5" s="299"/>
      <c r="H5" s="298">
        <v>2</v>
      </c>
      <c r="I5" s="101">
        <f t="shared" ref="I5:I11" si="3">COUNTIF($B5:$F5,I$3)</f>
        <v>0</v>
      </c>
      <c r="J5" s="4">
        <f t="shared" si="0"/>
        <v>3</v>
      </c>
      <c r="K5" s="4">
        <f t="shared" si="0"/>
        <v>1</v>
      </c>
      <c r="L5" s="5">
        <f t="shared" si="0"/>
        <v>0</v>
      </c>
      <c r="M5" s="4"/>
      <c r="N5" s="298">
        <v>2</v>
      </c>
      <c r="O5" s="101">
        <v>3.2222222222222223</v>
      </c>
      <c r="P5" s="4">
        <v>3.8888888888888888</v>
      </c>
      <c r="Q5" s="4">
        <v>3.6666666666666665</v>
      </c>
      <c r="R5" s="5">
        <v>2.5555555555555554</v>
      </c>
      <c r="S5" s="4"/>
      <c r="T5" s="101">
        <f t="shared" ref="T5:T11" si="4">SUM(I5:L5)</f>
        <v>4</v>
      </c>
      <c r="U5" s="5">
        <f t="shared" si="1"/>
        <v>0.88888888888888884</v>
      </c>
      <c r="V5" s="6"/>
      <c r="W5" s="101">
        <f t="shared" ref="W5:W11" si="5">(U5-$U$17*(T5/$U$15-1))</f>
        <v>0.9411199312481624</v>
      </c>
      <c r="X5" s="4">
        <f t="shared" ref="X5:X11" si="6">SUMPRODUCT(I5:L5,$O$22:$R$22)/$U$15-$U$18*(T5/$U$15-1)</f>
        <v>0.83181807901938176</v>
      </c>
      <c r="Y5" s="4">
        <f t="shared" si="2"/>
        <v>0.75939189501409332</v>
      </c>
      <c r="Z5" s="5">
        <f t="shared" ref="Z5:Z11" si="7">Y5-2*(1-$U$19)*(X5-$U$18)/(1-$U$18)</f>
        <v>0.4729390290236733</v>
      </c>
      <c r="AC5" t="s">
        <v>824</v>
      </c>
      <c r="AD5" s="155">
        <v>0</v>
      </c>
    </row>
    <row r="6" spans="1:33" x14ac:dyDescent="0.35">
      <c r="A6" s="298">
        <v>3</v>
      </c>
      <c r="B6" s="103">
        <v>1</v>
      </c>
      <c r="C6" s="299">
        <v>1</v>
      </c>
      <c r="D6" s="299">
        <v>1</v>
      </c>
      <c r="E6" s="299">
        <v>2</v>
      </c>
      <c r="F6" s="22">
        <v>2</v>
      </c>
      <c r="G6" s="299"/>
      <c r="H6" s="298">
        <v>3</v>
      </c>
      <c r="I6" s="101">
        <f t="shared" si="3"/>
        <v>3</v>
      </c>
      <c r="J6" s="4">
        <f t="shared" si="0"/>
        <v>2</v>
      </c>
      <c r="K6" s="4">
        <f t="shared" si="0"/>
        <v>0</v>
      </c>
      <c r="L6" s="5">
        <f t="shared" si="0"/>
        <v>0</v>
      </c>
      <c r="M6" s="4"/>
      <c r="N6" s="298">
        <v>3</v>
      </c>
      <c r="O6" s="101">
        <v>4.7777777777777777</v>
      </c>
      <c r="P6" s="4">
        <v>4.6666666666666661</v>
      </c>
      <c r="Q6" s="4">
        <v>3.4444444444444446</v>
      </c>
      <c r="R6" s="5">
        <v>1.1111111111111112</v>
      </c>
      <c r="S6" s="4"/>
      <c r="T6" s="101">
        <f t="shared" si="4"/>
        <v>5</v>
      </c>
      <c r="U6" s="5">
        <f t="shared" si="1"/>
        <v>1.0980392156862744</v>
      </c>
      <c r="V6" s="6"/>
      <c r="W6" s="101">
        <f t="shared" si="5"/>
        <v>0.94134608860845359</v>
      </c>
      <c r="X6" s="4">
        <f t="shared" si="6"/>
        <v>0.65487256032747576</v>
      </c>
      <c r="Y6" s="4">
        <f t="shared" si="2"/>
        <v>0.7603160667251968</v>
      </c>
      <c r="Z6" s="5">
        <f t="shared" si="7"/>
        <v>1.1361584795495068</v>
      </c>
      <c r="AF6" t="e">
        <f t="array" aca="1" ref="AF6:AG9" ca="1">KRIP_SES(I4:L11,TRUE,2,,AG3,AG4)</f>
        <v>#NAME?</v>
      </c>
      <c r="AG6" s="348" t="e">
        <f ca="1"/>
        <v>#NAME?</v>
      </c>
    </row>
    <row r="7" spans="1:33" x14ac:dyDescent="0.35">
      <c r="A7" s="298">
        <v>4</v>
      </c>
      <c r="B7" s="103">
        <v>4</v>
      </c>
      <c r="C7" s="299">
        <v>4</v>
      </c>
      <c r="D7" s="299">
        <v>3</v>
      </c>
      <c r="E7" s="299">
        <v>4</v>
      </c>
      <c r="F7" s="22">
        <v>2</v>
      </c>
      <c r="G7" s="299"/>
      <c r="H7" s="298">
        <v>4</v>
      </c>
      <c r="I7" s="101">
        <f t="shared" si="3"/>
        <v>0</v>
      </c>
      <c r="J7" s="4">
        <f t="shared" si="0"/>
        <v>1</v>
      </c>
      <c r="K7" s="4">
        <f t="shared" si="0"/>
        <v>1</v>
      </c>
      <c r="L7" s="5">
        <f t="shared" si="0"/>
        <v>3</v>
      </c>
      <c r="M7" s="4"/>
      <c r="N7" s="298">
        <v>4</v>
      </c>
      <c r="O7" s="101">
        <v>1.4444444444444444</v>
      </c>
      <c r="P7" s="4">
        <v>3.5555555555555554</v>
      </c>
      <c r="Q7" s="4">
        <v>4.5555555555555554</v>
      </c>
      <c r="R7" s="5">
        <v>4.4444444444444446</v>
      </c>
      <c r="S7" s="4"/>
      <c r="T7" s="101">
        <f t="shared" si="4"/>
        <v>5</v>
      </c>
      <c r="U7" s="5">
        <f t="shared" si="1"/>
        <v>0.96732026143790839</v>
      </c>
      <c r="V7" s="6"/>
      <c r="W7" s="101">
        <f t="shared" si="5"/>
        <v>0.8106271343600876</v>
      </c>
      <c r="X7" s="4">
        <f t="shared" si="6"/>
        <v>0.7471447633263224</v>
      </c>
      <c r="Y7" s="4">
        <f t="shared" si="2"/>
        <v>0.22614481770712935</v>
      </c>
      <c r="Z7" s="5">
        <f t="shared" si="7"/>
        <v>0.25661852685504655</v>
      </c>
      <c r="AC7" t="e">
        <f t="array" aca="1" ref="AC7:AD13" ca="1">KRIP(B4:F13,TRUE,2,,AD3,AD4,AD5)</f>
        <v>#NAME?</v>
      </c>
      <c r="AD7" s="348" t="e">
        <f ca="1"/>
        <v>#NAME?</v>
      </c>
      <c r="AF7" t="e">
        <f ca="1"/>
        <v>#NAME?</v>
      </c>
      <c r="AG7" s="147" t="e">
        <f ca="1"/>
        <v>#NAME?</v>
      </c>
    </row>
    <row r="8" spans="1:33" x14ac:dyDescent="0.35">
      <c r="A8" s="298">
        <v>5</v>
      </c>
      <c r="B8" s="103">
        <v>3</v>
      </c>
      <c r="C8" s="299">
        <v>3</v>
      </c>
      <c r="D8" s="299">
        <v>4</v>
      </c>
      <c r="E8" s="299"/>
      <c r="F8" s="22">
        <v>3</v>
      </c>
      <c r="G8" s="299"/>
      <c r="H8" s="298">
        <v>5</v>
      </c>
      <c r="I8" s="101">
        <f t="shared" si="3"/>
        <v>0</v>
      </c>
      <c r="J8" s="4">
        <f t="shared" si="0"/>
        <v>0</v>
      </c>
      <c r="K8" s="4">
        <f t="shared" si="0"/>
        <v>3</v>
      </c>
      <c r="L8" s="5">
        <f t="shared" si="0"/>
        <v>1</v>
      </c>
      <c r="M8" s="4"/>
      <c r="N8" s="298">
        <v>5</v>
      </c>
      <c r="O8" s="101">
        <v>1.6666666666666667</v>
      </c>
      <c r="P8" s="4">
        <v>3.2222222222222223</v>
      </c>
      <c r="Q8" s="4">
        <v>3.8888888888888888</v>
      </c>
      <c r="R8" s="5">
        <v>3.6666666666666665</v>
      </c>
      <c r="S8" s="4"/>
      <c r="T8" s="101">
        <f t="shared" si="4"/>
        <v>4</v>
      </c>
      <c r="U8" s="5">
        <f t="shared" si="1"/>
        <v>0.88888888888888884</v>
      </c>
      <c r="V8" s="6"/>
      <c r="W8" s="101">
        <f t="shared" si="5"/>
        <v>0.9411199312481624</v>
      </c>
      <c r="X8" s="4">
        <f t="shared" si="6"/>
        <v>0.81643937851957393</v>
      </c>
      <c r="Y8" s="4">
        <f t="shared" si="2"/>
        <v>0.75939189501409332</v>
      </c>
      <c r="Z8" s="5">
        <f t="shared" si="7"/>
        <v>0.53050047963640568</v>
      </c>
      <c r="AC8" t="e">
        <f ca="1"/>
        <v>#NAME?</v>
      </c>
      <c r="AD8" s="147" t="e">
        <f ca="1"/>
        <v>#NAME?</v>
      </c>
      <c r="AF8" t="e">
        <f ca="1"/>
        <v>#NAME?</v>
      </c>
      <c r="AG8" s="147" t="e">
        <f ca="1"/>
        <v>#NAME?</v>
      </c>
    </row>
    <row r="9" spans="1:33" x14ac:dyDescent="0.35">
      <c r="A9" s="298">
        <v>6</v>
      </c>
      <c r="B9" s="103">
        <v>2</v>
      </c>
      <c r="C9" s="299"/>
      <c r="D9" s="299">
        <v>1</v>
      </c>
      <c r="E9" s="299">
        <v>1</v>
      </c>
      <c r="F9" s="22"/>
      <c r="G9" s="299"/>
      <c r="H9" s="298">
        <v>6</v>
      </c>
      <c r="I9" s="101">
        <f t="shared" si="3"/>
        <v>2</v>
      </c>
      <c r="J9" s="4">
        <f t="shared" si="0"/>
        <v>1</v>
      </c>
      <c r="K9" s="4">
        <f t="shared" si="0"/>
        <v>0</v>
      </c>
      <c r="L9" s="5">
        <f t="shared" si="0"/>
        <v>0</v>
      </c>
      <c r="M9" s="4"/>
      <c r="N9" s="298">
        <v>6</v>
      </c>
      <c r="O9" s="101">
        <v>2.8888888888888888</v>
      </c>
      <c r="P9" s="4">
        <v>2.7777777777777777</v>
      </c>
      <c r="Q9" s="4">
        <v>2</v>
      </c>
      <c r="R9" s="5">
        <v>0.55555555555555558</v>
      </c>
      <c r="S9" s="4"/>
      <c r="T9" s="101">
        <f t="shared" si="4"/>
        <v>3</v>
      </c>
      <c r="U9" s="5">
        <f t="shared" si="1"/>
        <v>0.65359477124183007</v>
      </c>
      <c r="V9" s="6"/>
      <c r="W9" s="101">
        <f t="shared" si="5"/>
        <v>0.91474998303819788</v>
      </c>
      <c r="X9" s="4">
        <f t="shared" si="6"/>
        <v>0.68273514711536276</v>
      </c>
      <c r="Y9" s="4">
        <f t="shared" si="2"/>
        <v>0.65163347349937573</v>
      </c>
      <c r="Z9" s="5">
        <f t="shared" si="7"/>
        <v>0.92318808168414757</v>
      </c>
      <c r="AC9" t="e">
        <f ca="1"/>
        <v>#NAME?</v>
      </c>
      <c r="AD9" s="147" t="e">
        <f ca="1"/>
        <v>#NAME?</v>
      </c>
      <c r="AF9" t="e">
        <f ca="1"/>
        <v>#NAME?</v>
      </c>
      <c r="AG9" s="155" t="e">
        <f ca="1"/>
        <v>#NAME?</v>
      </c>
    </row>
    <row r="10" spans="1:33" x14ac:dyDescent="0.35">
      <c r="A10" s="298">
        <v>7</v>
      </c>
      <c r="B10" s="103">
        <v>3</v>
      </c>
      <c r="C10" s="299">
        <v>3</v>
      </c>
      <c r="D10" s="299">
        <v>3</v>
      </c>
      <c r="E10" s="299">
        <v>4</v>
      </c>
      <c r="F10" s="22"/>
      <c r="G10" s="299"/>
      <c r="H10" s="298">
        <v>7</v>
      </c>
      <c r="I10" s="101">
        <f t="shared" si="3"/>
        <v>0</v>
      </c>
      <c r="J10" s="4">
        <f t="shared" si="0"/>
        <v>0</v>
      </c>
      <c r="K10" s="4">
        <f t="shared" si="0"/>
        <v>3</v>
      </c>
      <c r="L10" s="5">
        <f t="shared" si="0"/>
        <v>1</v>
      </c>
      <c r="M10" s="4"/>
      <c r="N10" s="298">
        <v>7</v>
      </c>
      <c r="O10" s="101">
        <v>1.6666666666666667</v>
      </c>
      <c r="P10" s="4">
        <v>3.2222222222222223</v>
      </c>
      <c r="Q10" s="4">
        <v>3.8888888888888888</v>
      </c>
      <c r="R10" s="5">
        <v>3.6666666666666665</v>
      </c>
      <c r="S10" s="4"/>
      <c r="T10" s="101">
        <f t="shared" si="4"/>
        <v>4</v>
      </c>
      <c r="U10" s="5">
        <f t="shared" si="1"/>
        <v>0.88888888888888884</v>
      </c>
      <c r="V10" s="6"/>
      <c r="W10" s="101">
        <f t="shared" si="5"/>
        <v>0.9411199312481624</v>
      </c>
      <c r="X10" s="4">
        <f t="shared" si="6"/>
        <v>0.81643937851957393</v>
      </c>
      <c r="Y10" s="4">
        <f t="shared" si="2"/>
        <v>0.75939189501409332</v>
      </c>
      <c r="Z10" s="5">
        <f t="shared" si="7"/>
        <v>0.53050047963640568</v>
      </c>
      <c r="AC10" t="e">
        <f ca="1"/>
        <v>#NAME?</v>
      </c>
      <c r="AD10" s="147" t="e">
        <f ca="1"/>
        <v>#NAME?</v>
      </c>
    </row>
    <row r="11" spans="1:33" x14ac:dyDescent="0.35">
      <c r="A11" s="298">
        <v>8</v>
      </c>
      <c r="B11" s="103">
        <v>4</v>
      </c>
      <c r="C11" s="299">
        <v>3</v>
      </c>
      <c r="D11" s="299">
        <v>4</v>
      </c>
      <c r="E11" s="299">
        <v>3</v>
      </c>
      <c r="F11" s="22">
        <v>4</v>
      </c>
      <c r="G11" s="299"/>
      <c r="H11" s="298">
        <v>8</v>
      </c>
      <c r="I11" s="89">
        <f t="shared" si="3"/>
        <v>0</v>
      </c>
      <c r="J11" s="159">
        <f t="shared" si="0"/>
        <v>0</v>
      </c>
      <c r="K11" s="159">
        <f t="shared" si="0"/>
        <v>2</v>
      </c>
      <c r="L11" s="93">
        <f t="shared" si="0"/>
        <v>3</v>
      </c>
      <c r="M11" s="4"/>
      <c r="N11" s="298">
        <v>8</v>
      </c>
      <c r="O11" s="89">
        <v>1.1111111111111112</v>
      </c>
      <c r="P11" s="159">
        <v>3.4444444444444446</v>
      </c>
      <c r="Q11" s="159">
        <v>4.6666666666666661</v>
      </c>
      <c r="R11" s="93">
        <v>4.7777777777777777</v>
      </c>
      <c r="S11" s="4"/>
      <c r="T11" s="89">
        <f t="shared" si="4"/>
        <v>5</v>
      </c>
      <c r="U11" s="93">
        <f t="shared" si="1"/>
        <v>1.0980392156862744</v>
      </c>
      <c r="V11" s="6"/>
      <c r="W11" s="89">
        <f t="shared" si="5"/>
        <v>0.94134608860845359</v>
      </c>
      <c r="X11" s="159">
        <f t="shared" si="6"/>
        <v>0.75637198362620706</v>
      </c>
      <c r="Y11" s="159">
        <f t="shared" si="2"/>
        <v>0.7603160667251968</v>
      </c>
      <c r="Z11" s="93">
        <f t="shared" si="7"/>
        <v>0.75625290550547475</v>
      </c>
      <c r="AC11" t="e">
        <f ca="1"/>
        <v>#NAME?</v>
      </c>
      <c r="AD11" s="147" t="e">
        <f ca="1"/>
        <v>#NAME?</v>
      </c>
    </row>
    <row r="12" spans="1:33" x14ac:dyDescent="0.35">
      <c r="A12" s="298">
        <v>9</v>
      </c>
      <c r="B12" s="103"/>
      <c r="C12" s="299"/>
      <c r="D12" s="299"/>
      <c r="E12" s="299"/>
      <c r="F12" s="22"/>
      <c r="G12" s="299"/>
      <c r="H12" s="298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AC12" t="e">
        <f ca="1"/>
        <v>#NAME?</v>
      </c>
      <c r="AD12" s="147" t="e">
        <f ca="1"/>
        <v>#NAME?</v>
      </c>
    </row>
    <row r="13" spans="1:33" x14ac:dyDescent="0.35">
      <c r="A13" s="298">
        <v>10</v>
      </c>
      <c r="B13" s="95"/>
      <c r="C13" s="300">
        <v>3</v>
      </c>
      <c r="D13" s="300"/>
      <c r="E13" s="300"/>
      <c r="F13" s="90"/>
      <c r="G13" s="299"/>
      <c r="N13" s="30" t="s">
        <v>718</v>
      </c>
      <c r="T13" s="30" t="s">
        <v>31</v>
      </c>
      <c r="U13" s="335">
        <f>COUNT(H4:H11)</f>
        <v>8</v>
      </c>
      <c r="X13" t="s">
        <v>792</v>
      </c>
      <c r="Y13" t="s">
        <v>810</v>
      </c>
      <c r="AC13" t="e">
        <f ca="1"/>
        <v>#NAME?</v>
      </c>
      <c r="AD13" s="155" t="e">
        <f ca="1"/>
        <v>#NAME?</v>
      </c>
    </row>
    <row r="14" spans="1:33" x14ac:dyDescent="0.35">
      <c r="A14" s="298"/>
      <c r="B14" s="299"/>
      <c r="C14" s="299"/>
      <c r="D14" s="299"/>
      <c r="E14" s="299"/>
      <c r="F14" s="299"/>
      <c r="G14" s="299"/>
      <c r="O14">
        <v>1</v>
      </c>
      <c r="P14">
        <v>2</v>
      </c>
      <c r="Q14">
        <v>3</v>
      </c>
      <c r="R14">
        <v>4</v>
      </c>
      <c r="T14" s="30" t="s">
        <v>656</v>
      </c>
      <c r="U14" s="100">
        <f>COUNT(I3:L3)</f>
        <v>4</v>
      </c>
      <c r="W14" s="17" t="s">
        <v>44</v>
      </c>
      <c r="X14" s="335">
        <v>0.05</v>
      </c>
      <c r="Y14" s="335">
        <v>0.05</v>
      </c>
    </row>
    <row r="15" spans="1:33" x14ac:dyDescent="0.35">
      <c r="N15" s="298">
        <v>1</v>
      </c>
      <c r="O15" s="333">
        <f>1-(O$14-$N15)^2/($U$14-1)^2</f>
        <v>1</v>
      </c>
      <c r="P15" s="332">
        <f t="shared" ref="P15:R18" si="8">1-(P$14-$N15)^2/($U$14-1)^2</f>
        <v>0.88888888888888884</v>
      </c>
      <c r="Q15" s="332">
        <f t="shared" si="8"/>
        <v>0.55555555555555558</v>
      </c>
      <c r="R15" s="341">
        <f t="shared" si="8"/>
        <v>0</v>
      </c>
      <c r="T15" t="s">
        <v>793</v>
      </c>
      <c r="U15" s="100">
        <f>AVERAGE(T4:T11)</f>
        <v>4.25</v>
      </c>
      <c r="W15" t="s">
        <v>265</v>
      </c>
      <c r="X15" s="100">
        <f t="array" ref="X15">SQRT(SUMSQ(Z4:Z11-U19)/(U13*(U13-1)))</f>
        <v>0.16271060836262871</v>
      </c>
      <c r="Y15" s="100" t="e">
        <f ca="1">SQRT(X15^2+X22^2)</f>
        <v>#NAME?</v>
      </c>
    </row>
    <row r="16" spans="1:33" x14ac:dyDescent="0.35">
      <c r="N16" s="298">
        <v>2</v>
      </c>
      <c r="O16" s="101">
        <f t="shared" ref="O16:O18" si="9">1-(O$14-$N16)^2/($U$14-1)^2</f>
        <v>0.88888888888888884</v>
      </c>
      <c r="P16" s="4">
        <f t="shared" si="8"/>
        <v>1</v>
      </c>
      <c r="Q16" s="4">
        <f t="shared" si="8"/>
        <v>0.88888888888888884</v>
      </c>
      <c r="R16" s="5">
        <f t="shared" si="8"/>
        <v>0.55555555555555558</v>
      </c>
      <c r="T16" t="s">
        <v>794</v>
      </c>
      <c r="U16" s="100">
        <f>1/(U13*U15)</f>
        <v>2.9411764705882353E-2</v>
      </c>
      <c r="W16" t="s">
        <v>29</v>
      </c>
      <c r="X16" s="100">
        <f>U19-X15*TINV(X14,U13-1)</f>
        <v>0.15727725803676262</v>
      </c>
      <c r="Y16" s="100" t="e">
        <f ca="1">U19-Y15*TINV(X14,U13-1)</f>
        <v>#NAME?</v>
      </c>
    </row>
    <row r="17" spans="14:27" x14ac:dyDescent="0.35">
      <c r="N17" s="299">
        <v>3</v>
      </c>
      <c r="O17" s="101">
        <f t="shared" si="9"/>
        <v>0.55555555555555558</v>
      </c>
      <c r="P17" s="4">
        <f t="shared" si="8"/>
        <v>0.88888888888888884</v>
      </c>
      <c r="Q17" s="4">
        <f t="shared" si="8"/>
        <v>1</v>
      </c>
      <c r="R17" s="5">
        <f t="shared" si="8"/>
        <v>0.88888888888888884</v>
      </c>
      <c r="T17" s="30" t="s">
        <v>707</v>
      </c>
      <c r="U17" s="100">
        <f>AVERAGE(U4:U11)*(1-U16)+U16</f>
        <v>0.88792772010765075</v>
      </c>
      <c r="W17" t="s">
        <v>30</v>
      </c>
      <c r="X17" s="94">
        <f>MIN(U19+X15*TINV(X14,U13-1),1)</f>
        <v>0.92677615908813793</v>
      </c>
      <c r="Y17" s="94" t="e">
        <f ca="1">MIN(U19+Y15*TINV(X14,U13-1),1)</f>
        <v>#NAME?</v>
      </c>
    </row>
    <row r="18" spans="14:27" x14ac:dyDescent="0.35">
      <c r="N18" s="74">
        <v>4</v>
      </c>
      <c r="O18" s="89">
        <f t="shared" si="9"/>
        <v>0</v>
      </c>
      <c r="P18" s="159">
        <f t="shared" si="8"/>
        <v>0.55555555555555558</v>
      </c>
      <c r="Q18" s="159">
        <f t="shared" si="8"/>
        <v>0.88888888888888884</v>
      </c>
      <c r="R18" s="93">
        <f t="shared" si="8"/>
        <v>1</v>
      </c>
      <c r="T18" s="30" t="s">
        <v>704</v>
      </c>
      <c r="U18" s="100">
        <f t="array" ref="U18">SUMPRODUCT(MMULT(TRANSPOSE(O20:R20),O20:R20),O15:R18)</f>
        <v>0.75528642829680892</v>
      </c>
    </row>
    <row r="19" spans="14:27" x14ac:dyDescent="0.35">
      <c r="N19" s="4"/>
      <c r="O19" s="4"/>
      <c r="P19" s="4"/>
      <c r="Q19" s="4"/>
      <c r="R19" s="4"/>
      <c r="T19" s="30" t="s">
        <v>795</v>
      </c>
      <c r="U19" s="94">
        <f>(U17-U18)/(1-U18)</f>
        <v>0.54202670856245028</v>
      </c>
    </row>
    <row r="20" spans="14:27" x14ac:dyDescent="0.35">
      <c r="N20" s="57" t="s">
        <v>796</v>
      </c>
      <c r="O20" s="123">
        <f>SUM(I4:I11)*$U$16</f>
        <v>0.1764705882352941</v>
      </c>
      <c r="P20" s="327">
        <f>SUM(J4:J11)*$U$16</f>
        <v>0.23529411764705882</v>
      </c>
      <c r="Q20" s="327">
        <f>SUM(K4:K11)*$U$16</f>
        <v>0.3235294117647059</v>
      </c>
      <c r="R20" s="326">
        <f>SUM(L4:L11)*$U$16</f>
        <v>0.26470588235294118</v>
      </c>
    </row>
    <row r="21" spans="14:27" x14ac:dyDescent="0.35">
      <c r="N21" s="298"/>
      <c r="T21" s="79" t="s">
        <v>795</v>
      </c>
      <c r="U21" s="109" t="e" cm="1">
        <f t="array" aca="1" ref="U21" ca="1">KALPHA(I4:L11,2)</f>
        <v>#NAME?</v>
      </c>
      <c r="W21" t="s">
        <v>798</v>
      </c>
      <c r="Z21" t="e">
        <f t="array" aca="1" ref="Z21:AA27" ca="1">KRIP(B4:F13,TRUE,2)</f>
        <v>#NAME?</v>
      </c>
      <c r="AA21" s="335" t="e">
        <f ca="1"/>
        <v>#NAME?</v>
      </c>
    </row>
    <row r="22" spans="14:27" x14ac:dyDescent="0.35">
      <c r="N22" s="298" t="s">
        <v>799</v>
      </c>
      <c r="O22" s="123">
        <f t="array" ref="O22:R22">MMULT(O20:R20,O15:R18)</f>
        <v>0.565359477124183</v>
      </c>
      <c r="P22" s="327">
        <v>0.82679738562091498</v>
      </c>
      <c r="Q22" s="327">
        <v>0.86601307189542487</v>
      </c>
      <c r="R22" s="326">
        <v>0.68300653594771243</v>
      </c>
      <c r="W22" t="s">
        <v>265</v>
      </c>
      <c r="X22" s="109" t="e" cm="1">
        <f t="array" aca="1" ref="X22" ca="1">KRIP_SER(B4:F13,2)</f>
        <v>#NAME?</v>
      </c>
      <c r="Z22" t="e">
        <f ca="1"/>
        <v>#NAME?</v>
      </c>
      <c r="AA22" s="100" t="e">
        <f ca="1"/>
        <v>#NAME?</v>
      </c>
    </row>
    <row r="23" spans="14:27" x14ac:dyDescent="0.35">
      <c r="Z23" t="e">
        <f ca="1"/>
        <v>#NAME?</v>
      </c>
      <c r="AA23" s="100" t="e">
        <f ca="1"/>
        <v>#NAME?</v>
      </c>
    </row>
    <row r="24" spans="14:27" x14ac:dyDescent="0.35">
      <c r="W24" t="e">
        <f t="array" aca="1" ref="W24:X27" ca="1">KRIP_SES(I4:L11,TRUE,2)</f>
        <v>#NAME?</v>
      </c>
      <c r="X24" s="335" t="e">
        <f ca="1"/>
        <v>#NAME?</v>
      </c>
      <c r="Z24" t="e">
        <f ca="1"/>
        <v>#NAME?</v>
      </c>
      <c r="AA24" s="100" t="e">
        <f ca="1"/>
        <v>#NAME?</v>
      </c>
    </row>
    <row r="25" spans="14:27" x14ac:dyDescent="0.35">
      <c r="W25" t="e">
        <f ca="1"/>
        <v>#NAME?</v>
      </c>
      <c r="X25" s="100" t="e">
        <f ca="1"/>
        <v>#NAME?</v>
      </c>
      <c r="Z25" t="e">
        <f ca="1"/>
        <v>#NAME?</v>
      </c>
      <c r="AA25" s="100" t="e">
        <f ca="1"/>
        <v>#NAME?</v>
      </c>
    </row>
    <row r="26" spans="14:27" x14ac:dyDescent="0.35">
      <c r="W26" t="e">
        <f ca="1"/>
        <v>#NAME?</v>
      </c>
      <c r="X26" s="100" t="e">
        <f ca="1"/>
        <v>#NAME?</v>
      </c>
      <c r="Z26" t="e">
        <f ca="1"/>
        <v>#NAME?</v>
      </c>
      <c r="AA26" s="100" t="e">
        <f ca="1"/>
        <v>#NAME?</v>
      </c>
    </row>
    <row r="27" spans="14:27" x14ac:dyDescent="0.35">
      <c r="W27" t="e">
        <f ca="1"/>
        <v>#NAME?</v>
      </c>
      <c r="X27" s="94" t="e">
        <f ca="1"/>
        <v>#NAME?</v>
      </c>
      <c r="Z27" t="e">
        <f ca="1"/>
        <v>#NAME?</v>
      </c>
      <c r="AA27" s="94" t="e">
        <f ca="1"/>
        <v>#NAME?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23"/>
  <dimension ref="A1:AA27"/>
  <sheetViews>
    <sheetView workbookViewId="0"/>
  </sheetViews>
  <sheetFormatPr defaultRowHeight="14.5" x14ac:dyDescent="0.35"/>
  <cols>
    <col min="1" max="1" width="6" customWidth="1"/>
    <col min="7" max="7" width="4.1796875" customWidth="1"/>
    <col min="8" max="8" width="5.26953125" customWidth="1"/>
    <col min="14" max="14" width="4.1796875" customWidth="1"/>
    <col min="15" max="18" width="9.1796875" customWidth="1"/>
    <col min="19" max="19" width="3.7265625" customWidth="1"/>
    <col min="22" max="22" width="4.1796875" customWidth="1"/>
    <col min="23" max="25" width="9.1796875" customWidth="1"/>
  </cols>
  <sheetData>
    <row r="1" spans="1:26" x14ac:dyDescent="0.35">
      <c r="A1" t="s">
        <v>786</v>
      </c>
      <c r="H1" t="s">
        <v>787</v>
      </c>
      <c r="N1" t="s">
        <v>788</v>
      </c>
    </row>
    <row r="3" spans="1:26" x14ac:dyDescent="0.35">
      <c r="A3" s="298"/>
      <c r="B3" s="298" t="s">
        <v>218</v>
      </c>
      <c r="C3" s="298" t="s">
        <v>98</v>
      </c>
      <c r="D3" s="298" t="s">
        <v>99</v>
      </c>
      <c r="E3" s="298" t="s">
        <v>100</v>
      </c>
      <c r="F3" s="298" t="s">
        <v>536</v>
      </c>
      <c r="G3" s="298"/>
      <c r="I3">
        <v>1</v>
      </c>
      <c r="J3">
        <v>2</v>
      </c>
      <c r="K3">
        <v>3</v>
      </c>
      <c r="L3">
        <v>4</v>
      </c>
      <c r="O3">
        <v>1</v>
      </c>
      <c r="P3">
        <v>2</v>
      </c>
      <c r="Q3">
        <v>3</v>
      </c>
      <c r="R3">
        <v>4</v>
      </c>
      <c r="T3" s="6" t="s">
        <v>95</v>
      </c>
      <c r="U3" s="6" t="s">
        <v>86</v>
      </c>
      <c r="V3" s="6"/>
      <c r="W3" s="23" t="s">
        <v>789</v>
      </c>
      <c r="X3" s="23" t="s">
        <v>790</v>
      </c>
      <c r="Y3" s="23" t="s">
        <v>44</v>
      </c>
      <c r="Z3" s="23" t="s">
        <v>791</v>
      </c>
    </row>
    <row r="4" spans="1:26" x14ac:dyDescent="0.35">
      <c r="A4" s="298">
        <v>1</v>
      </c>
      <c r="B4" s="347">
        <v>1</v>
      </c>
      <c r="C4" s="346">
        <v>2</v>
      </c>
      <c r="D4" s="346"/>
      <c r="E4" s="346">
        <v>3</v>
      </c>
      <c r="F4" s="345">
        <v>4</v>
      </c>
      <c r="G4" s="299"/>
      <c r="H4" s="298">
        <v>1</v>
      </c>
      <c r="I4" s="333">
        <f>COUNTIF($B4:$F4,I$3)</f>
        <v>1</v>
      </c>
      <c r="J4" s="332">
        <f t="shared" ref="J4:L11" si="0">COUNTIF($B4:$F4,J$3)</f>
        <v>1</v>
      </c>
      <c r="K4" s="332">
        <f t="shared" si="0"/>
        <v>1</v>
      </c>
      <c r="L4" s="341">
        <f t="shared" si="0"/>
        <v>1</v>
      </c>
      <c r="M4" s="4"/>
      <c r="N4" s="298">
        <v>1</v>
      </c>
      <c r="O4" s="333">
        <f t="array" ref="O4:R11">MMULT(I4:L11,O15:R18)</f>
        <v>3.278888888888889</v>
      </c>
      <c r="P4" s="332">
        <v>3.7377777777777776</v>
      </c>
      <c r="Q4" s="332">
        <v>3.689591836734694</v>
      </c>
      <c r="R4" s="341">
        <v>3.508480725623583</v>
      </c>
      <c r="S4" s="4"/>
      <c r="T4" s="333">
        <f>SUM(I4:L4)</f>
        <v>4</v>
      </c>
      <c r="U4" s="341">
        <f t="shared" ref="U4:U11" si="1">SUMPRODUCT(I4:L4,O4:R4-1)/($U$15*(T4-1))</f>
        <v>0.80115601796274061</v>
      </c>
      <c r="V4" s="6"/>
      <c r="W4" s="333">
        <f>(U4-$U$17*(T4/$U$15-1))</f>
        <v>0.85730828279024029</v>
      </c>
      <c r="X4" s="332">
        <f>SUMPRODUCT(I4:L4,$O$22:$R$22)/$U$15-$U$18*(T4/$U$15-1)</f>
        <v>0.89571839347042137</v>
      </c>
      <c r="Y4" s="332">
        <f t="shared" ref="Y4:Y11" si="2">(W4-$U$18)/(1-$U$18)</f>
        <v>-0.50465577235516779</v>
      </c>
      <c r="Z4" s="341">
        <f>Y4-2*(1-$U$19)*(X4-$U$18)/(1-$U$18)</f>
        <v>-0.40924023575628937</v>
      </c>
    </row>
    <row r="5" spans="1:26" x14ac:dyDescent="0.35">
      <c r="A5" s="298">
        <v>2</v>
      </c>
      <c r="B5" s="103">
        <v>2</v>
      </c>
      <c r="C5" s="299">
        <v>2</v>
      </c>
      <c r="D5" s="299">
        <v>3</v>
      </c>
      <c r="E5" s="299">
        <v>2</v>
      </c>
      <c r="F5" s="22"/>
      <c r="G5" s="299"/>
      <c r="H5" s="298">
        <v>2</v>
      </c>
      <c r="I5" s="101">
        <f t="shared" ref="I5:I11" si="3">COUNTIF($B5:$F5,I$3)</f>
        <v>0</v>
      </c>
      <c r="J5" s="4">
        <f t="shared" si="0"/>
        <v>3</v>
      </c>
      <c r="K5" s="4">
        <f t="shared" si="0"/>
        <v>1</v>
      </c>
      <c r="L5" s="5">
        <f t="shared" si="0"/>
        <v>0</v>
      </c>
      <c r="M5" s="4"/>
      <c r="N5" s="298">
        <v>2</v>
      </c>
      <c r="O5" s="101">
        <v>3.4166666666666665</v>
      </c>
      <c r="P5" s="4">
        <v>3.96</v>
      </c>
      <c r="Q5" s="4">
        <v>3.88</v>
      </c>
      <c r="R5" s="5">
        <v>3.6462585034013602</v>
      </c>
      <c r="S5" s="4"/>
      <c r="T5" s="101">
        <f t="shared" ref="T5:T11" si="4">SUM(I5:L5)</f>
        <v>4</v>
      </c>
      <c r="U5" s="5">
        <f t="shared" si="1"/>
        <v>0.92235294117647049</v>
      </c>
      <c r="V5" s="6"/>
      <c r="W5" s="101">
        <f t="shared" ref="W5:W11" si="5">(U5-$U$17*(T5/$U$15-1))</f>
        <v>0.97850520600397017</v>
      </c>
      <c r="X5" s="4">
        <f t="shared" ref="X5:X11" si="6">SUMPRODUCT(I5:L5,$O$22:$R$22)/$U$15-$U$18*(T5/$U$15-1)</f>
        <v>0.9368182844071884</v>
      </c>
      <c r="Y5" s="4">
        <f t="shared" si="2"/>
        <v>0.77334167326497516</v>
      </c>
      <c r="Z5" s="5">
        <f t="shared" ref="Z5:Z11" si="7">Y5-2*(1-$U$19)*(X5-$U$18)/(1-$U$18)</f>
        <v>0.45369492262149724</v>
      </c>
    </row>
    <row r="6" spans="1:26" x14ac:dyDescent="0.35">
      <c r="A6" s="298">
        <v>3</v>
      </c>
      <c r="B6" s="103">
        <v>1</v>
      </c>
      <c r="C6" s="299">
        <v>1</v>
      </c>
      <c r="D6" s="299">
        <v>1</v>
      </c>
      <c r="E6" s="299">
        <v>2</v>
      </c>
      <c r="F6" s="22">
        <v>2</v>
      </c>
      <c r="G6" s="299"/>
      <c r="H6" s="298">
        <v>3</v>
      </c>
      <c r="I6" s="101">
        <f t="shared" si="3"/>
        <v>3</v>
      </c>
      <c r="J6" s="4">
        <f t="shared" si="0"/>
        <v>2</v>
      </c>
      <c r="K6" s="4">
        <f t="shared" si="0"/>
        <v>0</v>
      </c>
      <c r="L6" s="5">
        <f t="shared" si="0"/>
        <v>0</v>
      </c>
      <c r="M6" s="4"/>
      <c r="N6" s="298">
        <v>3</v>
      </c>
      <c r="O6" s="101">
        <v>4.7777777777777777</v>
      </c>
      <c r="P6" s="4">
        <v>4.6666666666666661</v>
      </c>
      <c r="Q6" s="4">
        <v>4.17</v>
      </c>
      <c r="R6" s="5">
        <v>3.6977777777777776</v>
      </c>
      <c r="S6" s="4"/>
      <c r="T6" s="101">
        <f t="shared" si="4"/>
        <v>5</v>
      </c>
      <c r="U6" s="5">
        <f t="shared" si="1"/>
        <v>1.0980392156862744</v>
      </c>
      <c r="V6" s="6"/>
      <c r="W6" s="101">
        <f t="shared" si="5"/>
        <v>0.92958242120377543</v>
      </c>
      <c r="X6" s="4">
        <f t="shared" si="6"/>
        <v>0.84476299862505566</v>
      </c>
      <c r="Y6" s="4">
        <f t="shared" si="2"/>
        <v>0.25746063974225408</v>
      </c>
      <c r="Z6" s="5">
        <f t="shared" si="7"/>
        <v>0.86746787597347541</v>
      </c>
    </row>
    <row r="7" spans="1:26" x14ac:dyDescent="0.35">
      <c r="A7" s="298">
        <v>4</v>
      </c>
      <c r="B7" s="103">
        <v>4</v>
      </c>
      <c r="C7" s="299">
        <v>4</v>
      </c>
      <c r="D7" s="299">
        <v>3</v>
      </c>
      <c r="E7" s="299">
        <v>4</v>
      </c>
      <c r="F7" s="22">
        <v>2</v>
      </c>
      <c r="G7" s="299"/>
      <c r="H7" s="298">
        <v>4</v>
      </c>
      <c r="I7" s="101">
        <f t="shared" si="3"/>
        <v>0</v>
      </c>
      <c r="J7" s="4">
        <f t="shared" si="0"/>
        <v>1</v>
      </c>
      <c r="K7" s="4">
        <f t="shared" si="0"/>
        <v>1</v>
      </c>
      <c r="L7" s="5">
        <f t="shared" si="0"/>
        <v>3</v>
      </c>
      <c r="M7" s="4"/>
      <c r="N7" s="298">
        <v>4</v>
      </c>
      <c r="O7" s="101">
        <v>3.5588888888888888</v>
      </c>
      <c r="P7" s="4">
        <v>4.6266666666666669</v>
      </c>
      <c r="Q7" s="4">
        <v>4.8987755102040813</v>
      </c>
      <c r="R7" s="5">
        <v>4.8684807256235825</v>
      </c>
      <c r="S7" s="4"/>
      <c r="T7" s="101">
        <f t="shared" si="4"/>
        <v>5</v>
      </c>
      <c r="U7" s="5">
        <f t="shared" si="1"/>
        <v>1.1253461384553822</v>
      </c>
      <c r="V7" s="6"/>
      <c r="W7" s="101">
        <f t="shared" si="5"/>
        <v>0.95688934397288328</v>
      </c>
      <c r="X7" s="4">
        <f t="shared" si="6"/>
        <v>0.92033063744528942</v>
      </c>
      <c r="Y7" s="4">
        <f t="shared" si="2"/>
        <v>0.54540670818430248</v>
      </c>
      <c r="Z7" s="5">
        <f t="shared" si="7"/>
        <v>0.39226649328270713</v>
      </c>
    </row>
    <row r="8" spans="1:26" x14ac:dyDescent="0.35">
      <c r="A8" s="298">
        <v>5</v>
      </c>
      <c r="B8" s="103">
        <v>3</v>
      </c>
      <c r="C8" s="299">
        <v>3</v>
      </c>
      <c r="D8" s="299">
        <v>4</v>
      </c>
      <c r="E8" s="299"/>
      <c r="F8" s="22">
        <v>3</v>
      </c>
      <c r="G8" s="299"/>
      <c r="H8" s="298">
        <v>5</v>
      </c>
      <c r="I8" s="101">
        <f t="shared" si="3"/>
        <v>0</v>
      </c>
      <c r="J8" s="4">
        <f t="shared" si="0"/>
        <v>0</v>
      </c>
      <c r="K8" s="4">
        <f t="shared" si="0"/>
        <v>3</v>
      </c>
      <c r="L8" s="5">
        <f t="shared" si="0"/>
        <v>1</v>
      </c>
      <c r="M8" s="4"/>
      <c r="N8" s="298">
        <v>5</v>
      </c>
      <c r="O8" s="101">
        <v>2.89</v>
      </c>
      <c r="P8" s="4">
        <v>3.7688888888888887</v>
      </c>
      <c r="Q8" s="4">
        <v>3.9795918367346941</v>
      </c>
      <c r="R8" s="5">
        <v>3.9387755102040813</v>
      </c>
      <c r="S8" s="4"/>
      <c r="T8" s="101">
        <f t="shared" si="4"/>
        <v>4</v>
      </c>
      <c r="U8" s="5">
        <f t="shared" si="1"/>
        <v>0.93157262905162064</v>
      </c>
      <c r="V8" s="6"/>
      <c r="W8" s="101">
        <f t="shared" si="5"/>
        <v>0.98772489387912032</v>
      </c>
      <c r="X8" s="4">
        <f t="shared" si="6"/>
        <v>0.93016966417478164</v>
      </c>
      <c r="Y8" s="4">
        <f t="shared" si="2"/>
        <v>0.87056144783860956</v>
      </c>
      <c r="Z8" s="5">
        <f t="shared" si="7"/>
        <v>0.61805822136930133</v>
      </c>
    </row>
    <row r="9" spans="1:26" x14ac:dyDescent="0.35">
      <c r="A9" s="298">
        <v>6</v>
      </c>
      <c r="B9" s="103">
        <v>2</v>
      </c>
      <c r="C9" s="299"/>
      <c r="D9" s="299">
        <v>1</v>
      </c>
      <c r="E9" s="299">
        <v>1</v>
      </c>
      <c r="F9" s="22"/>
      <c r="G9" s="299"/>
      <c r="H9" s="298">
        <v>6</v>
      </c>
      <c r="I9" s="101">
        <f t="shared" si="3"/>
        <v>2</v>
      </c>
      <c r="J9" s="4">
        <f t="shared" si="0"/>
        <v>1</v>
      </c>
      <c r="K9" s="4">
        <f t="shared" si="0"/>
        <v>0</v>
      </c>
      <c r="L9" s="5">
        <f t="shared" si="0"/>
        <v>0</v>
      </c>
      <c r="M9" s="4"/>
      <c r="N9" s="298">
        <v>6</v>
      </c>
      <c r="O9" s="101">
        <v>2.8888888888888888</v>
      </c>
      <c r="P9" s="4">
        <v>2.7777777777777777</v>
      </c>
      <c r="Q9" s="4">
        <v>2.46</v>
      </c>
      <c r="R9" s="5">
        <v>2.1688888888888886</v>
      </c>
      <c r="S9" s="4"/>
      <c r="T9" s="101">
        <f t="shared" si="4"/>
        <v>3</v>
      </c>
      <c r="U9" s="5">
        <f t="shared" si="1"/>
        <v>0.65359477124183007</v>
      </c>
      <c r="V9" s="6"/>
      <c r="W9" s="101">
        <f t="shared" si="5"/>
        <v>0.93435609537932818</v>
      </c>
      <c r="X9" s="4">
        <f t="shared" si="6"/>
        <v>0.86231926219161248</v>
      </c>
      <c r="Y9" s="4">
        <f t="shared" si="2"/>
        <v>0.30779808429784428</v>
      </c>
      <c r="Z9" s="5">
        <f t="shared" si="7"/>
        <v>0.74050696899387958</v>
      </c>
    </row>
    <row r="10" spans="1:26" x14ac:dyDescent="0.35">
      <c r="A10" s="298">
        <v>7</v>
      </c>
      <c r="B10" s="103">
        <v>3</v>
      </c>
      <c r="C10" s="299">
        <v>3</v>
      </c>
      <c r="D10" s="299">
        <v>3</v>
      </c>
      <c r="E10" s="299">
        <v>4</v>
      </c>
      <c r="F10" s="22"/>
      <c r="G10" s="299"/>
      <c r="H10" s="298">
        <v>7</v>
      </c>
      <c r="I10" s="101">
        <f t="shared" si="3"/>
        <v>0</v>
      </c>
      <c r="J10" s="4">
        <f t="shared" si="0"/>
        <v>0</v>
      </c>
      <c r="K10" s="4">
        <f t="shared" si="0"/>
        <v>3</v>
      </c>
      <c r="L10" s="5">
        <f t="shared" si="0"/>
        <v>1</v>
      </c>
      <c r="M10" s="4"/>
      <c r="N10" s="298">
        <v>7</v>
      </c>
      <c r="O10" s="101">
        <v>2.89</v>
      </c>
      <c r="P10" s="4">
        <v>3.7688888888888887</v>
      </c>
      <c r="Q10" s="4">
        <v>3.9795918367346941</v>
      </c>
      <c r="R10" s="5">
        <v>3.9387755102040813</v>
      </c>
      <c r="S10" s="4"/>
      <c r="T10" s="101">
        <f t="shared" si="4"/>
        <v>4</v>
      </c>
      <c r="U10" s="5">
        <f t="shared" si="1"/>
        <v>0.93157262905162064</v>
      </c>
      <c r="V10" s="6"/>
      <c r="W10" s="101">
        <f t="shared" si="5"/>
        <v>0.98772489387912032</v>
      </c>
      <c r="X10" s="4">
        <f t="shared" si="6"/>
        <v>0.93016966417478164</v>
      </c>
      <c r="Y10" s="4">
        <f t="shared" si="2"/>
        <v>0.87056144783860956</v>
      </c>
      <c r="Z10" s="5">
        <f t="shared" si="7"/>
        <v>0.61805822136930133</v>
      </c>
    </row>
    <row r="11" spans="1:26" x14ac:dyDescent="0.35">
      <c r="A11" s="298">
        <v>8</v>
      </c>
      <c r="B11" s="103">
        <v>4</v>
      </c>
      <c r="C11" s="299">
        <v>3</v>
      </c>
      <c r="D11" s="299">
        <v>4</v>
      </c>
      <c r="E11" s="299">
        <v>3</v>
      </c>
      <c r="F11" s="22">
        <v>4</v>
      </c>
      <c r="G11" s="299"/>
      <c r="H11" s="298">
        <v>8</v>
      </c>
      <c r="I11" s="89">
        <f t="shared" si="3"/>
        <v>0</v>
      </c>
      <c r="J11" s="159">
        <f t="shared" si="0"/>
        <v>0</v>
      </c>
      <c r="K11" s="159">
        <f t="shared" si="0"/>
        <v>2</v>
      </c>
      <c r="L11" s="93">
        <f t="shared" si="0"/>
        <v>3</v>
      </c>
      <c r="M11" s="4"/>
      <c r="N11" s="298">
        <v>8</v>
      </c>
      <c r="O11" s="89">
        <v>3.42</v>
      </c>
      <c r="P11" s="159">
        <v>4.586666666666666</v>
      </c>
      <c r="Q11" s="159">
        <v>4.9387755102040813</v>
      </c>
      <c r="R11" s="93">
        <v>4.9591836734693882</v>
      </c>
      <c r="S11" s="4"/>
      <c r="T11" s="89">
        <f t="shared" si="4"/>
        <v>5</v>
      </c>
      <c r="U11" s="93">
        <f t="shared" si="1"/>
        <v>1.1620648259303721</v>
      </c>
      <c r="V11" s="6"/>
      <c r="W11" s="89">
        <f t="shared" si="5"/>
        <v>0.99360803144787313</v>
      </c>
      <c r="X11" s="159">
        <f t="shared" si="6"/>
        <v>0.92104339313580075</v>
      </c>
      <c r="Y11" s="159">
        <f t="shared" si="2"/>
        <v>0.93259796317026467</v>
      </c>
      <c r="Z11" s="93">
        <f t="shared" si="7"/>
        <v>0.77225972412783184</v>
      </c>
    </row>
    <row r="12" spans="1:26" x14ac:dyDescent="0.35">
      <c r="A12" s="298">
        <v>9</v>
      </c>
      <c r="B12" s="103"/>
      <c r="C12" s="299"/>
      <c r="D12" s="299"/>
      <c r="E12" s="299"/>
      <c r="F12" s="22"/>
      <c r="G12" s="299"/>
      <c r="H12" s="298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spans="1:26" x14ac:dyDescent="0.35">
      <c r="A13" s="298">
        <v>10</v>
      </c>
      <c r="B13" s="95"/>
      <c r="C13" s="300">
        <v>3</v>
      </c>
      <c r="D13" s="300"/>
      <c r="E13" s="300"/>
      <c r="F13" s="90"/>
      <c r="G13" s="299"/>
      <c r="N13" s="30" t="s">
        <v>718</v>
      </c>
      <c r="T13" s="30" t="s">
        <v>31</v>
      </c>
      <c r="U13" s="335">
        <f>COUNT(H4:H11)</f>
        <v>8</v>
      </c>
      <c r="X13" t="s">
        <v>792</v>
      </c>
      <c r="Y13" t="s">
        <v>810</v>
      </c>
    </row>
    <row r="14" spans="1:26" x14ac:dyDescent="0.35">
      <c r="A14" s="298"/>
      <c r="B14" s="299"/>
      <c r="C14" s="299"/>
      <c r="D14" s="299"/>
      <c r="E14" s="299"/>
      <c r="F14" s="299"/>
      <c r="G14" s="299"/>
      <c r="O14">
        <v>1</v>
      </c>
      <c r="P14">
        <v>2</v>
      </c>
      <c r="Q14">
        <v>3</v>
      </c>
      <c r="R14">
        <v>4</v>
      </c>
      <c r="T14" s="30" t="s">
        <v>656</v>
      </c>
      <c r="U14" s="100">
        <f>COUNT(I3:L3)</f>
        <v>4</v>
      </c>
      <c r="W14" s="17" t="s">
        <v>44</v>
      </c>
      <c r="X14" s="335">
        <v>0.05</v>
      </c>
      <c r="Y14" s="335">
        <v>0.05</v>
      </c>
    </row>
    <row r="15" spans="1:26" x14ac:dyDescent="0.35">
      <c r="N15" s="298">
        <v>1</v>
      </c>
      <c r="O15" s="333">
        <f>1-((O$14-$N15)/(O$14+$N15))^2</f>
        <v>1</v>
      </c>
      <c r="P15" s="332">
        <f t="shared" ref="P15:R18" si="8">1-((P$14-$N15)/(P$14+$N15))^2</f>
        <v>0.88888888888888884</v>
      </c>
      <c r="Q15" s="332">
        <f t="shared" si="8"/>
        <v>0.75</v>
      </c>
      <c r="R15" s="341">
        <f t="shared" si="8"/>
        <v>0.64</v>
      </c>
      <c r="T15" t="s">
        <v>793</v>
      </c>
      <c r="U15" s="100">
        <f>AVERAGE(T4:T11)</f>
        <v>4.25</v>
      </c>
      <c r="W15" t="s">
        <v>265</v>
      </c>
      <c r="X15" s="100">
        <f t="array" ref="X15">SQRT(SUMSQ(Z4:Z11-U19)/(U13*(U13-1)))</f>
        <v>0.14247042159273818</v>
      </c>
      <c r="Y15" s="100" t="e">
        <f ca="1">SQRT(X15^2+X22^2)</f>
        <v>#NAME?</v>
      </c>
    </row>
    <row r="16" spans="1:26" x14ac:dyDescent="0.35">
      <c r="N16" s="298">
        <v>2</v>
      </c>
      <c r="O16" s="101">
        <f t="shared" ref="O16:O18" si="9">1-((O$14-$N16)/(O$14+$N16))^2</f>
        <v>0.88888888888888884</v>
      </c>
      <c r="P16" s="4">
        <f t="shared" si="8"/>
        <v>1</v>
      </c>
      <c r="Q16" s="4">
        <f t="shared" si="8"/>
        <v>0.96</v>
      </c>
      <c r="R16" s="5">
        <f t="shared" si="8"/>
        <v>0.88888888888888884</v>
      </c>
      <c r="T16" t="s">
        <v>794</v>
      </c>
      <c r="U16" s="100">
        <f>1/(U13*U15)</f>
        <v>2.9411764705882353E-2</v>
      </c>
      <c r="W16" t="s">
        <v>29</v>
      </c>
      <c r="X16" s="100">
        <f>U19-X15*TINV(X14,U13-1)</f>
        <v>0.18425577396494347</v>
      </c>
      <c r="Y16" s="100" t="e">
        <f ca="1">U19-Y15*TINV(X14,U13-1)</f>
        <v>#NAME?</v>
      </c>
    </row>
    <row r="17" spans="14:27" x14ac:dyDescent="0.35">
      <c r="N17" s="299">
        <v>3</v>
      </c>
      <c r="O17" s="101">
        <f t="shared" si="9"/>
        <v>0.75</v>
      </c>
      <c r="P17" s="4">
        <f t="shared" si="8"/>
        <v>0.96</v>
      </c>
      <c r="Q17" s="4">
        <f t="shared" si="8"/>
        <v>1</v>
      </c>
      <c r="R17" s="5">
        <f t="shared" si="8"/>
        <v>0.97959183673469385</v>
      </c>
      <c r="T17" s="30" t="s">
        <v>707</v>
      </c>
      <c r="U17" s="100">
        <f>AVERAGE(U4:U11)*(1-U16)+U16</f>
        <v>0.95458850206749379</v>
      </c>
      <c r="W17" t="s">
        <v>30</v>
      </c>
      <c r="X17" s="94">
        <f>MIN(U19+X15*TINV(X14,U13-1),1)</f>
        <v>0.85803380203061752</v>
      </c>
      <c r="Y17" s="94" t="e">
        <f ca="1">MIN(U19+Y15*TINV(X14,U13-1),1)</f>
        <v>#NAME?</v>
      </c>
    </row>
    <row r="18" spans="14:27" x14ac:dyDescent="0.35">
      <c r="N18" s="74">
        <v>4</v>
      </c>
      <c r="O18" s="89">
        <f t="shared" si="9"/>
        <v>0.64</v>
      </c>
      <c r="P18" s="159">
        <f t="shared" si="8"/>
        <v>0.88888888888888884</v>
      </c>
      <c r="Q18" s="159">
        <f t="shared" si="8"/>
        <v>0.97959183673469385</v>
      </c>
      <c r="R18" s="93">
        <f t="shared" si="8"/>
        <v>1</v>
      </c>
      <c r="T18" s="30" t="s">
        <v>704</v>
      </c>
      <c r="U18" s="100">
        <f t="array" ref="U18">SUMPRODUCT(MMULT(TRANSPOSE(O20:R20),O20:R20),O15:R18)</f>
        <v>0.90516653720311657</v>
      </c>
    </row>
    <row r="19" spans="14:27" x14ac:dyDescent="0.35">
      <c r="N19" s="4"/>
      <c r="O19" s="4"/>
      <c r="P19" s="4"/>
      <c r="Q19" s="4"/>
      <c r="R19" s="4"/>
      <c r="T19" s="30" t="s">
        <v>795</v>
      </c>
      <c r="U19" s="94">
        <f>(U17-U18)/(1-U18)</f>
        <v>0.52114478799778052</v>
      </c>
    </row>
    <row r="20" spans="14:27" x14ac:dyDescent="0.35">
      <c r="N20" s="57" t="s">
        <v>796</v>
      </c>
      <c r="O20" s="123">
        <f>SUM(I4:I11)*$U$16</f>
        <v>0.1764705882352941</v>
      </c>
      <c r="P20" s="327">
        <f>SUM(J4:J11)*$U$16</f>
        <v>0.23529411764705882</v>
      </c>
      <c r="Q20" s="327">
        <f>SUM(K4:K11)*$U$16</f>
        <v>0.3235294117647059</v>
      </c>
      <c r="R20" s="326">
        <f>SUM(L4:L11)*$U$16</f>
        <v>0.26470588235294118</v>
      </c>
    </row>
    <row r="21" spans="14:27" x14ac:dyDescent="0.35">
      <c r="N21" s="298"/>
      <c r="T21" s="79" t="s">
        <v>797</v>
      </c>
      <c r="U21" s="109" t="e" cm="1">
        <f t="array" aca="1" ref="U21" ca="1">KALPHA(I4:L11,3)</f>
        <v>#NAME?</v>
      </c>
      <c r="W21" t="s">
        <v>798</v>
      </c>
      <c r="Z21" t="e">
        <f t="array" aca="1" ref="Z21:AA27" ca="1">KRIP(B4:F13,TRUE,3)</f>
        <v>#NAME?</v>
      </c>
      <c r="AA21" s="335" t="e">
        <f ca="1"/>
        <v>#NAME?</v>
      </c>
    </row>
    <row r="22" spans="14:27" x14ac:dyDescent="0.35">
      <c r="N22" s="298" t="s">
        <v>799</v>
      </c>
      <c r="O22" s="123">
        <f t="array" ref="O22:R22">MMULT(O20:R20,O15:R18)</f>
        <v>0.79767973856209151</v>
      </c>
      <c r="P22" s="327">
        <v>0.93803921568627446</v>
      </c>
      <c r="Q22" s="327">
        <v>0.9410684273709482</v>
      </c>
      <c r="R22" s="326">
        <v>0.90372415632919822</v>
      </c>
      <c r="W22" t="s">
        <v>265</v>
      </c>
      <c r="X22" s="109" t="e" cm="1">
        <f t="array" aca="1" ref="X22" ca="1">KRIP_SER(B4:F13,3)</f>
        <v>#NAME?</v>
      </c>
      <c r="Z22" t="e">
        <f ca="1"/>
        <v>#NAME?</v>
      </c>
      <c r="AA22" s="100" t="e">
        <f ca="1"/>
        <v>#NAME?</v>
      </c>
    </row>
    <row r="23" spans="14:27" x14ac:dyDescent="0.35">
      <c r="Z23" t="e">
        <f ca="1"/>
        <v>#NAME?</v>
      </c>
      <c r="AA23" s="100" t="e">
        <f ca="1"/>
        <v>#NAME?</v>
      </c>
    </row>
    <row r="24" spans="14:27" x14ac:dyDescent="0.35">
      <c r="W24" t="e">
        <f t="array" aca="1" ref="W24:X27" ca="1">KRIP_SES(I4:L11,TRUE,3)</f>
        <v>#NAME?</v>
      </c>
      <c r="X24" s="335" t="e">
        <f ca="1"/>
        <v>#NAME?</v>
      </c>
      <c r="Z24" t="e">
        <f ca="1"/>
        <v>#NAME?</v>
      </c>
      <c r="AA24" s="100" t="e">
        <f ca="1"/>
        <v>#NAME?</v>
      </c>
    </row>
    <row r="25" spans="14:27" x14ac:dyDescent="0.35">
      <c r="W25" t="e">
        <f ca="1"/>
        <v>#NAME?</v>
      </c>
      <c r="X25" s="100" t="e">
        <f ca="1"/>
        <v>#NAME?</v>
      </c>
      <c r="Z25" t="e">
        <f ca="1"/>
        <v>#NAME?</v>
      </c>
      <c r="AA25" s="100" t="e">
        <f ca="1"/>
        <v>#NAME?</v>
      </c>
    </row>
    <row r="26" spans="14:27" x14ac:dyDescent="0.35">
      <c r="W26" t="e">
        <f ca="1"/>
        <v>#NAME?</v>
      </c>
      <c r="X26" s="100" t="e">
        <f ca="1"/>
        <v>#NAME?</v>
      </c>
      <c r="Z26" t="e">
        <f ca="1"/>
        <v>#NAME?</v>
      </c>
      <c r="AA26" s="100" t="e">
        <f ca="1"/>
        <v>#NAME?</v>
      </c>
    </row>
    <row r="27" spans="14:27" x14ac:dyDescent="0.35">
      <c r="W27" t="e">
        <f ca="1"/>
        <v>#NAME?</v>
      </c>
      <c r="X27" s="94" t="e">
        <f ca="1"/>
        <v>#NAME?</v>
      </c>
      <c r="Z27" t="e">
        <f ca="1"/>
        <v>#NAME?</v>
      </c>
      <c r="AA27" s="94" t="e">
        <f ca="1"/>
        <v>#NAME?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24"/>
  <dimension ref="A1:AF27"/>
  <sheetViews>
    <sheetView workbookViewId="0"/>
  </sheetViews>
  <sheetFormatPr defaultRowHeight="14.5" x14ac:dyDescent="0.35"/>
  <cols>
    <col min="1" max="1" width="6" customWidth="1"/>
    <col min="2" max="2" width="9.1796875" customWidth="1"/>
    <col min="7" max="7" width="4.1796875" customWidth="1"/>
    <col min="8" max="8" width="5.26953125" customWidth="1"/>
    <col min="10" max="10" width="9.1796875" customWidth="1"/>
    <col min="14" max="14" width="7.1796875" customWidth="1"/>
    <col min="15" max="18" width="9.1796875" customWidth="1"/>
    <col min="19" max="19" width="3.7265625" customWidth="1"/>
    <col min="22" max="22" width="4.1796875" customWidth="1"/>
    <col min="23" max="25" width="9.1796875" customWidth="1"/>
    <col min="28" max="28" width="12.54296875" customWidth="1"/>
  </cols>
  <sheetData>
    <row r="1" spans="1:32" x14ac:dyDescent="0.35">
      <c r="A1" t="s">
        <v>786</v>
      </c>
      <c r="H1" t="s">
        <v>787</v>
      </c>
      <c r="N1" t="s">
        <v>788</v>
      </c>
      <c r="AB1" t="s">
        <v>622</v>
      </c>
      <c r="AE1" t="s">
        <v>622</v>
      </c>
    </row>
    <row r="3" spans="1:32" x14ac:dyDescent="0.35">
      <c r="A3" s="298"/>
      <c r="B3" s="298" t="s">
        <v>218</v>
      </c>
      <c r="C3" s="298" t="s">
        <v>98</v>
      </c>
      <c r="D3" s="298" t="s">
        <v>99</v>
      </c>
      <c r="E3" s="298" t="s">
        <v>100</v>
      </c>
      <c r="F3" s="298" t="s">
        <v>536</v>
      </c>
      <c r="G3" s="298"/>
      <c r="I3">
        <v>1</v>
      </c>
      <c r="J3">
        <v>2</v>
      </c>
      <c r="K3">
        <v>3</v>
      </c>
      <c r="L3">
        <v>4</v>
      </c>
      <c r="O3">
        <v>1</v>
      </c>
      <c r="P3">
        <v>2</v>
      </c>
      <c r="Q3">
        <v>3</v>
      </c>
      <c r="R3">
        <v>4</v>
      </c>
      <c r="T3" s="6" t="s">
        <v>95</v>
      </c>
      <c r="U3" s="6" t="s">
        <v>86</v>
      </c>
      <c r="V3" s="6"/>
      <c r="W3" s="23" t="s">
        <v>789</v>
      </c>
      <c r="X3" s="23" t="s">
        <v>790</v>
      </c>
      <c r="Y3" s="23" t="s">
        <v>44</v>
      </c>
      <c r="Z3" s="23" t="s">
        <v>791</v>
      </c>
      <c r="AB3" t="s">
        <v>35</v>
      </c>
      <c r="AC3" s="348">
        <v>0.05</v>
      </c>
      <c r="AE3" t="s">
        <v>35</v>
      </c>
      <c r="AF3" s="348">
        <v>0.05</v>
      </c>
    </row>
    <row r="4" spans="1:32" x14ac:dyDescent="0.35">
      <c r="A4" s="298">
        <v>1</v>
      </c>
      <c r="B4" s="347">
        <v>1</v>
      </c>
      <c r="C4" s="346">
        <v>2</v>
      </c>
      <c r="D4" s="346"/>
      <c r="E4" s="346">
        <v>3</v>
      </c>
      <c r="F4" s="345">
        <v>4</v>
      </c>
      <c r="G4" s="299"/>
      <c r="H4" s="298">
        <v>1</v>
      </c>
      <c r="I4" s="333">
        <f>COUNTIF($B4:$F4,I$3)</f>
        <v>1</v>
      </c>
      <c r="J4" s="332">
        <f t="shared" ref="J4:L11" si="0">COUNTIF($B4:$F4,J$3)</f>
        <v>1</v>
      </c>
      <c r="K4" s="332">
        <f t="shared" si="0"/>
        <v>1</v>
      </c>
      <c r="L4" s="341">
        <f t="shared" si="0"/>
        <v>1</v>
      </c>
      <c r="M4" s="4"/>
      <c r="N4" s="298">
        <v>1</v>
      </c>
      <c r="O4" s="333">
        <f t="array" ref="O4:R11">MMULT(I4:L11,O15:R18)</f>
        <v>2.2700488836041748</v>
      </c>
      <c r="P4" s="332">
        <v>3.0606420927467295</v>
      </c>
      <c r="Q4" s="332">
        <v>2.9829567974633369</v>
      </c>
      <c r="R4" s="341">
        <v>2.4079799180869337</v>
      </c>
      <c r="S4" s="4"/>
      <c r="T4" s="333">
        <f>SUM(I4:L4)</f>
        <v>4</v>
      </c>
      <c r="U4" s="341">
        <f t="shared" ref="U4:U11" si="1">SUMPRODUCT(I4:L4,O4:R4-1)/($U$15*(T4-1))</f>
        <v>0.52718648563930781</v>
      </c>
      <c r="V4" s="6"/>
      <c r="W4" s="333">
        <f>(U4-$U$17*(T4/$U$15-1))</f>
        <v>0.5792981701574812</v>
      </c>
      <c r="X4" s="332">
        <f>SUMPRODUCT(I4:L4,$O$22:$R$22)/$U$15-$U$18*(T4/$U$15-1)</f>
        <v>0.68202985078158884</v>
      </c>
      <c r="Y4" s="332">
        <f t="shared" ref="Y4:Y11" si="2">(W4-$U$18)/(1-$U$18)</f>
        <v>-0.40982497284181446</v>
      </c>
      <c r="Z4" s="341">
        <f>Y4-2*(1-$U$19)*(X4-$U$18)/(1-$U$18)</f>
        <v>-0.35969029670634317</v>
      </c>
      <c r="AB4" t="s">
        <v>823</v>
      </c>
      <c r="AC4" s="147">
        <v>0</v>
      </c>
      <c r="AE4" t="s">
        <v>823</v>
      </c>
      <c r="AF4" s="155">
        <v>0</v>
      </c>
    </row>
    <row r="5" spans="1:32" x14ac:dyDescent="0.35">
      <c r="A5" s="298">
        <v>2</v>
      </c>
      <c r="B5" s="103">
        <v>2</v>
      </c>
      <c r="C5" s="299">
        <v>2</v>
      </c>
      <c r="D5" s="299">
        <v>3</v>
      </c>
      <c r="E5" s="299">
        <v>2</v>
      </c>
      <c r="F5" s="22"/>
      <c r="G5" s="299"/>
      <c r="H5" s="298">
        <v>2</v>
      </c>
      <c r="I5" s="101">
        <f t="shared" ref="I5:I11" si="3">COUNTIF($B5:$F5,I$3)</f>
        <v>0</v>
      </c>
      <c r="J5" s="4">
        <f t="shared" si="0"/>
        <v>3</v>
      </c>
      <c r="K5" s="4">
        <f t="shared" si="0"/>
        <v>1</v>
      </c>
      <c r="L5" s="5">
        <f t="shared" si="0"/>
        <v>0</v>
      </c>
      <c r="M5" s="4"/>
      <c r="N5" s="298">
        <v>2</v>
      </c>
      <c r="O5" s="101">
        <v>3.1421588056546437</v>
      </c>
      <c r="P5" s="4">
        <v>3.6827850442594796</v>
      </c>
      <c r="Q5" s="4">
        <v>3.0483551327784379</v>
      </c>
      <c r="R5" s="5">
        <v>2.2915840930109654</v>
      </c>
      <c r="S5" s="4"/>
      <c r="T5" s="101">
        <f t="shared" ref="T5:T11" si="4">SUM(I5:L5)</f>
        <v>4</v>
      </c>
      <c r="U5" s="5">
        <f t="shared" si="1"/>
        <v>0.79189884435740221</v>
      </c>
      <c r="V5" s="6"/>
      <c r="W5" s="101">
        <f t="shared" ref="W5:W11" si="5">(U5-$U$17*(T5/$U$15-1))</f>
        <v>0.84401052887557559</v>
      </c>
      <c r="X5" s="4">
        <f t="shared" ref="X5:X11" si="6">SUMPRODUCT(I5:L5,$O$22:$R$22)/$U$15-$U$18*(T5/$U$15-1)</f>
        <v>0.75041478093513359</v>
      </c>
      <c r="Y5" s="4">
        <f t="shared" si="2"/>
        <v>0.4772595784194178</v>
      </c>
      <c r="Z5" s="5">
        <f t="shared" ref="Z5:Z11" si="7">Y5-2*(1-$U$19)*(X5-$U$18)/(1-$U$18)</f>
        <v>0.35214231515614247</v>
      </c>
      <c r="AB5" t="s">
        <v>824</v>
      </c>
      <c r="AC5" s="155">
        <v>0</v>
      </c>
    </row>
    <row r="6" spans="1:32" x14ac:dyDescent="0.35">
      <c r="A6" s="298">
        <v>3</v>
      </c>
      <c r="B6" s="103">
        <v>1</v>
      </c>
      <c r="C6" s="299">
        <v>1</v>
      </c>
      <c r="D6" s="299">
        <v>1</v>
      </c>
      <c r="E6" s="299">
        <v>2</v>
      </c>
      <c r="F6" s="22">
        <v>2</v>
      </c>
      <c r="G6" s="299"/>
      <c r="H6" s="298">
        <v>3</v>
      </c>
      <c r="I6" s="101">
        <f t="shared" si="3"/>
        <v>3</v>
      </c>
      <c r="J6" s="4">
        <f t="shared" si="0"/>
        <v>2</v>
      </c>
      <c r="K6" s="4">
        <f t="shared" si="0"/>
        <v>0</v>
      </c>
      <c r="L6" s="5">
        <f t="shared" si="0"/>
        <v>0</v>
      </c>
      <c r="M6" s="4"/>
      <c r="N6" s="298">
        <v>3</v>
      </c>
      <c r="O6" s="101">
        <v>4.8721099220504689</v>
      </c>
      <c r="P6" s="4">
        <v>4.8081648830757029</v>
      </c>
      <c r="Q6" s="4">
        <v>2.3675518562557789</v>
      </c>
      <c r="R6" s="5">
        <v>0.88360417492403198</v>
      </c>
      <c r="S6" s="4"/>
      <c r="T6" s="101">
        <f t="shared" si="4"/>
        <v>5</v>
      </c>
      <c r="U6" s="5">
        <f t="shared" si="1"/>
        <v>1.1313329136648713</v>
      </c>
      <c r="V6" s="6"/>
      <c r="W6" s="101">
        <f t="shared" si="5"/>
        <v>0.97499786011035117</v>
      </c>
      <c r="X6" s="4">
        <f t="shared" si="6"/>
        <v>0.57995064713947087</v>
      </c>
      <c r="Y6" s="4">
        <f t="shared" si="2"/>
        <v>0.91621467107926291</v>
      </c>
      <c r="Z6" s="5">
        <f t="shared" si="7"/>
        <v>1.2279505270418289</v>
      </c>
      <c r="AE6" t="e">
        <f t="array" aca="1" ref="AE6:AF9" ca="1">KRIP_SES(I4:L11,TRUE,2,O14:R14,AF3,AF4)</f>
        <v>#NAME?</v>
      </c>
      <c r="AF6" s="348" t="e">
        <f ca="1"/>
        <v>#NAME?</v>
      </c>
    </row>
    <row r="7" spans="1:32" x14ac:dyDescent="0.35">
      <c r="A7" s="298">
        <v>4</v>
      </c>
      <c r="B7" s="103">
        <v>4</v>
      </c>
      <c r="C7" s="299">
        <v>4</v>
      </c>
      <c r="D7" s="299">
        <v>3</v>
      </c>
      <c r="E7" s="299">
        <v>4</v>
      </c>
      <c r="F7" s="22">
        <v>2</v>
      </c>
      <c r="G7" s="299"/>
      <c r="H7" s="298">
        <v>4</v>
      </c>
      <c r="I7" s="101">
        <f t="shared" si="3"/>
        <v>0</v>
      </c>
      <c r="J7" s="4">
        <f t="shared" si="0"/>
        <v>1</v>
      </c>
      <c r="K7" s="4">
        <f t="shared" si="0"/>
        <v>1</v>
      </c>
      <c r="L7" s="5">
        <f t="shared" si="0"/>
        <v>3</v>
      </c>
      <c r="M7" s="4"/>
      <c r="N7" s="298">
        <v>4</v>
      </c>
      <c r="O7" s="101">
        <v>1.2700488836041746</v>
      </c>
      <c r="P7" s="4">
        <v>3.0081913066455277</v>
      </c>
      <c r="Q7" s="4">
        <v>4.5813185361342317</v>
      </c>
      <c r="R7" s="5">
        <v>4.4079799180869337</v>
      </c>
      <c r="S7" s="4"/>
      <c r="T7" s="101">
        <f t="shared" si="4"/>
        <v>5</v>
      </c>
      <c r="U7" s="5">
        <f t="shared" si="1"/>
        <v>0.93020291747297412</v>
      </c>
      <c r="V7" s="6"/>
      <c r="W7" s="101">
        <f t="shared" si="5"/>
        <v>0.77386786391845397</v>
      </c>
      <c r="X7" s="4">
        <f t="shared" si="6"/>
        <v>0.71876490544403793</v>
      </c>
      <c r="Y7" s="4">
        <f t="shared" si="2"/>
        <v>0.24220264806272424</v>
      </c>
      <c r="Z7" s="5">
        <f t="shared" si="7"/>
        <v>0.19819539030927918</v>
      </c>
      <c r="AB7" t="e">
        <f t="array" aca="1" ref="AB7:AC13" ca="1">KRIP(B4:F13,TRUE,O15:R18,O14:R14,AC3,AC4,AC5)</f>
        <v>#NAME?</v>
      </c>
      <c r="AC7" s="348" t="e">
        <f ca="1"/>
        <v>#NAME?</v>
      </c>
      <c r="AE7" t="e">
        <f ca="1"/>
        <v>#NAME?</v>
      </c>
      <c r="AF7" s="147" t="e">
        <f ca="1"/>
        <v>#NAME?</v>
      </c>
    </row>
    <row r="8" spans="1:32" x14ac:dyDescent="0.35">
      <c r="A8" s="298">
        <v>5</v>
      </c>
      <c r="B8" s="103">
        <v>3</v>
      </c>
      <c r="C8" s="299">
        <v>3</v>
      </c>
      <c r="D8" s="299">
        <v>4</v>
      </c>
      <c r="E8" s="299"/>
      <c r="F8" s="22">
        <v>3</v>
      </c>
      <c r="G8" s="299"/>
      <c r="H8" s="298">
        <v>5</v>
      </c>
      <c r="I8" s="101">
        <f t="shared" si="3"/>
        <v>0</v>
      </c>
      <c r="J8" s="4">
        <f t="shared" si="0"/>
        <v>0</v>
      </c>
      <c r="K8" s="4">
        <f t="shared" si="0"/>
        <v>3</v>
      </c>
      <c r="L8" s="5">
        <f t="shared" si="0"/>
        <v>1</v>
      </c>
      <c r="M8" s="4"/>
      <c r="N8" s="298">
        <v>5</v>
      </c>
      <c r="O8" s="101">
        <v>1.0019817677368204</v>
      </c>
      <c r="P8" s="4">
        <v>2.4901572202404538</v>
      </c>
      <c r="Q8" s="4">
        <v>3.9661778306249174</v>
      </c>
      <c r="R8" s="5">
        <v>3.8985334918747525</v>
      </c>
      <c r="S8" s="4"/>
      <c r="T8" s="101">
        <f t="shared" si="4"/>
        <v>4</v>
      </c>
      <c r="U8" s="5">
        <f t="shared" si="1"/>
        <v>0.92526015558819641</v>
      </c>
      <c r="V8" s="6"/>
      <c r="W8" s="101">
        <f t="shared" si="5"/>
        <v>0.97737184010636979</v>
      </c>
      <c r="X8" s="4">
        <f t="shared" si="6"/>
        <v>0.76547713004534956</v>
      </c>
      <c r="Y8" s="4">
        <f t="shared" si="2"/>
        <v>0.92417017791570055</v>
      </c>
      <c r="Z8" s="5">
        <f t="shared" si="7"/>
        <v>0.76045221874560198</v>
      </c>
      <c r="AB8" t="e">
        <f ca="1"/>
        <v>#NAME?</v>
      </c>
      <c r="AC8" s="147" t="e">
        <f ca="1"/>
        <v>#NAME?</v>
      </c>
      <c r="AE8" t="e">
        <f ca="1"/>
        <v>#NAME?</v>
      </c>
      <c r="AF8" s="147" t="e">
        <f ca="1"/>
        <v>#NAME?</v>
      </c>
    </row>
    <row r="9" spans="1:32" x14ac:dyDescent="0.35">
      <c r="A9" s="298">
        <v>6</v>
      </c>
      <c r="B9" s="103">
        <v>2</v>
      </c>
      <c r="C9" s="299"/>
      <c r="D9" s="299">
        <v>1</v>
      </c>
      <c r="E9" s="299">
        <v>1</v>
      </c>
      <c r="F9" s="22"/>
      <c r="G9" s="299"/>
      <c r="H9" s="298">
        <v>6</v>
      </c>
      <c r="I9" s="101">
        <f t="shared" si="3"/>
        <v>2</v>
      </c>
      <c r="J9" s="4">
        <f t="shared" si="0"/>
        <v>1</v>
      </c>
      <c r="K9" s="4">
        <f t="shared" si="0"/>
        <v>0</v>
      </c>
      <c r="L9" s="5">
        <f t="shared" si="0"/>
        <v>0</v>
      </c>
      <c r="M9" s="4"/>
      <c r="N9" s="298">
        <v>6</v>
      </c>
      <c r="O9" s="101">
        <v>2.9360549610252344</v>
      </c>
      <c r="P9" s="4">
        <v>2.8721099220504689</v>
      </c>
      <c r="Q9" s="4">
        <v>1.3507728894173596</v>
      </c>
      <c r="R9" s="5">
        <v>0.44180208746201599</v>
      </c>
      <c r="S9" s="4"/>
      <c r="T9" s="101">
        <f t="shared" si="4"/>
        <v>3</v>
      </c>
      <c r="U9" s="5">
        <f t="shared" si="1"/>
        <v>0.67579056989422792</v>
      </c>
      <c r="V9" s="6"/>
      <c r="W9" s="101">
        <f t="shared" si="5"/>
        <v>0.93634899248509473</v>
      </c>
      <c r="X9" s="4">
        <f t="shared" si="6"/>
        <v>0.61761679246098367</v>
      </c>
      <c r="Y9" s="4">
        <f t="shared" si="2"/>
        <v>0.78669743372723955</v>
      </c>
      <c r="Z9" s="5">
        <f t="shared" si="7"/>
        <v>1.0019052241869415</v>
      </c>
      <c r="AB9" t="e">
        <f ca="1"/>
        <v>#NAME?</v>
      </c>
      <c r="AC9" s="147" t="e">
        <f ca="1"/>
        <v>#NAME?</v>
      </c>
      <c r="AE9" t="e">
        <f ca="1"/>
        <v>#NAME?</v>
      </c>
      <c r="AF9" s="155" t="e">
        <f ca="1"/>
        <v>#NAME?</v>
      </c>
    </row>
    <row r="10" spans="1:32" x14ac:dyDescent="0.35">
      <c r="A10" s="298">
        <v>7</v>
      </c>
      <c r="B10" s="103">
        <v>3</v>
      </c>
      <c r="C10" s="299">
        <v>3</v>
      </c>
      <c r="D10" s="299">
        <v>3</v>
      </c>
      <c r="E10" s="299">
        <v>4</v>
      </c>
      <c r="F10" s="22"/>
      <c r="G10" s="299"/>
      <c r="H10" s="298">
        <v>7</v>
      </c>
      <c r="I10" s="101">
        <f t="shared" si="3"/>
        <v>0</v>
      </c>
      <c r="J10" s="4">
        <f t="shared" si="0"/>
        <v>0</v>
      </c>
      <c r="K10" s="4">
        <f t="shared" si="0"/>
        <v>3</v>
      </c>
      <c r="L10" s="5">
        <f t="shared" si="0"/>
        <v>1</v>
      </c>
      <c r="M10" s="4"/>
      <c r="N10" s="298">
        <v>7</v>
      </c>
      <c r="O10" s="101">
        <v>1.0019817677368204</v>
      </c>
      <c r="P10" s="4">
        <v>2.4901572202404538</v>
      </c>
      <c r="Q10" s="4">
        <v>3.9661778306249174</v>
      </c>
      <c r="R10" s="5">
        <v>3.8985334918747525</v>
      </c>
      <c r="S10" s="4"/>
      <c r="T10" s="101">
        <f t="shared" si="4"/>
        <v>4</v>
      </c>
      <c r="U10" s="5">
        <f t="shared" si="1"/>
        <v>0.92526015558819641</v>
      </c>
      <c r="V10" s="6"/>
      <c r="W10" s="101">
        <f t="shared" si="5"/>
        <v>0.97737184010636979</v>
      </c>
      <c r="X10" s="4">
        <f t="shared" si="6"/>
        <v>0.76547713004534956</v>
      </c>
      <c r="Y10" s="4">
        <f t="shared" si="2"/>
        <v>0.92417017791570055</v>
      </c>
      <c r="Z10" s="5">
        <f t="shared" si="7"/>
        <v>0.76045221874560198</v>
      </c>
      <c r="AB10" t="e">
        <f ca="1"/>
        <v>#NAME?</v>
      </c>
      <c r="AC10" s="147" t="e">
        <f ca="1"/>
        <v>#NAME?</v>
      </c>
    </row>
    <row r="11" spans="1:32" x14ac:dyDescent="0.35">
      <c r="A11" s="298">
        <v>8</v>
      </c>
      <c r="B11" s="103">
        <v>4</v>
      </c>
      <c r="C11" s="299">
        <v>3</v>
      </c>
      <c r="D11" s="299">
        <v>4</v>
      </c>
      <c r="E11" s="299">
        <v>3</v>
      </c>
      <c r="F11" s="22">
        <v>4</v>
      </c>
      <c r="G11" s="299"/>
      <c r="H11" s="298">
        <v>8</v>
      </c>
      <c r="I11" s="89">
        <f t="shared" si="3"/>
        <v>0</v>
      </c>
      <c r="J11" s="159">
        <f t="shared" si="0"/>
        <v>0</v>
      </c>
      <c r="K11" s="159">
        <f t="shared" si="0"/>
        <v>2</v>
      </c>
      <c r="L11" s="93">
        <f t="shared" si="0"/>
        <v>3</v>
      </c>
      <c r="M11" s="4"/>
      <c r="N11" s="298">
        <v>8</v>
      </c>
      <c r="O11" s="89">
        <v>0.66798784515788023</v>
      </c>
      <c r="P11" s="159">
        <v>2.6909763509050069</v>
      </c>
      <c r="Q11" s="159">
        <v>4.898533491874753</v>
      </c>
      <c r="R11" s="93">
        <v>4.9323556612498347</v>
      </c>
      <c r="S11" s="4"/>
      <c r="T11" s="89">
        <f t="shared" si="4"/>
        <v>5</v>
      </c>
      <c r="U11" s="93">
        <f t="shared" si="1"/>
        <v>1.152596115735236</v>
      </c>
      <c r="V11" s="6"/>
      <c r="W11" s="89">
        <f t="shared" si="5"/>
        <v>0.99626106218071586</v>
      </c>
      <c r="X11" s="159">
        <f t="shared" si="6"/>
        <v>0.73301168970016195</v>
      </c>
      <c r="Y11" s="159">
        <f t="shared" si="2"/>
        <v>0.98747034708286707</v>
      </c>
      <c r="Z11" s="93">
        <f t="shared" si="7"/>
        <v>0.90695246388204276</v>
      </c>
      <c r="AB11" t="e">
        <f ca="1"/>
        <v>#NAME?</v>
      </c>
      <c r="AC11" s="147" t="e">
        <f ca="1"/>
        <v>#NAME?</v>
      </c>
    </row>
    <row r="12" spans="1:32" x14ac:dyDescent="0.35">
      <c r="A12" s="298">
        <v>9</v>
      </c>
      <c r="B12" s="103"/>
      <c r="C12" s="299"/>
      <c r="D12" s="299"/>
      <c r="E12" s="299"/>
      <c r="F12" s="22"/>
      <c r="G12" s="299"/>
      <c r="H12" s="298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AB12" t="e">
        <f ca="1"/>
        <v>#NAME?</v>
      </c>
      <c r="AC12" s="147" t="e">
        <f ca="1"/>
        <v>#NAME?</v>
      </c>
    </row>
    <row r="13" spans="1:32" x14ac:dyDescent="0.35">
      <c r="A13" s="298">
        <v>10</v>
      </c>
      <c r="B13" s="95"/>
      <c r="C13" s="300">
        <v>3</v>
      </c>
      <c r="D13" s="300"/>
      <c r="E13" s="300"/>
      <c r="F13" s="90"/>
      <c r="G13" s="299"/>
      <c r="N13" s="30" t="s">
        <v>718</v>
      </c>
      <c r="T13" s="30" t="s">
        <v>31</v>
      </c>
      <c r="U13" s="335">
        <f>COUNT(H4:H11)</f>
        <v>8</v>
      </c>
      <c r="X13" t="s">
        <v>792</v>
      </c>
      <c r="Y13" t="s">
        <v>810</v>
      </c>
      <c r="AB13" t="e">
        <f ca="1"/>
        <v>#NAME?</v>
      </c>
      <c r="AC13" s="155" t="e">
        <f ca="1"/>
        <v>#NAME?</v>
      </c>
    </row>
    <row r="14" spans="1:32" x14ac:dyDescent="0.35">
      <c r="A14" s="298"/>
      <c r="B14" s="299"/>
      <c r="C14" s="299"/>
      <c r="D14" s="299"/>
      <c r="E14" s="299"/>
      <c r="F14" s="299"/>
      <c r="G14" s="299"/>
      <c r="O14">
        <v>5.2</v>
      </c>
      <c r="P14">
        <v>7.4</v>
      </c>
      <c r="Q14">
        <v>12.3</v>
      </c>
      <c r="R14">
        <v>13.9</v>
      </c>
      <c r="T14" s="30" t="s">
        <v>656</v>
      </c>
      <c r="U14" s="100">
        <f>COUNT(I3:L3)</f>
        <v>4</v>
      </c>
      <c r="W14" s="17" t="s">
        <v>44</v>
      </c>
      <c r="X14" s="335">
        <v>0.05</v>
      </c>
      <c r="Y14" s="335">
        <v>0.05</v>
      </c>
    </row>
    <row r="15" spans="1:32" x14ac:dyDescent="0.35">
      <c r="N15" s="298">
        <f t="array" ref="N15:N18">TRANSPOSE(O14:R14)</f>
        <v>5.2</v>
      </c>
      <c r="O15" s="333">
        <f>1-(O$14-$N15)^2/(MAX($O$14:$R$14)-MIN($O$14:$R$14))^2</f>
        <v>1</v>
      </c>
      <c r="P15" s="332">
        <f t="shared" ref="P15:R18" si="8">1-(P$14-$N15)^2/(MAX($O$14:$R$14)-MIN($O$14:$R$14))^2</f>
        <v>0.93605496102523444</v>
      </c>
      <c r="Q15" s="332">
        <f t="shared" si="8"/>
        <v>0.33399392257894012</v>
      </c>
      <c r="R15" s="341">
        <f t="shared" si="8"/>
        <v>0</v>
      </c>
      <c r="T15" t="s">
        <v>793</v>
      </c>
      <c r="U15" s="100">
        <f>AVERAGE(T4:T11)</f>
        <v>4.25</v>
      </c>
      <c r="W15" t="s">
        <v>265</v>
      </c>
      <c r="X15" s="100">
        <f t="array" ref="X15">SQRT(SUMSQ(Z4:Z11-U19)/(U13*(U13-1)))</f>
        <v>0.18157185093118786</v>
      </c>
      <c r="Y15" s="100" t="e">
        <f ca="1">SQRT(X15^2+X22^2)</f>
        <v>#NAME?</v>
      </c>
    </row>
    <row r="16" spans="1:32" x14ac:dyDescent="0.35">
      <c r="N16" s="298">
        <v>7.4</v>
      </c>
      <c r="O16" s="101">
        <f t="shared" ref="O16:O18" si="9">1-(O$14-$N16)^2/(MAX($O$14:$R$14)-MIN($O$14:$R$14))^2</f>
        <v>0.93605496102523444</v>
      </c>
      <c r="P16" s="4">
        <f t="shared" si="8"/>
        <v>1</v>
      </c>
      <c r="Q16" s="4">
        <f t="shared" si="8"/>
        <v>0.68278504425947939</v>
      </c>
      <c r="R16" s="5">
        <f t="shared" si="8"/>
        <v>0.44180208746201599</v>
      </c>
      <c r="T16" t="s">
        <v>794</v>
      </c>
      <c r="U16" s="100">
        <f>1/(U13*U15)</f>
        <v>2.9411764705882353E-2</v>
      </c>
      <c r="W16" t="s">
        <v>29</v>
      </c>
      <c r="X16" s="100">
        <f>U19-X15*TINV(X14,U13-1)</f>
        <v>0.18828271709077454</v>
      </c>
      <c r="Y16" s="100" t="e">
        <f ca="1">U19-Y15*TINV(X14,U13-1)</f>
        <v>#NAME?</v>
      </c>
    </row>
    <row r="17" spans="14:27" x14ac:dyDescent="0.35">
      <c r="N17" s="299">
        <v>12.3</v>
      </c>
      <c r="O17" s="101">
        <f t="shared" si="9"/>
        <v>0.33399392257894012</v>
      </c>
      <c r="P17" s="4">
        <f t="shared" si="8"/>
        <v>0.68278504425947939</v>
      </c>
      <c r="Q17" s="4">
        <f t="shared" si="8"/>
        <v>1</v>
      </c>
      <c r="R17" s="5">
        <f t="shared" si="8"/>
        <v>0.96617783062491747</v>
      </c>
      <c r="T17" s="30" t="s">
        <v>707</v>
      </c>
      <c r="U17" s="100">
        <f>AVERAGE(U4:U11)*(1-U16)+U16</f>
        <v>0.8858986368089472</v>
      </c>
      <c r="W17" t="s">
        <v>30</v>
      </c>
      <c r="X17" s="94">
        <f>MIN(U19+X15*TINV(X14,U13-1),1)</f>
        <v>1</v>
      </c>
      <c r="Y17" s="94" t="e">
        <f ca="1">MIN(U19+Y15*TINV(X14,U13-1),1)</f>
        <v>#NAME?</v>
      </c>
    </row>
    <row r="18" spans="14:27" x14ac:dyDescent="0.35">
      <c r="N18" s="74">
        <v>13.9</v>
      </c>
      <c r="O18" s="89">
        <f t="shared" si="9"/>
        <v>0</v>
      </c>
      <c r="P18" s="159">
        <f t="shared" si="8"/>
        <v>0.44180208746201599</v>
      </c>
      <c r="Q18" s="159">
        <f t="shared" si="8"/>
        <v>0.96617783062491747</v>
      </c>
      <c r="R18" s="93">
        <f t="shared" si="8"/>
        <v>1</v>
      </c>
      <c r="T18" s="30" t="s">
        <v>704</v>
      </c>
      <c r="U18" s="100">
        <f t="array" ref="U18">SUMPRODUCT(MMULT(TRANSPOSE(O20:R20),O20:R20),O15:R18)</f>
        <v>0.70159286581900937</v>
      </c>
    </row>
    <row r="19" spans="14:27" x14ac:dyDescent="0.35">
      <c r="N19" s="4"/>
      <c r="O19" s="4"/>
      <c r="P19" s="4"/>
      <c r="Q19" s="4"/>
      <c r="R19" s="4"/>
      <c r="T19" s="30" t="s">
        <v>795</v>
      </c>
      <c r="U19" s="94">
        <f>(U17-U18)/(1-U18)</f>
        <v>0.61763191920925131</v>
      </c>
    </row>
    <row r="20" spans="14:27" x14ac:dyDescent="0.35">
      <c r="N20" s="57" t="s">
        <v>796</v>
      </c>
      <c r="O20" s="123">
        <f>SUM(I4:I11)*$U$16</f>
        <v>0.1764705882352941</v>
      </c>
      <c r="P20" s="327">
        <f>SUM(J4:J11)*$U$16</f>
        <v>0.23529411764705882</v>
      </c>
      <c r="Q20" s="327">
        <f>SUM(K4:K11)*$U$16</f>
        <v>0.3235294117647059</v>
      </c>
      <c r="R20" s="326">
        <f>SUM(L4:L11)*$U$16</f>
        <v>0.26470588235294118</v>
      </c>
    </row>
    <row r="21" spans="14:27" x14ac:dyDescent="0.35">
      <c r="N21" s="298"/>
      <c r="T21" s="79" t="s">
        <v>795</v>
      </c>
      <c r="U21" s="109" t="e" cm="1">
        <f t="array" aca="1" ref="U21" ca="1">KALPHA(I4:L11,2,O14:R14)</f>
        <v>#NAME?</v>
      </c>
      <c r="W21" t="s">
        <v>798</v>
      </c>
      <c r="Z21" t="e">
        <f t="array" aca="1" ref="Z21:AA27" ca="1">KRIP(B4:F13,TRUE,2,O14:R14)</f>
        <v>#NAME?</v>
      </c>
      <c r="AA21" s="335" t="e">
        <f ca="1"/>
        <v>#NAME?</v>
      </c>
    </row>
    <row r="22" spans="14:27" x14ac:dyDescent="0.35">
      <c r="N22" s="298" t="s">
        <v>799</v>
      </c>
      <c r="O22" s="123">
        <f t="array" ref="O22:R22">MMULT(O20:R20,O15:R18)</f>
        <v>0.50477567166382986</v>
      </c>
      <c r="P22" s="327">
        <v>0.73832894235775959</v>
      </c>
      <c r="Q22" s="327">
        <v>0.79887777544628635</v>
      </c>
      <c r="R22" s="326">
        <v>0.68124625989912424</v>
      </c>
      <c r="W22" t="s">
        <v>265</v>
      </c>
      <c r="X22" s="109" t="e" cm="1">
        <f t="array" aca="1" ref="X22" ca="1">KRIP_SER(B4:F13,2,O14:R14)</f>
        <v>#NAME?</v>
      </c>
      <c r="Z22" t="e">
        <f ca="1"/>
        <v>#NAME?</v>
      </c>
      <c r="AA22" s="100" t="e">
        <f ca="1"/>
        <v>#NAME?</v>
      </c>
    </row>
    <row r="23" spans="14:27" x14ac:dyDescent="0.35">
      <c r="Z23" t="e">
        <f ca="1"/>
        <v>#NAME?</v>
      </c>
      <c r="AA23" s="100" t="e">
        <f ca="1"/>
        <v>#NAME?</v>
      </c>
    </row>
    <row r="24" spans="14:27" x14ac:dyDescent="0.35">
      <c r="W24" t="e">
        <f t="array" aca="1" ref="W24:X27" ca="1">KRIP_SES(I4:L11,TRUE,2,O14:R14)</f>
        <v>#NAME?</v>
      </c>
      <c r="X24" s="335" t="e">
        <f ca="1"/>
        <v>#NAME?</v>
      </c>
      <c r="Z24" t="e">
        <f ca="1"/>
        <v>#NAME?</v>
      </c>
      <c r="AA24" s="100" t="e">
        <f ca="1"/>
        <v>#NAME?</v>
      </c>
    </row>
    <row r="25" spans="14:27" x14ac:dyDescent="0.35">
      <c r="W25" t="e">
        <f ca="1"/>
        <v>#NAME?</v>
      </c>
      <c r="X25" s="100" t="e">
        <f ca="1"/>
        <v>#NAME?</v>
      </c>
      <c r="Z25" t="e">
        <f ca="1"/>
        <v>#NAME?</v>
      </c>
      <c r="AA25" s="100" t="e">
        <f ca="1"/>
        <v>#NAME?</v>
      </c>
    </row>
    <row r="26" spans="14:27" x14ac:dyDescent="0.35">
      <c r="W26" t="e">
        <f ca="1"/>
        <v>#NAME?</v>
      </c>
      <c r="X26" s="100" t="e">
        <f ca="1"/>
        <v>#NAME?</v>
      </c>
      <c r="Z26" t="e">
        <f ca="1"/>
        <v>#NAME?</v>
      </c>
      <c r="AA26" s="100" t="e">
        <f ca="1"/>
        <v>#NAME?</v>
      </c>
    </row>
    <row r="27" spans="14:27" x14ac:dyDescent="0.35">
      <c r="W27" t="e">
        <f ca="1"/>
        <v>#NAME?</v>
      </c>
      <c r="X27" s="94" t="e">
        <f ca="1"/>
        <v>#NAME?</v>
      </c>
      <c r="Z27" t="e">
        <f ca="1"/>
        <v>#NAME?</v>
      </c>
      <c r="AA27" s="94" t="e">
        <f ca="1"/>
        <v>#NAME?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25"/>
  <dimension ref="A1:R20"/>
  <sheetViews>
    <sheetView workbookViewId="0"/>
  </sheetViews>
  <sheetFormatPr defaultRowHeight="14.5" x14ac:dyDescent="0.35"/>
  <cols>
    <col min="1" max="1" width="5" customWidth="1"/>
    <col min="2" max="5" width="7.26953125" customWidth="1"/>
    <col min="6" max="6" width="2.7265625" customWidth="1"/>
    <col min="7" max="7" width="7.7265625" customWidth="1"/>
    <col min="8" max="9" width="10" customWidth="1"/>
    <col min="10" max="10" width="6.1796875" customWidth="1"/>
    <col min="11" max="14" width="7.26953125" customWidth="1"/>
    <col min="15" max="15" width="2.7265625" customWidth="1"/>
    <col min="16" max="16" width="7.26953125" customWidth="1"/>
    <col min="17" max="18" width="10" customWidth="1"/>
  </cols>
  <sheetData>
    <row r="1" spans="1:18" x14ac:dyDescent="0.35">
      <c r="A1" t="s">
        <v>622</v>
      </c>
    </row>
    <row r="3" spans="1:18" x14ac:dyDescent="0.35">
      <c r="B3" t="s">
        <v>805</v>
      </c>
      <c r="H3" s="298" t="s">
        <v>792</v>
      </c>
      <c r="I3" s="298" t="s">
        <v>806</v>
      </c>
      <c r="K3" t="s">
        <v>66</v>
      </c>
      <c r="Q3" s="298" t="s">
        <v>792</v>
      </c>
      <c r="R3" s="298" t="s">
        <v>806</v>
      </c>
    </row>
    <row r="4" spans="1:18" x14ac:dyDescent="0.35">
      <c r="B4" s="333">
        <v>1</v>
      </c>
      <c r="C4" s="332">
        <v>0</v>
      </c>
      <c r="D4" s="332">
        <v>0</v>
      </c>
      <c r="E4" s="341">
        <v>0</v>
      </c>
      <c r="G4" t="s">
        <v>795</v>
      </c>
      <c r="H4" s="335">
        <v>0.16920374707259953</v>
      </c>
      <c r="I4" s="341">
        <f>H4</f>
        <v>0.16920374707259953</v>
      </c>
      <c r="K4" s="333">
        <v>1</v>
      </c>
      <c r="L4" s="332">
        <v>0.88888888888888884</v>
      </c>
      <c r="M4" s="332">
        <v>0.55555555555555558</v>
      </c>
      <c r="N4" s="341">
        <v>0</v>
      </c>
      <c r="P4" t="s">
        <v>795</v>
      </c>
      <c r="Q4" s="333">
        <v>0.54202670856245028</v>
      </c>
      <c r="R4" s="341">
        <f>Q4</f>
        <v>0.54202670856245028</v>
      </c>
    </row>
    <row r="5" spans="1:18" x14ac:dyDescent="0.35">
      <c r="B5" s="101">
        <v>0</v>
      </c>
      <c r="C5" s="4">
        <v>1</v>
      </c>
      <c r="D5" s="4">
        <v>0</v>
      </c>
      <c r="E5" s="5">
        <v>0</v>
      </c>
      <c r="G5" t="s">
        <v>265</v>
      </c>
      <c r="H5" s="100">
        <v>7.4642890720907934E-2</v>
      </c>
      <c r="I5" s="5">
        <v>0.15062982642323033</v>
      </c>
      <c r="K5" s="101">
        <v>0.88888888888888884</v>
      </c>
      <c r="L5" s="4">
        <v>1</v>
      </c>
      <c r="M5" s="4">
        <v>0.88888888888888884</v>
      </c>
      <c r="N5" s="5">
        <v>0.55555555555555558</v>
      </c>
      <c r="P5" t="s">
        <v>265</v>
      </c>
      <c r="Q5" s="101">
        <v>0.16271060836262871</v>
      </c>
      <c r="R5" s="5">
        <v>0.23260186389961843</v>
      </c>
    </row>
    <row r="6" spans="1:18" x14ac:dyDescent="0.35">
      <c r="B6" s="101">
        <v>0</v>
      </c>
      <c r="C6" s="4">
        <v>0</v>
      </c>
      <c r="D6" s="4">
        <v>1</v>
      </c>
      <c r="E6" s="5">
        <v>0</v>
      </c>
      <c r="G6" t="s">
        <v>29</v>
      </c>
      <c r="H6" s="100">
        <v>-7.2986425350494155E-3</v>
      </c>
      <c r="I6" s="5">
        <v>-0.1869791935009826</v>
      </c>
      <c r="K6" s="101">
        <v>0.55555555555555558</v>
      </c>
      <c r="L6" s="4">
        <v>0.88888888888888884</v>
      </c>
      <c r="M6" s="4">
        <v>1</v>
      </c>
      <c r="N6" s="5">
        <v>0.88888888888888884</v>
      </c>
      <c r="P6" t="s">
        <v>29</v>
      </c>
      <c r="Q6" s="101">
        <v>0.15727725803676262</v>
      </c>
      <c r="R6" s="5">
        <v>-7.9892997802717414E-3</v>
      </c>
    </row>
    <row r="7" spans="1:18" x14ac:dyDescent="0.35">
      <c r="B7" s="89">
        <v>0</v>
      </c>
      <c r="C7" s="159">
        <v>0</v>
      </c>
      <c r="D7" s="159">
        <v>0</v>
      </c>
      <c r="E7" s="93">
        <v>1</v>
      </c>
      <c r="G7" t="s">
        <v>30</v>
      </c>
      <c r="H7" s="94">
        <v>0.34570613668024847</v>
      </c>
      <c r="I7" s="93">
        <v>0.52538668764618168</v>
      </c>
      <c r="K7" s="89">
        <v>0</v>
      </c>
      <c r="L7" s="159">
        <v>0.55555555555555558</v>
      </c>
      <c r="M7" s="159">
        <v>0.88888888888888884</v>
      </c>
      <c r="N7" s="93">
        <v>1</v>
      </c>
      <c r="P7" t="s">
        <v>30</v>
      </c>
      <c r="Q7" s="89">
        <v>0.92677615908813793</v>
      </c>
      <c r="R7" s="93">
        <v>1</v>
      </c>
    </row>
    <row r="9" spans="1:18" x14ac:dyDescent="0.35">
      <c r="B9" t="s">
        <v>807</v>
      </c>
      <c r="H9" s="298" t="s">
        <v>792</v>
      </c>
      <c r="I9" s="298" t="s">
        <v>806</v>
      </c>
      <c r="K9" t="s">
        <v>97</v>
      </c>
      <c r="Q9" s="298" t="s">
        <v>792</v>
      </c>
      <c r="R9" s="298" t="s">
        <v>806</v>
      </c>
    </row>
    <row r="10" spans="1:18" x14ac:dyDescent="0.35">
      <c r="B10" s="333">
        <v>1</v>
      </c>
      <c r="C10" s="332">
        <v>0.83333333333333337</v>
      </c>
      <c r="D10" s="332">
        <v>0.5</v>
      </c>
      <c r="E10" s="341">
        <v>0</v>
      </c>
      <c r="G10" t="s">
        <v>795</v>
      </c>
      <c r="H10" s="333">
        <v>0.48278520041109974</v>
      </c>
      <c r="I10" s="341">
        <f>H10</f>
        <v>0.48278520041109974</v>
      </c>
      <c r="K10" s="333">
        <v>1</v>
      </c>
      <c r="L10" s="332">
        <v>0.88888888888888884</v>
      </c>
      <c r="M10" s="332">
        <v>0.75</v>
      </c>
      <c r="N10" s="341">
        <v>0.64</v>
      </c>
      <c r="P10" t="s">
        <v>795</v>
      </c>
      <c r="Q10" s="333">
        <v>0.52114478799778052</v>
      </c>
      <c r="R10" s="341">
        <f>Q10</f>
        <v>0.52114478799778052</v>
      </c>
    </row>
    <row r="11" spans="1:18" x14ac:dyDescent="0.35">
      <c r="B11" s="101">
        <v>0.83333333333333337</v>
      </c>
      <c r="C11" s="4">
        <v>1</v>
      </c>
      <c r="D11" s="4">
        <v>0.83333333333333337</v>
      </c>
      <c r="E11" s="5">
        <v>0.5</v>
      </c>
      <c r="G11" t="s">
        <v>265</v>
      </c>
      <c r="H11" s="101">
        <v>0.14970884375470961</v>
      </c>
      <c r="I11" s="5">
        <v>0.20667780595925189</v>
      </c>
      <c r="K11" s="101">
        <v>0.88888888888888884</v>
      </c>
      <c r="L11" s="4">
        <v>1</v>
      </c>
      <c r="M11" s="4">
        <v>0.96</v>
      </c>
      <c r="N11" s="5">
        <v>0.88888888888888884</v>
      </c>
      <c r="P11" t="s">
        <v>265</v>
      </c>
      <c r="Q11" s="100">
        <v>0.14247042159273818</v>
      </c>
      <c r="R11" s="100">
        <v>0.2366474416082919</v>
      </c>
    </row>
    <row r="12" spans="1:18" x14ac:dyDescent="0.35">
      <c r="B12" s="101">
        <v>0.5</v>
      </c>
      <c r="C12" s="4">
        <v>0.83333333333333337</v>
      </c>
      <c r="D12" s="4">
        <v>1</v>
      </c>
      <c r="E12" s="5">
        <v>0.83333333333333337</v>
      </c>
      <c r="G12" t="s">
        <v>29</v>
      </c>
      <c r="H12" s="101">
        <v>0.12878003779079839</v>
      </c>
      <c r="I12" s="5">
        <v>-5.9301518261350994E-3</v>
      </c>
      <c r="K12" s="101">
        <v>0.75</v>
      </c>
      <c r="L12" s="4">
        <v>0.96</v>
      </c>
      <c r="M12" s="4">
        <v>1</v>
      </c>
      <c r="N12" s="5">
        <v>0.97959183673469385</v>
      </c>
      <c r="P12" t="s">
        <v>29</v>
      </c>
      <c r="Q12" s="100">
        <v>0.18425577396494347</v>
      </c>
      <c r="R12" s="100">
        <v>-3.843749150657394E-2</v>
      </c>
    </row>
    <row r="13" spans="1:18" x14ac:dyDescent="0.35">
      <c r="B13" s="89">
        <v>0</v>
      </c>
      <c r="C13" s="159">
        <v>0.5</v>
      </c>
      <c r="D13" s="159">
        <v>0.83333333333333337</v>
      </c>
      <c r="E13" s="93">
        <v>1</v>
      </c>
      <c r="G13" t="s">
        <v>30</v>
      </c>
      <c r="H13" s="89">
        <v>0.83679036303140109</v>
      </c>
      <c r="I13" s="93">
        <v>0.97150055264833457</v>
      </c>
      <c r="K13" s="89">
        <v>0.64</v>
      </c>
      <c r="L13" s="159">
        <v>0.88888888888888884</v>
      </c>
      <c r="M13" s="159">
        <v>0.97959183673469385</v>
      </c>
      <c r="N13" s="93">
        <v>1</v>
      </c>
      <c r="P13" t="s">
        <v>30</v>
      </c>
      <c r="Q13" s="94">
        <v>0.85803380203061752</v>
      </c>
      <c r="R13" s="94">
        <v>1</v>
      </c>
    </row>
    <row r="16" spans="1:18" x14ac:dyDescent="0.35">
      <c r="B16" s="6">
        <v>5.2</v>
      </c>
      <c r="C16" s="6">
        <v>7.4</v>
      </c>
      <c r="D16" s="6">
        <v>12.3</v>
      </c>
      <c r="E16" s="6">
        <v>13.9</v>
      </c>
      <c r="H16" s="298" t="s">
        <v>792</v>
      </c>
      <c r="I16" s="298" t="s">
        <v>806</v>
      </c>
    </row>
    <row r="17" spans="1:9" x14ac:dyDescent="0.35">
      <c r="A17" s="6">
        <v>5.2</v>
      </c>
      <c r="B17" s="333">
        <v>1</v>
      </c>
      <c r="C17" s="332">
        <v>0.93605496102523444</v>
      </c>
      <c r="D17" s="332">
        <v>0.33399392257894012</v>
      </c>
      <c r="E17" s="341">
        <v>0</v>
      </c>
      <c r="G17" t="s">
        <v>795</v>
      </c>
      <c r="H17" s="333">
        <v>0.61763191920925131</v>
      </c>
      <c r="I17" s="341">
        <f>H17</f>
        <v>0.61763191920925131</v>
      </c>
    </row>
    <row r="18" spans="1:9" x14ac:dyDescent="0.35">
      <c r="A18" s="6">
        <v>7.4</v>
      </c>
      <c r="B18" s="101">
        <v>0.93605496102523444</v>
      </c>
      <c r="C18" s="4">
        <v>1</v>
      </c>
      <c r="D18" s="4">
        <v>0.68278504425947939</v>
      </c>
      <c r="E18" s="5">
        <v>0.44180208746201599</v>
      </c>
      <c r="G18" t="s">
        <v>265</v>
      </c>
      <c r="H18" s="101">
        <v>0.18157185093118786</v>
      </c>
      <c r="I18" s="5">
        <v>0.23331962596125147</v>
      </c>
    </row>
    <row r="19" spans="1:9" x14ac:dyDescent="0.35">
      <c r="A19" s="6">
        <v>12.3</v>
      </c>
      <c r="B19" s="101">
        <v>0.33399392257894012</v>
      </c>
      <c r="C19" s="4">
        <v>0.68278504425947939</v>
      </c>
      <c r="D19" s="4">
        <v>1</v>
      </c>
      <c r="E19" s="5">
        <v>0.96617783062491747</v>
      </c>
      <c r="G19" t="s">
        <v>29</v>
      </c>
      <c r="H19" s="101">
        <v>0.18828271709077454</v>
      </c>
      <c r="I19" s="5">
        <v>6.5918673288718588E-2</v>
      </c>
    </row>
    <row r="20" spans="1:9" x14ac:dyDescent="0.35">
      <c r="A20" s="6">
        <v>13.9</v>
      </c>
      <c r="B20" s="89">
        <v>0</v>
      </c>
      <c r="C20" s="159">
        <v>0.44180208746201599</v>
      </c>
      <c r="D20" s="159">
        <v>0.96617783062491747</v>
      </c>
      <c r="E20" s="93">
        <v>1</v>
      </c>
      <c r="G20" t="s">
        <v>30</v>
      </c>
      <c r="H20" s="89">
        <v>1</v>
      </c>
      <c r="I20" s="93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26"/>
  <dimension ref="A1:AI30"/>
  <sheetViews>
    <sheetView workbookViewId="0"/>
  </sheetViews>
  <sheetFormatPr defaultRowHeight="14.5" x14ac:dyDescent="0.35"/>
  <cols>
    <col min="1" max="1" width="6" customWidth="1"/>
    <col min="7" max="7" width="4.1796875" customWidth="1"/>
    <col min="8" max="8" width="5.26953125" customWidth="1"/>
    <col min="14" max="14" width="4.1796875" customWidth="1"/>
    <col min="15" max="18" width="9.1796875" customWidth="1"/>
    <col min="19" max="19" width="3.7265625" customWidth="1"/>
    <col min="22" max="22" width="4.1796875" customWidth="1"/>
    <col min="23" max="26" width="9.1796875" customWidth="1"/>
    <col min="28" max="29" width="10.54296875" customWidth="1"/>
    <col min="31" max="31" width="12" customWidth="1"/>
    <col min="34" max="34" width="11.453125" customWidth="1"/>
  </cols>
  <sheetData>
    <row r="1" spans="1:35" x14ac:dyDescent="0.35">
      <c r="A1" t="s">
        <v>786</v>
      </c>
      <c r="H1" t="s">
        <v>787</v>
      </c>
      <c r="O1" t="s">
        <v>788</v>
      </c>
      <c r="AE1" t="s">
        <v>804</v>
      </c>
      <c r="AH1" t="s">
        <v>804</v>
      </c>
    </row>
    <row r="3" spans="1:35" x14ac:dyDescent="0.35">
      <c r="A3" s="298"/>
      <c r="B3" s="298" t="s">
        <v>218</v>
      </c>
      <c r="C3" s="298" t="s">
        <v>98</v>
      </c>
      <c r="D3" s="298" t="s">
        <v>99</v>
      </c>
      <c r="E3" s="298" t="s">
        <v>100</v>
      </c>
      <c r="F3" s="298" t="s">
        <v>536</v>
      </c>
      <c r="G3" s="298"/>
      <c r="I3">
        <v>1</v>
      </c>
      <c r="J3">
        <v>2</v>
      </c>
      <c r="K3">
        <v>3</v>
      </c>
      <c r="L3">
        <v>4</v>
      </c>
      <c r="O3">
        <v>1</v>
      </c>
      <c r="P3">
        <v>2</v>
      </c>
      <c r="Q3">
        <v>3</v>
      </c>
      <c r="R3">
        <v>4</v>
      </c>
      <c r="T3" s="6" t="s">
        <v>95</v>
      </c>
      <c r="U3" s="6" t="s">
        <v>86</v>
      </c>
      <c r="V3" s="6"/>
      <c r="W3" s="23" t="s">
        <v>561</v>
      </c>
      <c r="X3" s="23" t="s">
        <v>790</v>
      </c>
      <c r="Y3" s="23" t="s">
        <v>809</v>
      </c>
      <c r="AE3" t="s">
        <v>35</v>
      </c>
      <c r="AF3" s="348">
        <v>0.05</v>
      </c>
      <c r="AH3" t="s">
        <v>35</v>
      </c>
      <c r="AI3" s="348">
        <v>0.05</v>
      </c>
    </row>
    <row r="4" spans="1:35" x14ac:dyDescent="0.35">
      <c r="A4" s="298">
        <v>1</v>
      </c>
      <c r="B4" s="347">
        <v>1</v>
      </c>
      <c r="C4" s="346">
        <v>2</v>
      </c>
      <c r="D4" s="346"/>
      <c r="E4" s="346">
        <v>3</v>
      </c>
      <c r="F4" s="345">
        <v>4</v>
      </c>
      <c r="G4" s="299"/>
      <c r="H4" s="298">
        <v>1</v>
      </c>
      <c r="I4" s="333">
        <f>COUNTIF($B4:$F4,I$3)</f>
        <v>1</v>
      </c>
      <c r="J4" s="332">
        <f t="shared" ref="J4:L10" si="0">COUNTIF($B4:$F4,J$3)</f>
        <v>1</v>
      </c>
      <c r="K4" s="332">
        <f t="shared" si="0"/>
        <v>1</v>
      </c>
      <c r="L4" s="341">
        <f t="shared" si="0"/>
        <v>1</v>
      </c>
      <c r="M4" s="4"/>
      <c r="N4" s="298">
        <v>1</v>
      </c>
      <c r="O4" s="333">
        <f t="array" ref="O4:R12">MMULT(I4:L12,O16:R19)</f>
        <v>1</v>
      </c>
      <c r="P4" s="332">
        <v>1</v>
      </c>
      <c r="Q4" s="332">
        <v>1</v>
      </c>
      <c r="R4" s="341">
        <v>1</v>
      </c>
      <c r="S4" s="4"/>
      <c r="T4" s="333">
        <f>SUM(I4:L4)</f>
        <v>4</v>
      </c>
      <c r="U4" s="341">
        <f>IF(T4&gt;=2,SUMPRODUCT(I4:L4,O4:R4-1)/(T4*(T4-1)),"")</f>
        <v>0</v>
      </c>
      <c r="V4">
        <v>1</v>
      </c>
      <c r="W4" s="333">
        <f t="shared" ref="W4:W12" si="1">IF(T4&gt;=2,$U$15*(U4-$U$20)/($U$16*(1-$U$20)),0)</f>
        <v>-0.35429750090938872</v>
      </c>
      <c r="X4" s="332">
        <f t="shared" ref="X4:X12" si="2">$U$18*SUMPRODUCT($O$21:$R$21,1-I4:L4/T4)/($U$17*($U$17-1))</f>
        <v>0.25</v>
      </c>
      <c r="Y4" s="341">
        <f t="shared" ref="Y4:Y12" si="3">W4-2*(1-$U$21)*(X4-$U$20)/(1-$U$20)</f>
        <v>-0.37728527170164877</v>
      </c>
      <c r="AB4" t="s">
        <v>792</v>
      </c>
      <c r="AC4" t="s">
        <v>810</v>
      </c>
      <c r="AE4" t="s">
        <v>823</v>
      </c>
      <c r="AF4" s="147">
        <v>0</v>
      </c>
      <c r="AH4" t="s">
        <v>823</v>
      </c>
      <c r="AI4" s="155">
        <v>0</v>
      </c>
    </row>
    <row r="5" spans="1:35" x14ac:dyDescent="0.35">
      <c r="A5" s="298">
        <v>2</v>
      </c>
      <c r="B5" s="103">
        <v>2</v>
      </c>
      <c r="C5" s="299">
        <v>2</v>
      </c>
      <c r="D5" s="299">
        <v>3</v>
      </c>
      <c r="E5" s="299">
        <v>2</v>
      </c>
      <c r="F5" s="22"/>
      <c r="G5" s="299"/>
      <c r="H5" s="298">
        <v>2</v>
      </c>
      <c r="I5" s="101">
        <f t="shared" ref="I5:L11" si="4">COUNTIF($B5:$F5,I$3)</f>
        <v>0</v>
      </c>
      <c r="J5" s="4">
        <f t="shared" si="0"/>
        <v>3</v>
      </c>
      <c r="K5" s="4">
        <f t="shared" si="0"/>
        <v>1</v>
      </c>
      <c r="L5" s="5">
        <f t="shared" si="0"/>
        <v>0</v>
      </c>
      <c r="M5" s="4"/>
      <c r="N5" s="298">
        <v>2</v>
      </c>
      <c r="O5" s="101">
        <v>0</v>
      </c>
      <c r="P5" s="4">
        <v>3</v>
      </c>
      <c r="Q5" s="4">
        <v>1</v>
      </c>
      <c r="R5" s="5">
        <v>0</v>
      </c>
      <c r="S5" s="4"/>
      <c r="T5" s="101">
        <f t="shared" ref="T5:T12" si="5">SUM(I5:L5)</f>
        <v>4</v>
      </c>
      <c r="U5" s="5">
        <f t="shared" ref="U5:U12" si="6">IF(T5&gt;=2,SUMPRODUCT(I5:L5,O5:R5-1)/(T5*(T5-1)),"")</f>
        <v>0.5</v>
      </c>
      <c r="V5">
        <v>2</v>
      </c>
      <c r="W5" s="101">
        <f t="shared" si="1"/>
        <v>0.3853512495453057</v>
      </c>
      <c r="X5" s="4">
        <f t="shared" si="2"/>
        <v>0.24629629629629632</v>
      </c>
      <c r="Y5" s="5">
        <f t="shared" si="3"/>
        <v>0.37047504239570761</v>
      </c>
      <c r="AA5" s="17" t="s">
        <v>44</v>
      </c>
      <c r="AB5" s="335">
        <v>0.05</v>
      </c>
      <c r="AC5" s="335">
        <v>0.05</v>
      </c>
      <c r="AE5" t="s">
        <v>824</v>
      </c>
      <c r="AF5" s="155">
        <v>0</v>
      </c>
    </row>
    <row r="6" spans="1:35" x14ac:dyDescent="0.35">
      <c r="A6" s="298">
        <v>3</v>
      </c>
      <c r="B6" s="103">
        <v>1</v>
      </c>
      <c r="C6" s="299">
        <v>1</v>
      </c>
      <c r="D6" s="299">
        <v>1</v>
      </c>
      <c r="E6" s="299">
        <v>2</v>
      </c>
      <c r="F6" s="22">
        <v>2</v>
      </c>
      <c r="G6" s="299"/>
      <c r="H6" s="298">
        <v>3</v>
      </c>
      <c r="I6" s="101">
        <f t="shared" si="4"/>
        <v>3</v>
      </c>
      <c r="J6" s="4">
        <f t="shared" si="0"/>
        <v>2</v>
      </c>
      <c r="K6" s="4">
        <f t="shared" si="0"/>
        <v>0</v>
      </c>
      <c r="L6" s="5">
        <f t="shared" si="0"/>
        <v>0</v>
      </c>
      <c r="M6" s="4"/>
      <c r="N6" s="298">
        <v>3</v>
      </c>
      <c r="O6" s="101">
        <v>3</v>
      </c>
      <c r="P6" s="4">
        <v>2</v>
      </c>
      <c r="Q6" s="4">
        <v>0</v>
      </c>
      <c r="R6" s="5">
        <v>0</v>
      </c>
      <c r="S6" s="4"/>
      <c r="T6" s="101">
        <f t="shared" si="5"/>
        <v>5</v>
      </c>
      <c r="U6" s="5">
        <f t="shared" si="6"/>
        <v>0.4</v>
      </c>
      <c r="V6">
        <v>3</v>
      </c>
      <c r="W6" s="101">
        <f t="shared" si="1"/>
        <v>0.23742149945436675</v>
      </c>
      <c r="X6" s="4">
        <f t="shared" si="2"/>
        <v>0.27098765432098765</v>
      </c>
      <c r="Y6" s="5">
        <f t="shared" si="3"/>
        <v>0.16846820135368884</v>
      </c>
      <c r="AA6" t="s">
        <v>265</v>
      </c>
      <c r="AB6" s="100">
        <f t="array" ref="AB6">SQRT(SUMSQ(Y4:Y12-U21)/(U15*(U15-1)))</f>
        <v>8.4728109657779868E-2</v>
      </c>
      <c r="AC6" s="100" t="e">
        <f ca="1">SQRT(AB6^2+AB11^2)</f>
        <v>#NAME?</v>
      </c>
      <c r="AH6" t="e">
        <f t="array" aca="1" ref="AH6:AI9" ca="1">GWET_SES(I4:L12,TRUE,O16:R19,O15:R15,AI3,AI4)</f>
        <v>#NAME?</v>
      </c>
      <c r="AI6" s="348" t="e">
        <f ca="1"/>
        <v>#NAME?</v>
      </c>
    </row>
    <row r="7" spans="1:35" x14ac:dyDescent="0.35">
      <c r="A7" s="298">
        <v>4</v>
      </c>
      <c r="B7" s="103">
        <v>4</v>
      </c>
      <c r="C7" s="299">
        <v>4</v>
      </c>
      <c r="D7" s="299">
        <v>3</v>
      </c>
      <c r="E7" s="299">
        <v>4</v>
      </c>
      <c r="F7" s="22">
        <v>2</v>
      </c>
      <c r="G7" s="299"/>
      <c r="H7" s="298">
        <v>4</v>
      </c>
      <c r="I7" s="101">
        <f t="shared" si="4"/>
        <v>0</v>
      </c>
      <c r="J7" s="4">
        <f t="shared" si="0"/>
        <v>1</v>
      </c>
      <c r="K7" s="4">
        <f t="shared" si="0"/>
        <v>1</v>
      </c>
      <c r="L7" s="5">
        <f t="shared" si="0"/>
        <v>3</v>
      </c>
      <c r="M7" s="4"/>
      <c r="N7" s="298">
        <v>4</v>
      </c>
      <c r="O7" s="101">
        <v>0</v>
      </c>
      <c r="P7" s="4">
        <v>1</v>
      </c>
      <c r="Q7" s="4">
        <v>1</v>
      </c>
      <c r="R7" s="5">
        <v>3</v>
      </c>
      <c r="S7" s="4"/>
      <c r="T7" s="101">
        <f t="shared" si="5"/>
        <v>5</v>
      </c>
      <c r="U7" s="5">
        <f t="shared" si="6"/>
        <v>0.3</v>
      </c>
      <c r="V7">
        <v>4</v>
      </c>
      <c r="W7" s="101">
        <f t="shared" si="1"/>
        <v>8.9491749363427853E-2</v>
      </c>
      <c r="X7" s="4">
        <f t="shared" si="2"/>
        <v>0.24901234567901234</v>
      </c>
      <c r="Y7" s="5">
        <f t="shared" si="3"/>
        <v>6.8667062209211024E-2</v>
      </c>
      <c r="AA7" t="s">
        <v>29</v>
      </c>
      <c r="AB7" s="100">
        <f>U21-AB6*TINV(AB5,U15-1)</f>
        <v>-2.8173075454528435E-2</v>
      </c>
      <c r="AC7" s="100" t="e">
        <f ca="1">U21-AC6*TINV(AB5,U15-1)</f>
        <v>#NAME?</v>
      </c>
      <c r="AE7" t="e">
        <f t="array" aca="1" ref="AE7:AF13" ca="1">GWET(B4:F13,TRUE,0,,AF3,AF5,)</f>
        <v>#NAME?</v>
      </c>
      <c r="AF7" s="348" t="e">
        <f ca="1"/>
        <v>#NAME?</v>
      </c>
      <c r="AH7" t="e">
        <f ca="1"/>
        <v>#NAME?</v>
      </c>
      <c r="AI7" s="147" t="e">
        <f ca="1"/>
        <v>#NAME?</v>
      </c>
    </row>
    <row r="8" spans="1:35" x14ac:dyDescent="0.35">
      <c r="A8" s="298">
        <v>5</v>
      </c>
      <c r="B8" s="103">
        <v>3</v>
      </c>
      <c r="C8" s="299">
        <v>3</v>
      </c>
      <c r="D8" s="299">
        <v>4</v>
      </c>
      <c r="E8" s="299"/>
      <c r="F8" s="22">
        <v>3</v>
      </c>
      <c r="G8" s="299"/>
      <c r="H8" s="298">
        <v>5</v>
      </c>
      <c r="I8" s="101">
        <f t="shared" si="4"/>
        <v>0</v>
      </c>
      <c r="J8" s="4">
        <f t="shared" si="0"/>
        <v>0</v>
      </c>
      <c r="K8" s="4">
        <f t="shared" si="0"/>
        <v>3</v>
      </c>
      <c r="L8" s="5">
        <f t="shared" si="0"/>
        <v>1</v>
      </c>
      <c r="M8" s="4"/>
      <c r="N8" s="298">
        <v>5</v>
      </c>
      <c r="O8" s="101">
        <v>0</v>
      </c>
      <c r="P8" s="4">
        <v>0</v>
      </c>
      <c r="Q8" s="4">
        <v>3</v>
      </c>
      <c r="R8" s="5">
        <v>1</v>
      </c>
      <c r="S8" s="4"/>
      <c r="T8" s="101">
        <f t="shared" si="5"/>
        <v>4</v>
      </c>
      <c r="U8" s="5">
        <f t="shared" si="6"/>
        <v>0.5</v>
      </c>
      <c r="V8">
        <v>5</v>
      </c>
      <c r="W8" s="101">
        <f t="shared" si="1"/>
        <v>0.3853512495453057</v>
      </c>
      <c r="X8" s="4">
        <f t="shared" si="2"/>
        <v>0.21527777777777776</v>
      </c>
      <c r="Y8" s="5">
        <f t="shared" si="3"/>
        <v>0.43840938790300177</v>
      </c>
      <c r="AA8" t="s">
        <v>30</v>
      </c>
      <c r="AB8" s="94">
        <f>MIN(U21+AB6*TINV(AB5,U15-1),1)</f>
        <v>0.3625936670232166</v>
      </c>
      <c r="AC8" s="94" t="e">
        <f ca="1">MIN(U21+AC6*TINV(AB5,U15-1),1)</f>
        <v>#NAME?</v>
      </c>
      <c r="AE8" t="e">
        <f ca="1"/>
        <v>#NAME?</v>
      </c>
      <c r="AF8" s="147" t="e">
        <f ca="1"/>
        <v>#NAME?</v>
      </c>
      <c r="AH8" t="e">
        <f ca="1"/>
        <v>#NAME?</v>
      </c>
      <c r="AI8" s="147" t="e">
        <f ca="1"/>
        <v>#NAME?</v>
      </c>
    </row>
    <row r="9" spans="1:35" x14ac:dyDescent="0.35">
      <c r="A9" s="298">
        <v>6</v>
      </c>
      <c r="B9" s="103">
        <v>2</v>
      </c>
      <c r="C9" s="299"/>
      <c r="D9" s="299">
        <v>1</v>
      </c>
      <c r="E9" s="299">
        <v>1</v>
      </c>
      <c r="F9" s="22"/>
      <c r="G9" s="299"/>
      <c r="H9" s="298">
        <v>6</v>
      </c>
      <c r="I9" s="101">
        <f t="shared" si="4"/>
        <v>2</v>
      </c>
      <c r="J9" s="4">
        <f t="shared" si="0"/>
        <v>1</v>
      </c>
      <c r="K9" s="4">
        <f t="shared" si="0"/>
        <v>0</v>
      </c>
      <c r="L9" s="5">
        <f t="shared" si="0"/>
        <v>0</v>
      </c>
      <c r="M9" s="4"/>
      <c r="N9" s="298">
        <v>6</v>
      </c>
      <c r="O9" s="101">
        <v>2</v>
      </c>
      <c r="P9" s="4">
        <v>1</v>
      </c>
      <c r="Q9" s="4">
        <v>0</v>
      </c>
      <c r="R9" s="5">
        <v>0</v>
      </c>
      <c r="S9" s="4"/>
      <c r="T9" s="101">
        <f t="shared" si="5"/>
        <v>3</v>
      </c>
      <c r="U9" s="5">
        <f t="shared" si="6"/>
        <v>0.33333333333333331</v>
      </c>
      <c r="V9">
        <v>6</v>
      </c>
      <c r="W9" s="101">
        <f t="shared" si="1"/>
        <v>0.13880166606040745</v>
      </c>
      <c r="X9" s="4">
        <f t="shared" si="2"/>
        <v>0.27201646090534981</v>
      </c>
      <c r="Y9" s="5">
        <f t="shared" si="3"/>
        <v>6.7595155836767812E-2</v>
      </c>
      <c r="AE9" t="e">
        <f ca="1"/>
        <v>#NAME?</v>
      </c>
      <c r="AF9" s="147" t="e">
        <f ca="1"/>
        <v>#NAME?</v>
      </c>
      <c r="AH9" t="e">
        <f ca="1"/>
        <v>#NAME?</v>
      </c>
      <c r="AI9" s="155" t="e">
        <f ca="1"/>
        <v>#NAME?</v>
      </c>
    </row>
    <row r="10" spans="1:35" x14ac:dyDescent="0.35">
      <c r="A10" s="298">
        <v>7</v>
      </c>
      <c r="B10" s="103">
        <v>3</v>
      </c>
      <c r="C10" s="299">
        <v>3</v>
      </c>
      <c r="D10" s="299">
        <v>3</v>
      </c>
      <c r="E10" s="299">
        <v>4</v>
      </c>
      <c r="F10" s="22"/>
      <c r="G10" s="299"/>
      <c r="H10" s="298">
        <v>7</v>
      </c>
      <c r="I10" s="101">
        <f t="shared" si="4"/>
        <v>0</v>
      </c>
      <c r="J10" s="4">
        <f t="shared" si="0"/>
        <v>0</v>
      </c>
      <c r="K10" s="4">
        <f t="shared" si="0"/>
        <v>3</v>
      </c>
      <c r="L10" s="5">
        <f t="shared" si="0"/>
        <v>1</v>
      </c>
      <c r="M10" s="4"/>
      <c r="N10" s="298">
        <v>7</v>
      </c>
      <c r="O10" s="101">
        <v>0</v>
      </c>
      <c r="P10" s="4">
        <v>0</v>
      </c>
      <c r="Q10" s="4">
        <v>3</v>
      </c>
      <c r="R10" s="5">
        <v>1</v>
      </c>
      <c r="S10" s="4"/>
      <c r="T10" s="101">
        <f t="shared" si="5"/>
        <v>4</v>
      </c>
      <c r="U10" s="5">
        <f t="shared" si="6"/>
        <v>0.5</v>
      </c>
      <c r="V10">
        <v>7</v>
      </c>
      <c r="W10" s="101">
        <f t="shared" si="1"/>
        <v>0.3853512495453057</v>
      </c>
      <c r="X10" s="4">
        <f t="shared" si="2"/>
        <v>0.21527777777777776</v>
      </c>
      <c r="Y10" s="5">
        <f t="shared" si="3"/>
        <v>0.43840938790300177</v>
      </c>
      <c r="AA10" t="s">
        <v>798</v>
      </c>
      <c r="AE10" t="e">
        <f ca="1"/>
        <v>#NAME?</v>
      </c>
      <c r="AF10" s="147" t="e">
        <f ca="1"/>
        <v>#NAME?</v>
      </c>
    </row>
    <row r="11" spans="1:35" x14ac:dyDescent="0.35">
      <c r="A11" s="298">
        <v>8</v>
      </c>
      <c r="B11" s="103">
        <v>4</v>
      </c>
      <c r="C11" s="299">
        <v>3</v>
      </c>
      <c r="D11" s="299">
        <v>4</v>
      </c>
      <c r="E11" s="299">
        <v>3</v>
      </c>
      <c r="F11" s="22">
        <v>4</v>
      </c>
      <c r="G11" s="299"/>
      <c r="H11" s="298">
        <v>8</v>
      </c>
      <c r="I11" s="101">
        <f t="shared" si="4"/>
        <v>0</v>
      </c>
      <c r="J11" s="4">
        <f t="shared" si="4"/>
        <v>0</v>
      </c>
      <c r="K11" s="4">
        <f t="shared" si="4"/>
        <v>2</v>
      </c>
      <c r="L11" s="5">
        <f t="shared" si="4"/>
        <v>3</v>
      </c>
      <c r="M11" s="4"/>
      <c r="N11" s="298">
        <v>8</v>
      </c>
      <c r="O11" s="101">
        <v>0</v>
      </c>
      <c r="P11" s="4">
        <v>0</v>
      </c>
      <c r="Q11" s="4">
        <v>2</v>
      </c>
      <c r="R11" s="5">
        <v>3</v>
      </c>
      <c r="S11" s="4"/>
      <c r="T11" s="101">
        <f t="shared" si="5"/>
        <v>5</v>
      </c>
      <c r="U11" s="5">
        <f t="shared" si="6"/>
        <v>0.4</v>
      </c>
      <c r="V11">
        <v>8</v>
      </c>
      <c r="W11" s="101">
        <f t="shared" si="1"/>
        <v>0.23742149945436675</v>
      </c>
      <c r="X11" s="4">
        <f t="shared" si="2"/>
        <v>0.23666666666666666</v>
      </c>
      <c r="Y11" s="5">
        <f t="shared" si="3"/>
        <v>0.24363535777568987</v>
      </c>
      <c r="AA11" t="s">
        <v>265</v>
      </c>
      <c r="AB11" s="109" t="e" cm="1">
        <f t="array" aca="1" ref="AB11" ca="1">GWET_SER(B4:F13)</f>
        <v>#NAME?</v>
      </c>
      <c r="AE11" t="e">
        <f ca="1"/>
        <v>#NAME?</v>
      </c>
      <c r="AF11" s="147" t="e">
        <f ca="1"/>
        <v>#NAME?</v>
      </c>
    </row>
    <row r="12" spans="1:35" x14ac:dyDescent="0.35">
      <c r="A12" s="298">
        <v>9</v>
      </c>
      <c r="B12" s="103"/>
      <c r="C12" s="299"/>
      <c r="D12" s="299"/>
      <c r="E12" s="299"/>
      <c r="F12" s="22"/>
      <c r="G12" s="299"/>
      <c r="H12" s="298">
        <v>10</v>
      </c>
      <c r="I12" s="89">
        <f>COUNTIF($B13:$F13,I$3)</f>
        <v>0</v>
      </c>
      <c r="J12" s="159">
        <f t="shared" ref="J12:L12" si="7">COUNTIF($B13:$F13,J$3)</f>
        <v>0</v>
      </c>
      <c r="K12" s="159">
        <f t="shared" si="7"/>
        <v>1</v>
      </c>
      <c r="L12" s="93">
        <f t="shared" si="7"/>
        <v>0</v>
      </c>
      <c r="M12" s="4"/>
      <c r="N12" s="298">
        <v>10</v>
      </c>
      <c r="O12" s="89">
        <v>0</v>
      </c>
      <c r="P12" s="159">
        <v>0</v>
      </c>
      <c r="Q12" s="159">
        <v>1</v>
      </c>
      <c r="R12" s="93">
        <v>0</v>
      </c>
      <c r="S12" s="4"/>
      <c r="T12" s="89">
        <f t="shared" si="5"/>
        <v>1</v>
      </c>
      <c r="U12" s="93" t="str">
        <f t="shared" si="6"/>
        <v/>
      </c>
      <c r="V12">
        <v>10</v>
      </c>
      <c r="W12" s="89">
        <f t="shared" si="1"/>
        <v>0</v>
      </c>
      <c r="X12" s="159">
        <f t="shared" si="2"/>
        <v>0.19999999999999998</v>
      </c>
      <c r="Y12" s="93">
        <f t="shared" si="3"/>
        <v>8.6518338383676785E-2</v>
      </c>
      <c r="AE12" t="e">
        <f ca="1"/>
        <v>#NAME?</v>
      </c>
      <c r="AF12" s="147" t="e">
        <f ca="1"/>
        <v>#NAME?</v>
      </c>
    </row>
    <row r="13" spans="1:35" x14ac:dyDescent="0.35">
      <c r="A13" s="298">
        <v>10</v>
      </c>
      <c r="B13" s="95"/>
      <c r="C13" s="300">
        <v>3</v>
      </c>
      <c r="D13" s="300"/>
      <c r="E13" s="300"/>
      <c r="F13" s="90"/>
      <c r="G13" s="299"/>
      <c r="H13" s="298"/>
      <c r="AE13" t="e">
        <f ca="1"/>
        <v>#NAME?</v>
      </c>
      <c r="AF13" s="155" t="e">
        <f ca="1"/>
        <v>#NAME?</v>
      </c>
    </row>
    <row r="14" spans="1:35" x14ac:dyDescent="0.35">
      <c r="A14" s="298"/>
      <c r="B14" s="299"/>
      <c r="C14" s="299"/>
      <c r="D14" s="299"/>
      <c r="E14" s="299"/>
      <c r="F14" s="299"/>
      <c r="G14" s="299"/>
      <c r="H14" s="57"/>
      <c r="O14" s="30" t="s">
        <v>718</v>
      </c>
    </row>
    <row r="15" spans="1:35" x14ac:dyDescent="0.35">
      <c r="O15">
        <v>1</v>
      </c>
      <c r="P15">
        <v>2</v>
      </c>
      <c r="Q15">
        <v>3</v>
      </c>
      <c r="R15">
        <v>4</v>
      </c>
      <c r="T15" s="30" t="s">
        <v>31</v>
      </c>
      <c r="U15" s="335">
        <f>COUNT(H4:H12)</f>
        <v>9</v>
      </c>
      <c r="Z15" s="17"/>
    </row>
    <row r="16" spans="1:35" x14ac:dyDescent="0.35">
      <c r="N16" s="298">
        <v>1</v>
      </c>
      <c r="O16" s="333">
        <v>1</v>
      </c>
      <c r="P16" s="332">
        <v>0</v>
      </c>
      <c r="Q16" s="332">
        <v>0</v>
      </c>
      <c r="R16" s="341">
        <v>0</v>
      </c>
      <c r="T16" s="30" t="s">
        <v>811</v>
      </c>
      <c r="U16" s="100">
        <f>COUNTIF(T4:T12,"&gt;=2")</f>
        <v>8</v>
      </c>
      <c r="Z16" s="17"/>
    </row>
    <row r="17" spans="14:27" x14ac:dyDescent="0.35">
      <c r="N17" s="299">
        <v>2</v>
      </c>
      <c r="O17" s="101">
        <v>0</v>
      </c>
      <c r="P17" s="4">
        <v>1</v>
      </c>
      <c r="Q17" s="4">
        <v>0</v>
      </c>
      <c r="R17" s="5">
        <v>0</v>
      </c>
      <c r="T17" s="30" t="s">
        <v>656</v>
      </c>
      <c r="U17" s="100">
        <f>COUNT(I3:L3)</f>
        <v>4</v>
      </c>
      <c r="Z17" s="17"/>
    </row>
    <row r="18" spans="14:27" x14ac:dyDescent="0.35">
      <c r="N18" s="299">
        <v>3</v>
      </c>
      <c r="O18" s="101">
        <v>0</v>
      </c>
      <c r="P18" s="4">
        <v>0</v>
      </c>
      <c r="Q18" s="4">
        <v>1</v>
      </c>
      <c r="R18" s="5">
        <v>0</v>
      </c>
      <c r="T18" s="30" t="s">
        <v>344</v>
      </c>
      <c r="U18" s="100">
        <f>SUM(O16:R19)</f>
        <v>4</v>
      </c>
      <c r="Z18" s="17"/>
    </row>
    <row r="19" spans="14:27" x14ac:dyDescent="0.35">
      <c r="N19" s="74">
        <v>4</v>
      </c>
      <c r="O19" s="89">
        <v>0</v>
      </c>
      <c r="P19" s="159">
        <v>0</v>
      </c>
      <c r="Q19" s="159">
        <v>0</v>
      </c>
      <c r="R19" s="93">
        <v>1</v>
      </c>
      <c r="T19" s="30" t="s">
        <v>707</v>
      </c>
      <c r="U19" s="100">
        <f>AVERAGE(U4:U12)</f>
        <v>0.36666666666666664</v>
      </c>
    </row>
    <row r="20" spans="14:27" x14ac:dyDescent="0.35">
      <c r="N20" s="4"/>
      <c r="O20" s="4"/>
      <c r="P20" s="4"/>
      <c r="Q20" s="4"/>
      <c r="R20" s="4"/>
      <c r="S20" s="4"/>
      <c r="T20" s="30" t="s">
        <v>704</v>
      </c>
      <c r="U20" s="100">
        <f>U18*SUMPRODUCT(O21:R21,1-O21:R21)/(U17*(U17-1))</f>
        <v>0.23950388660265201</v>
      </c>
    </row>
    <row r="21" spans="14:27" x14ac:dyDescent="0.35">
      <c r="N21" s="57" t="s">
        <v>796</v>
      </c>
      <c r="O21" s="123">
        <f t="array" ref="O21">AVERAGE(I4:I12/$T4:$T12)</f>
        <v>0.16851851851851851</v>
      </c>
      <c r="P21" s="327">
        <f t="array" ref="P21">AVERAGE(J4:J12/$T4:$T12)</f>
        <v>0.21481481481481479</v>
      </c>
      <c r="Q21" s="327">
        <f t="array" ref="Q21">AVERAGE(K4:K12/$T4:$T12)</f>
        <v>0.4</v>
      </c>
      <c r="R21" s="326">
        <f t="array" ref="R21">AVERAGE(L4:L12/$T4:$T12)</f>
        <v>0.21666666666666667</v>
      </c>
      <c r="T21" s="30" t="s">
        <v>812</v>
      </c>
      <c r="U21" s="94">
        <f>(U19-U20)/(1-U20)</f>
        <v>0.16721029578434407</v>
      </c>
    </row>
    <row r="24" spans="14:27" x14ac:dyDescent="0.35">
      <c r="T24" s="79" t="s">
        <v>813</v>
      </c>
      <c r="U24" s="109" t="e" cm="1">
        <f t="array" aca="1" ref="U24" ca="1">GWET_AC2(I4:L12)</f>
        <v>#NAME?</v>
      </c>
      <c r="W24" t="e">
        <f t="array" aca="1" ref="W24:X27" ca="1">GWET_SES(I4:L12,TRUE)</f>
        <v>#NAME?</v>
      </c>
      <c r="X24" s="335" t="e">
        <f ca="1"/>
        <v>#NAME?</v>
      </c>
      <c r="Z24" t="e">
        <f t="array" aca="1" ref="Z24:AA30" ca="1">GWET(B4:F13,TRUE)</f>
        <v>#NAME?</v>
      </c>
      <c r="AA24" s="335" t="e">
        <f ca="1"/>
        <v>#NAME?</v>
      </c>
    </row>
    <row r="25" spans="14:27" x14ac:dyDescent="0.35">
      <c r="W25" t="e">
        <f ca="1"/>
        <v>#NAME?</v>
      </c>
      <c r="X25" s="100" t="e">
        <f ca="1"/>
        <v>#NAME?</v>
      </c>
      <c r="Z25" t="e">
        <f ca="1"/>
        <v>#NAME?</v>
      </c>
      <c r="AA25" s="100" t="e">
        <f ca="1"/>
        <v>#NAME?</v>
      </c>
    </row>
    <row r="26" spans="14:27" x14ac:dyDescent="0.35">
      <c r="W26" t="e">
        <f ca="1"/>
        <v>#NAME?</v>
      </c>
      <c r="X26" s="100" t="e">
        <f ca="1"/>
        <v>#NAME?</v>
      </c>
      <c r="Z26" t="e">
        <f ca="1"/>
        <v>#NAME?</v>
      </c>
      <c r="AA26" s="100" t="e">
        <f ca="1"/>
        <v>#NAME?</v>
      </c>
    </row>
    <row r="27" spans="14:27" x14ac:dyDescent="0.35">
      <c r="W27" t="e">
        <f ca="1"/>
        <v>#NAME?</v>
      </c>
      <c r="X27" s="94" t="e">
        <f ca="1"/>
        <v>#NAME?</v>
      </c>
      <c r="Z27" t="e">
        <f ca="1"/>
        <v>#NAME?</v>
      </c>
      <c r="AA27" s="100" t="e">
        <f ca="1"/>
        <v>#NAME?</v>
      </c>
    </row>
    <row r="28" spans="14:27" x14ac:dyDescent="0.35">
      <c r="Z28" t="e">
        <f ca="1"/>
        <v>#NAME?</v>
      </c>
      <c r="AA28" s="100" t="e">
        <f ca="1"/>
        <v>#NAME?</v>
      </c>
    </row>
    <row r="29" spans="14:27" x14ac:dyDescent="0.35">
      <c r="Z29" t="e">
        <f ca="1"/>
        <v>#NAME?</v>
      </c>
      <c r="AA29" s="100" t="e">
        <f ca="1"/>
        <v>#NAME?</v>
      </c>
    </row>
    <row r="30" spans="14:27" x14ac:dyDescent="0.35">
      <c r="Z30" t="e">
        <f ca="1"/>
        <v>#NAME?</v>
      </c>
      <c r="AA30" s="94" t="e">
        <f ca="1"/>
        <v>#NAME?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27"/>
  <dimension ref="A1:AC30"/>
  <sheetViews>
    <sheetView workbookViewId="0"/>
  </sheetViews>
  <sheetFormatPr defaultRowHeight="14.5" x14ac:dyDescent="0.35"/>
  <cols>
    <col min="1" max="1" width="6" customWidth="1"/>
    <col min="7" max="7" width="4.1796875" customWidth="1"/>
    <col min="8" max="8" width="5.26953125" customWidth="1"/>
    <col min="14" max="14" width="4.1796875" customWidth="1"/>
    <col min="15" max="18" width="9.1796875" customWidth="1"/>
    <col min="19" max="19" width="3.7265625" customWidth="1"/>
    <col min="22" max="22" width="4.1796875" customWidth="1"/>
    <col min="23" max="26" width="9.1796875" customWidth="1"/>
    <col min="28" max="29" width="10.54296875" customWidth="1"/>
  </cols>
  <sheetData>
    <row r="1" spans="1:29" x14ac:dyDescent="0.35">
      <c r="A1" t="s">
        <v>786</v>
      </c>
      <c r="H1" t="s">
        <v>787</v>
      </c>
      <c r="O1" t="s">
        <v>788</v>
      </c>
    </row>
    <row r="3" spans="1:29" x14ac:dyDescent="0.35">
      <c r="A3" s="298"/>
      <c r="B3" s="298" t="s">
        <v>218</v>
      </c>
      <c r="C3" s="298" t="s">
        <v>98</v>
      </c>
      <c r="D3" s="298" t="s">
        <v>99</v>
      </c>
      <c r="E3" s="298" t="s">
        <v>100</v>
      </c>
      <c r="F3" s="298" t="s">
        <v>536</v>
      </c>
      <c r="G3" s="298"/>
      <c r="I3">
        <v>1</v>
      </c>
      <c r="J3">
        <v>2</v>
      </c>
      <c r="K3">
        <v>3</v>
      </c>
      <c r="L3">
        <v>4</v>
      </c>
      <c r="O3">
        <v>1</v>
      </c>
      <c r="P3">
        <v>2</v>
      </c>
      <c r="Q3">
        <v>3</v>
      </c>
      <c r="R3">
        <v>4</v>
      </c>
      <c r="T3" s="6" t="s">
        <v>95</v>
      </c>
      <c r="U3" s="6" t="s">
        <v>86</v>
      </c>
      <c r="V3" s="6"/>
      <c r="W3" s="23" t="s">
        <v>561</v>
      </c>
      <c r="X3" s="23" t="s">
        <v>790</v>
      </c>
      <c r="Y3" s="23" t="s">
        <v>809</v>
      </c>
    </row>
    <row r="4" spans="1:29" x14ac:dyDescent="0.35">
      <c r="A4" s="298">
        <v>1</v>
      </c>
      <c r="B4" s="347">
        <v>1</v>
      </c>
      <c r="C4" s="346">
        <v>2</v>
      </c>
      <c r="D4" s="346"/>
      <c r="E4" s="346">
        <v>3</v>
      </c>
      <c r="F4" s="345">
        <v>4</v>
      </c>
      <c r="G4" s="299"/>
      <c r="H4" s="298">
        <v>1</v>
      </c>
      <c r="I4" s="333">
        <f>COUNTIF($B4:$F4,I$3)</f>
        <v>1</v>
      </c>
      <c r="J4" s="332">
        <f t="shared" ref="J4:L10" si="0">COUNTIF($B4:$F4,J$3)</f>
        <v>1</v>
      </c>
      <c r="K4" s="332">
        <f t="shared" si="0"/>
        <v>1</v>
      </c>
      <c r="L4" s="341">
        <f t="shared" si="0"/>
        <v>1</v>
      </c>
      <c r="M4" s="4"/>
      <c r="N4" s="298">
        <v>1</v>
      </c>
      <c r="O4" s="333">
        <f t="array" ref="O4:R12">MMULT(I4:L12,O16:R19)</f>
        <v>2.4444444444444446</v>
      </c>
      <c r="P4" s="332">
        <v>3.333333333333333</v>
      </c>
      <c r="Q4" s="332">
        <v>3.3333333333333335</v>
      </c>
      <c r="R4" s="341">
        <v>2.4444444444444446</v>
      </c>
      <c r="S4" s="4"/>
      <c r="T4" s="333">
        <f>SUM(I4:L4)</f>
        <v>4</v>
      </c>
      <c r="U4" s="341">
        <f>IF(T4&gt;=2,SUMPRODUCT(I4:L4,O4:R4-1)/(T4*(T4-1)),"")</f>
        <v>0.62962962962962965</v>
      </c>
      <c r="V4">
        <v>1</v>
      </c>
      <c r="W4" s="333">
        <f t="shared" ref="W4:W12" si="1">IF(T4&gt;=2,$U$15*(U4-$U$20)/($U$16*(1-$U$20)),0)</f>
        <v>-0.22737528300735588</v>
      </c>
      <c r="X4" s="332">
        <f t="shared" ref="X4:X12" si="2">$U$18*SUMPRODUCT($O$21:$R$21,1-I4:L4/T4)/($U$17*($U$17-1))</f>
        <v>0.72222222222222232</v>
      </c>
      <c r="Y4" s="341">
        <f t="shared" ref="Y4:Y12" si="3">W4-2*(1-$U$21)*(X4-$U$20)/(1-$U$20)</f>
        <v>-0.30102174313628971</v>
      </c>
      <c r="AB4" t="s">
        <v>792</v>
      </c>
      <c r="AC4" t="s">
        <v>810</v>
      </c>
    </row>
    <row r="5" spans="1:29" x14ac:dyDescent="0.35">
      <c r="A5" s="298">
        <v>2</v>
      </c>
      <c r="B5" s="103">
        <v>2</v>
      </c>
      <c r="C5" s="299">
        <v>2</v>
      </c>
      <c r="D5" s="299">
        <v>3</v>
      </c>
      <c r="E5" s="299">
        <v>2</v>
      </c>
      <c r="F5" s="22"/>
      <c r="G5" s="299"/>
      <c r="H5" s="298">
        <v>2</v>
      </c>
      <c r="I5" s="101">
        <f t="shared" ref="I5:L11" si="4">COUNTIF($B5:$F5,I$3)</f>
        <v>0</v>
      </c>
      <c r="J5" s="4">
        <f t="shared" si="0"/>
        <v>3</v>
      </c>
      <c r="K5" s="4">
        <f t="shared" si="0"/>
        <v>1</v>
      </c>
      <c r="L5" s="5">
        <f t="shared" si="0"/>
        <v>0</v>
      </c>
      <c r="M5" s="4"/>
      <c r="N5" s="298">
        <v>2</v>
      </c>
      <c r="O5" s="101">
        <v>3.2222222222222223</v>
      </c>
      <c r="P5" s="4">
        <v>3.8888888888888888</v>
      </c>
      <c r="Q5" s="4">
        <v>3.6666666666666665</v>
      </c>
      <c r="R5" s="5">
        <v>2.5555555555555554</v>
      </c>
      <c r="S5" s="4"/>
      <c r="T5" s="101">
        <f t="shared" ref="T5:T12" si="5">SUM(I5:L5)</f>
        <v>4</v>
      </c>
      <c r="U5" s="5">
        <f t="shared" ref="U5:U12" si="6">IF(T5&gt;=2,SUMPRODUCT(I5:L5,O5:R5-1)/(T5*(T5-1)),"")</f>
        <v>0.94444444444444431</v>
      </c>
      <c r="V5">
        <v>2</v>
      </c>
      <c r="W5" s="101">
        <f t="shared" si="1"/>
        <v>0.92214370754889607</v>
      </c>
      <c r="X5" s="4">
        <f t="shared" si="2"/>
        <v>0.71152263374485614</v>
      </c>
      <c r="Y5" s="5">
        <f t="shared" si="3"/>
        <v>0.8744844539999822</v>
      </c>
      <c r="AA5" s="17" t="s">
        <v>44</v>
      </c>
      <c r="AB5" s="335">
        <v>0.05</v>
      </c>
      <c r="AC5" s="335">
        <v>0.05</v>
      </c>
    </row>
    <row r="6" spans="1:29" x14ac:dyDescent="0.35">
      <c r="A6" s="298">
        <v>3</v>
      </c>
      <c r="B6" s="103">
        <v>1</v>
      </c>
      <c r="C6" s="299">
        <v>1</v>
      </c>
      <c r="D6" s="299">
        <v>1</v>
      </c>
      <c r="E6" s="299">
        <v>2</v>
      </c>
      <c r="F6" s="22">
        <v>2</v>
      </c>
      <c r="G6" s="299"/>
      <c r="H6" s="298">
        <v>3</v>
      </c>
      <c r="I6" s="101">
        <f t="shared" si="4"/>
        <v>3</v>
      </c>
      <c r="J6" s="4">
        <f t="shared" si="0"/>
        <v>2</v>
      </c>
      <c r="K6" s="4">
        <f t="shared" si="0"/>
        <v>0</v>
      </c>
      <c r="L6" s="5">
        <f t="shared" si="0"/>
        <v>0</v>
      </c>
      <c r="M6" s="4"/>
      <c r="N6" s="298">
        <v>3</v>
      </c>
      <c r="O6" s="101">
        <v>4.7777777777777777</v>
      </c>
      <c r="P6" s="4">
        <v>4.6666666666666661</v>
      </c>
      <c r="Q6" s="4">
        <v>3.4444444444444446</v>
      </c>
      <c r="R6" s="5">
        <v>1.1111111111111112</v>
      </c>
      <c r="S6" s="4"/>
      <c r="T6" s="101">
        <f t="shared" si="5"/>
        <v>5</v>
      </c>
      <c r="U6" s="5">
        <f t="shared" si="6"/>
        <v>0.93333333333333324</v>
      </c>
      <c r="V6">
        <v>3</v>
      </c>
      <c r="W6" s="101">
        <f t="shared" si="1"/>
        <v>0.8815724490586756</v>
      </c>
      <c r="X6" s="4">
        <f t="shared" si="2"/>
        <v>0.78285322359396448</v>
      </c>
      <c r="Y6" s="5">
        <f t="shared" si="3"/>
        <v>0.66066515164296113</v>
      </c>
      <c r="AA6" t="s">
        <v>265</v>
      </c>
      <c r="AB6" s="100">
        <f t="array" ref="AB6">SQRT(SUMSQ(Y4:Y12-U21)/(U15*(U15-1)))</f>
        <v>0.14913899217377427</v>
      </c>
      <c r="AC6" s="100" t="e">
        <f ca="1">SQRT(AB6^2+AB11^2)</f>
        <v>#NAME?</v>
      </c>
    </row>
    <row r="7" spans="1:29" x14ac:dyDescent="0.35">
      <c r="A7" s="298">
        <v>4</v>
      </c>
      <c r="B7" s="103">
        <v>4</v>
      </c>
      <c r="C7" s="299">
        <v>4</v>
      </c>
      <c r="D7" s="299">
        <v>3</v>
      </c>
      <c r="E7" s="299">
        <v>4</v>
      </c>
      <c r="F7" s="22">
        <v>2</v>
      </c>
      <c r="G7" s="299"/>
      <c r="H7" s="298">
        <v>4</v>
      </c>
      <c r="I7" s="101">
        <f t="shared" si="4"/>
        <v>0</v>
      </c>
      <c r="J7" s="4">
        <f t="shared" si="0"/>
        <v>1</v>
      </c>
      <c r="K7" s="4">
        <f t="shared" si="0"/>
        <v>1</v>
      </c>
      <c r="L7" s="5">
        <f t="shared" si="0"/>
        <v>3</v>
      </c>
      <c r="M7" s="4"/>
      <c r="N7" s="298">
        <v>4</v>
      </c>
      <c r="O7" s="101">
        <v>1.4444444444444444</v>
      </c>
      <c r="P7" s="4">
        <v>3.5555555555555554</v>
      </c>
      <c r="Q7" s="4">
        <v>4.5555555555555554</v>
      </c>
      <c r="R7" s="5">
        <v>4.4444444444444446</v>
      </c>
      <c r="S7" s="4"/>
      <c r="T7" s="101">
        <f t="shared" si="5"/>
        <v>5</v>
      </c>
      <c r="U7" s="5">
        <f t="shared" si="6"/>
        <v>0.82222222222222219</v>
      </c>
      <c r="V7">
        <v>4</v>
      </c>
      <c r="W7" s="101">
        <f t="shared" si="1"/>
        <v>0.47585986415646897</v>
      </c>
      <c r="X7" s="4">
        <f t="shared" si="2"/>
        <v>0.71936899862825798</v>
      </c>
      <c r="Y7" s="5">
        <f t="shared" si="3"/>
        <v>0.40914332578220719</v>
      </c>
      <c r="AA7" t="s">
        <v>29</v>
      </c>
      <c r="AB7" s="100">
        <f>U21-AB6*TINV(AB5,U15-1)</f>
        <v>0.28192770569505932</v>
      </c>
      <c r="AC7" s="100" t="e">
        <f ca="1">U21-AC6*TINV(AB5,U15-1)</f>
        <v>#NAME?</v>
      </c>
    </row>
    <row r="8" spans="1:29" x14ac:dyDescent="0.35">
      <c r="A8" s="298">
        <v>5</v>
      </c>
      <c r="B8" s="103">
        <v>3</v>
      </c>
      <c r="C8" s="299">
        <v>3</v>
      </c>
      <c r="D8" s="299">
        <v>4</v>
      </c>
      <c r="E8" s="299"/>
      <c r="F8" s="22">
        <v>3</v>
      </c>
      <c r="G8" s="299"/>
      <c r="H8" s="298">
        <v>5</v>
      </c>
      <c r="I8" s="101">
        <f t="shared" si="4"/>
        <v>0</v>
      </c>
      <c r="J8" s="4">
        <f t="shared" si="0"/>
        <v>0</v>
      </c>
      <c r="K8" s="4">
        <f t="shared" si="0"/>
        <v>3</v>
      </c>
      <c r="L8" s="5">
        <f t="shared" si="0"/>
        <v>1</v>
      </c>
      <c r="M8" s="4"/>
      <c r="N8" s="298">
        <v>5</v>
      </c>
      <c r="O8" s="101">
        <v>1.6666666666666667</v>
      </c>
      <c r="P8" s="4">
        <v>3.2222222222222223</v>
      </c>
      <c r="Q8" s="4">
        <v>3.8888888888888888</v>
      </c>
      <c r="R8" s="5">
        <v>3.6666666666666665</v>
      </c>
      <c r="S8" s="4"/>
      <c r="T8" s="101">
        <f t="shared" si="5"/>
        <v>4</v>
      </c>
      <c r="U8" s="5">
        <f t="shared" si="6"/>
        <v>0.94444444444444431</v>
      </c>
      <c r="V8">
        <v>5</v>
      </c>
      <c r="W8" s="101">
        <f t="shared" si="1"/>
        <v>0.92214370754889607</v>
      </c>
      <c r="X8" s="4">
        <f t="shared" si="2"/>
        <v>0.62191358024691357</v>
      </c>
      <c r="Y8" s="5">
        <f t="shared" si="3"/>
        <v>1.0921273091076509</v>
      </c>
      <c r="AA8" t="s">
        <v>30</v>
      </c>
      <c r="AB8" s="94">
        <f>MIN(U21+AB6*TINV(AB5,U15-1),1)</f>
        <v>0.96975797104087014</v>
      </c>
      <c r="AC8" s="94" t="e">
        <f ca="1">MIN(U21+AC6*TINV(AB5,U15-1),1)</f>
        <v>#NAME?</v>
      </c>
    </row>
    <row r="9" spans="1:29" x14ac:dyDescent="0.35">
      <c r="A9" s="298">
        <v>6</v>
      </c>
      <c r="B9" s="103">
        <v>2</v>
      </c>
      <c r="C9" s="299"/>
      <c r="D9" s="299">
        <v>1</v>
      </c>
      <c r="E9" s="299">
        <v>1</v>
      </c>
      <c r="F9" s="22"/>
      <c r="G9" s="299"/>
      <c r="H9" s="298">
        <v>6</v>
      </c>
      <c r="I9" s="101">
        <f t="shared" si="4"/>
        <v>2</v>
      </c>
      <c r="J9" s="4">
        <f t="shared" si="0"/>
        <v>1</v>
      </c>
      <c r="K9" s="4">
        <f t="shared" si="0"/>
        <v>0</v>
      </c>
      <c r="L9" s="5">
        <f t="shared" si="0"/>
        <v>0</v>
      </c>
      <c r="M9" s="4"/>
      <c r="N9" s="298">
        <v>6</v>
      </c>
      <c r="O9" s="101">
        <v>2.8888888888888888</v>
      </c>
      <c r="P9" s="4">
        <v>2.7777777777777777</v>
      </c>
      <c r="Q9" s="4">
        <v>2</v>
      </c>
      <c r="R9" s="5">
        <v>0.55555555555555558</v>
      </c>
      <c r="S9" s="4"/>
      <c r="T9" s="101">
        <f t="shared" si="5"/>
        <v>3</v>
      </c>
      <c r="U9" s="5">
        <f t="shared" si="6"/>
        <v>0.92592592592592593</v>
      </c>
      <c r="V9">
        <v>6</v>
      </c>
      <c r="W9" s="101">
        <f t="shared" si="1"/>
        <v>0.85452494339852891</v>
      </c>
      <c r="X9" s="4">
        <f t="shared" si="2"/>
        <v>0.78582533150434397</v>
      </c>
      <c r="Y9" s="5">
        <f t="shared" si="3"/>
        <v>0.62639897748836448</v>
      </c>
    </row>
    <row r="10" spans="1:29" x14ac:dyDescent="0.35">
      <c r="A10" s="298">
        <v>7</v>
      </c>
      <c r="B10" s="103">
        <v>3</v>
      </c>
      <c r="C10" s="299">
        <v>3</v>
      </c>
      <c r="D10" s="299">
        <v>3</v>
      </c>
      <c r="E10" s="299">
        <v>4</v>
      </c>
      <c r="F10" s="22"/>
      <c r="G10" s="299"/>
      <c r="H10" s="298">
        <v>7</v>
      </c>
      <c r="I10" s="101">
        <f t="shared" si="4"/>
        <v>0</v>
      </c>
      <c r="J10" s="4">
        <f t="shared" si="0"/>
        <v>0</v>
      </c>
      <c r="K10" s="4">
        <f t="shared" si="0"/>
        <v>3</v>
      </c>
      <c r="L10" s="5">
        <f t="shared" si="0"/>
        <v>1</v>
      </c>
      <c r="M10" s="4"/>
      <c r="N10" s="298">
        <v>7</v>
      </c>
      <c r="O10" s="101">
        <v>1.6666666666666667</v>
      </c>
      <c r="P10" s="4">
        <v>3.2222222222222223</v>
      </c>
      <c r="Q10" s="4">
        <v>3.8888888888888888</v>
      </c>
      <c r="R10" s="5">
        <v>3.6666666666666665</v>
      </c>
      <c r="S10" s="4"/>
      <c r="T10" s="101">
        <f t="shared" si="5"/>
        <v>4</v>
      </c>
      <c r="U10" s="5">
        <f t="shared" si="6"/>
        <v>0.94444444444444431</v>
      </c>
      <c r="V10">
        <v>7</v>
      </c>
      <c r="W10" s="101">
        <f t="shared" si="1"/>
        <v>0.92214370754889607</v>
      </c>
      <c r="X10" s="4">
        <f t="shared" si="2"/>
        <v>0.62191358024691357</v>
      </c>
      <c r="Y10" s="5">
        <f t="shared" si="3"/>
        <v>1.0921273091076509</v>
      </c>
      <c r="AA10" t="s">
        <v>798</v>
      </c>
    </row>
    <row r="11" spans="1:29" x14ac:dyDescent="0.35">
      <c r="A11" s="298">
        <v>8</v>
      </c>
      <c r="B11" s="103">
        <v>4</v>
      </c>
      <c r="C11" s="299">
        <v>3</v>
      </c>
      <c r="D11" s="299">
        <v>4</v>
      </c>
      <c r="E11" s="299">
        <v>3</v>
      </c>
      <c r="F11" s="22">
        <v>4</v>
      </c>
      <c r="G11" s="299"/>
      <c r="H11" s="298">
        <v>8</v>
      </c>
      <c r="I11" s="101">
        <f t="shared" si="4"/>
        <v>0</v>
      </c>
      <c r="J11" s="4">
        <f t="shared" si="4"/>
        <v>0</v>
      </c>
      <c r="K11" s="4">
        <f t="shared" si="4"/>
        <v>2</v>
      </c>
      <c r="L11" s="5">
        <f t="shared" si="4"/>
        <v>3</v>
      </c>
      <c r="M11" s="4"/>
      <c r="N11" s="298">
        <v>8</v>
      </c>
      <c r="O11" s="101">
        <v>1.1111111111111112</v>
      </c>
      <c r="P11" s="4">
        <v>3.4444444444444446</v>
      </c>
      <c r="Q11" s="4">
        <v>4.6666666666666661</v>
      </c>
      <c r="R11" s="5">
        <v>4.7777777777777777</v>
      </c>
      <c r="S11" s="4"/>
      <c r="T11" s="101">
        <f t="shared" si="5"/>
        <v>5</v>
      </c>
      <c r="U11" s="5">
        <f t="shared" si="6"/>
        <v>0.93333333333333324</v>
      </c>
      <c r="V11">
        <v>8</v>
      </c>
      <c r="W11" s="101">
        <f t="shared" si="1"/>
        <v>0.8815724490586756</v>
      </c>
      <c r="X11" s="4">
        <f t="shared" si="2"/>
        <v>0.6837037037037037</v>
      </c>
      <c r="Y11" s="5">
        <f t="shared" si="3"/>
        <v>0.90147993261781434</v>
      </c>
      <c r="AA11" t="s">
        <v>265</v>
      </c>
      <c r="AB11" s="109" t="e" cm="1">
        <f t="array" aca="1" ref="AB11" ca="1">GWET_SER(B4:F13,2)</f>
        <v>#NAME?</v>
      </c>
    </row>
    <row r="12" spans="1:29" x14ac:dyDescent="0.35">
      <c r="A12" s="298">
        <v>9</v>
      </c>
      <c r="B12" s="103"/>
      <c r="C12" s="299"/>
      <c r="D12" s="299"/>
      <c r="E12" s="299"/>
      <c r="F12" s="22"/>
      <c r="G12" s="299"/>
      <c r="H12" s="298">
        <v>10</v>
      </c>
      <c r="I12" s="89">
        <f>COUNTIF($B13:$F13,I$3)</f>
        <v>0</v>
      </c>
      <c r="J12" s="159">
        <f t="shared" ref="J12:L12" si="7">COUNTIF($B13:$F13,J$3)</f>
        <v>0</v>
      </c>
      <c r="K12" s="159">
        <f t="shared" si="7"/>
        <v>1</v>
      </c>
      <c r="L12" s="93">
        <f t="shared" si="7"/>
        <v>0</v>
      </c>
      <c r="M12" s="4"/>
      <c r="N12" s="298">
        <v>10</v>
      </c>
      <c r="O12" s="89">
        <v>0.55555555555555558</v>
      </c>
      <c r="P12" s="159">
        <v>0.88888888888888884</v>
      </c>
      <c r="Q12" s="159">
        <v>1</v>
      </c>
      <c r="R12" s="93">
        <v>0.88888888888888884</v>
      </c>
      <c r="S12" s="4"/>
      <c r="T12" s="89">
        <f t="shared" si="5"/>
        <v>1</v>
      </c>
      <c r="U12" s="93" t="str">
        <f t="shared" si="6"/>
        <v/>
      </c>
      <c r="V12">
        <v>10</v>
      </c>
      <c r="W12" s="89">
        <f t="shared" si="1"/>
        <v>0</v>
      </c>
      <c r="X12" s="159">
        <f t="shared" si="2"/>
        <v>0.57777777777777783</v>
      </c>
      <c r="Y12" s="93">
        <f t="shared" si="3"/>
        <v>0.27718082870133753</v>
      </c>
    </row>
    <row r="13" spans="1:29" x14ac:dyDescent="0.35">
      <c r="A13" s="298">
        <v>10</v>
      </c>
      <c r="B13" s="95"/>
      <c r="C13" s="300">
        <v>3</v>
      </c>
      <c r="D13" s="300"/>
      <c r="E13" s="300"/>
      <c r="F13" s="90"/>
      <c r="G13" s="299"/>
      <c r="H13" s="298"/>
    </row>
    <row r="14" spans="1:29" x14ac:dyDescent="0.35">
      <c r="A14" s="298"/>
      <c r="B14" s="299"/>
      <c r="C14" s="299"/>
      <c r="D14" s="299"/>
      <c r="E14" s="299"/>
      <c r="F14" s="299"/>
      <c r="G14" s="299"/>
      <c r="H14" s="57"/>
      <c r="O14" s="30" t="s">
        <v>718</v>
      </c>
    </row>
    <row r="15" spans="1:29" x14ac:dyDescent="0.35">
      <c r="O15">
        <v>1</v>
      </c>
      <c r="P15">
        <v>2</v>
      </c>
      <c r="Q15">
        <v>3</v>
      </c>
      <c r="R15">
        <v>4</v>
      </c>
      <c r="T15" s="30" t="s">
        <v>31</v>
      </c>
      <c r="U15" s="335">
        <f>COUNT(H4:H12)</f>
        <v>9</v>
      </c>
      <c r="Z15" s="17"/>
    </row>
    <row r="16" spans="1:29" x14ac:dyDescent="0.35">
      <c r="N16" s="298">
        <v>1</v>
      </c>
      <c r="O16" s="333">
        <f>1-((O$15-$N16)/($R$15-$O$15))^2</f>
        <v>1</v>
      </c>
      <c r="P16" s="332">
        <f t="shared" ref="P16:R19" si="8">1-((P$15-$N16)/($R$15-$O$15))^2</f>
        <v>0.88888888888888884</v>
      </c>
      <c r="Q16" s="332">
        <f t="shared" si="8"/>
        <v>0.55555555555555558</v>
      </c>
      <c r="R16" s="341">
        <f t="shared" si="8"/>
        <v>0</v>
      </c>
      <c r="T16" s="30" t="s">
        <v>811</v>
      </c>
      <c r="U16" s="100">
        <f>COUNTIF(T4:T12,"&gt;=2")</f>
        <v>8</v>
      </c>
      <c r="Z16" s="17"/>
    </row>
    <row r="17" spans="14:27" x14ac:dyDescent="0.35">
      <c r="N17" s="299">
        <v>2</v>
      </c>
      <c r="O17" s="101">
        <f t="shared" ref="O17:O19" si="9">1-((O$15-$N17)/($R$15-$O$15))^2</f>
        <v>0.88888888888888884</v>
      </c>
      <c r="P17" s="4">
        <f t="shared" si="8"/>
        <v>1</v>
      </c>
      <c r="Q17" s="4">
        <f t="shared" si="8"/>
        <v>0.88888888888888884</v>
      </c>
      <c r="R17" s="5">
        <f t="shared" si="8"/>
        <v>0.55555555555555558</v>
      </c>
      <c r="T17" s="30" t="s">
        <v>656</v>
      </c>
      <c r="U17" s="100">
        <f>COUNT(I3:L3)</f>
        <v>4</v>
      </c>
      <c r="Z17" s="17"/>
    </row>
    <row r="18" spans="14:27" x14ac:dyDescent="0.35">
      <c r="N18" s="299">
        <v>3</v>
      </c>
      <c r="O18" s="101">
        <f t="shared" si="9"/>
        <v>0.55555555555555558</v>
      </c>
      <c r="P18" s="4">
        <f t="shared" si="8"/>
        <v>0.88888888888888884</v>
      </c>
      <c r="Q18" s="4">
        <f t="shared" si="8"/>
        <v>1</v>
      </c>
      <c r="R18" s="5">
        <f t="shared" si="8"/>
        <v>0.88888888888888884</v>
      </c>
      <c r="T18" s="30" t="s">
        <v>344</v>
      </c>
      <c r="U18" s="100">
        <f>SUM(O16:R19)</f>
        <v>11.555555555555557</v>
      </c>
      <c r="Z18" s="17"/>
    </row>
    <row r="19" spans="14:27" x14ac:dyDescent="0.35">
      <c r="N19" s="74">
        <v>4</v>
      </c>
      <c r="O19" s="89">
        <f t="shared" si="9"/>
        <v>0</v>
      </c>
      <c r="P19" s="159">
        <f t="shared" si="8"/>
        <v>0.55555555555555558</v>
      </c>
      <c r="Q19" s="159">
        <f t="shared" si="8"/>
        <v>0.88888888888888884</v>
      </c>
      <c r="R19" s="93">
        <f t="shared" si="8"/>
        <v>1</v>
      </c>
      <c r="T19" s="30" t="s">
        <v>707</v>
      </c>
      <c r="U19" s="100">
        <f>AVERAGE(U4:U12)</f>
        <v>0.88472222222222219</v>
      </c>
    </row>
    <row r="20" spans="14:27" x14ac:dyDescent="0.35">
      <c r="N20" s="4"/>
      <c r="O20" s="4"/>
      <c r="P20" s="4"/>
      <c r="Q20" s="4"/>
      <c r="R20" s="4"/>
      <c r="S20" s="4"/>
      <c r="T20" s="30" t="s">
        <v>704</v>
      </c>
      <c r="U20" s="100">
        <f>U18*SUMPRODUCT(O21:R21,1-O21:R21)/(U17*(U17-1))</f>
        <v>0.69190011685210584</v>
      </c>
    </row>
    <row r="21" spans="14:27" x14ac:dyDescent="0.35">
      <c r="N21" s="57" t="s">
        <v>796</v>
      </c>
      <c r="O21" s="123">
        <f t="array" ref="O21">AVERAGE(I4:I12/$T4:$T12)</f>
        <v>0.16851851851851851</v>
      </c>
      <c r="P21" s="327">
        <f t="array" ref="P21">AVERAGE(J4:J12/$T4:$T12)</f>
        <v>0.21481481481481479</v>
      </c>
      <c r="Q21" s="327">
        <f t="array" ref="Q21">AVERAGE(K4:K12/$T4:$T12)</f>
        <v>0.4</v>
      </c>
      <c r="R21" s="326">
        <f t="array" ref="R21">AVERAGE(L4:L12/$T4:$T12)</f>
        <v>0.21666666666666667</v>
      </c>
      <c r="T21" s="30" t="s">
        <v>812</v>
      </c>
      <c r="U21" s="94">
        <f>(U19-U20)/(1-U20)</f>
        <v>0.62584283836796473</v>
      </c>
    </row>
    <row r="24" spans="14:27" x14ac:dyDescent="0.35">
      <c r="T24" s="79" t="s">
        <v>813</v>
      </c>
      <c r="U24" s="109" t="e" cm="1">
        <f t="array" aca="1" ref="U24" ca="1">GWET_AC2(I4:L12,2)</f>
        <v>#NAME?</v>
      </c>
      <c r="W24" t="e">
        <f t="array" aca="1" ref="W24:X27" ca="1">GWET_SES(I4:L12,TRUE,2)</f>
        <v>#NAME?</v>
      </c>
      <c r="X24" s="335" t="e">
        <f ca="1"/>
        <v>#NAME?</v>
      </c>
      <c r="Z24" t="e">
        <f t="array" aca="1" ref="Z24:AA30" ca="1">GWET(B4:F13,TRUE,2)</f>
        <v>#NAME?</v>
      </c>
      <c r="AA24" s="335" t="e">
        <f ca="1"/>
        <v>#NAME?</v>
      </c>
    </row>
    <row r="25" spans="14:27" x14ac:dyDescent="0.35">
      <c r="W25" t="e">
        <f ca="1"/>
        <v>#NAME?</v>
      </c>
      <c r="X25" s="100" t="e">
        <f ca="1"/>
        <v>#NAME?</v>
      </c>
      <c r="Z25" t="e">
        <f ca="1"/>
        <v>#NAME?</v>
      </c>
      <c r="AA25" s="100" t="e">
        <f ca="1"/>
        <v>#NAME?</v>
      </c>
    </row>
    <row r="26" spans="14:27" x14ac:dyDescent="0.35">
      <c r="W26" t="e">
        <f ca="1"/>
        <v>#NAME?</v>
      </c>
      <c r="X26" s="100" t="e">
        <f ca="1"/>
        <v>#NAME?</v>
      </c>
      <c r="Z26" t="e">
        <f ca="1"/>
        <v>#NAME?</v>
      </c>
      <c r="AA26" s="100" t="e">
        <f ca="1"/>
        <v>#NAME?</v>
      </c>
    </row>
    <row r="27" spans="14:27" x14ac:dyDescent="0.35">
      <c r="W27" t="e">
        <f ca="1"/>
        <v>#NAME?</v>
      </c>
      <c r="X27" s="94" t="e">
        <f ca="1"/>
        <v>#NAME?</v>
      </c>
      <c r="Z27" t="e">
        <f ca="1"/>
        <v>#NAME?</v>
      </c>
      <c r="AA27" s="100" t="e">
        <f ca="1"/>
        <v>#NAME?</v>
      </c>
    </row>
    <row r="28" spans="14:27" x14ac:dyDescent="0.35">
      <c r="Z28" t="e">
        <f ca="1"/>
        <v>#NAME?</v>
      </c>
      <c r="AA28" s="100" t="e">
        <f ca="1"/>
        <v>#NAME?</v>
      </c>
    </row>
    <row r="29" spans="14:27" x14ac:dyDescent="0.35">
      <c r="Z29" t="e">
        <f ca="1"/>
        <v>#NAME?</v>
      </c>
      <c r="AA29" s="100" t="e">
        <f ca="1"/>
        <v>#NAME?</v>
      </c>
    </row>
    <row r="30" spans="14:27" x14ac:dyDescent="0.35">
      <c r="Z30" t="e">
        <f ca="1"/>
        <v>#NAME?</v>
      </c>
      <c r="AA30" s="94" t="e">
        <f ca="1"/>
        <v>#NAME?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28"/>
  <dimension ref="A1:P20"/>
  <sheetViews>
    <sheetView workbookViewId="0"/>
  </sheetViews>
  <sheetFormatPr defaultRowHeight="14.5" x14ac:dyDescent="0.35"/>
  <cols>
    <col min="7" max="7" width="4.1796875" customWidth="1"/>
    <col min="8" max="8" width="5.26953125" customWidth="1"/>
    <col min="13" max="13" width="4.1796875" customWidth="1"/>
    <col min="14" max="16" width="9.1796875" customWidth="1"/>
  </cols>
  <sheetData>
    <row r="1" spans="1:16" x14ac:dyDescent="0.35">
      <c r="A1" t="s">
        <v>786</v>
      </c>
      <c r="H1" t="s">
        <v>787</v>
      </c>
    </row>
    <row r="3" spans="1:16" x14ac:dyDescent="0.35">
      <c r="A3" s="298"/>
      <c r="B3" s="298" t="s">
        <v>218</v>
      </c>
      <c r="C3" s="298" t="s">
        <v>98</v>
      </c>
      <c r="D3" s="298" t="s">
        <v>99</v>
      </c>
      <c r="E3" s="298" t="s">
        <v>100</v>
      </c>
      <c r="F3" s="298" t="s">
        <v>536</v>
      </c>
      <c r="G3" s="298"/>
      <c r="I3">
        <v>1</v>
      </c>
      <c r="J3">
        <v>2</v>
      </c>
      <c r="K3">
        <v>3</v>
      </c>
      <c r="L3">
        <v>4</v>
      </c>
    </row>
    <row r="4" spans="1:16" x14ac:dyDescent="0.35">
      <c r="A4" s="298">
        <v>1</v>
      </c>
      <c r="B4" s="347">
        <v>1</v>
      </c>
      <c r="C4" s="346">
        <v>2</v>
      </c>
      <c r="D4" s="346"/>
      <c r="E4" s="346">
        <v>3</v>
      </c>
      <c r="F4" s="345">
        <v>4</v>
      </c>
      <c r="G4" s="299"/>
      <c r="H4" s="298">
        <v>1</v>
      </c>
      <c r="I4" s="333" t="e">
        <f t="array" aca="1" ref="I4:L12" ca="1">GTRANS(B4:F13)</f>
        <v>#NAME?</v>
      </c>
      <c r="J4" s="332" t="e">
        <f ca="1"/>
        <v>#NAME?</v>
      </c>
      <c r="K4" s="332" t="e">
        <f ca="1"/>
        <v>#NAME?</v>
      </c>
      <c r="L4" s="341" t="e">
        <f ca="1"/>
        <v>#NAME?</v>
      </c>
      <c r="M4" s="4"/>
      <c r="N4" t="e">
        <f t="array" aca="1" ref="N4:O7" ca="1">GWET_SES(I4:L12,TRUE,2)</f>
        <v>#NAME?</v>
      </c>
      <c r="O4" s="335" t="e">
        <f ca="1"/>
        <v>#NAME?</v>
      </c>
      <c r="P4" s="4"/>
    </row>
    <row r="5" spans="1:16" x14ac:dyDescent="0.35">
      <c r="A5" s="298">
        <v>2</v>
      </c>
      <c r="B5" s="103">
        <v>2</v>
      </c>
      <c r="C5" s="299">
        <v>2</v>
      </c>
      <c r="D5" s="299">
        <v>3</v>
      </c>
      <c r="E5" s="299">
        <v>2</v>
      </c>
      <c r="F5" s="22"/>
      <c r="G5" s="299"/>
      <c r="H5" s="298">
        <v>2</v>
      </c>
      <c r="I5" s="101" t="e">
        <f ca="1"/>
        <v>#NAME?</v>
      </c>
      <c r="J5" s="4" t="e">
        <f ca="1"/>
        <v>#NAME?</v>
      </c>
      <c r="K5" s="4" t="e">
        <f ca="1"/>
        <v>#NAME?</v>
      </c>
      <c r="L5" s="5" t="e">
        <f ca="1"/>
        <v>#NAME?</v>
      </c>
      <c r="M5" s="4"/>
      <c r="N5" t="e">
        <f ca="1"/>
        <v>#NAME?</v>
      </c>
      <c r="O5" s="100" t="e">
        <f ca="1"/>
        <v>#NAME?</v>
      </c>
      <c r="P5" s="4"/>
    </row>
    <row r="6" spans="1:16" x14ac:dyDescent="0.35">
      <c r="A6" s="298">
        <v>3</v>
      </c>
      <c r="B6" s="103">
        <v>1</v>
      </c>
      <c r="C6" s="299">
        <v>1</v>
      </c>
      <c r="D6" s="299">
        <v>1</v>
      </c>
      <c r="E6" s="299">
        <v>2</v>
      </c>
      <c r="F6" s="22">
        <v>2</v>
      </c>
      <c r="G6" s="299"/>
      <c r="H6" s="298">
        <v>3</v>
      </c>
      <c r="I6" s="101" t="e">
        <f ca="1"/>
        <v>#NAME?</v>
      </c>
      <c r="J6" s="4" t="e">
        <f ca="1"/>
        <v>#NAME?</v>
      </c>
      <c r="K6" s="4" t="e">
        <f ca="1"/>
        <v>#NAME?</v>
      </c>
      <c r="L6" s="5" t="e">
        <f ca="1"/>
        <v>#NAME?</v>
      </c>
      <c r="M6" s="4"/>
      <c r="N6" t="e">
        <f ca="1"/>
        <v>#NAME?</v>
      </c>
      <c r="O6" s="100" t="e">
        <f ca="1"/>
        <v>#NAME?</v>
      </c>
      <c r="P6" s="4"/>
    </row>
    <row r="7" spans="1:16" x14ac:dyDescent="0.35">
      <c r="A7" s="298">
        <v>4</v>
      </c>
      <c r="B7" s="103">
        <v>4</v>
      </c>
      <c r="C7" s="299">
        <v>4</v>
      </c>
      <c r="D7" s="299">
        <v>3</v>
      </c>
      <c r="E7" s="299">
        <v>4</v>
      </c>
      <c r="F7" s="22">
        <v>2</v>
      </c>
      <c r="G7" s="299"/>
      <c r="H7" s="298">
        <v>4</v>
      </c>
      <c r="I7" s="101" t="e">
        <f ca="1"/>
        <v>#NAME?</v>
      </c>
      <c r="J7" s="4" t="e">
        <f ca="1"/>
        <v>#NAME?</v>
      </c>
      <c r="K7" s="4" t="e">
        <f ca="1"/>
        <v>#NAME?</v>
      </c>
      <c r="L7" s="5" t="e">
        <f ca="1"/>
        <v>#NAME?</v>
      </c>
      <c r="M7" s="4"/>
      <c r="N7" t="e">
        <f ca="1"/>
        <v>#NAME?</v>
      </c>
      <c r="O7" s="94" t="e">
        <f ca="1"/>
        <v>#NAME?</v>
      </c>
      <c r="P7" s="4"/>
    </row>
    <row r="8" spans="1:16" x14ac:dyDescent="0.35">
      <c r="A8" s="298">
        <v>5</v>
      </c>
      <c r="B8" s="103">
        <v>3</v>
      </c>
      <c r="C8" s="299">
        <v>3</v>
      </c>
      <c r="D8" s="299">
        <v>4</v>
      </c>
      <c r="E8" s="299"/>
      <c r="F8" s="22">
        <v>3</v>
      </c>
      <c r="G8" s="299"/>
      <c r="H8" s="298">
        <v>5</v>
      </c>
      <c r="I8" s="101" t="e">
        <f ca="1"/>
        <v>#NAME?</v>
      </c>
      <c r="J8" s="4" t="e">
        <f ca="1"/>
        <v>#NAME?</v>
      </c>
      <c r="K8" s="4" t="e">
        <f ca="1"/>
        <v>#NAME?</v>
      </c>
      <c r="L8" s="5" t="e">
        <f ca="1"/>
        <v>#NAME?</v>
      </c>
      <c r="M8" s="4"/>
      <c r="N8" s="4"/>
      <c r="O8" s="4"/>
      <c r="P8" s="4"/>
    </row>
    <row r="9" spans="1:16" x14ac:dyDescent="0.35">
      <c r="A9" s="298">
        <v>6</v>
      </c>
      <c r="B9" s="103">
        <v>2</v>
      </c>
      <c r="C9" s="299"/>
      <c r="D9" s="299">
        <v>1</v>
      </c>
      <c r="E9" s="299">
        <v>1</v>
      </c>
      <c r="F9" s="22"/>
      <c r="G9" s="299"/>
      <c r="H9" s="298">
        <v>6</v>
      </c>
      <c r="I9" s="101" t="e">
        <f ca="1"/>
        <v>#NAME?</v>
      </c>
      <c r="J9" s="4" t="e">
        <f ca="1"/>
        <v>#NAME?</v>
      </c>
      <c r="K9" s="4" t="e">
        <f ca="1"/>
        <v>#NAME?</v>
      </c>
      <c r="L9" s="5" t="e">
        <f ca="1"/>
        <v>#NAME?</v>
      </c>
      <c r="M9" s="4"/>
      <c r="N9" t="s">
        <v>814</v>
      </c>
      <c r="O9" s="109" t="e" cm="1">
        <f t="array" aca="1" ref="O9" ca="1">GWET_SER(B4:F13,2)</f>
        <v>#NAME?</v>
      </c>
      <c r="P9" s="4"/>
    </row>
    <row r="10" spans="1:16" x14ac:dyDescent="0.35">
      <c r="A10" s="298">
        <v>7</v>
      </c>
      <c r="B10" s="103">
        <v>3</v>
      </c>
      <c r="C10" s="299">
        <v>3</v>
      </c>
      <c r="D10" s="299">
        <v>3</v>
      </c>
      <c r="E10" s="299">
        <v>4</v>
      </c>
      <c r="F10" s="22"/>
      <c r="G10" s="299"/>
      <c r="H10" s="298">
        <v>7</v>
      </c>
      <c r="I10" s="101" t="e">
        <f ca="1"/>
        <v>#NAME?</v>
      </c>
      <c r="J10" s="4" t="e">
        <f ca="1"/>
        <v>#NAME?</v>
      </c>
      <c r="K10" s="4" t="e">
        <f ca="1"/>
        <v>#NAME?</v>
      </c>
      <c r="L10" s="5" t="e">
        <f ca="1"/>
        <v>#NAME?</v>
      </c>
      <c r="M10" s="4"/>
      <c r="N10" s="4"/>
      <c r="O10" s="4"/>
      <c r="P10" s="4"/>
    </row>
    <row r="11" spans="1:16" x14ac:dyDescent="0.35">
      <c r="A11" s="298">
        <v>8</v>
      </c>
      <c r="B11" s="103">
        <v>4</v>
      </c>
      <c r="C11" s="299">
        <v>3</v>
      </c>
      <c r="D11" s="299">
        <v>4</v>
      </c>
      <c r="E11" s="299">
        <v>3</v>
      </c>
      <c r="F11" s="22">
        <v>4</v>
      </c>
      <c r="G11" s="299"/>
      <c r="H11" s="298">
        <v>8</v>
      </c>
      <c r="I11" s="101" t="e">
        <f ca="1"/>
        <v>#NAME?</v>
      </c>
      <c r="J11" s="4" t="e">
        <f ca="1"/>
        <v>#NAME?</v>
      </c>
      <c r="K11" s="4" t="e">
        <f ca="1"/>
        <v>#NAME?</v>
      </c>
      <c r="L11" s="5" t="e">
        <f ca="1"/>
        <v>#NAME?</v>
      </c>
      <c r="M11" s="4"/>
      <c r="N11" t="e">
        <f t="array" aca="1" ref="N11:O17" ca="1">GWET(B4:F13,TRUE,2)</f>
        <v>#NAME?</v>
      </c>
      <c r="O11" s="335" t="e">
        <f ca="1"/>
        <v>#NAME?</v>
      </c>
      <c r="P11" s="4"/>
    </row>
    <row r="12" spans="1:16" x14ac:dyDescent="0.35">
      <c r="A12" s="298">
        <v>9</v>
      </c>
      <c r="B12" s="103"/>
      <c r="C12" s="299"/>
      <c r="D12" s="299"/>
      <c r="E12" s="299"/>
      <c r="F12" s="22"/>
      <c r="G12" s="299"/>
      <c r="H12" s="298">
        <v>10</v>
      </c>
      <c r="I12" s="89" t="e">
        <f ca="1"/>
        <v>#NAME?</v>
      </c>
      <c r="J12" s="159" t="e">
        <f ca="1"/>
        <v>#NAME?</v>
      </c>
      <c r="K12" s="159" t="e">
        <f ca="1"/>
        <v>#NAME?</v>
      </c>
      <c r="L12" s="93" t="e">
        <f ca="1"/>
        <v>#NAME?</v>
      </c>
      <c r="M12" s="4"/>
      <c r="N12" t="e">
        <f ca="1"/>
        <v>#NAME?</v>
      </c>
      <c r="O12" s="100" t="e">
        <f ca="1"/>
        <v>#NAME?</v>
      </c>
      <c r="P12" s="4"/>
    </row>
    <row r="13" spans="1:16" x14ac:dyDescent="0.35">
      <c r="A13" s="298">
        <v>10</v>
      </c>
      <c r="B13" s="95"/>
      <c r="C13" s="300">
        <v>3</v>
      </c>
      <c r="D13" s="300"/>
      <c r="E13" s="300"/>
      <c r="F13" s="90"/>
      <c r="G13" s="299"/>
      <c r="H13" s="298"/>
      <c r="M13" s="4"/>
      <c r="N13" t="e">
        <f ca="1"/>
        <v>#NAME?</v>
      </c>
      <c r="O13" s="100" t="e">
        <f ca="1"/>
        <v>#NAME?</v>
      </c>
      <c r="P13" s="4"/>
    </row>
    <row r="14" spans="1:16" x14ac:dyDescent="0.35">
      <c r="A14" s="298"/>
      <c r="B14" s="299"/>
      <c r="C14" s="299"/>
      <c r="D14" s="299"/>
      <c r="E14" s="299"/>
      <c r="F14" s="299"/>
      <c r="G14" s="299"/>
      <c r="H14" s="30" t="s">
        <v>718</v>
      </c>
      <c r="M14" s="4"/>
      <c r="N14" t="e">
        <f ca="1"/>
        <v>#NAME?</v>
      </c>
      <c r="O14" s="100" t="e">
        <f ca="1"/>
        <v>#NAME?</v>
      </c>
      <c r="P14" s="4"/>
    </row>
    <row r="15" spans="1:16" x14ac:dyDescent="0.35">
      <c r="H15" s="6"/>
      <c r="I15">
        <v>1</v>
      </c>
      <c r="J15">
        <v>2</v>
      </c>
      <c r="K15">
        <v>3</v>
      </c>
      <c r="L15">
        <v>4</v>
      </c>
      <c r="M15" s="4"/>
      <c r="N15" t="e">
        <f ca="1"/>
        <v>#NAME?</v>
      </c>
      <c r="O15" s="100" t="e">
        <f ca="1"/>
        <v>#NAME?</v>
      </c>
      <c r="P15" s="4"/>
    </row>
    <row r="16" spans="1:16" x14ac:dyDescent="0.35">
      <c r="H16" s="298">
        <v>1</v>
      </c>
      <c r="I16" s="333">
        <f>1-((I$15-$H16)/($L$15-$I$15))^2</f>
        <v>1</v>
      </c>
      <c r="J16" s="332">
        <f t="shared" ref="J16:L19" si="0">1-((J$15-$H16)/($L$15-$I$15))^2</f>
        <v>0.88888888888888884</v>
      </c>
      <c r="K16" s="332">
        <f t="shared" si="0"/>
        <v>0.55555555555555558</v>
      </c>
      <c r="L16" s="341">
        <f t="shared" si="0"/>
        <v>0</v>
      </c>
      <c r="N16" t="e">
        <f ca="1"/>
        <v>#NAME?</v>
      </c>
      <c r="O16" s="100" t="e">
        <f ca="1"/>
        <v>#NAME?</v>
      </c>
    </row>
    <row r="17" spans="8:16" x14ac:dyDescent="0.35">
      <c r="H17" s="298">
        <v>2</v>
      </c>
      <c r="I17" s="101">
        <f t="shared" ref="I17:I19" si="1">1-((I$15-$H17)/($L$15-$I$15))^2</f>
        <v>0.88888888888888884</v>
      </c>
      <c r="J17" s="4">
        <f t="shared" si="0"/>
        <v>1</v>
      </c>
      <c r="K17" s="4">
        <f t="shared" si="0"/>
        <v>0.88888888888888884</v>
      </c>
      <c r="L17" s="5">
        <f t="shared" si="0"/>
        <v>0.55555555555555558</v>
      </c>
      <c r="M17" s="4"/>
      <c r="N17" t="e">
        <f ca="1"/>
        <v>#NAME?</v>
      </c>
      <c r="O17" s="94" t="e">
        <f ca="1"/>
        <v>#NAME?</v>
      </c>
      <c r="P17" s="4"/>
    </row>
    <row r="18" spans="8:16" x14ac:dyDescent="0.35">
      <c r="H18" s="298">
        <v>3</v>
      </c>
      <c r="I18" s="101">
        <f t="shared" si="1"/>
        <v>0.55555555555555558</v>
      </c>
      <c r="J18" s="4">
        <f t="shared" si="0"/>
        <v>0.88888888888888884</v>
      </c>
      <c r="K18" s="4">
        <f t="shared" si="0"/>
        <v>1</v>
      </c>
      <c r="L18" s="5">
        <f t="shared" si="0"/>
        <v>0.88888888888888884</v>
      </c>
      <c r="M18" s="4"/>
      <c r="P18" s="4"/>
    </row>
    <row r="19" spans="8:16" x14ac:dyDescent="0.35">
      <c r="H19" s="298">
        <v>4</v>
      </c>
      <c r="I19" s="89">
        <f t="shared" si="1"/>
        <v>0</v>
      </c>
      <c r="J19" s="159">
        <f t="shared" si="0"/>
        <v>0.55555555555555558</v>
      </c>
      <c r="K19" s="159">
        <f t="shared" si="0"/>
        <v>0.88888888888888884</v>
      </c>
      <c r="L19" s="93">
        <f t="shared" si="0"/>
        <v>1</v>
      </c>
      <c r="M19" s="4"/>
      <c r="N19" s="4"/>
      <c r="O19" s="4"/>
      <c r="P19" s="4"/>
    </row>
    <row r="20" spans="8:16" x14ac:dyDescent="0.35">
      <c r="M20" s="4"/>
      <c r="N20" s="4"/>
      <c r="O20" s="4"/>
      <c r="P20" s="4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29"/>
  <dimension ref="A1:AV29"/>
  <sheetViews>
    <sheetView workbookViewId="0">
      <selection sqref="A1:B1048576"/>
    </sheetView>
  </sheetViews>
  <sheetFormatPr defaultColWidth="9.1796875" defaultRowHeight="14.5" x14ac:dyDescent="0.35"/>
  <cols>
    <col min="1" max="2" width="5.81640625" style="146" customWidth="1"/>
    <col min="3" max="3" width="71.7265625" style="146" customWidth="1"/>
    <col min="4" max="4" width="9.1796875" style="146"/>
    <col min="5" max="5" width="6.453125" style="146" customWidth="1"/>
    <col min="6" max="6" width="5.7265625" style="146" customWidth="1"/>
    <col min="7" max="7" width="9.1796875" style="146" customWidth="1"/>
    <col min="8" max="15" width="9.1796875" style="146"/>
    <col min="16" max="16" width="8.26953125" style="146" customWidth="1"/>
    <col min="17" max="17" width="9.1796875" style="146"/>
    <col min="18" max="18" width="3.1796875" style="146" customWidth="1"/>
    <col min="19" max="19" width="27.7265625" style="146" customWidth="1"/>
    <col min="20" max="20" width="3.1796875" style="146" customWidth="1"/>
    <col min="21" max="21" width="7.26953125" style="146" customWidth="1"/>
    <col min="22" max="26" width="9.1796875" style="146"/>
    <col min="27" max="27" width="17" style="146" customWidth="1"/>
    <col min="28" max="35" width="9.1796875" style="146"/>
    <col min="36" max="36" width="18.453125" style="146" customWidth="1"/>
    <col min="37" max="45" width="9.1796875" style="146"/>
    <col min="46" max="46" width="3" style="146" customWidth="1"/>
    <col min="47" max="16384" width="9.1796875" style="146"/>
  </cols>
  <sheetData>
    <row r="1" spans="1:48" x14ac:dyDescent="0.35">
      <c r="A1" s="375" t="s">
        <v>615</v>
      </c>
      <c r="V1" s="358" t="s">
        <v>3</v>
      </c>
      <c r="W1" s="358" t="s">
        <v>5</v>
      </c>
      <c r="X1" s="358" t="s">
        <v>29</v>
      </c>
      <c r="Y1" s="358" t="s">
        <v>30</v>
      </c>
      <c r="AJ1" s="146" t="s">
        <v>25</v>
      </c>
      <c r="AM1" s="146" t="s">
        <v>345</v>
      </c>
      <c r="AP1" s="146" t="s">
        <v>248</v>
      </c>
      <c r="AU1" s="146" t="s">
        <v>346</v>
      </c>
    </row>
    <row r="2" spans="1:48" x14ac:dyDescent="0.35">
      <c r="P2" s="146" t="s">
        <v>95</v>
      </c>
      <c r="Q2" s="406">
        <f>CORREL(A4:A23,B4:B23)</f>
        <v>0.9397227006110801</v>
      </c>
      <c r="S2" s="146" t="e" cm="1">
        <f t="array" aca="1" ref="S2" ca="1">FTEXT(Q2)</f>
        <v>#NAME?</v>
      </c>
      <c r="U2" s="146" t="s">
        <v>775</v>
      </c>
      <c r="V2" s="368">
        <v>30</v>
      </c>
      <c r="W2" s="367">
        <f>V6</f>
        <v>1.5150000000000001</v>
      </c>
      <c r="X2" s="367">
        <f>V7</f>
        <v>-6.3635150416767488</v>
      </c>
      <c r="Y2" s="366">
        <f>V8</f>
        <v>9.3935150416767499</v>
      </c>
      <c r="AA2" s="146" t="s">
        <v>774</v>
      </c>
    </row>
    <row r="3" spans="1:48" x14ac:dyDescent="0.35">
      <c r="A3" s="373" t="s">
        <v>70</v>
      </c>
      <c r="B3" s="373" t="s">
        <v>69</v>
      </c>
      <c r="C3" s="374"/>
      <c r="E3" s="373" t="s">
        <v>520</v>
      </c>
      <c r="F3" s="373" t="s">
        <v>521</v>
      </c>
      <c r="P3" s="146" t="s">
        <v>31</v>
      </c>
      <c r="Q3" s="369">
        <f>COUNT(E4:E23)</f>
        <v>20</v>
      </c>
      <c r="S3" s="146" t="e" cm="1">
        <f t="array" aca="1" ref="S3" ca="1">FTEXT(Q3)</f>
        <v>#NAME?</v>
      </c>
      <c r="U3" s="146" t="s">
        <v>773</v>
      </c>
      <c r="V3" s="189">
        <v>80</v>
      </c>
      <c r="W3" s="222">
        <f>W2</f>
        <v>1.5150000000000001</v>
      </c>
      <c r="X3" s="222">
        <f>X2</f>
        <v>-6.3635150416767488</v>
      </c>
      <c r="Y3" s="190">
        <f>Y2</f>
        <v>9.3935150416767499</v>
      </c>
      <c r="AJ3" s="372"/>
      <c r="AK3" s="372" t="str">
        <f>F3</f>
        <v>Y</v>
      </c>
      <c r="AN3" s="279" t="str">
        <f>F3</f>
        <v>Y</v>
      </c>
      <c r="AP3" s="146" t="s">
        <v>65</v>
      </c>
      <c r="AU3" s="372"/>
      <c r="AV3" s="372" t="str">
        <f>F3</f>
        <v>Y</v>
      </c>
    </row>
    <row r="4" spans="1:48" ht="15" thickBot="1" x14ac:dyDescent="0.4">
      <c r="A4" s="150">
        <v>38.799999999999997</v>
      </c>
      <c r="B4" s="150">
        <v>28.5</v>
      </c>
      <c r="C4" s="150"/>
      <c r="E4" s="146">
        <f t="shared" ref="E4:E23" si="0">AVERAGE(A4:B4)</f>
        <v>33.65</v>
      </c>
      <c r="F4" s="146">
        <f t="shared" ref="F4:F23" si="1">A4-B4</f>
        <v>10.299999999999997</v>
      </c>
      <c r="P4" s="146" t="s">
        <v>772</v>
      </c>
      <c r="Q4" s="369">
        <f>AVERAGE(F4:F23)</f>
        <v>1.5150000000000001</v>
      </c>
      <c r="S4" s="146" t="e" cm="1">
        <f t="array" aca="1" ref="S4" ca="1">FTEXT(Q4)</f>
        <v>#NAME?</v>
      </c>
      <c r="AA4" s="371" t="s">
        <v>771</v>
      </c>
      <c r="AB4" s="371"/>
      <c r="AD4" s="371"/>
      <c r="AE4" s="371"/>
      <c r="AJ4" s="146" t="s">
        <v>8</v>
      </c>
      <c r="AK4" s="146">
        <f>AVERAGE(F4:F23)</f>
        <v>1.5150000000000001</v>
      </c>
      <c r="AM4" s="146" t="s">
        <v>45</v>
      </c>
      <c r="AN4" s="370">
        <f>MIN(F4:F23)-$AN$10</f>
        <v>0</v>
      </c>
      <c r="AU4" s="146" t="s">
        <v>286</v>
      </c>
      <c r="AV4" s="146" t="e" cm="1">
        <f t="array" aca="1" ref="AV4" ca="1">SHAPIRO(F4:F23)</f>
        <v>#NAME?</v>
      </c>
    </row>
    <row r="5" spans="1:48" ht="15" customHeight="1" thickTop="1" x14ac:dyDescent="0.45">
      <c r="A5" s="150">
        <v>43.7</v>
      </c>
      <c r="B5" s="150">
        <v>48.7</v>
      </c>
      <c r="C5" s="150"/>
      <c r="E5" s="146">
        <f t="shared" si="0"/>
        <v>46.2</v>
      </c>
      <c r="F5" s="146">
        <f t="shared" si="1"/>
        <v>-5</v>
      </c>
      <c r="P5" s="146" t="s">
        <v>770</v>
      </c>
      <c r="Q5" s="369">
        <f>STDEV(F4:F23)</f>
        <v>4.0197243948467793</v>
      </c>
      <c r="S5" s="364" t="s">
        <v>769</v>
      </c>
      <c r="W5" s="358" t="s">
        <v>265</v>
      </c>
      <c r="X5" s="358" t="s">
        <v>29</v>
      </c>
      <c r="Y5" s="358" t="s">
        <v>30</v>
      </c>
      <c r="AA5" s="146" t="s">
        <v>768</v>
      </c>
      <c r="AB5" s="146" t="e">
        <f ca="1">SQRT(AB6)</f>
        <v>#NAME?</v>
      </c>
      <c r="AD5" s="146" t="s">
        <v>767</v>
      </c>
      <c r="AE5" s="146" t="e">
        <f ca="1">AB9*LN(AC14/AB9)+2*(AB13+1)</f>
        <v>#NAME?</v>
      </c>
      <c r="AJ5" s="146" t="s">
        <v>9</v>
      </c>
      <c r="AK5" s="146">
        <f>STDEV(F4:F23)/SQRT(COUNT(F4:F23))</f>
        <v>0.89883769976916039</v>
      </c>
      <c r="AM5" s="146" t="s">
        <v>46</v>
      </c>
      <c r="AN5" s="362">
        <f>QUARTILE(F4:F23,1)-AN4-$AN$10</f>
        <v>4.1250000000000053</v>
      </c>
      <c r="AP5" s="146" t="s">
        <v>20</v>
      </c>
      <c r="AQ5" s="146">
        <f>COUNT(F4:F23)</f>
        <v>20</v>
      </c>
      <c r="AR5" s="146">
        <f>2*AQ5</f>
        <v>40</v>
      </c>
      <c r="AU5" s="146" t="s">
        <v>59</v>
      </c>
      <c r="AV5" s="146" t="e" cm="1">
        <f t="array" aca="1" ref="AV5" ca="1">SWTEST(F4:F23)</f>
        <v>#NAME?</v>
      </c>
    </row>
    <row r="6" spans="1:48" x14ac:dyDescent="0.35">
      <c r="A6" s="150">
        <v>45.8</v>
      </c>
      <c r="B6" s="150">
        <v>41.5</v>
      </c>
      <c r="C6" s="150"/>
      <c r="E6" s="146">
        <f t="shared" si="0"/>
        <v>43.65</v>
      </c>
      <c r="F6" s="146">
        <f t="shared" si="1"/>
        <v>4.2999999999999972</v>
      </c>
      <c r="P6" s="146" t="s">
        <v>88</v>
      </c>
      <c r="Q6" s="369">
        <v>0.05</v>
      </c>
      <c r="U6" s="146" t="s">
        <v>5</v>
      </c>
      <c r="V6" s="368">
        <f>AVERAGE(F4:F23)</f>
        <v>1.5150000000000001</v>
      </c>
      <c r="W6" s="367">
        <f>Q5/SQRT(Q3)</f>
        <v>0.89883769976916039</v>
      </c>
      <c r="X6" s="367">
        <f>V6-W6*TINV(0.05,Q3-1)</f>
        <v>-0.36628892662588686</v>
      </c>
      <c r="Y6" s="366">
        <f>V6+W6*TINV(0.05,Q3-1)</f>
        <v>3.3962889266258873</v>
      </c>
      <c r="AA6" s="146" t="s">
        <v>766</v>
      </c>
      <c r="AB6" s="146" t="e">
        <f ca="1">AC13/AC15</f>
        <v>#NAME?</v>
      </c>
      <c r="AD6" s="146" t="s">
        <v>765</v>
      </c>
      <c r="AE6" s="146" t="e">
        <f ca="1">AE5+2*(AB13+2)*(AB13+3)/(AB9-AB13-3)</f>
        <v>#NAME?</v>
      </c>
      <c r="AJ6" s="146" t="s">
        <v>10</v>
      </c>
      <c r="AK6" s="146">
        <f>MEDIAN(F4:F23)</f>
        <v>1.6000000000000014</v>
      </c>
      <c r="AM6" s="146" t="s">
        <v>47</v>
      </c>
      <c r="AN6" s="362">
        <f>MEDIAN(F4:F23)-QUARTILE(F4:F23,1)</f>
        <v>2.6749999999999989</v>
      </c>
      <c r="AP6" s="146" t="s">
        <v>8</v>
      </c>
      <c r="AQ6" s="146">
        <f>AVERAGE(F4:F23)</f>
        <v>1.5150000000000001</v>
      </c>
      <c r="AU6" s="146" t="s">
        <v>88</v>
      </c>
      <c r="AV6" s="146">
        <v>0.05</v>
      </c>
    </row>
    <row r="7" spans="1:48" x14ac:dyDescent="0.35">
      <c r="A7" s="150">
        <v>50.3</v>
      </c>
      <c r="B7" s="150">
        <v>55.5</v>
      </c>
      <c r="C7" s="150"/>
      <c r="E7" s="146">
        <f t="shared" si="0"/>
        <v>52.9</v>
      </c>
      <c r="F7" s="146">
        <f t="shared" si="1"/>
        <v>-5.2000000000000028</v>
      </c>
      <c r="P7" s="146" t="s">
        <v>29</v>
      </c>
      <c r="Q7" s="369">
        <f>Q4-Q5*NORMSINV(1-Q6/2)</f>
        <v>-6.3635150416767488</v>
      </c>
      <c r="S7" s="364" t="s">
        <v>843</v>
      </c>
      <c r="U7" s="146" t="s">
        <v>29</v>
      </c>
      <c r="V7" s="193">
        <f>V6-Q5*NORMSINV(0.975)</f>
        <v>-6.3635150416767488</v>
      </c>
      <c r="W7" s="24">
        <f>SQRT((1/Q3)+NORMSINV(0.975)^2/(2*(Q3-1)))*Q5</f>
        <v>1.5624840989668947</v>
      </c>
      <c r="X7" s="24">
        <f>V7-W7*TINV(0.05,Q3-1)</f>
        <v>-9.6338318454449521</v>
      </c>
      <c r="Y7" s="363">
        <f>V7+W7*TINV(0.05,Q3-1)</f>
        <v>-3.0931982379085445</v>
      </c>
      <c r="AA7" s="146" t="s">
        <v>764</v>
      </c>
      <c r="AB7" s="146" t="e">
        <f ca="1">1-(1-AB6)*(AB9-1)/(AB9-AB13-1)</f>
        <v>#NAME?</v>
      </c>
      <c r="AD7" s="222" t="s">
        <v>763</v>
      </c>
      <c r="AE7" s="222" t="e">
        <f ca="1">AB9*LN(AC14/AB9)+(AB13+1)*LN(AB9)</f>
        <v>#NAME?</v>
      </c>
      <c r="AJ7" s="146" t="s">
        <v>11</v>
      </c>
      <c r="AK7" s="146" t="e">
        <f>MODE(F4:F23)</f>
        <v>#N/A</v>
      </c>
      <c r="AM7" s="146" t="s">
        <v>48</v>
      </c>
      <c r="AN7" s="362">
        <f>QUARTILE(F4:F23,3)-MEDIAN(F4:F23)</f>
        <v>2.774999999999995</v>
      </c>
      <c r="AP7" s="146" t="s">
        <v>52</v>
      </c>
      <c r="AQ7" s="146">
        <f>STDEV(F4:F23)</f>
        <v>4.0197243948467793</v>
      </c>
      <c r="AU7" s="222" t="s">
        <v>347</v>
      </c>
      <c r="AV7" s="361" t="e">
        <f ca="1">IF(AV5&lt;AV6,"no","yes")</f>
        <v>#NAME?</v>
      </c>
    </row>
    <row r="8" spans="1:48" x14ac:dyDescent="0.35">
      <c r="A8" s="150">
        <v>56.5</v>
      </c>
      <c r="B8" s="150">
        <v>58.4</v>
      </c>
      <c r="C8" s="150"/>
      <c r="E8" s="146">
        <f t="shared" si="0"/>
        <v>57.45</v>
      </c>
      <c r="F8" s="146">
        <f t="shared" si="1"/>
        <v>-1.8999999999999986</v>
      </c>
      <c r="P8" s="146" t="s">
        <v>30</v>
      </c>
      <c r="Q8" s="365">
        <f>Q4+Q5*NORMSINV(1-Q6/2)</f>
        <v>9.3935150416767499</v>
      </c>
      <c r="S8" s="364" t="s">
        <v>844</v>
      </c>
      <c r="U8" s="146" t="s">
        <v>30</v>
      </c>
      <c r="V8" s="189">
        <f>V6+Q5*NORMSINV(0.975)</f>
        <v>9.3935150416767499</v>
      </c>
      <c r="W8" s="222">
        <f>W7</f>
        <v>1.5624840989668947</v>
      </c>
      <c r="X8" s="222">
        <f>V8-W8*TINV(0.05,Q3-1)</f>
        <v>6.1231982379085457</v>
      </c>
      <c r="Y8" s="190">
        <f>V8+W8*TINV(0.05,Q3-1)</f>
        <v>12.663831845444953</v>
      </c>
      <c r="AA8" s="146" t="s">
        <v>9</v>
      </c>
      <c r="AB8" s="146" t="e">
        <f ca="1">SQRT(AD14)</f>
        <v>#NAME?</v>
      </c>
      <c r="AJ8" s="146" t="s">
        <v>12</v>
      </c>
      <c r="AK8" s="146">
        <f>STDEV(F4:F23)</f>
        <v>4.0197243948467793</v>
      </c>
      <c r="AM8" s="146" t="s">
        <v>49</v>
      </c>
      <c r="AN8" s="360">
        <f>MAX(F4:F23)-QUARTILE(F4:F23,3)</f>
        <v>5.9250000000000007</v>
      </c>
    </row>
    <row r="9" spans="1:48" x14ac:dyDescent="0.35">
      <c r="A9" s="150">
        <v>61.5</v>
      </c>
      <c r="B9" s="150">
        <v>56.3</v>
      </c>
      <c r="C9" s="150"/>
      <c r="E9" s="146">
        <f t="shared" si="0"/>
        <v>58.9</v>
      </c>
      <c r="F9" s="146">
        <f t="shared" si="1"/>
        <v>5.2000000000000028</v>
      </c>
      <c r="AA9" s="222" t="s">
        <v>74</v>
      </c>
      <c r="AB9" s="222">
        <f>COUNT(F4:F23)</f>
        <v>20</v>
      </c>
      <c r="AJ9" s="146" t="s">
        <v>13</v>
      </c>
      <c r="AK9" s="146">
        <f>VAR(F4:F23)</f>
        <v>16.158184210526304</v>
      </c>
      <c r="AP9" s="146" t="s">
        <v>66</v>
      </c>
      <c r="AQ9" s="146" t="s">
        <v>67</v>
      </c>
      <c r="AR9" s="146" t="s">
        <v>247</v>
      </c>
      <c r="AS9" s="146" t="s">
        <v>68</v>
      </c>
    </row>
    <row r="10" spans="1:48" x14ac:dyDescent="0.35">
      <c r="A10" s="150">
        <v>62.2</v>
      </c>
      <c r="B10" s="150">
        <v>61.6</v>
      </c>
      <c r="C10" s="150"/>
      <c r="E10" s="146">
        <f t="shared" si="0"/>
        <v>61.900000000000006</v>
      </c>
      <c r="F10" s="146">
        <f t="shared" si="1"/>
        <v>0.60000000000000142</v>
      </c>
      <c r="AJ10" s="146" t="s">
        <v>14</v>
      </c>
      <c r="AK10" s="146">
        <f>KURT(F4:F23)</f>
        <v>-0.11791773413427409</v>
      </c>
      <c r="AM10" s="146" t="s">
        <v>538</v>
      </c>
      <c r="AN10" s="359">
        <f>MIN(F4:F23)</f>
        <v>-5.2000000000000028</v>
      </c>
      <c r="AP10" s="146">
        <v>1</v>
      </c>
      <c r="AQ10" s="146" t="e">
        <f t="array" aca="1" ref="AQ10:AQ29" ca="1">QSORT(F4:F23)</f>
        <v>#NAME?</v>
      </c>
      <c r="AR10" s="146">
        <f t="shared" ref="AR10:AR29" si="2">NORMSINV(AP10/AR$5)</f>
        <v>-1.9599639845400538</v>
      </c>
      <c r="AS10" s="146" t="e">
        <f t="shared" ref="AS10:AS29" ca="1" si="3">STANDARDIZE(AQ10,AQ$6,AQ$7)</f>
        <v>#NAME?</v>
      </c>
    </row>
    <row r="11" spans="1:48" ht="15" thickBot="1" x14ac:dyDescent="0.4">
      <c r="A11" s="150">
        <v>62.8</v>
      </c>
      <c r="B11" s="150">
        <v>59.1</v>
      </c>
      <c r="C11" s="150"/>
      <c r="E11" s="146">
        <f t="shared" si="0"/>
        <v>60.95</v>
      </c>
      <c r="F11" s="146">
        <f t="shared" si="1"/>
        <v>3.6999999999999957</v>
      </c>
      <c r="AA11" s="146" t="s">
        <v>665</v>
      </c>
      <c r="AE11" s="358" t="s">
        <v>35</v>
      </c>
      <c r="AF11" s="358">
        <v>0.05</v>
      </c>
      <c r="AJ11" s="146" t="s">
        <v>15</v>
      </c>
      <c r="AK11" s="146">
        <f>SKEW(F4:F23)</f>
        <v>0.13632286760481688</v>
      </c>
      <c r="AP11" s="146">
        <f t="shared" ref="AP11:AP29" si="4">AP10+2</f>
        <v>3</v>
      </c>
      <c r="AQ11" s="146" t="e">
        <f ca="1"/>
        <v>#NAME?</v>
      </c>
      <c r="AR11" s="146">
        <f t="shared" si="2"/>
        <v>-1.4395314709384572</v>
      </c>
      <c r="AS11" s="146" t="e">
        <f t="shared" ca="1" si="3"/>
        <v>#NAME?</v>
      </c>
    </row>
    <row r="12" spans="1:48" ht="15" customHeight="1" thickTop="1" x14ac:dyDescent="0.35">
      <c r="A12" s="150">
        <v>63.7</v>
      </c>
      <c r="B12" s="150">
        <v>59.1</v>
      </c>
      <c r="C12" s="150"/>
      <c r="E12" s="146">
        <f t="shared" si="0"/>
        <v>61.400000000000006</v>
      </c>
      <c r="F12" s="146">
        <f t="shared" si="1"/>
        <v>4.6000000000000014</v>
      </c>
      <c r="AA12" s="357"/>
      <c r="AB12" s="357" t="s">
        <v>53</v>
      </c>
      <c r="AC12" s="357" t="s">
        <v>257</v>
      </c>
      <c r="AD12" s="357" t="s">
        <v>664</v>
      </c>
      <c r="AE12" s="357" t="s">
        <v>101</v>
      </c>
      <c r="AF12" s="357" t="s">
        <v>59</v>
      </c>
      <c r="AG12" s="357" t="s">
        <v>270</v>
      </c>
      <c r="AJ12" s="146" t="s">
        <v>16</v>
      </c>
      <c r="AK12" s="146">
        <f>AK13-AK14</f>
        <v>15.5</v>
      </c>
      <c r="AP12" s="146">
        <f t="shared" si="4"/>
        <v>5</v>
      </c>
      <c r="AQ12" s="146" t="e">
        <f ca="1"/>
        <v>#NAME?</v>
      </c>
      <c r="AR12" s="146">
        <f t="shared" si="2"/>
        <v>-1.1503493803760083</v>
      </c>
      <c r="AS12" s="146" t="e">
        <f t="shared" ca="1" si="3"/>
        <v>#NAME?</v>
      </c>
    </row>
    <row r="13" spans="1:48" x14ac:dyDescent="0.35">
      <c r="A13" s="150">
        <v>64.5</v>
      </c>
      <c r="B13" s="150">
        <v>64.599999999999994</v>
      </c>
      <c r="C13" s="150"/>
      <c r="E13" s="146">
        <f t="shared" si="0"/>
        <v>64.55</v>
      </c>
      <c r="F13" s="146">
        <f t="shared" si="1"/>
        <v>-9.9999999999994316E-2</v>
      </c>
      <c r="AA13" s="146" t="s">
        <v>762</v>
      </c>
      <c r="AB13" s="146">
        <f>COUNT(E4)</f>
        <v>1</v>
      </c>
      <c r="AC13" s="146" t="e">
        <f ca="1">DEVSQ(MMULT(DESIGN(E4:E23),AB18:AB19))</f>
        <v>#NAME?</v>
      </c>
      <c r="AD13" s="146" t="e">
        <f ca="1">AC13/AB13</f>
        <v>#NAME?</v>
      </c>
      <c r="AE13" s="146" t="e">
        <f ca="1">AD13/AD14</f>
        <v>#NAME?</v>
      </c>
      <c r="AF13" s="146" t="e">
        <f ca="1">FDIST(AE13,AB13,AB14)</f>
        <v>#NAME?</v>
      </c>
      <c r="AG13" s="358" t="e">
        <f ca="1">IF(AF13&lt;AF11,"yes","no")</f>
        <v>#NAME?</v>
      </c>
      <c r="AJ13" s="146" t="s">
        <v>18</v>
      </c>
      <c r="AK13" s="146">
        <f>MAX(F4:F23)</f>
        <v>10.299999999999997</v>
      </c>
      <c r="AP13" s="146">
        <f t="shared" si="4"/>
        <v>7</v>
      </c>
      <c r="AQ13" s="146" t="e">
        <f ca="1"/>
        <v>#NAME?</v>
      </c>
      <c r="AR13" s="146">
        <f t="shared" si="2"/>
        <v>-0.93458929107347943</v>
      </c>
      <c r="AS13" s="146" t="e">
        <f t="shared" ca="1" si="3"/>
        <v>#NAME?</v>
      </c>
    </row>
    <row r="14" spans="1:48" x14ac:dyDescent="0.35">
      <c r="A14" s="150">
        <v>66.2</v>
      </c>
      <c r="B14" s="150">
        <v>63.9</v>
      </c>
      <c r="C14" s="150"/>
      <c r="E14" s="146">
        <f t="shared" si="0"/>
        <v>65.05</v>
      </c>
      <c r="F14" s="146">
        <f t="shared" si="1"/>
        <v>2.3000000000000043</v>
      </c>
      <c r="AA14" s="146" t="s">
        <v>761</v>
      </c>
      <c r="AB14" s="146">
        <f>AB15-AB13</f>
        <v>18</v>
      </c>
      <c r="AC14" s="146" t="e">
        <f ca="1">AC15-AC13</f>
        <v>#NAME?</v>
      </c>
      <c r="AD14" s="146" t="e">
        <f ca="1">AC14/AB14</f>
        <v>#NAME?</v>
      </c>
      <c r="AJ14" s="146" t="s">
        <v>17</v>
      </c>
      <c r="AK14" s="146">
        <f>MIN(F4:F23)</f>
        <v>-5.2000000000000028</v>
      </c>
      <c r="AP14" s="146">
        <f t="shared" si="4"/>
        <v>9</v>
      </c>
      <c r="AQ14" s="146" t="e">
        <f ca="1"/>
        <v>#NAME?</v>
      </c>
      <c r="AR14" s="146">
        <f t="shared" si="2"/>
        <v>-0.75541502636046909</v>
      </c>
      <c r="AS14" s="146" t="e">
        <f t="shared" ca="1" si="3"/>
        <v>#NAME?</v>
      </c>
    </row>
    <row r="15" spans="1:48" x14ac:dyDescent="0.35">
      <c r="A15" s="150">
        <v>67.3</v>
      </c>
      <c r="B15" s="150">
        <v>66.099999999999994</v>
      </c>
      <c r="C15" s="150"/>
      <c r="E15" s="146">
        <f t="shared" si="0"/>
        <v>66.699999999999989</v>
      </c>
      <c r="F15" s="146">
        <f t="shared" si="1"/>
        <v>1.2000000000000028</v>
      </c>
      <c r="AA15" s="222" t="s">
        <v>1</v>
      </c>
      <c r="AB15" s="222">
        <f>AB9-1</f>
        <v>19</v>
      </c>
      <c r="AC15" s="222">
        <f>DEVSQ(F4:F23)</f>
        <v>307.00549999999976</v>
      </c>
      <c r="AD15" s="222"/>
      <c r="AE15" s="222"/>
      <c r="AF15" s="222"/>
      <c r="AG15" s="222"/>
      <c r="AJ15" s="146" t="s">
        <v>19</v>
      </c>
      <c r="AK15" s="146">
        <f>SUM(F4:F23)</f>
        <v>30.300000000000004</v>
      </c>
      <c r="AP15" s="146">
        <f t="shared" si="4"/>
        <v>11</v>
      </c>
      <c r="AQ15" s="146" t="e">
        <f ca="1"/>
        <v>#NAME?</v>
      </c>
      <c r="AR15" s="146">
        <f t="shared" si="2"/>
        <v>-0.59776012604247841</v>
      </c>
      <c r="AS15" s="146" t="e">
        <f t="shared" ca="1" si="3"/>
        <v>#NAME?</v>
      </c>
    </row>
    <row r="16" spans="1:48" ht="15" thickBot="1" x14ac:dyDescent="0.4">
      <c r="A16" s="150">
        <v>68.3</v>
      </c>
      <c r="B16" s="150">
        <v>66.599999999999994</v>
      </c>
      <c r="C16" s="150"/>
      <c r="E16" s="146">
        <f t="shared" si="0"/>
        <v>67.449999999999989</v>
      </c>
      <c r="F16" s="146">
        <f t="shared" si="1"/>
        <v>1.7000000000000028</v>
      </c>
      <c r="AJ16" s="146" t="s">
        <v>20</v>
      </c>
      <c r="AK16" s="146">
        <f>COUNT(F4:F23)</f>
        <v>20</v>
      </c>
      <c r="AP16" s="146">
        <f t="shared" si="4"/>
        <v>13</v>
      </c>
      <c r="AQ16" s="146" t="e">
        <f ca="1"/>
        <v>#NAME?</v>
      </c>
      <c r="AR16" s="146">
        <f t="shared" si="2"/>
        <v>-0.45376219016987951</v>
      </c>
      <c r="AS16" s="146" t="e">
        <f t="shared" ca="1" si="3"/>
        <v>#NAME?</v>
      </c>
    </row>
    <row r="17" spans="1:45" ht="15" thickTop="1" x14ac:dyDescent="0.35">
      <c r="A17" s="150">
        <v>68.400000000000006</v>
      </c>
      <c r="B17" s="150">
        <v>69.2</v>
      </c>
      <c r="C17" s="150"/>
      <c r="E17" s="146">
        <f t="shared" si="0"/>
        <v>68.800000000000011</v>
      </c>
      <c r="F17" s="146">
        <f t="shared" si="1"/>
        <v>-0.79999999999999716</v>
      </c>
      <c r="AA17" s="357"/>
      <c r="AB17" s="357" t="s">
        <v>760</v>
      </c>
      <c r="AC17" s="357" t="s">
        <v>284</v>
      </c>
      <c r="AD17" s="357" t="s">
        <v>54</v>
      </c>
      <c r="AE17" s="357" t="s">
        <v>59</v>
      </c>
      <c r="AF17" s="357" t="s">
        <v>29</v>
      </c>
      <c r="AG17" s="357" t="s">
        <v>30</v>
      </c>
      <c r="AH17" s="357" t="s">
        <v>759</v>
      </c>
      <c r="AJ17" s="146" t="s">
        <v>4</v>
      </c>
      <c r="AK17" s="146" t="e">
        <f>GEOMEAN(F4:F23)</f>
        <v>#NUM!</v>
      </c>
      <c r="AP17" s="146">
        <f t="shared" si="4"/>
        <v>15</v>
      </c>
      <c r="AQ17" s="146" t="e">
        <f ca="1"/>
        <v>#NAME?</v>
      </c>
      <c r="AR17" s="146">
        <f t="shared" si="2"/>
        <v>-0.3186393639643752</v>
      </c>
      <c r="AS17" s="146" t="e">
        <f t="shared" ca="1" si="3"/>
        <v>#NAME?</v>
      </c>
    </row>
    <row r="18" spans="1:45" x14ac:dyDescent="0.35">
      <c r="A18" s="150">
        <v>69.3</v>
      </c>
      <c r="B18" s="150">
        <v>64.7</v>
      </c>
      <c r="C18" s="150"/>
      <c r="E18" s="146">
        <f t="shared" si="0"/>
        <v>67</v>
      </c>
      <c r="F18" s="146">
        <f t="shared" si="1"/>
        <v>4.5999999999999943</v>
      </c>
      <c r="AA18" s="146" t="s">
        <v>758</v>
      </c>
      <c r="AB18" s="146" t="e">
        <f t="array" aca="1" ref="AB18:AC19" ca="1">RegCoeff(E4:E23,F4:F23)</f>
        <v>#NAME?</v>
      </c>
      <c r="AC18" s="146" t="e">
        <f ca="1"/>
        <v>#NAME?</v>
      </c>
      <c r="AD18" s="146" t="e">
        <f ca="1">AB18/AC18</f>
        <v>#NAME?</v>
      </c>
      <c r="AE18" s="146" t="e">
        <f ca="1">TDIST(ABS(AD18),$AB$14,2)</f>
        <v>#NAME?</v>
      </c>
      <c r="AF18" s="146" t="e">
        <f ca="1">AB18-TINV(AF$11,$AB$14)*AC18</f>
        <v>#NAME?</v>
      </c>
      <c r="AG18" s="146" t="e">
        <f ca="1">AB18+TINV(AF$11,$AB$14)*AC18</f>
        <v>#NAME?</v>
      </c>
      <c r="AJ18" s="146" t="s">
        <v>21</v>
      </c>
      <c r="AK18" s="146" t="e">
        <f>HARMEAN(F4:F23)</f>
        <v>#NUM!</v>
      </c>
      <c r="AP18" s="146">
        <f t="shared" si="4"/>
        <v>17</v>
      </c>
      <c r="AQ18" s="146" t="e">
        <f ca="1"/>
        <v>#NAME?</v>
      </c>
      <c r="AR18" s="146">
        <f t="shared" si="2"/>
        <v>-0.18911842627279254</v>
      </c>
      <c r="AS18" s="146" t="e">
        <f t="shared" ca="1" si="3"/>
        <v>#NAME?</v>
      </c>
    </row>
    <row r="19" spans="1:45" x14ac:dyDescent="0.35">
      <c r="A19" s="150">
        <v>69.5</v>
      </c>
      <c r="B19" s="150">
        <v>67</v>
      </c>
      <c r="C19" s="150"/>
      <c r="E19" s="146">
        <f t="shared" si="0"/>
        <v>68.25</v>
      </c>
      <c r="F19" s="146">
        <f t="shared" si="1"/>
        <v>2.5</v>
      </c>
      <c r="AA19" s="222" t="str">
        <f t="array" ref="AA19">TRANSPOSE(E3)</f>
        <v>X</v>
      </c>
      <c r="AB19" s="222" t="e">
        <f ca="1"/>
        <v>#NAME?</v>
      </c>
      <c r="AC19" s="222" t="e">
        <f ca="1"/>
        <v>#NAME?</v>
      </c>
      <c r="AD19" s="222" t="e">
        <f ca="1">AB19/AC19</f>
        <v>#NAME?</v>
      </c>
      <c r="AE19" s="222" t="e">
        <f ca="1">TDIST(ABS(AD19),$AB$14,2)</f>
        <v>#NAME?</v>
      </c>
      <c r="AF19" s="222" t="e">
        <f ca="1">AB19-TINV(AF$11,$AB$14)*AC19</f>
        <v>#NAME?</v>
      </c>
      <c r="AG19" s="222" t="e">
        <f ca="1">AB19+TINV(AF$11,$AB$14)*AC19</f>
        <v>#NAME?</v>
      </c>
      <c r="AH19" s="222" t="e" cm="1">
        <f t="array" aca="1" ref="AH19" ca="1">VIF(E4:E23,1)</f>
        <v>#NAME?</v>
      </c>
      <c r="AJ19" s="146" t="s">
        <v>22</v>
      </c>
      <c r="AK19" s="146">
        <f>AVEDEV(F4:F23)</f>
        <v>3.1149999999999989</v>
      </c>
      <c r="AP19" s="146">
        <f t="shared" si="4"/>
        <v>19</v>
      </c>
      <c r="AQ19" s="146" t="e">
        <f ca="1"/>
        <v>#NAME?</v>
      </c>
      <c r="AR19" s="146">
        <f t="shared" si="2"/>
        <v>-6.2706777943213846E-2</v>
      </c>
      <c r="AS19" s="146" t="e">
        <f t="shared" ca="1" si="3"/>
        <v>#NAME?</v>
      </c>
    </row>
    <row r="20" spans="1:45" x14ac:dyDescent="0.35">
      <c r="A20" s="150">
        <v>72.5</v>
      </c>
      <c r="B20" s="150">
        <v>75.3</v>
      </c>
      <c r="C20" s="150"/>
      <c r="E20" s="146">
        <f t="shared" si="0"/>
        <v>73.900000000000006</v>
      </c>
      <c r="F20" s="146">
        <f t="shared" si="1"/>
        <v>-2.7999999999999972</v>
      </c>
      <c r="AJ20" s="146" t="s">
        <v>23</v>
      </c>
      <c r="AK20" s="146" t="e" cm="1">
        <f t="array" aca="1" ref="AK20" ca="1">MAD(F4:F23)</f>
        <v>#NAME?</v>
      </c>
      <c r="AP20" s="146">
        <f t="shared" si="4"/>
        <v>21</v>
      </c>
      <c r="AQ20" s="146" t="e">
        <f ca="1"/>
        <v>#NAME?</v>
      </c>
      <c r="AR20" s="146">
        <f t="shared" si="2"/>
        <v>6.2706777943213846E-2</v>
      </c>
      <c r="AS20" s="146" t="e">
        <f t="shared" ca="1" si="3"/>
        <v>#NAME?</v>
      </c>
    </row>
    <row r="21" spans="1:45" x14ac:dyDescent="0.35">
      <c r="A21" s="150">
        <v>73</v>
      </c>
      <c r="B21" s="150">
        <v>65.900000000000006</v>
      </c>
      <c r="C21" s="150"/>
      <c r="E21" s="146">
        <f t="shared" si="0"/>
        <v>69.45</v>
      </c>
      <c r="F21" s="146">
        <f t="shared" si="1"/>
        <v>7.0999999999999943</v>
      </c>
      <c r="AJ21" s="222" t="s">
        <v>24</v>
      </c>
      <c r="AK21" s="222" t="e" cm="1">
        <f t="array" aca="1" ref="AK21" ca="1">IQR(F4:F23,FALSE)</f>
        <v>#NAME?</v>
      </c>
      <c r="AP21" s="146">
        <f t="shared" si="4"/>
        <v>23</v>
      </c>
      <c r="AQ21" s="146" t="e">
        <f ca="1"/>
        <v>#NAME?</v>
      </c>
      <c r="AR21" s="146">
        <f t="shared" si="2"/>
        <v>0.18911842627279243</v>
      </c>
      <c r="AS21" s="146" t="e">
        <f t="shared" ca="1" si="3"/>
        <v>#NAME?</v>
      </c>
    </row>
    <row r="22" spans="1:45" x14ac:dyDescent="0.35">
      <c r="A22" s="150">
        <v>75.3</v>
      </c>
      <c r="B22" s="150">
        <v>78.8</v>
      </c>
      <c r="C22" s="150"/>
      <c r="E22" s="146">
        <f t="shared" si="0"/>
        <v>77.05</v>
      </c>
      <c r="F22" s="146">
        <f t="shared" si="1"/>
        <v>-3.5</v>
      </c>
      <c r="AP22" s="146">
        <f t="shared" si="4"/>
        <v>25</v>
      </c>
      <c r="AQ22" s="146" t="e">
        <f ca="1"/>
        <v>#NAME?</v>
      </c>
      <c r="AR22" s="146">
        <f t="shared" si="2"/>
        <v>0.3186393639643752</v>
      </c>
      <c r="AS22" s="146" t="e">
        <f t="shared" ca="1" si="3"/>
        <v>#NAME?</v>
      </c>
    </row>
    <row r="23" spans="1:45" x14ac:dyDescent="0.35">
      <c r="A23" s="356">
        <v>77.2</v>
      </c>
      <c r="B23" s="356">
        <v>75.7</v>
      </c>
      <c r="C23" s="151"/>
      <c r="E23" s="222">
        <f t="shared" si="0"/>
        <v>76.45</v>
      </c>
      <c r="F23" s="222">
        <f t="shared" si="1"/>
        <v>1.5</v>
      </c>
      <c r="AP23" s="146">
        <f t="shared" si="4"/>
        <v>27</v>
      </c>
      <c r="AQ23" s="146" t="e">
        <f ca="1"/>
        <v>#NAME?</v>
      </c>
      <c r="AR23" s="146">
        <f t="shared" si="2"/>
        <v>0.45376219016987968</v>
      </c>
      <c r="AS23" s="146" t="e">
        <f t="shared" ca="1" si="3"/>
        <v>#NAME?</v>
      </c>
    </row>
    <row r="24" spans="1:45" x14ac:dyDescent="0.35">
      <c r="AP24" s="146">
        <f t="shared" si="4"/>
        <v>29</v>
      </c>
      <c r="AQ24" s="146" t="e">
        <f ca="1"/>
        <v>#NAME?</v>
      </c>
      <c r="AR24" s="146">
        <f t="shared" si="2"/>
        <v>0.59776012604247841</v>
      </c>
      <c r="AS24" s="146" t="e">
        <f t="shared" ca="1" si="3"/>
        <v>#NAME?</v>
      </c>
    </row>
    <row r="25" spans="1:45" x14ac:dyDescent="0.35">
      <c r="AP25" s="146">
        <f t="shared" si="4"/>
        <v>31</v>
      </c>
      <c r="AQ25" s="146" t="e">
        <f ca="1"/>
        <v>#NAME?</v>
      </c>
      <c r="AR25" s="146">
        <f t="shared" si="2"/>
        <v>0.75541502636046909</v>
      </c>
      <c r="AS25" s="146" t="e">
        <f t="shared" ca="1" si="3"/>
        <v>#NAME?</v>
      </c>
    </row>
    <row r="26" spans="1:45" x14ac:dyDescent="0.35">
      <c r="AP26" s="146">
        <f t="shared" si="4"/>
        <v>33</v>
      </c>
      <c r="AQ26" s="146" t="e">
        <f ca="1"/>
        <v>#NAME?</v>
      </c>
      <c r="AR26" s="146">
        <f t="shared" si="2"/>
        <v>0.9345892910734801</v>
      </c>
      <c r="AS26" s="146" t="e">
        <f t="shared" ca="1" si="3"/>
        <v>#NAME?</v>
      </c>
    </row>
    <row r="27" spans="1:45" x14ac:dyDescent="0.35">
      <c r="AP27" s="146">
        <f t="shared" si="4"/>
        <v>35</v>
      </c>
      <c r="AQ27" s="146" t="e">
        <f ca="1"/>
        <v>#NAME?</v>
      </c>
      <c r="AR27" s="146">
        <f t="shared" si="2"/>
        <v>1.1503493803760083</v>
      </c>
      <c r="AS27" s="146" t="e">
        <f t="shared" ca="1" si="3"/>
        <v>#NAME?</v>
      </c>
    </row>
    <row r="28" spans="1:45" x14ac:dyDescent="0.35">
      <c r="AP28" s="146">
        <f t="shared" si="4"/>
        <v>37</v>
      </c>
      <c r="AQ28" s="146" t="e">
        <f ca="1"/>
        <v>#NAME?</v>
      </c>
      <c r="AR28" s="146">
        <f t="shared" si="2"/>
        <v>1.4395314709384563</v>
      </c>
      <c r="AS28" s="146" t="e">
        <f t="shared" ca="1" si="3"/>
        <v>#NAME?</v>
      </c>
    </row>
    <row r="29" spans="1:45" x14ac:dyDescent="0.35">
      <c r="AP29" s="146">
        <f t="shared" si="4"/>
        <v>39</v>
      </c>
      <c r="AQ29" s="146" t="e">
        <f ca="1"/>
        <v>#NAME?</v>
      </c>
      <c r="AR29" s="146">
        <f t="shared" si="2"/>
        <v>1.9599639845400536</v>
      </c>
      <c r="AS29" s="146" t="e">
        <f t="shared" ca="1" si="3"/>
        <v>#NAME?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6"/>
  <dimension ref="A1:H23"/>
  <sheetViews>
    <sheetView workbookViewId="0"/>
  </sheetViews>
  <sheetFormatPr defaultRowHeight="14.5" x14ac:dyDescent="0.35"/>
  <cols>
    <col min="1" max="2" width="5.81640625" style="146" customWidth="1"/>
    <col min="3" max="3" width="4.26953125" customWidth="1"/>
    <col min="4" max="4" width="11.1796875" customWidth="1"/>
  </cols>
  <sheetData>
    <row r="1" spans="1:8" x14ac:dyDescent="0.35">
      <c r="A1" s="375" t="s">
        <v>615</v>
      </c>
    </row>
    <row r="3" spans="1:8" x14ac:dyDescent="0.35">
      <c r="A3" s="373" t="s">
        <v>70</v>
      </c>
      <c r="B3" s="373" t="s">
        <v>69</v>
      </c>
      <c r="D3" t="s">
        <v>615</v>
      </c>
    </row>
    <row r="4" spans="1:8" x14ac:dyDescent="0.35">
      <c r="A4" s="150">
        <v>38.799999999999997</v>
      </c>
      <c r="B4" s="150">
        <v>28.5</v>
      </c>
    </row>
    <row r="5" spans="1:8" x14ac:dyDescent="0.35">
      <c r="A5" s="150">
        <v>43.7</v>
      </c>
      <c r="B5" s="150">
        <v>48.7</v>
      </c>
      <c r="E5" s="85" t="s">
        <v>43</v>
      </c>
      <c r="F5" s="85" t="s">
        <v>265</v>
      </c>
      <c r="G5" s="85" t="s">
        <v>29</v>
      </c>
      <c r="H5" s="85" t="s">
        <v>30</v>
      </c>
    </row>
    <row r="6" spans="1:8" x14ac:dyDescent="0.35">
      <c r="A6" s="150">
        <v>45.8</v>
      </c>
      <c r="B6" s="150">
        <v>41.5</v>
      </c>
      <c r="D6" t="s">
        <v>848</v>
      </c>
      <c r="E6" s="353">
        <f t="array" ref="E6">AVERAGE(A4:A23-B4:B23)</f>
        <v>1.5150000000000001</v>
      </c>
      <c r="F6" s="352">
        <f>E10/SQRT(E11)</f>
        <v>0.89883769976916039</v>
      </c>
      <c r="G6" s="352">
        <f>E6-F6*TINV(E$12,E$11-1)</f>
        <v>-0.36628892662588686</v>
      </c>
      <c r="H6" s="351">
        <f>E6+F6*TINV(E$12,E$11-1)</f>
        <v>3.3962889266258873</v>
      </c>
    </row>
    <row r="7" spans="1:8" x14ac:dyDescent="0.35">
      <c r="A7" s="150">
        <v>50.3</v>
      </c>
      <c r="B7" s="150">
        <v>55.5</v>
      </c>
      <c r="D7" t="s">
        <v>849</v>
      </c>
      <c r="E7" s="99">
        <f>E6-E10*NORMSINV(1-E12/2)</f>
        <v>-6.3635150416767488</v>
      </c>
      <c r="F7" s="4">
        <f>SQRT(1/E11+NORMSINV(1-E12/2)^2/(2*(E11-1)))*E10</f>
        <v>1.5624840989668947</v>
      </c>
      <c r="G7" s="4">
        <f t="shared" ref="G7:G8" si="0">E7-F7*TINV(E$12,E$11-1)</f>
        <v>-9.6338318454449521</v>
      </c>
      <c r="H7" s="32">
        <f t="shared" ref="H7:H8" si="1">E7+F7*TINV(E$12,E$11-1)</f>
        <v>-3.0931982379085445</v>
      </c>
    </row>
    <row r="8" spans="1:8" x14ac:dyDescent="0.35">
      <c r="A8" s="150">
        <v>56.5</v>
      </c>
      <c r="B8" s="150">
        <v>58.4</v>
      </c>
      <c r="D8" t="s">
        <v>850</v>
      </c>
      <c r="E8" s="156">
        <f>E6+E10*NORMSINV(1-E12/2)</f>
        <v>9.3935150416767499</v>
      </c>
      <c r="F8" s="157">
        <f>F7</f>
        <v>1.5624840989668947</v>
      </c>
      <c r="G8" s="157">
        <f t="shared" si="0"/>
        <v>6.1231982379085457</v>
      </c>
      <c r="H8" s="158">
        <f t="shared" si="1"/>
        <v>12.663831845444953</v>
      </c>
    </row>
    <row r="9" spans="1:8" x14ac:dyDescent="0.35">
      <c r="A9" s="150">
        <v>61.5</v>
      </c>
      <c r="B9" s="150">
        <v>56.3</v>
      </c>
    </row>
    <row r="10" spans="1:8" x14ac:dyDescent="0.35">
      <c r="A10" s="150">
        <v>62.2</v>
      </c>
      <c r="B10" s="150">
        <v>61.6</v>
      </c>
      <c r="D10" t="s">
        <v>851</v>
      </c>
      <c r="E10" s="348">
        <f t="array" ref="E10">STDEV(A4:A23-B4:B23)</f>
        <v>4.0197243948467793</v>
      </c>
    </row>
    <row r="11" spans="1:8" x14ac:dyDescent="0.35">
      <c r="A11" s="150">
        <v>62.8</v>
      </c>
      <c r="B11" s="150">
        <v>59.1</v>
      </c>
      <c r="D11" t="s">
        <v>276</v>
      </c>
      <c r="E11" s="147">
        <f>COUNT(A4:A23)</f>
        <v>20</v>
      </c>
    </row>
    <row r="12" spans="1:8" x14ac:dyDescent="0.35">
      <c r="A12" s="150">
        <v>63.7</v>
      </c>
      <c r="B12" s="150">
        <v>59.1</v>
      </c>
      <c r="D12" t="s">
        <v>88</v>
      </c>
      <c r="E12" s="155">
        <v>0.05</v>
      </c>
    </row>
    <row r="13" spans="1:8" x14ac:dyDescent="0.35">
      <c r="A13" s="150">
        <v>64.5</v>
      </c>
      <c r="B13" s="150">
        <v>64.599999999999994</v>
      </c>
    </row>
    <row r="14" spans="1:8" x14ac:dyDescent="0.35">
      <c r="A14" s="150">
        <v>66.2</v>
      </c>
      <c r="B14" s="150">
        <v>63.9</v>
      </c>
    </row>
    <row r="15" spans="1:8" x14ac:dyDescent="0.35">
      <c r="A15" s="150">
        <v>67.3</v>
      </c>
      <c r="B15" s="150">
        <v>66.099999999999994</v>
      </c>
    </row>
    <row r="16" spans="1:8" x14ac:dyDescent="0.35">
      <c r="A16" s="150">
        <v>68.3</v>
      </c>
      <c r="B16" s="150">
        <v>66.599999999999994</v>
      </c>
    </row>
    <row r="17" spans="1:2" x14ac:dyDescent="0.35">
      <c r="A17" s="150">
        <v>68.400000000000006</v>
      </c>
      <c r="B17" s="150">
        <v>69.2</v>
      </c>
    </row>
    <row r="18" spans="1:2" x14ac:dyDescent="0.35">
      <c r="A18" s="150">
        <v>69.3</v>
      </c>
      <c r="B18" s="150">
        <v>64.7</v>
      </c>
    </row>
    <row r="19" spans="1:2" x14ac:dyDescent="0.35">
      <c r="A19" s="150">
        <v>69.5</v>
      </c>
      <c r="B19" s="150">
        <v>67</v>
      </c>
    </row>
    <row r="20" spans="1:2" x14ac:dyDescent="0.35">
      <c r="A20" s="150">
        <v>72.5</v>
      </c>
      <c r="B20" s="150">
        <v>75.3</v>
      </c>
    </row>
    <row r="21" spans="1:2" x14ac:dyDescent="0.35">
      <c r="A21" s="150">
        <v>73</v>
      </c>
      <c r="B21" s="150">
        <v>65.900000000000006</v>
      </c>
    </row>
    <row r="22" spans="1:2" x14ac:dyDescent="0.35">
      <c r="A22" s="150">
        <v>75.3</v>
      </c>
      <c r="B22" s="150">
        <v>78.8</v>
      </c>
    </row>
    <row r="23" spans="1:2" x14ac:dyDescent="0.35">
      <c r="A23" s="356">
        <v>77.2</v>
      </c>
      <c r="B23" s="356">
        <v>75.7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39"/>
  <dimension ref="A1:H25"/>
  <sheetViews>
    <sheetView workbookViewId="0">
      <selection activeCell="J22" sqref="J22"/>
    </sheetView>
  </sheetViews>
  <sheetFormatPr defaultRowHeight="14.5" x14ac:dyDescent="0.35"/>
  <cols>
    <col min="1" max="2" width="7.1796875" customWidth="1"/>
    <col min="3" max="3" width="5" customWidth="1"/>
    <col min="5" max="5" width="9.1796875" customWidth="1"/>
    <col min="7" max="7" width="2.1796875" customWidth="1"/>
    <col min="8" max="8" width="34.81640625" customWidth="1"/>
  </cols>
  <sheetData>
    <row r="1" spans="1:8" x14ac:dyDescent="0.35">
      <c r="A1" s="1" t="s">
        <v>918</v>
      </c>
    </row>
    <row r="3" spans="1:8" x14ac:dyDescent="0.35">
      <c r="A3" s="460" t="s">
        <v>3</v>
      </c>
      <c r="B3" s="460" t="s">
        <v>107</v>
      </c>
      <c r="E3" s="433" t="s">
        <v>3</v>
      </c>
      <c r="F3" s="433" t="s">
        <v>107</v>
      </c>
    </row>
    <row r="4" spans="1:8" x14ac:dyDescent="0.35">
      <c r="A4" s="433">
        <v>347</v>
      </c>
      <c r="B4" s="433">
        <v>371</v>
      </c>
      <c r="D4" t="s">
        <v>5</v>
      </c>
      <c r="E4" s="423">
        <f>AVERAGE(A4:A21)</f>
        <v>302.33333333333331</v>
      </c>
      <c r="F4" s="425">
        <f>AVERAGE(B4:B21)</f>
        <v>298.66666666666669</v>
      </c>
      <c r="H4" t="e" cm="1">
        <f t="array" aca="1" ref="H4" ca="1">FTEXT(E4)</f>
        <v>#NAME?</v>
      </c>
    </row>
    <row r="5" spans="1:8" x14ac:dyDescent="0.35">
      <c r="A5" s="433">
        <v>249</v>
      </c>
      <c r="B5" s="433">
        <v>283</v>
      </c>
      <c r="D5" t="s">
        <v>920</v>
      </c>
      <c r="E5" s="89">
        <f>VARP(A4:A21)</f>
        <v>10075.555555555555</v>
      </c>
      <c r="F5" s="93">
        <f>VARP(B4:B21)</f>
        <v>12303.888888888889</v>
      </c>
      <c r="H5" s="7" t="s">
        <v>921</v>
      </c>
    </row>
    <row r="6" spans="1:8" x14ac:dyDescent="0.35">
      <c r="A6" s="433">
        <v>369</v>
      </c>
      <c r="B6" s="433">
        <v>373</v>
      </c>
      <c r="H6" t="e" cm="1">
        <f t="array" aca="1" ref="H6" ca="1">FTEXT(E6)</f>
        <v>#NAME?</v>
      </c>
    </row>
    <row r="7" spans="1:8" x14ac:dyDescent="0.35">
      <c r="A7" s="433">
        <v>286</v>
      </c>
      <c r="B7" s="433">
        <v>341</v>
      </c>
      <c r="D7" t="s">
        <v>95</v>
      </c>
      <c r="E7" s="426">
        <f>CORREL(A4:A21,B4:B21)</f>
        <v>0.94114650032460767</v>
      </c>
      <c r="H7" t="e" cm="1">
        <f t="array" aca="1" ref="H7" ca="1">FTEXT(E7)</f>
        <v>#NAME?</v>
      </c>
    </row>
    <row r="8" spans="1:8" x14ac:dyDescent="0.35">
      <c r="A8" s="433">
        <v>329</v>
      </c>
      <c r="B8" s="433">
        <v>353</v>
      </c>
      <c r="D8" t="s">
        <v>922</v>
      </c>
      <c r="E8" s="100">
        <f>2*E7*SQRT(E5*F5)/((E4-F4)^2+E5+F5)</f>
        <v>0.93590723245474805</v>
      </c>
      <c r="H8" t="e" cm="1">
        <f t="array" aca="1" ref="H8" ca="1">FTEXT(E8)</f>
        <v>#NAME?</v>
      </c>
    </row>
    <row r="9" spans="1:8" x14ac:dyDescent="0.35">
      <c r="A9" s="433">
        <v>410</v>
      </c>
      <c r="B9" s="433">
        <v>454</v>
      </c>
      <c r="D9" t="s">
        <v>923</v>
      </c>
      <c r="E9" s="100">
        <f>(E4-F4)^2/SQRT(E5*F5)</f>
        <v>1.2075000560842239E-3</v>
      </c>
      <c r="H9" t="e" cm="1">
        <f t="array" aca="1" ref="H9" ca="1">FTEXT(E9)</f>
        <v>#NAME?</v>
      </c>
    </row>
    <row r="10" spans="1:8" x14ac:dyDescent="0.35">
      <c r="A10" s="433">
        <v>267</v>
      </c>
      <c r="B10" s="433">
        <v>214</v>
      </c>
      <c r="D10" t="s">
        <v>31</v>
      </c>
      <c r="E10" s="100">
        <f>COUNT(A4:A21)</f>
        <v>18</v>
      </c>
      <c r="H10" t="e" cm="1">
        <f t="array" aca="1" ref="H10" ca="1">FTEXT(E10)</f>
        <v>#NAME?</v>
      </c>
    </row>
    <row r="11" spans="1:8" x14ac:dyDescent="0.35">
      <c r="A11" s="433">
        <v>295</v>
      </c>
      <c r="B11" s="433">
        <v>230</v>
      </c>
      <c r="D11" t="s">
        <v>924</v>
      </c>
      <c r="E11" s="100">
        <f>FISHER(E8)</f>
        <v>1.7039999114072655</v>
      </c>
      <c r="H11" t="e" cm="1">
        <f t="array" aca="1" ref="H11" ca="1">FTEXT(E11)</f>
        <v>#NAME?</v>
      </c>
    </row>
    <row r="12" spans="1:8" x14ac:dyDescent="0.35">
      <c r="A12" s="433">
        <v>500</v>
      </c>
      <c r="B12" s="433">
        <v>510</v>
      </c>
      <c r="D12" t="s">
        <v>39</v>
      </c>
      <c r="E12" s="100">
        <f>(1-E7^2)*E8^2/((1-E8^2)*E7^2)</f>
        <v>0.91051725921261317</v>
      </c>
      <c r="H12" t="e" cm="1">
        <f t="array" aca="1" ref="H12" ca="1">FTEXT(E12)</f>
        <v>#NAME?</v>
      </c>
    </row>
    <row r="13" spans="1:8" x14ac:dyDescent="0.35">
      <c r="A13" s="433">
        <v>286</v>
      </c>
      <c r="B13" s="433">
        <v>295</v>
      </c>
      <c r="D13" t="s">
        <v>40</v>
      </c>
      <c r="E13" s="100">
        <f>2*(1-E8)*E8^3*E9/((1-E8^2)^2*E7)</f>
        <v>8.7575015774216895E-3</v>
      </c>
      <c r="H13" t="e" cm="1">
        <f t="array" aca="1" ref="H13" ca="1">FTEXT(E13)</f>
        <v>#NAME?</v>
      </c>
    </row>
    <row r="14" spans="1:8" x14ac:dyDescent="0.35">
      <c r="A14" s="433">
        <v>271</v>
      </c>
      <c r="B14" s="433">
        <v>286</v>
      </c>
      <c r="D14" t="s">
        <v>41</v>
      </c>
      <c r="E14" s="100">
        <f>E8^4*E9^2/(2*(1-E8^2)^2*E7^2)</f>
        <v>4.1017948860726614E-5</v>
      </c>
      <c r="H14" t="e" cm="1">
        <f t="array" aca="1" ref="H14" ca="1">FTEXT(E14)</f>
        <v>#NAME?</v>
      </c>
    </row>
    <row r="15" spans="1:8" x14ac:dyDescent="0.35">
      <c r="A15" s="433">
        <v>506</v>
      </c>
      <c r="B15" s="433">
        <v>453</v>
      </c>
      <c r="D15" t="s">
        <v>573</v>
      </c>
      <c r="E15" s="100">
        <f>SQRT((E12+E13-E14)/(E10-2))</f>
        <v>0.23969169557490594</v>
      </c>
      <c r="H15" t="e" cm="1">
        <f t="array" aca="1" ref="H15" ca="1">FTEXT(E15)</f>
        <v>#NAME?</v>
      </c>
    </row>
    <row r="16" spans="1:8" x14ac:dyDescent="0.35">
      <c r="A16" s="433">
        <v>117</v>
      </c>
      <c r="B16" s="433">
        <v>114</v>
      </c>
      <c r="D16" s="17" t="s">
        <v>44</v>
      </c>
      <c r="E16" s="100">
        <v>0.05</v>
      </c>
    </row>
    <row r="17" spans="1:8" x14ac:dyDescent="0.35">
      <c r="A17" s="433">
        <v>329</v>
      </c>
      <c r="B17" s="433">
        <v>328</v>
      </c>
      <c r="D17" s="17" t="s">
        <v>185</v>
      </c>
      <c r="E17" s="100">
        <f>NORMSINV(1-E16/2)</f>
        <v>1.9599639845400536</v>
      </c>
      <c r="H17" s="7" t="s">
        <v>925</v>
      </c>
    </row>
    <row r="18" spans="1:8" x14ac:dyDescent="0.35">
      <c r="A18" s="433">
        <v>132</v>
      </c>
      <c r="B18" s="433">
        <v>109</v>
      </c>
      <c r="D18" s="17" t="s">
        <v>896</v>
      </c>
      <c r="E18" s="100">
        <f>E11-E17*E15</f>
        <v>1.2342128206871112</v>
      </c>
      <c r="H18" t="e" cm="1">
        <f t="array" aca="1" ref="H18" ca="1">FTEXT(E18)</f>
        <v>#NAME?</v>
      </c>
    </row>
    <row r="19" spans="1:8" x14ac:dyDescent="0.35">
      <c r="A19" s="433">
        <v>274</v>
      </c>
      <c r="B19" s="433">
        <v>203</v>
      </c>
      <c r="D19" s="17" t="s">
        <v>898</v>
      </c>
      <c r="E19" s="100">
        <f>E11+E17*E15</f>
        <v>2.1737870021274195</v>
      </c>
      <c r="H19" t="e" cm="1">
        <f t="array" aca="1" ref="H19" ca="1">FTEXT(E19)</f>
        <v>#NAME?</v>
      </c>
    </row>
    <row r="20" spans="1:8" x14ac:dyDescent="0.35">
      <c r="A20" s="433">
        <v>277</v>
      </c>
      <c r="B20" s="433">
        <v>305</v>
      </c>
      <c r="D20" s="17" t="s">
        <v>29</v>
      </c>
      <c r="E20" s="100">
        <f>FISHERINV(E18)</f>
        <v>0.84379696737643384</v>
      </c>
      <c r="H20" t="e" cm="1">
        <f t="array" aca="1" ref="H20" ca="1">FTEXT(E20)</f>
        <v>#NAME?</v>
      </c>
    </row>
    <row r="21" spans="1:8" x14ac:dyDescent="0.35">
      <c r="A21" s="434">
        <v>198</v>
      </c>
      <c r="B21" s="434">
        <v>154</v>
      </c>
      <c r="D21" s="17" t="s">
        <v>30</v>
      </c>
      <c r="E21" s="94">
        <f>FISHERINV(E19)</f>
        <v>0.97445419089874596</v>
      </c>
      <c r="H21" t="e" cm="1">
        <f t="array" aca="1" ref="H21" ca="1">FTEXT(E21)</f>
        <v>#NAME?</v>
      </c>
    </row>
    <row r="23" spans="1:8" x14ac:dyDescent="0.35">
      <c r="A23" s="74">
        <v>0</v>
      </c>
      <c r="B23" s="74">
        <v>0</v>
      </c>
      <c r="D23" t="e">
        <f t="array" aca="1" ref="D23:E25" ca="1">LINCCC(A4:A21,B4:B21,TRUE)</f>
        <v>#NAME?</v>
      </c>
      <c r="E23" s="426" t="e">
        <f ca="1"/>
        <v>#NAME?</v>
      </c>
      <c r="H23" t="e" cm="1">
        <f t="array" aca="1" ref="H23" ca="1">FTEXT(D23)</f>
        <v>#NAME?</v>
      </c>
    </row>
    <row r="24" spans="1:8" x14ac:dyDescent="0.35">
      <c r="A24" s="74">
        <v>600</v>
      </c>
      <c r="B24" s="74">
        <v>600</v>
      </c>
      <c r="D24" t="e">
        <f ca="1"/>
        <v>#NAME?</v>
      </c>
      <c r="E24" s="100" t="e">
        <f ca="1"/>
        <v>#NAME?</v>
      </c>
    </row>
    <row r="25" spans="1:8" x14ac:dyDescent="0.35">
      <c r="D25" t="e">
        <f ca="1"/>
        <v>#NAME?</v>
      </c>
      <c r="E25" s="94" t="e">
        <f ca="1"/>
        <v>#NAME?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30"/>
  <dimension ref="A1:AK30"/>
  <sheetViews>
    <sheetView workbookViewId="0"/>
  </sheetViews>
  <sheetFormatPr defaultRowHeight="14.5" x14ac:dyDescent="0.35"/>
  <cols>
    <col min="1" max="1" width="6.7265625" customWidth="1"/>
    <col min="6" max="6" width="5.26953125" customWidth="1"/>
    <col min="9" max="9" width="4.453125" customWidth="1"/>
    <col min="10" max="10" width="4.7265625" customWidth="1"/>
    <col min="13" max="13" width="4" customWidth="1"/>
    <col min="14" max="14" width="4.7265625" customWidth="1"/>
    <col min="24" max="24" width="6" customWidth="1"/>
    <col min="32" max="32" width="14" customWidth="1"/>
  </cols>
  <sheetData>
    <row r="1" spans="1:37" x14ac:dyDescent="0.35">
      <c r="A1" s="1" t="s">
        <v>582</v>
      </c>
      <c r="G1" s="298"/>
      <c r="Y1" t="s">
        <v>785</v>
      </c>
      <c r="AF1" t="s">
        <v>784</v>
      </c>
    </row>
    <row r="2" spans="1:37" x14ac:dyDescent="0.35">
      <c r="G2" s="563" t="s">
        <v>50</v>
      </c>
      <c r="H2" s="563"/>
      <c r="K2" s="563" t="s">
        <v>640</v>
      </c>
      <c r="L2" s="563"/>
      <c r="O2" s="563" t="s">
        <v>282</v>
      </c>
      <c r="P2" s="563"/>
    </row>
    <row r="3" spans="1:37" x14ac:dyDescent="0.35">
      <c r="B3" s="298" t="s">
        <v>50</v>
      </c>
      <c r="C3" s="298" t="s">
        <v>1</v>
      </c>
      <c r="G3" s="298" t="s">
        <v>780</v>
      </c>
      <c r="H3" s="298" t="s">
        <v>779</v>
      </c>
      <c r="K3" s="298" t="s">
        <v>780</v>
      </c>
      <c r="L3" s="298" t="s">
        <v>779</v>
      </c>
      <c r="O3" s="298" t="s">
        <v>780</v>
      </c>
      <c r="P3" s="298" t="s">
        <v>779</v>
      </c>
      <c r="T3" s="298" t="s">
        <v>50</v>
      </c>
      <c r="U3" s="298" t="s">
        <v>1</v>
      </c>
      <c r="Y3" s="298" t="s">
        <v>50</v>
      </c>
      <c r="Z3" s="298" t="s">
        <v>640</v>
      </c>
      <c r="AA3" s="298" t="s">
        <v>282</v>
      </c>
      <c r="AB3" s="298" t="s">
        <v>639</v>
      </c>
      <c r="AC3" s="298" t="s">
        <v>638</v>
      </c>
      <c r="AD3" s="298" t="s">
        <v>1</v>
      </c>
      <c r="AF3" t="s">
        <v>582</v>
      </c>
    </row>
    <row r="4" spans="1:37" x14ac:dyDescent="0.35">
      <c r="A4">
        <v>1</v>
      </c>
      <c r="B4" s="333">
        <v>1</v>
      </c>
      <c r="C4" s="335">
        <v>20</v>
      </c>
      <c r="F4" t="s">
        <v>218</v>
      </c>
      <c r="G4" s="381">
        <v>5</v>
      </c>
      <c r="H4" s="380">
        <v>5</v>
      </c>
      <c r="J4" t="s">
        <v>218</v>
      </c>
      <c r="K4" s="383">
        <v>2</v>
      </c>
      <c r="L4" s="382">
        <v>4</v>
      </c>
      <c r="N4" t="s">
        <v>218</v>
      </c>
      <c r="O4" s="383">
        <v>4</v>
      </c>
      <c r="P4" s="382">
        <v>2</v>
      </c>
      <c r="S4">
        <v>1</v>
      </c>
      <c r="T4" s="333">
        <v>1</v>
      </c>
      <c r="U4" s="335">
        <v>20</v>
      </c>
      <c r="X4">
        <v>1</v>
      </c>
      <c r="Y4" s="333">
        <v>1</v>
      </c>
      <c r="Z4" s="385">
        <v>2</v>
      </c>
      <c r="AA4" s="385">
        <v>2</v>
      </c>
      <c r="AB4" s="385">
        <v>3</v>
      </c>
      <c r="AC4" s="384">
        <v>2</v>
      </c>
      <c r="AD4" s="335">
        <f t="shared" ref="AD4:AD22" si="0">SUM(Y4:AC4)</f>
        <v>10</v>
      </c>
    </row>
    <row r="5" spans="1:37" x14ac:dyDescent="0.35">
      <c r="A5">
        <f t="shared" ref="A5:A21" si="1">A4+1</f>
        <v>2</v>
      </c>
      <c r="B5" s="101">
        <v>0</v>
      </c>
      <c r="C5" s="100">
        <v>19</v>
      </c>
      <c r="F5" t="s">
        <v>98</v>
      </c>
      <c r="G5" s="101">
        <v>4</v>
      </c>
      <c r="H5" s="5">
        <v>5</v>
      </c>
      <c r="J5" t="s">
        <v>98</v>
      </c>
      <c r="K5" s="160">
        <v>12</v>
      </c>
      <c r="L5" s="378">
        <v>11</v>
      </c>
      <c r="N5" t="s">
        <v>98</v>
      </c>
      <c r="O5" s="160">
        <v>10</v>
      </c>
      <c r="P5" s="378">
        <v>14</v>
      </c>
      <c r="S5">
        <f t="shared" ref="S5:S21" si="2">S4+1</f>
        <v>2</v>
      </c>
      <c r="T5" s="101">
        <v>0</v>
      </c>
      <c r="U5" s="100">
        <v>19</v>
      </c>
      <c r="X5">
        <f t="shared" ref="X5:X21" si="3">X4+1</f>
        <v>2</v>
      </c>
      <c r="Y5" s="101">
        <v>0</v>
      </c>
      <c r="Z5" s="4">
        <v>2</v>
      </c>
      <c r="AA5" s="4">
        <v>2</v>
      </c>
      <c r="AB5" s="4">
        <v>3</v>
      </c>
      <c r="AC5" s="5">
        <v>2</v>
      </c>
      <c r="AD5" s="100">
        <f t="shared" si="0"/>
        <v>9</v>
      </c>
      <c r="AF5" t="s">
        <v>783</v>
      </c>
      <c r="AG5">
        <v>0.27</v>
      </c>
    </row>
    <row r="6" spans="1:37" x14ac:dyDescent="0.35">
      <c r="A6">
        <f t="shared" si="1"/>
        <v>3</v>
      </c>
      <c r="B6" s="101">
        <v>1</v>
      </c>
      <c r="C6" s="100">
        <v>18</v>
      </c>
      <c r="F6" t="s">
        <v>99</v>
      </c>
      <c r="G6" s="101">
        <v>6</v>
      </c>
      <c r="H6" s="5">
        <v>4</v>
      </c>
      <c r="J6" t="s">
        <v>99</v>
      </c>
      <c r="K6" s="101">
        <v>3</v>
      </c>
      <c r="L6" s="5">
        <v>1</v>
      </c>
      <c r="N6" t="s">
        <v>99</v>
      </c>
      <c r="O6" s="101">
        <v>3</v>
      </c>
      <c r="P6" s="5">
        <v>1</v>
      </c>
      <c r="S6">
        <f t="shared" si="2"/>
        <v>3</v>
      </c>
      <c r="T6" s="101">
        <v>1</v>
      </c>
      <c r="U6" s="100">
        <v>18</v>
      </c>
      <c r="X6">
        <f t="shared" si="3"/>
        <v>3</v>
      </c>
      <c r="Y6" s="101">
        <v>1</v>
      </c>
      <c r="Z6" s="4">
        <v>1</v>
      </c>
      <c r="AA6" s="4">
        <v>2</v>
      </c>
      <c r="AB6" s="4">
        <v>2</v>
      </c>
      <c r="AC6" s="5">
        <v>2</v>
      </c>
      <c r="AD6" s="100">
        <f t="shared" si="0"/>
        <v>8</v>
      </c>
    </row>
    <row r="7" spans="1:37" x14ac:dyDescent="0.35">
      <c r="A7">
        <f t="shared" si="1"/>
        <v>4</v>
      </c>
      <c r="B7" s="101">
        <v>1</v>
      </c>
      <c r="C7" s="100">
        <v>17</v>
      </c>
      <c r="F7" t="s">
        <v>100</v>
      </c>
      <c r="G7" s="101">
        <v>5</v>
      </c>
      <c r="H7" s="5">
        <v>6</v>
      </c>
      <c r="J7" t="s">
        <v>100</v>
      </c>
      <c r="K7" s="101">
        <v>3</v>
      </c>
      <c r="L7" s="5">
        <v>4</v>
      </c>
      <c r="N7" t="s">
        <v>100</v>
      </c>
      <c r="O7" s="101">
        <v>3</v>
      </c>
      <c r="P7" s="5">
        <v>3</v>
      </c>
      <c r="S7">
        <f t="shared" si="2"/>
        <v>4</v>
      </c>
      <c r="T7" s="101">
        <v>1</v>
      </c>
      <c r="U7" s="100">
        <v>17</v>
      </c>
      <c r="X7">
        <f t="shared" si="3"/>
        <v>4</v>
      </c>
      <c r="Y7" s="101">
        <v>0</v>
      </c>
      <c r="Z7" s="4">
        <v>2</v>
      </c>
      <c r="AA7" s="4">
        <v>1</v>
      </c>
      <c r="AB7" s="4">
        <v>3</v>
      </c>
      <c r="AC7" s="5">
        <v>2</v>
      </c>
      <c r="AD7" s="100">
        <f t="shared" si="0"/>
        <v>8</v>
      </c>
      <c r="AG7" s="298" t="str">
        <f>Y3</f>
        <v>Q1</v>
      </c>
      <c r="AH7" s="298" t="str">
        <f>Z3</f>
        <v>Q2</v>
      </c>
      <c r="AI7" s="298" t="str">
        <f>AA3</f>
        <v>Q3</v>
      </c>
      <c r="AJ7" s="298" t="str">
        <f>AB3</f>
        <v>Q4</v>
      </c>
      <c r="AK7" s="298" t="str">
        <f>AC3</f>
        <v>Q5</v>
      </c>
    </row>
    <row r="8" spans="1:37" x14ac:dyDescent="0.35">
      <c r="A8">
        <f t="shared" si="1"/>
        <v>5</v>
      </c>
      <c r="B8" s="101">
        <v>1</v>
      </c>
      <c r="C8" s="100">
        <v>17</v>
      </c>
      <c r="F8" s="7" t="s">
        <v>78</v>
      </c>
      <c r="G8" s="89">
        <v>0</v>
      </c>
      <c r="H8" s="93">
        <v>0</v>
      </c>
      <c r="J8" s="7" t="s">
        <v>78</v>
      </c>
      <c r="K8" s="89">
        <v>0</v>
      </c>
      <c r="L8" s="93">
        <v>0</v>
      </c>
      <c r="N8" s="7" t="s">
        <v>78</v>
      </c>
      <c r="O8" s="89">
        <v>0</v>
      </c>
      <c r="P8" s="93">
        <v>0</v>
      </c>
      <c r="S8">
        <f t="shared" si="2"/>
        <v>5</v>
      </c>
      <c r="T8" s="101">
        <v>1</v>
      </c>
      <c r="U8" s="100">
        <v>17</v>
      </c>
      <c r="X8">
        <f t="shared" si="3"/>
        <v>5</v>
      </c>
      <c r="Y8" s="101">
        <v>0</v>
      </c>
      <c r="Z8" s="4">
        <v>2</v>
      </c>
      <c r="AA8" s="4">
        <v>2</v>
      </c>
      <c r="AB8" s="4">
        <v>2</v>
      </c>
      <c r="AC8" s="5">
        <v>2</v>
      </c>
      <c r="AD8" s="100">
        <f t="shared" si="0"/>
        <v>8</v>
      </c>
      <c r="AF8" t="s">
        <v>782</v>
      </c>
      <c r="AG8" s="353" t="e" cm="1">
        <f t="array" aca="1" ref="AG8" ca="1">ITEMDIFF(Y4:Y21,Y22)</f>
        <v>#NAME?</v>
      </c>
      <c r="AH8" s="352" t="e" cm="1">
        <f t="array" aca="1" ref="AH8" ca="1">ITEMDIFF(Z4:Z21,Z22)</f>
        <v>#NAME?</v>
      </c>
      <c r="AI8" s="352" t="e" cm="1">
        <f t="array" aca="1" ref="AI8" ca="1">ITEMDIFF(AA4:AA21,AA22)</f>
        <v>#NAME?</v>
      </c>
      <c r="AJ8" s="352" t="e" cm="1">
        <f t="array" aca="1" ref="AJ8" ca="1">ITEMDIFF(AB4:AB21,AB22)</f>
        <v>#NAME?</v>
      </c>
      <c r="AK8" s="351" t="e" cm="1">
        <f t="array" aca="1" ref="AK8" ca="1">ITEMDIFF(AC4:AC21,AC22)</f>
        <v>#NAME?</v>
      </c>
    </row>
    <row r="9" spans="1:37" x14ac:dyDescent="0.35">
      <c r="A9">
        <f t="shared" si="1"/>
        <v>6</v>
      </c>
      <c r="B9" s="101">
        <v>1</v>
      </c>
      <c r="C9" s="100">
        <v>16</v>
      </c>
      <c r="G9">
        <f>SUM(G4:G8)</f>
        <v>20</v>
      </c>
      <c r="H9">
        <f>SUM(H4:H8)</f>
        <v>20</v>
      </c>
      <c r="K9">
        <f>SUM(K4:K8)</f>
        <v>20</v>
      </c>
      <c r="L9">
        <f>SUM(L4:L8)</f>
        <v>20</v>
      </c>
      <c r="O9">
        <f>SUM(O4:O8)</f>
        <v>20</v>
      </c>
      <c r="P9">
        <f>SUM(P4:P8)</f>
        <v>20</v>
      </c>
      <c r="S9">
        <f t="shared" si="2"/>
        <v>6</v>
      </c>
      <c r="T9" s="101">
        <v>0</v>
      </c>
      <c r="U9" s="100">
        <v>16</v>
      </c>
      <c r="X9">
        <f t="shared" si="3"/>
        <v>6</v>
      </c>
      <c r="Y9" s="101">
        <v>0</v>
      </c>
      <c r="Z9" s="4">
        <v>2</v>
      </c>
      <c r="AA9" s="4">
        <v>2</v>
      </c>
      <c r="AB9" s="4">
        <v>1</v>
      </c>
      <c r="AC9" s="5">
        <v>2</v>
      </c>
      <c r="AD9" s="100">
        <f t="shared" si="0"/>
        <v>7</v>
      </c>
      <c r="AF9" t="s">
        <v>781</v>
      </c>
      <c r="AG9" s="99" t="e" cm="1">
        <f t="array" aca="1" ref="AG9" ca="1">ITEMDISC(Y4:Y21,$AD4:$AD21,$AG5,Y22)</f>
        <v>#NAME?</v>
      </c>
      <c r="AH9" s="4" t="e" cm="1">
        <f t="array" aca="1" ref="AH9" ca="1">ITEMDISC(Z4:Z21,$AD4:$AD21,$AG5,Z22)</f>
        <v>#NAME?</v>
      </c>
      <c r="AI9" s="4" t="e" cm="1">
        <f t="array" aca="1" ref="AI9" ca="1">ITEMDISC(AA4:AA21,$AD4:$AD21,$AG5,AA22)</f>
        <v>#NAME?</v>
      </c>
      <c r="AJ9" s="4" t="e" cm="1">
        <f t="array" aca="1" ref="AJ9" ca="1">ITEMDISC(AB4:AB21,$AD4:$AD21,$AG5,AB22)</f>
        <v>#NAME?</v>
      </c>
      <c r="AK9" s="32" t="e" cm="1">
        <f t="array" aca="1" ref="AK9" ca="1">ITEMDISC(AC4:AC21,$AD4:$AD21,$AG5,AC22)</f>
        <v>#NAME?</v>
      </c>
    </row>
    <row r="10" spans="1:37" x14ac:dyDescent="0.35">
      <c r="A10">
        <f t="shared" si="1"/>
        <v>7</v>
      </c>
      <c r="B10" s="101">
        <v>1</v>
      </c>
      <c r="C10" s="100">
        <v>16</v>
      </c>
      <c r="S10">
        <f t="shared" si="2"/>
        <v>7</v>
      </c>
      <c r="T10" s="101">
        <v>1</v>
      </c>
      <c r="U10" s="100">
        <v>16</v>
      </c>
      <c r="X10">
        <f t="shared" si="3"/>
        <v>7</v>
      </c>
      <c r="Y10" s="101">
        <v>1</v>
      </c>
      <c r="Z10" s="4">
        <v>2</v>
      </c>
      <c r="AA10" s="4">
        <v>2</v>
      </c>
      <c r="AB10" s="4">
        <v>0</v>
      </c>
      <c r="AC10" s="5">
        <v>1</v>
      </c>
      <c r="AD10" s="100">
        <f t="shared" si="0"/>
        <v>6</v>
      </c>
      <c r="AF10" t="s">
        <v>245</v>
      </c>
      <c r="AG10" s="156">
        <f>CORREL(Y4:Y21,$AD4:$AD21)</f>
        <v>-7.9808688446762213E-2</v>
      </c>
      <c r="AH10" s="157">
        <f>CORREL(Z4:Z21,$AD4:$AD21)</f>
        <v>0.62250776988474532</v>
      </c>
      <c r="AI10" s="157">
        <f>CORREL(AA4:AA21,$AD4:$AD21)</f>
        <v>0.7094999497920208</v>
      </c>
      <c r="AJ10" s="157">
        <f>CORREL(AB4:AB21,$AD4:$AD21)</f>
        <v>0.35691530512412478</v>
      </c>
      <c r="AK10" s="158">
        <f>CORREL(AC4:AC21,$AD4:$AD21)</f>
        <v>0.84461576836946628</v>
      </c>
    </row>
    <row r="11" spans="1:37" x14ac:dyDescent="0.35">
      <c r="A11">
        <f t="shared" si="1"/>
        <v>8</v>
      </c>
      <c r="B11" s="101">
        <v>1</v>
      </c>
      <c r="C11" s="100">
        <v>15</v>
      </c>
      <c r="F11" t="s">
        <v>777</v>
      </c>
      <c r="G11" s="335">
        <f>(G4+H4)/SUM(G4:H8)</f>
        <v>0.25</v>
      </c>
      <c r="J11" t="s">
        <v>777</v>
      </c>
      <c r="K11" s="335">
        <f>(K5+L5)/SUM(K4:L8)</f>
        <v>0.57499999999999996</v>
      </c>
      <c r="N11" t="s">
        <v>777</v>
      </c>
      <c r="O11" s="335">
        <f>(O5+P5)/SUM(O4:P8)</f>
        <v>0.6</v>
      </c>
      <c r="S11">
        <f t="shared" si="2"/>
        <v>8</v>
      </c>
      <c r="T11" s="101">
        <v>1</v>
      </c>
      <c r="U11" s="100">
        <v>15</v>
      </c>
      <c r="X11">
        <f t="shared" si="3"/>
        <v>8</v>
      </c>
      <c r="Y11" s="101">
        <v>0</v>
      </c>
      <c r="Z11" s="4">
        <v>0</v>
      </c>
      <c r="AA11" s="4">
        <v>2</v>
      </c>
      <c r="AB11" s="4">
        <v>2</v>
      </c>
      <c r="AC11" s="5">
        <v>2</v>
      </c>
      <c r="AD11" s="100">
        <f t="shared" si="0"/>
        <v>6</v>
      </c>
    </row>
    <row r="12" spans="1:37" x14ac:dyDescent="0.35">
      <c r="A12">
        <f t="shared" si="1"/>
        <v>9</v>
      </c>
      <c r="B12" s="101">
        <v>0</v>
      </c>
      <c r="C12" s="100">
        <v>15</v>
      </c>
      <c r="F12" t="s">
        <v>100</v>
      </c>
      <c r="G12" s="94">
        <f>G4/SUM(G4:G8)-H4/SUM(H4:H8)</f>
        <v>0</v>
      </c>
      <c r="J12" t="s">
        <v>100</v>
      </c>
      <c r="K12" s="94">
        <f>K5/SUM(K4:K8)-L5/SUM(L4:L8)</f>
        <v>4.9999999999999933E-2</v>
      </c>
      <c r="N12" t="s">
        <v>100</v>
      </c>
      <c r="O12" s="94">
        <f>O5/SUM(O4:O8)-P5/SUM(P4:P8)</f>
        <v>-0.19999999999999996</v>
      </c>
      <c r="S12">
        <f t="shared" si="2"/>
        <v>9</v>
      </c>
      <c r="T12" s="101">
        <v>0</v>
      </c>
      <c r="U12" s="100">
        <v>15</v>
      </c>
      <c r="X12">
        <f t="shared" si="3"/>
        <v>9</v>
      </c>
      <c r="Y12" s="101">
        <v>0</v>
      </c>
      <c r="Z12" s="4">
        <v>2</v>
      </c>
      <c r="AA12" s="4">
        <v>1</v>
      </c>
      <c r="AB12" s="4">
        <v>2</v>
      </c>
      <c r="AC12" s="5">
        <v>1</v>
      </c>
      <c r="AD12" s="100">
        <f t="shared" si="0"/>
        <v>6</v>
      </c>
    </row>
    <row r="13" spans="1:37" x14ac:dyDescent="0.35">
      <c r="A13">
        <f t="shared" si="1"/>
        <v>10</v>
      </c>
      <c r="B13" s="101">
        <v>1</v>
      </c>
      <c r="C13" s="100">
        <v>14</v>
      </c>
      <c r="S13">
        <f t="shared" si="2"/>
        <v>10</v>
      </c>
      <c r="T13" s="101">
        <v>0</v>
      </c>
      <c r="U13" s="100">
        <v>13</v>
      </c>
      <c r="X13">
        <f t="shared" si="3"/>
        <v>10</v>
      </c>
      <c r="Y13" s="101">
        <v>1</v>
      </c>
      <c r="Z13" s="4">
        <v>1</v>
      </c>
      <c r="AA13" s="4">
        <v>0</v>
      </c>
      <c r="AB13" s="4">
        <v>2</v>
      </c>
      <c r="AC13" s="5">
        <v>1</v>
      </c>
      <c r="AD13" s="100">
        <f t="shared" si="0"/>
        <v>5</v>
      </c>
    </row>
    <row r="14" spans="1:37" x14ac:dyDescent="0.35">
      <c r="A14">
        <f t="shared" si="1"/>
        <v>11</v>
      </c>
      <c r="B14" s="101">
        <v>0</v>
      </c>
      <c r="C14" s="100">
        <v>14</v>
      </c>
      <c r="G14" s="563" t="s">
        <v>639</v>
      </c>
      <c r="H14" s="563"/>
      <c r="K14" s="563" t="s">
        <v>638</v>
      </c>
      <c r="L14" s="563"/>
      <c r="O14" s="563" t="s">
        <v>637</v>
      </c>
      <c r="P14" s="563"/>
      <c r="S14">
        <f t="shared" si="2"/>
        <v>11</v>
      </c>
      <c r="T14" s="101">
        <v>0</v>
      </c>
      <c r="U14" s="100">
        <v>13</v>
      </c>
      <c r="X14">
        <f t="shared" si="3"/>
        <v>11</v>
      </c>
      <c r="Y14" s="101">
        <v>0</v>
      </c>
      <c r="Z14" s="4">
        <v>2</v>
      </c>
      <c r="AA14" s="4">
        <v>1</v>
      </c>
      <c r="AB14" s="4">
        <v>2</v>
      </c>
      <c r="AC14" s="5">
        <v>0</v>
      </c>
      <c r="AD14" s="100">
        <f t="shared" si="0"/>
        <v>5</v>
      </c>
    </row>
    <row r="15" spans="1:37" x14ac:dyDescent="0.35">
      <c r="A15">
        <f t="shared" si="1"/>
        <v>12</v>
      </c>
      <c r="B15" s="101">
        <v>1</v>
      </c>
      <c r="C15" s="100">
        <v>14</v>
      </c>
      <c r="G15" s="298" t="s">
        <v>780</v>
      </c>
      <c r="H15" s="298" t="s">
        <v>779</v>
      </c>
      <c r="K15" s="298" t="s">
        <v>780</v>
      </c>
      <c r="L15" s="298" t="s">
        <v>779</v>
      </c>
      <c r="O15" s="298" t="s">
        <v>780</v>
      </c>
      <c r="P15" s="298" t="s">
        <v>779</v>
      </c>
      <c r="S15">
        <f t="shared" si="2"/>
        <v>12</v>
      </c>
      <c r="T15" s="101">
        <v>0</v>
      </c>
      <c r="U15" s="100">
        <v>13</v>
      </c>
      <c r="X15">
        <f t="shared" si="3"/>
        <v>12</v>
      </c>
      <c r="Y15" s="101">
        <v>1</v>
      </c>
      <c r="Z15" s="4">
        <v>0</v>
      </c>
      <c r="AA15" s="4">
        <v>2</v>
      </c>
      <c r="AB15" s="4">
        <v>2</v>
      </c>
      <c r="AC15" s="5">
        <v>0</v>
      </c>
      <c r="AD15" s="100">
        <f t="shared" si="0"/>
        <v>5</v>
      </c>
    </row>
    <row r="16" spans="1:37" x14ac:dyDescent="0.35">
      <c r="A16">
        <f t="shared" si="1"/>
        <v>13</v>
      </c>
      <c r="B16" s="101">
        <v>0</v>
      </c>
      <c r="C16" s="100">
        <v>13</v>
      </c>
      <c r="F16" t="s">
        <v>218</v>
      </c>
      <c r="G16" s="383">
        <v>2</v>
      </c>
      <c r="H16" s="382">
        <v>2</v>
      </c>
      <c r="J16" t="s">
        <v>218</v>
      </c>
      <c r="K16" s="383">
        <v>0</v>
      </c>
      <c r="L16" s="382">
        <v>1</v>
      </c>
      <c r="N16" t="s">
        <v>218</v>
      </c>
      <c r="O16" s="381">
        <v>11</v>
      </c>
      <c r="P16" s="380">
        <v>9</v>
      </c>
      <c r="S16">
        <f t="shared" si="2"/>
        <v>13</v>
      </c>
      <c r="T16" s="101">
        <v>0</v>
      </c>
      <c r="U16" s="100">
        <v>13</v>
      </c>
      <c r="X16">
        <f t="shared" si="3"/>
        <v>13</v>
      </c>
      <c r="Y16" s="101">
        <v>1</v>
      </c>
      <c r="Z16" s="4">
        <v>1</v>
      </c>
      <c r="AA16" s="4">
        <v>0</v>
      </c>
      <c r="AB16" s="4">
        <v>2</v>
      </c>
      <c r="AC16" s="5">
        <v>0</v>
      </c>
      <c r="AD16" s="100">
        <v>5</v>
      </c>
    </row>
    <row r="17" spans="1:32" x14ac:dyDescent="0.35">
      <c r="A17">
        <f t="shared" si="1"/>
        <v>14</v>
      </c>
      <c r="B17" s="101">
        <v>1</v>
      </c>
      <c r="C17" s="100">
        <v>12</v>
      </c>
      <c r="F17" t="s">
        <v>98</v>
      </c>
      <c r="G17" s="101">
        <v>1</v>
      </c>
      <c r="H17" s="5">
        <v>3</v>
      </c>
      <c r="J17" t="s">
        <v>98</v>
      </c>
      <c r="K17" s="161">
        <v>1</v>
      </c>
      <c r="L17" s="379">
        <v>1</v>
      </c>
      <c r="N17" t="s">
        <v>98</v>
      </c>
      <c r="O17" s="161">
        <v>0</v>
      </c>
      <c r="P17" s="379">
        <v>1</v>
      </c>
      <c r="S17">
        <f t="shared" si="2"/>
        <v>14</v>
      </c>
      <c r="T17" s="101">
        <v>1</v>
      </c>
      <c r="U17" s="100">
        <v>13</v>
      </c>
      <c r="X17">
        <f t="shared" si="3"/>
        <v>14</v>
      </c>
      <c r="Y17" s="101">
        <v>1</v>
      </c>
      <c r="Z17" s="4">
        <v>1</v>
      </c>
      <c r="AA17" s="4">
        <v>0</v>
      </c>
      <c r="AB17" s="4">
        <v>2</v>
      </c>
      <c r="AC17" s="5">
        <v>0</v>
      </c>
      <c r="AD17" s="100">
        <f t="shared" si="0"/>
        <v>4</v>
      </c>
    </row>
    <row r="18" spans="1:32" x14ac:dyDescent="0.35">
      <c r="A18">
        <f t="shared" si="1"/>
        <v>15</v>
      </c>
      <c r="B18" s="101">
        <v>0</v>
      </c>
      <c r="C18" s="100">
        <v>12</v>
      </c>
      <c r="F18" t="s">
        <v>99</v>
      </c>
      <c r="G18" s="101">
        <v>2</v>
      </c>
      <c r="H18" s="5">
        <v>3</v>
      </c>
      <c r="J18" t="s">
        <v>99</v>
      </c>
      <c r="K18" s="160">
        <v>19</v>
      </c>
      <c r="L18" s="378">
        <v>16</v>
      </c>
      <c r="N18" t="s">
        <v>99</v>
      </c>
      <c r="O18" s="101">
        <v>9</v>
      </c>
      <c r="P18" s="5">
        <v>9</v>
      </c>
      <c r="S18">
        <f t="shared" si="2"/>
        <v>15</v>
      </c>
      <c r="T18" s="101">
        <v>0</v>
      </c>
      <c r="U18" s="100">
        <v>12</v>
      </c>
      <c r="X18">
        <f t="shared" si="3"/>
        <v>15</v>
      </c>
      <c r="Y18" s="101">
        <v>1</v>
      </c>
      <c r="Z18" s="4">
        <v>0</v>
      </c>
      <c r="AA18" s="4">
        <v>0</v>
      </c>
      <c r="AB18" s="4">
        <v>2</v>
      </c>
      <c r="AC18" s="5">
        <v>1</v>
      </c>
      <c r="AD18" s="100">
        <f t="shared" si="0"/>
        <v>4</v>
      </c>
    </row>
    <row r="19" spans="1:32" x14ac:dyDescent="0.35">
      <c r="A19">
        <f t="shared" si="1"/>
        <v>16</v>
      </c>
      <c r="B19" s="101">
        <v>1</v>
      </c>
      <c r="C19" s="100">
        <v>10</v>
      </c>
      <c r="F19" t="s">
        <v>100</v>
      </c>
      <c r="G19" s="160">
        <v>12</v>
      </c>
      <c r="H19" s="378">
        <v>8</v>
      </c>
      <c r="J19" t="s">
        <v>100</v>
      </c>
      <c r="K19" s="101">
        <v>0</v>
      </c>
      <c r="L19" s="5">
        <v>2</v>
      </c>
      <c r="N19" t="s">
        <v>100</v>
      </c>
      <c r="O19" s="101">
        <v>0</v>
      </c>
      <c r="P19" s="5">
        <v>1</v>
      </c>
      <c r="S19">
        <f t="shared" si="2"/>
        <v>16</v>
      </c>
      <c r="T19" s="101">
        <v>1</v>
      </c>
      <c r="U19" s="100">
        <v>10</v>
      </c>
      <c r="X19">
        <f t="shared" si="3"/>
        <v>16</v>
      </c>
      <c r="Y19" s="101">
        <v>1</v>
      </c>
      <c r="Z19" s="4">
        <v>0</v>
      </c>
      <c r="AA19" s="4">
        <v>0</v>
      </c>
      <c r="AB19" s="4">
        <v>3</v>
      </c>
      <c r="AC19" s="5">
        <v>0</v>
      </c>
      <c r="AD19" s="100">
        <f t="shared" si="0"/>
        <v>4</v>
      </c>
    </row>
    <row r="20" spans="1:32" x14ac:dyDescent="0.35">
      <c r="A20">
        <f t="shared" si="1"/>
        <v>17</v>
      </c>
      <c r="B20" s="101">
        <v>0</v>
      </c>
      <c r="C20" s="100">
        <v>8</v>
      </c>
      <c r="F20" s="7" t="s">
        <v>78</v>
      </c>
      <c r="G20" s="89">
        <v>3</v>
      </c>
      <c r="H20" s="93">
        <v>4</v>
      </c>
      <c r="J20" s="7" t="s">
        <v>78</v>
      </c>
      <c r="K20" s="89">
        <v>0</v>
      </c>
      <c r="L20" s="93">
        <v>0</v>
      </c>
      <c r="N20" s="7" t="s">
        <v>78</v>
      </c>
      <c r="O20" s="89">
        <v>0</v>
      </c>
      <c r="P20" s="93">
        <v>0</v>
      </c>
      <c r="S20">
        <f t="shared" si="2"/>
        <v>17</v>
      </c>
      <c r="T20" s="101">
        <v>1</v>
      </c>
      <c r="U20" s="100">
        <v>8</v>
      </c>
      <c r="X20">
        <f t="shared" si="3"/>
        <v>17</v>
      </c>
      <c r="Y20" s="101">
        <v>0</v>
      </c>
      <c r="Z20" s="4">
        <v>0</v>
      </c>
      <c r="AA20" s="4">
        <v>1</v>
      </c>
      <c r="AB20" s="4">
        <v>2</v>
      </c>
      <c r="AC20" s="5">
        <v>0</v>
      </c>
      <c r="AD20" s="100">
        <f t="shared" si="0"/>
        <v>3</v>
      </c>
    </row>
    <row r="21" spans="1:32" x14ac:dyDescent="0.35">
      <c r="A21">
        <f t="shared" si="1"/>
        <v>18</v>
      </c>
      <c r="B21" s="89">
        <v>0</v>
      </c>
      <c r="C21" s="94">
        <v>5</v>
      </c>
      <c r="G21">
        <f>SUM(G16:G20)</f>
        <v>20</v>
      </c>
      <c r="H21">
        <f>SUM(H16:H20)</f>
        <v>20</v>
      </c>
      <c r="K21">
        <f>SUM(K16:K20)</f>
        <v>20</v>
      </c>
      <c r="L21">
        <f>SUM(L16:L20)</f>
        <v>20</v>
      </c>
      <c r="O21">
        <f>SUM(O16:O20)</f>
        <v>20</v>
      </c>
      <c r="P21">
        <f>SUM(P16:P20)</f>
        <v>20</v>
      </c>
      <c r="S21">
        <f t="shared" si="2"/>
        <v>18</v>
      </c>
      <c r="T21" s="89">
        <v>0</v>
      </c>
      <c r="U21" s="94">
        <v>5</v>
      </c>
      <c r="X21">
        <f t="shared" si="3"/>
        <v>18</v>
      </c>
      <c r="Y21" s="89">
        <v>0</v>
      </c>
      <c r="Z21" s="159">
        <v>1</v>
      </c>
      <c r="AA21" s="159">
        <v>0</v>
      </c>
      <c r="AB21" s="159">
        <v>1</v>
      </c>
      <c r="AC21" s="93">
        <v>0</v>
      </c>
      <c r="AD21" s="94">
        <f t="shared" si="0"/>
        <v>2</v>
      </c>
    </row>
    <row r="22" spans="1:32" x14ac:dyDescent="0.35">
      <c r="X22" s="6" t="s">
        <v>382</v>
      </c>
      <c r="Y22" s="377">
        <v>1</v>
      </c>
      <c r="Z22" s="327">
        <v>2</v>
      </c>
      <c r="AA22" s="327">
        <v>2</v>
      </c>
      <c r="AB22" s="327">
        <v>3</v>
      </c>
      <c r="AC22" s="326">
        <v>2</v>
      </c>
      <c r="AD22" s="376">
        <f t="shared" si="0"/>
        <v>10</v>
      </c>
    </row>
    <row r="23" spans="1:32" x14ac:dyDescent="0.35">
      <c r="A23" s="6" t="s">
        <v>777</v>
      </c>
      <c r="B23" s="335">
        <f>COUNTIF(B4:B21,1)/COUNTA(B4:B21)</f>
        <v>0.61111111111111116</v>
      </c>
      <c r="F23" t="s">
        <v>777</v>
      </c>
      <c r="G23" s="335">
        <f>(G19+H19)/SUM(G16:H20)</f>
        <v>0.5</v>
      </c>
      <c r="J23" t="s">
        <v>777</v>
      </c>
      <c r="K23" s="335">
        <f>(K18+L18)/SUM(K16:L20)</f>
        <v>0.875</v>
      </c>
      <c r="N23" t="s">
        <v>777</v>
      </c>
      <c r="O23" s="335">
        <f>(O16+P16)/SUM(O16:P20)</f>
        <v>0.5</v>
      </c>
      <c r="S23" s="6" t="s">
        <v>777</v>
      </c>
      <c r="T23" s="335" t="e" cm="1">
        <f t="array" aca="1" ref="T23" ca="1">ITEMDIFF(T4:T21)</f>
        <v>#NAME?</v>
      </c>
    </row>
    <row r="24" spans="1:32" x14ac:dyDescent="0.35">
      <c r="A24" s="6" t="s">
        <v>100</v>
      </c>
      <c r="B24" s="100">
        <f>COUNTIF(B4:B9,1)/COUNT(B4:B9)-COUNTIF(B16:B21,1)/COUNT(B16:B21)</f>
        <v>0.5</v>
      </c>
      <c r="F24" t="s">
        <v>100</v>
      </c>
      <c r="G24" s="94">
        <f>G19/SUM(G16:G20)-H19/SUM(H16:H20)</f>
        <v>0.19999999999999996</v>
      </c>
      <c r="J24" t="s">
        <v>100</v>
      </c>
      <c r="K24" s="94">
        <f>K18/SUM(K16:K20)-L18/SUM(L16:L20)</f>
        <v>0.14999999999999991</v>
      </c>
      <c r="N24" t="s">
        <v>100</v>
      </c>
      <c r="O24" s="94">
        <f>O16/SUM(O16:O20)-P16/SUM(P16:P20)</f>
        <v>0.10000000000000003</v>
      </c>
      <c r="S24" s="6" t="s">
        <v>100</v>
      </c>
      <c r="T24" s="100" t="e" cm="1">
        <f t="array" aca="1" ref="T24" ca="1">ITEMDISC(T4:T21,U4:U21)</f>
        <v>#NAME?</v>
      </c>
      <c r="X24" s="6" t="s">
        <v>777</v>
      </c>
      <c r="Y24" s="333" t="e" cm="1">
        <f t="array" aca="1" ref="Y24" ca="1">ITEMDIFF(Y4:Y21,Y22)</f>
        <v>#NAME?</v>
      </c>
      <c r="Z24" s="332" t="e" cm="1">
        <f t="array" aca="1" ref="Z24" ca="1">ITEMDIFF(Z4:Z21,Z22)</f>
        <v>#NAME?</v>
      </c>
      <c r="AA24" s="332" t="e" cm="1">
        <f t="array" aca="1" ref="AA24" ca="1">ITEMDIFF(AA4:AA21,AA22)</f>
        <v>#NAME?</v>
      </c>
      <c r="AB24" s="332" t="e" cm="1">
        <f t="array" aca="1" ref="AB24" ca="1">ITEMDIFF(AB4:AB21,AB22)</f>
        <v>#NAME?</v>
      </c>
      <c r="AC24" s="341" t="e" cm="1">
        <f t="array" aca="1" ref="AC24" ca="1">ITEMDIFF(AC4:AC21,AC22)</f>
        <v>#NAME?</v>
      </c>
      <c r="AD24" s="109" t="e" cm="1">
        <f t="array" aca="1" ref="AD24" ca="1">ITEMDIFF(AD4:AD21,AD22)</f>
        <v>#NAME?</v>
      </c>
      <c r="AF24" t="s">
        <v>778</v>
      </c>
    </row>
    <row r="25" spans="1:32" x14ac:dyDescent="0.35">
      <c r="A25" s="6" t="s">
        <v>86</v>
      </c>
      <c r="B25" s="94">
        <f>CORREL(B4:B21,C4:C21)</f>
        <v>0.4054695723995605</v>
      </c>
      <c r="S25" s="6" t="s">
        <v>86</v>
      </c>
      <c r="T25" s="94">
        <f>CORREL(T4:T21,U4:U21)</f>
        <v>0.2249859388182221</v>
      </c>
      <c r="X25" s="6" t="s">
        <v>100</v>
      </c>
      <c r="Y25" s="101" t="e" cm="1">
        <f t="array" aca="1" ref="Y25" ca="1">ITEMDISC(Y4:Y21,$AD4:$AD21,,Y22)</f>
        <v>#NAME?</v>
      </c>
      <c r="Z25" s="4" t="e" cm="1">
        <f t="array" aca="1" ref="Z25" ca="1">ITEMDISC(Z4:Z21,$AD4:$AD21,,Z22)</f>
        <v>#NAME?</v>
      </c>
      <c r="AA25" s="4" t="e" cm="1">
        <f t="array" aca="1" ref="AA25" ca="1">ITEMDISC(AA4:AA21,$AD4:$AD21,,AA22)</f>
        <v>#NAME?</v>
      </c>
      <c r="AB25" s="4" t="e" cm="1">
        <f t="array" aca="1" ref="AB25" ca="1">ITEMDISC(AB4:AB21,$AD4:$AD21,,AB22)</f>
        <v>#NAME?</v>
      </c>
      <c r="AC25" s="5" t="e" cm="1">
        <f t="array" aca="1" ref="AC25" ca="1">ITEMDISC(AC4:AC21,$AD4:$AD21,,AC22)</f>
        <v>#NAME?</v>
      </c>
    </row>
    <row r="26" spans="1:32" x14ac:dyDescent="0.35">
      <c r="X26" s="6" t="s">
        <v>381</v>
      </c>
      <c r="Y26" s="89">
        <f>CORREL(Y4:Y21,$AD4:$AD21)</f>
        <v>-7.9808688446762213E-2</v>
      </c>
      <c r="Z26" s="159">
        <f>CORREL(Z4:Z21,$AD4:$AD21)</f>
        <v>0.62250776988474532</v>
      </c>
      <c r="AA26" s="159">
        <f>CORREL(AA4:AA21,$AD4:$AD21)</f>
        <v>0.7094999497920208</v>
      </c>
      <c r="AB26" s="159">
        <f>CORREL(AB4:AB21,$AD4:$AD21)</f>
        <v>0.35691530512412478</v>
      </c>
      <c r="AC26" s="93">
        <f>CORREL(AC4:AC21,$AD4:$AD21)</f>
        <v>0.84461576836946628</v>
      </c>
    </row>
    <row r="28" spans="1:32" x14ac:dyDescent="0.35">
      <c r="X28" s="6" t="s">
        <v>777</v>
      </c>
      <c r="Y28" s="333">
        <f t="shared" ref="Y28:AD28" si="4">SUM(Y4:Y21)/(COUNT(Y4:Y21)*Y22)</f>
        <v>0.5</v>
      </c>
      <c r="Z28" s="332">
        <f t="shared" si="4"/>
        <v>0.58333333333333337</v>
      </c>
      <c r="AA28" s="332">
        <f t="shared" si="4"/>
        <v>0.55555555555555558</v>
      </c>
      <c r="AB28" s="332">
        <f t="shared" si="4"/>
        <v>0.66666666666666663</v>
      </c>
      <c r="AC28" s="341">
        <f t="shared" si="4"/>
        <v>0.5</v>
      </c>
      <c r="AD28" s="109">
        <f t="shared" si="4"/>
        <v>0.58333333333333337</v>
      </c>
      <c r="AF28" t="s">
        <v>776</v>
      </c>
    </row>
    <row r="29" spans="1:32" x14ac:dyDescent="0.35">
      <c r="X29" s="6" t="s">
        <v>100</v>
      </c>
      <c r="Y29" s="101">
        <f>(SUM(Y$4:Y$8)-SUM(Y$17:Y$21))/(COUNT(Y$4:Y$8)*Y22)</f>
        <v>-0.2</v>
      </c>
      <c r="Z29" s="101">
        <f t="shared" ref="Z29:AC29" si="5">(SUM(Z$4:Z$8)-SUM(Z$17:Z$21))/(COUNT(Z$4:Z$8)*Z22)</f>
        <v>0.7</v>
      </c>
      <c r="AA29" s="101">
        <f t="shared" si="5"/>
        <v>0.8</v>
      </c>
      <c r="AB29" s="101">
        <f t="shared" si="5"/>
        <v>0.2</v>
      </c>
      <c r="AC29" s="101">
        <f t="shared" si="5"/>
        <v>0.9</v>
      </c>
    </row>
    <row r="30" spans="1:32" x14ac:dyDescent="0.35">
      <c r="X30" s="6" t="s">
        <v>381</v>
      </c>
      <c r="Y30" s="89">
        <f>CORREL(Y4:Y21,$AD4:$AD21)</f>
        <v>-7.9808688446762213E-2</v>
      </c>
      <c r="Z30" s="159">
        <f>CORREL(Z4:Z21,$AD4:$AD21)</f>
        <v>0.62250776988474532</v>
      </c>
      <c r="AA30" s="159">
        <f>CORREL(AA4:AA21,$AD4:$AD21)</f>
        <v>0.7094999497920208</v>
      </c>
      <c r="AB30" s="159">
        <f>CORREL(AB4:AB21,$AD4:$AD21)</f>
        <v>0.35691530512412478</v>
      </c>
      <c r="AC30" s="93">
        <f>CORREL(AC4:AC21,$AD4:$AD21)</f>
        <v>0.84461576836946628</v>
      </c>
    </row>
  </sheetData>
  <mergeCells count="6">
    <mergeCell ref="G14:H14"/>
    <mergeCell ref="K14:L14"/>
    <mergeCell ref="O14:P14"/>
    <mergeCell ref="G2:H2"/>
    <mergeCell ref="K2:L2"/>
    <mergeCell ref="O2:P2"/>
  </mergeCells>
  <pageMargins left="0.7" right="0.7" top="0.75" bottom="0.75" header="0.3" footer="0.3"/>
  <pageSetup paperSize="9" orientation="portrait" horizontalDpi="300" verticalDpi="300" r:id="rId1"/>
  <ignoredErrors>
    <ignoredError sqref="AD4 Y26:AC26 Y30:AC30 AG10:AK10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40"/>
  <dimension ref="A1:BY322"/>
  <sheetViews>
    <sheetView zoomScaleNormal="100" workbookViewId="0"/>
  </sheetViews>
  <sheetFormatPr defaultRowHeight="14.5" x14ac:dyDescent="0.35"/>
  <cols>
    <col min="1" max="1" width="4.1796875" customWidth="1"/>
    <col min="2" max="37" width="5.7265625" customWidth="1"/>
    <col min="53" max="53" width="5" customWidth="1"/>
  </cols>
  <sheetData>
    <row r="1" spans="1:77" x14ac:dyDescent="0.35">
      <c r="A1" s="1" t="s">
        <v>901</v>
      </c>
      <c r="AN1" t="s">
        <v>860</v>
      </c>
    </row>
    <row r="3" spans="1:77" x14ac:dyDescent="0.35">
      <c r="B3" s="563" t="s">
        <v>902</v>
      </c>
      <c r="C3" s="563"/>
      <c r="D3" s="563"/>
      <c r="E3" s="563"/>
      <c r="F3" s="563"/>
      <c r="G3" s="563"/>
      <c r="H3" s="563"/>
      <c r="I3" s="563"/>
      <c r="J3" s="563"/>
      <c r="K3" s="563"/>
      <c r="Y3" s="227"/>
      <c r="Z3" s="227"/>
      <c r="AA3" s="227"/>
      <c r="AB3" s="227"/>
      <c r="AC3" s="227"/>
      <c r="AD3" s="227"/>
      <c r="AE3" s="227"/>
      <c r="AF3" s="227"/>
      <c r="AG3" s="227"/>
      <c r="AH3" s="227"/>
      <c r="AN3">
        <v>1</v>
      </c>
      <c r="AO3">
        <v>2</v>
      </c>
      <c r="AP3">
        <v>3</v>
      </c>
      <c r="AQ3">
        <v>4</v>
      </c>
      <c r="AR3">
        <v>5</v>
      </c>
      <c r="AS3">
        <v>6</v>
      </c>
      <c r="AT3">
        <v>7</v>
      </c>
      <c r="AU3">
        <v>8</v>
      </c>
      <c r="AV3">
        <v>9</v>
      </c>
      <c r="AW3">
        <v>10</v>
      </c>
      <c r="AX3" s="6" t="s">
        <v>904</v>
      </c>
      <c r="AY3" s="6" t="s">
        <v>265</v>
      </c>
      <c r="BA3">
        <v>1</v>
      </c>
      <c r="BB3">
        <f t="shared" ref="BB3:BB11" si="0">AX4</f>
        <v>4.0931461415557076</v>
      </c>
    </row>
    <row r="4" spans="1:77" ht="15" thickBot="1" x14ac:dyDescent="0.4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s="461" t="s">
        <v>903</v>
      </c>
      <c r="M4" s="461" t="s">
        <v>904</v>
      </c>
      <c r="AM4" t="s">
        <v>218</v>
      </c>
      <c r="AN4" s="464">
        <f>B257</f>
        <v>0.99863124723459173</v>
      </c>
      <c r="AO4" s="445">
        <f t="shared" ref="AO4:AW12" si="1">C257</f>
        <v>0.99863401269642482</v>
      </c>
      <c r="AP4" s="445">
        <f t="shared" si="1"/>
        <v>0.99863401269642482</v>
      </c>
      <c r="AQ4" s="445">
        <f t="shared" si="1"/>
        <v>0.99565830304472513</v>
      </c>
      <c r="AR4" s="445">
        <f t="shared" si="1"/>
        <v>0.98972013253833613</v>
      </c>
      <c r="AS4" s="445">
        <f t="shared" si="1"/>
        <v>0.97830322211666931</v>
      </c>
      <c r="AT4" s="445">
        <f t="shared" si="1"/>
        <v>0.97830322211666931</v>
      </c>
      <c r="AU4" s="445">
        <f t="shared" si="1"/>
        <v>0.95626987283586584</v>
      </c>
      <c r="AV4" s="445">
        <f t="shared" si="1"/>
        <v>0.55122102638661941</v>
      </c>
      <c r="AW4" s="465">
        <f t="shared" si="1"/>
        <v>0.55122102638661941</v>
      </c>
      <c r="AX4" s="423">
        <f>M257</f>
        <v>4.0931461415557076</v>
      </c>
      <c r="AY4" s="425">
        <f>1/SQRT(Y257)</f>
        <v>1.2935681569672053</v>
      </c>
      <c r="BA4">
        <v>1</v>
      </c>
      <c r="BB4">
        <f t="shared" si="0"/>
        <v>2.5933721629415407</v>
      </c>
    </row>
    <row r="5" spans="1:77" x14ac:dyDescent="0.35">
      <c r="A5" t="s">
        <v>218</v>
      </c>
      <c r="B5" s="435"/>
      <c r="C5" s="436">
        <v>1</v>
      </c>
      <c r="D5" s="436">
        <v>1</v>
      </c>
      <c r="E5" s="436">
        <v>1</v>
      </c>
      <c r="F5" s="436">
        <v>1</v>
      </c>
      <c r="G5" s="436">
        <v>1</v>
      </c>
      <c r="H5" s="436">
        <v>1</v>
      </c>
      <c r="I5" s="436">
        <v>1</v>
      </c>
      <c r="J5" s="436">
        <v>0</v>
      </c>
      <c r="K5" s="437">
        <v>1</v>
      </c>
      <c r="L5" s="438">
        <f t="shared" ref="L5:L13" si="2">AVERAGE(B5:K5)</f>
        <v>0.88888888888888884</v>
      </c>
      <c r="M5" s="426">
        <f>LN(L5/(1-L5))</f>
        <v>2.0794415416798353</v>
      </c>
      <c r="AM5" t="s">
        <v>98</v>
      </c>
      <c r="AN5" s="466">
        <f t="shared" ref="AN5:AN12" si="3">B258</f>
        <v>0.99390561401605515</v>
      </c>
      <c r="AO5" s="447">
        <f t="shared" si="1"/>
        <v>0.9939178691132744</v>
      </c>
      <c r="AP5" s="447">
        <f t="shared" si="1"/>
        <v>0.9939178691132744</v>
      </c>
      <c r="AQ5" s="447">
        <f t="shared" si="1"/>
        <v>0.98086521984974273</v>
      </c>
      <c r="AR5" s="447">
        <f t="shared" si="1"/>
        <v>0.95559675288664925</v>
      </c>
      <c r="AS5" s="447">
        <f t="shared" si="1"/>
        <v>0.90973835986113993</v>
      </c>
      <c r="AT5" s="447">
        <f t="shared" si="1"/>
        <v>0.90973835986113993</v>
      </c>
      <c r="AU5" s="447">
        <f t="shared" si="1"/>
        <v>0.83016420632570764</v>
      </c>
      <c r="AV5" s="447">
        <f t="shared" si="1"/>
        <v>0.21541203452769775</v>
      </c>
      <c r="AW5" s="448">
        <f t="shared" si="1"/>
        <v>0.21541203452769775</v>
      </c>
      <c r="AX5" s="101">
        <f t="shared" ref="AX5:AX12" si="4">M258</f>
        <v>2.5933721629415407</v>
      </c>
      <c r="AY5" s="102">
        <f t="shared" ref="AY5:AY12" si="5">1/SQRT(Y258)</f>
        <v>1.1763992002477015</v>
      </c>
      <c r="BA5">
        <v>1</v>
      </c>
      <c r="BB5">
        <f t="shared" si="0"/>
        <v>1.3931219057051234</v>
      </c>
    </row>
    <row r="6" spans="1:77" x14ac:dyDescent="0.35">
      <c r="A6" t="s">
        <v>98</v>
      </c>
      <c r="B6" s="439">
        <v>1</v>
      </c>
      <c r="C6" s="440">
        <v>1</v>
      </c>
      <c r="D6" s="440">
        <v>1</v>
      </c>
      <c r="E6" s="440">
        <v>0</v>
      </c>
      <c r="F6" s="440">
        <v>1</v>
      </c>
      <c r="G6" s="440">
        <v>1</v>
      </c>
      <c r="H6" s="440">
        <v>1</v>
      </c>
      <c r="I6" s="440">
        <v>1</v>
      </c>
      <c r="J6" s="440">
        <v>1</v>
      </c>
      <c r="K6" s="441">
        <v>0</v>
      </c>
      <c r="L6" s="438">
        <f t="shared" si="2"/>
        <v>0.8</v>
      </c>
      <c r="M6" s="100">
        <f t="shared" ref="M6:M13" si="6">LN(L6/(1-L6))</f>
        <v>1.3862943611198908</v>
      </c>
      <c r="AM6" t="s">
        <v>99</v>
      </c>
      <c r="AN6" s="466">
        <f t="shared" si="3"/>
        <v>0.98007244860383735</v>
      </c>
      <c r="AO6" s="447">
        <f t="shared" si="1"/>
        <v>0.98011196396304479</v>
      </c>
      <c r="AP6" s="447">
        <f t="shared" si="1"/>
        <v>0.98011196396304479</v>
      </c>
      <c r="AQ6" s="447">
        <f t="shared" si="1"/>
        <v>0.93924211550507852</v>
      </c>
      <c r="AR6" s="447">
        <f t="shared" si="1"/>
        <v>0.86648979530639714</v>
      </c>
      <c r="AS6" s="447">
        <f t="shared" si="1"/>
        <v>0.75244469291479088</v>
      </c>
      <c r="AT6" s="447">
        <f t="shared" si="1"/>
        <v>0.75244469291479088</v>
      </c>
      <c r="AU6" s="447">
        <f t="shared" si="1"/>
        <v>0.59581089337475657</v>
      </c>
      <c r="AV6" s="447">
        <f t="shared" si="1"/>
        <v>7.6466307648270962E-2</v>
      </c>
      <c r="AW6" s="448">
        <f t="shared" si="1"/>
        <v>7.6466307648270962E-2</v>
      </c>
      <c r="AX6" s="101">
        <f t="shared" si="4"/>
        <v>1.3931219057051234</v>
      </c>
      <c r="AY6" s="102">
        <f t="shared" si="5"/>
        <v>1.0071412279121208</v>
      </c>
      <c r="BA6">
        <v>1</v>
      </c>
      <c r="BB6">
        <f t="shared" si="0"/>
        <v>1.3931219057051234</v>
      </c>
      <c r="BM6" t="s">
        <v>900</v>
      </c>
    </row>
    <row r="7" spans="1:77" x14ac:dyDescent="0.35">
      <c r="A7" t="s">
        <v>99</v>
      </c>
      <c r="B7" s="439">
        <v>1</v>
      </c>
      <c r="C7" s="440">
        <v>1</v>
      </c>
      <c r="D7" s="440">
        <v>1</v>
      </c>
      <c r="E7" s="440">
        <v>1</v>
      </c>
      <c r="F7" s="440">
        <v>1</v>
      </c>
      <c r="G7" s="440">
        <v>1</v>
      </c>
      <c r="H7" s="440">
        <v>0</v>
      </c>
      <c r="I7" s="440">
        <v>1</v>
      </c>
      <c r="J7" s="440">
        <v>0</v>
      </c>
      <c r="K7" s="441">
        <v>0</v>
      </c>
      <c r="L7" s="438">
        <f t="shared" si="2"/>
        <v>0.7</v>
      </c>
      <c r="M7" s="100">
        <f t="shared" si="6"/>
        <v>0.84729786038720345</v>
      </c>
      <c r="AM7" t="s">
        <v>100</v>
      </c>
      <c r="AN7" s="466">
        <f t="shared" si="3"/>
        <v>0.98007244860383735</v>
      </c>
      <c r="AO7" s="447">
        <f t="shared" si="1"/>
        <v>0.98011196396304479</v>
      </c>
      <c r="AP7" s="447">
        <f t="shared" si="1"/>
        <v>0.98011196396304479</v>
      </c>
      <c r="AQ7" s="447">
        <f t="shared" si="1"/>
        <v>0.93924211550507852</v>
      </c>
      <c r="AR7" s="447">
        <f t="shared" si="1"/>
        <v>0.86648979530639714</v>
      </c>
      <c r="AS7" s="447">
        <f t="shared" si="1"/>
        <v>0.75244469291479088</v>
      </c>
      <c r="AT7" s="447">
        <f t="shared" si="1"/>
        <v>0.75244469291479088</v>
      </c>
      <c r="AU7" s="447">
        <f t="shared" si="1"/>
        <v>0.59581089337475657</v>
      </c>
      <c r="AV7" s="447">
        <f t="shared" si="1"/>
        <v>7.6466307648270962E-2</v>
      </c>
      <c r="AW7" s="448">
        <f t="shared" si="1"/>
        <v>7.6466307648270962E-2</v>
      </c>
      <c r="AX7" s="101">
        <f t="shared" si="4"/>
        <v>1.3931219057051234</v>
      </c>
      <c r="AY7" s="102">
        <f t="shared" si="5"/>
        <v>1.0071412279121208</v>
      </c>
      <c r="BA7">
        <v>1</v>
      </c>
      <c r="BB7">
        <f t="shared" si="0"/>
        <v>0.50039128089596274</v>
      </c>
    </row>
    <row r="8" spans="1:77" x14ac:dyDescent="0.35">
      <c r="A8" t="s">
        <v>100</v>
      </c>
      <c r="B8" s="439">
        <v>1</v>
      </c>
      <c r="C8" s="440">
        <v>1</v>
      </c>
      <c r="D8" s="440">
        <v>1</v>
      </c>
      <c r="E8" s="440">
        <v>1</v>
      </c>
      <c r="F8" s="440">
        <v>1</v>
      </c>
      <c r="G8" s="440">
        <v>1</v>
      </c>
      <c r="H8" s="440">
        <v>0</v>
      </c>
      <c r="I8" s="440">
        <v>1</v>
      </c>
      <c r="J8" s="440">
        <v>0</v>
      </c>
      <c r="K8" s="441">
        <v>0</v>
      </c>
      <c r="L8" s="438">
        <f t="shared" si="2"/>
        <v>0.7</v>
      </c>
      <c r="M8" s="100">
        <f t="shared" si="6"/>
        <v>0.84729786038720345</v>
      </c>
      <c r="AM8" t="s">
        <v>536</v>
      </c>
      <c r="AN8" s="466">
        <f t="shared" si="3"/>
        <v>0.95272690139078497</v>
      </c>
      <c r="AO8" s="447">
        <f t="shared" si="1"/>
        <v>0.95281803117518737</v>
      </c>
      <c r="AP8" s="447">
        <f t="shared" si="1"/>
        <v>0.95281803117518737</v>
      </c>
      <c r="AQ8" s="447">
        <f t="shared" si="1"/>
        <v>0.8636614948593877</v>
      </c>
      <c r="AR8" s="447">
        <f t="shared" si="1"/>
        <v>0.72673821921504689</v>
      </c>
      <c r="AS8" s="447">
        <f t="shared" si="1"/>
        <v>0.55466984832237454</v>
      </c>
      <c r="AT8" s="447">
        <f t="shared" si="1"/>
        <v>0.55466984832237454</v>
      </c>
      <c r="AU8" s="447">
        <f t="shared" si="1"/>
        <v>0.37657861069912518</v>
      </c>
      <c r="AV8" s="447">
        <f t="shared" si="1"/>
        <v>3.2815338741916257E-2</v>
      </c>
      <c r="AW8" s="448">
        <f t="shared" si="1"/>
        <v>3.2815338741916257E-2</v>
      </c>
      <c r="AX8" s="101">
        <f t="shared" si="4"/>
        <v>0.50039128089596274</v>
      </c>
      <c r="AY8" s="102">
        <f t="shared" si="5"/>
        <v>0.8967413766832385</v>
      </c>
      <c r="BA8">
        <v>1</v>
      </c>
      <c r="BB8">
        <f t="shared" si="0"/>
        <v>0.50039128089596274</v>
      </c>
      <c r="BM8" t="s">
        <v>914</v>
      </c>
      <c r="BN8" s="431">
        <v>25</v>
      </c>
    </row>
    <row r="9" spans="1:77" x14ac:dyDescent="0.35">
      <c r="A9" t="s">
        <v>536</v>
      </c>
      <c r="B9" s="439">
        <v>1</v>
      </c>
      <c r="C9" s="440">
        <v>1</v>
      </c>
      <c r="D9" s="440">
        <v>1</v>
      </c>
      <c r="E9" s="440">
        <v>1</v>
      </c>
      <c r="F9" s="440">
        <v>0</v>
      </c>
      <c r="G9" s="440">
        <v>1</v>
      </c>
      <c r="H9" s="440">
        <v>1</v>
      </c>
      <c r="I9" s="440">
        <v>0</v>
      </c>
      <c r="J9" s="440">
        <v>0</v>
      </c>
      <c r="K9" s="441">
        <v>0</v>
      </c>
      <c r="L9" s="438">
        <f t="shared" si="2"/>
        <v>0.6</v>
      </c>
      <c r="M9" s="100">
        <f t="shared" si="6"/>
        <v>0.40546510810816422</v>
      </c>
      <c r="AM9" t="s">
        <v>101</v>
      </c>
      <c r="AN9" s="466">
        <f t="shared" si="3"/>
        <v>0.95272690139078497</v>
      </c>
      <c r="AO9" s="447">
        <f t="shared" si="1"/>
        <v>0.95281803117518737</v>
      </c>
      <c r="AP9" s="447">
        <f t="shared" si="1"/>
        <v>0.95281803117518737</v>
      </c>
      <c r="AQ9" s="447">
        <f t="shared" si="1"/>
        <v>0.8636614948593877</v>
      </c>
      <c r="AR9" s="447">
        <f t="shared" si="1"/>
        <v>0.72673821921504689</v>
      </c>
      <c r="AS9" s="447">
        <f t="shared" si="1"/>
        <v>0.55466984832237454</v>
      </c>
      <c r="AT9" s="447">
        <f t="shared" si="1"/>
        <v>0.55466984832237454</v>
      </c>
      <c r="AU9" s="447">
        <f t="shared" si="1"/>
        <v>0.37657861069912518</v>
      </c>
      <c r="AV9" s="447">
        <f t="shared" si="1"/>
        <v>3.2815338741916257E-2</v>
      </c>
      <c r="AW9" s="448">
        <f t="shared" si="1"/>
        <v>3.2815338741916257E-2</v>
      </c>
      <c r="AX9" s="101">
        <f t="shared" si="4"/>
        <v>0.50039128089596274</v>
      </c>
      <c r="AY9" s="102">
        <f t="shared" si="5"/>
        <v>0.8967413766832385</v>
      </c>
      <c r="BA9">
        <v>1</v>
      </c>
      <c r="BB9">
        <f t="shared" si="0"/>
        <v>-0.9860954409705589</v>
      </c>
      <c r="BM9" t="s">
        <v>915</v>
      </c>
      <c r="BN9" s="147">
        <v>1.0000000000000001E-5</v>
      </c>
    </row>
    <row r="10" spans="1:77" x14ac:dyDescent="0.35">
      <c r="A10" t="s">
        <v>101</v>
      </c>
      <c r="B10" s="439">
        <v>1</v>
      </c>
      <c r="C10" s="440">
        <v>1</v>
      </c>
      <c r="D10" s="440">
        <v>1</v>
      </c>
      <c r="E10" s="440">
        <v>1</v>
      </c>
      <c r="F10" s="440">
        <v>1</v>
      </c>
      <c r="G10" s="440">
        <v>0</v>
      </c>
      <c r="H10" s="440">
        <v>1</v>
      </c>
      <c r="I10" s="440">
        <v>0</v>
      </c>
      <c r="J10" s="440">
        <v>0</v>
      </c>
      <c r="K10" s="441">
        <v>0</v>
      </c>
      <c r="L10" s="438">
        <f t="shared" si="2"/>
        <v>0.6</v>
      </c>
      <c r="M10" s="100">
        <f t="shared" si="6"/>
        <v>0.40546510810816422</v>
      </c>
      <c r="AM10" t="s">
        <v>281</v>
      </c>
      <c r="AN10" s="466">
        <f t="shared" si="3"/>
        <v>0.82019162130806322</v>
      </c>
      <c r="AO10" s="447">
        <f t="shared" si="1"/>
        <v>0.82049010429241542</v>
      </c>
      <c r="AP10" s="447">
        <f t="shared" si="1"/>
        <v>0.82049010429241542</v>
      </c>
      <c r="AQ10" s="447">
        <f t="shared" si="1"/>
        <v>0.58911292708464491</v>
      </c>
      <c r="AR10" s="447">
        <f t="shared" si="1"/>
        <v>0.37575524598947857</v>
      </c>
      <c r="AS10" s="447">
        <f t="shared" si="1"/>
        <v>0.21991127785440204</v>
      </c>
      <c r="AT10" s="447">
        <f t="shared" si="1"/>
        <v>0.21991127785440209</v>
      </c>
      <c r="AU10" s="447">
        <f t="shared" si="1"/>
        <v>0.12027416278713189</v>
      </c>
      <c r="AV10" s="447">
        <f t="shared" si="1"/>
        <v>7.6207238189462513E-3</v>
      </c>
      <c r="AW10" s="448">
        <f t="shared" si="1"/>
        <v>7.6207238189462513E-3</v>
      </c>
      <c r="AX10" s="101">
        <f t="shared" si="4"/>
        <v>-0.9860954409705589</v>
      </c>
      <c r="AY10" s="102">
        <f t="shared" si="5"/>
        <v>0.85042320390163428</v>
      </c>
      <c r="BA10">
        <v>1</v>
      </c>
      <c r="BB10">
        <f t="shared" si="0"/>
        <v>-0.9860954409705589</v>
      </c>
      <c r="BM10" t="s">
        <v>916</v>
      </c>
      <c r="BN10" s="155">
        <v>1.3</v>
      </c>
    </row>
    <row r="11" spans="1:77" x14ac:dyDescent="0.35">
      <c r="A11" t="s">
        <v>281</v>
      </c>
      <c r="B11" s="439">
        <v>1</v>
      </c>
      <c r="C11" s="440">
        <v>1</v>
      </c>
      <c r="D11" s="440">
        <v>1</v>
      </c>
      <c r="E11" s="440">
        <v>1</v>
      </c>
      <c r="F11" s="440">
        <v>0</v>
      </c>
      <c r="G11" s="440">
        <v>0</v>
      </c>
      <c r="H11" s="440">
        <v>0</v>
      </c>
      <c r="I11" s="440">
        <v>0</v>
      </c>
      <c r="J11" s="440">
        <v>0</v>
      </c>
      <c r="K11" s="441">
        <v>0</v>
      </c>
      <c r="L11" s="438">
        <f t="shared" si="2"/>
        <v>0.4</v>
      </c>
      <c r="M11" s="100">
        <f t="shared" si="6"/>
        <v>-0.40546510810816427</v>
      </c>
      <c r="AM11" t="s">
        <v>537</v>
      </c>
      <c r="AN11" s="466">
        <f t="shared" si="3"/>
        <v>0.82019162130806322</v>
      </c>
      <c r="AO11" s="447">
        <f t="shared" si="1"/>
        <v>0.82049010429241542</v>
      </c>
      <c r="AP11" s="447">
        <f t="shared" si="1"/>
        <v>0.82049010429241542</v>
      </c>
      <c r="AQ11" s="447">
        <f t="shared" si="1"/>
        <v>0.58911292708464491</v>
      </c>
      <c r="AR11" s="447">
        <f t="shared" si="1"/>
        <v>0.37575524598947857</v>
      </c>
      <c r="AS11" s="447">
        <f t="shared" si="1"/>
        <v>0.21991127785440204</v>
      </c>
      <c r="AT11" s="447">
        <f t="shared" si="1"/>
        <v>0.21991127785440209</v>
      </c>
      <c r="AU11" s="447">
        <f t="shared" si="1"/>
        <v>0.12027416278713189</v>
      </c>
      <c r="AV11" s="447">
        <f t="shared" si="1"/>
        <v>7.6207238189462513E-3</v>
      </c>
      <c r="AW11" s="448">
        <f t="shared" si="1"/>
        <v>7.6207238189462513E-3</v>
      </c>
      <c r="AX11" s="101">
        <f t="shared" si="4"/>
        <v>-0.9860954409705589</v>
      </c>
      <c r="AY11" s="102">
        <f t="shared" si="5"/>
        <v>0.85042320390163428</v>
      </c>
      <c r="BA11">
        <v>1</v>
      </c>
      <c r="BB11">
        <f t="shared" si="0"/>
        <v>-2.5075167478240079</v>
      </c>
    </row>
    <row r="12" spans="1:77" x14ac:dyDescent="0.35">
      <c r="A12" t="s">
        <v>537</v>
      </c>
      <c r="B12" s="439">
        <v>1</v>
      </c>
      <c r="C12" s="440">
        <v>0</v>
      </c>
      <c r="D12" s="440">
        <v>1</v>
      </c>
      <c r="E12" s="440">
        <v>0</v>
      </c>
      <c r="F12" s="440">
        <v>1</v>
      </c>
      <c r="G12" s="440">
        <v>0</v>
      </c>
      <c r="H12" s="440">
        <v>1</v>
      </c>
      <c r="I12" s="440">
        <v>0</v>
      </c>
      <c r="J12" s="440">
        <v>0</v>
      </c>
      <c r="K12" s="441">
        <v>0</v>
      </c>
      <c r="L12" s="438">
        <f t="shared" si="2"/>
        <v>0.4</v>
      </c>
      <c r="M12" s="100">
        <f t="shared" si="6"/>
        <v>-0.40546510810816427</v>
      </c>
      <c r="AM12" t="s">
        <v>905</v>
      </c>
      <c r="AN12" s="449">
        <f t="shared" si="3"/>
        <v>0.49920424523317908</v>
      </c>
      <c r="AO12" s="450">
        <f t="shared" si="1"/>
        <v>0.49971055402221026</v>
      </c>
      <c r="AP12" s="450">
        <f t="shared" si="1"/>
        <v>0.49971055402221026</v>
      </c>
      <c r="AQ12" s="450">
        <f t="shared" si="1"/>
        <v>0.23857102722767631</v>
      </c>
      <c r="AR12" s="450">
        <f t="shared" si="1"/>
        <v>0.11624972661866961</v>
      </c>
      <c r="AS12" s="450">
        <f t="shared" si="1"/>
        <v>5.8030029162059085E-2</v>
      </c>
      <c r="AT12" s="450">
        <f t="shared" si="1"/>
        <v>5.8030029162059113E-2</v>
      </c>
      <c r="AU12" s="450">
        <f t="shared" si="1"/>
        <v>2.9010275760441018E-2</v>
      </c>
      <c r="AV12" s="450">
        <f t="shared" si="1"/>
        <v>1.6753384805673263E-3</v>
      </c>
      <c r="AW12" s="451">
        <f t="shared" si="1"/>
        <v>1.6753384805673263E-3</v>
      </c>
      <c r="AX12" s="89">
        <f t="shared" si="4"/>
        <v>-2.5075167478240079</v>
      </c>
      <c r="AY12" s="93">
        <f t="shared" si="5"/>
        <v>0.92244146003791971</v>
      </c>
      <c r="BM12" t="e">
        <f t="array" aca="1" ref="BM12:BY23" ca="1">RASCH(A4:K13,TRUE,BN8,BN9)</f>
        <v>#NAME?</v>
      </c>
      <c r="BN12" t="e">
        <f ca="1"/>
        <v>#NAME?</v>
      </c>
      <c r="BO12" t="e">
        <f ca="1"/>
        <v>#NAME?</v>
      </c>
      <c r="BP12" t="e">
        <f ca="1"/>
        <v>#NAME?</v>
      </c>
      <c r="BQ12" t="e">
        <f ca="1"/>
        <v>#NAME?</v>
      </c>
      <c r="BR12" t="e">
        <f ca="1"/>
        <v>#NAME?</v>
      </c>
      <c r="BS12" t="e">
        <f ca="1"/>
        <v>#NAME?</v>
      </c>
      <c r="BT12" t="e">
        <f ca="1"/>
        <v>#NAME?</v>
      </c>
      <c r="BU12" t="e">
        <f ca="1"/>
        <v>#NAME?</v>
      </c>
      <c r="BV12" t="e">
        <f ca="1"/>
        <v>#NAME?</v>
      </c>
      <c r="BW12" t="e">
        <f ca="1"/>
        <v>#NAME?</v>
      </c>
      <c r="BX12" s="6" t="e">
        <f ca="1"/>
        <v>#NAME?</v>
      </c>
      <c r="BY12" s="6" t="e">
        <f ca="1"/>
        <v>#NAME?</v>
      </c>
    </row>
    <row r="13" spans="1:77" ht="15" thickBot="1" x14ac:dyDescent="0.4">
      <c r="A13" t="s">
        <v>905</v>
      </c>
      <c r="B13" s="442">
        <v>0</v>
      </c>
      <c r="C13" s="443">
        <v>1</v>
      </c>
      <c r="D13" s="443">
        <v>0</v>
      </c>
      <c r="E13" s="443">
        <v>1</v>
      </c>
      <c r="F13" s="443">
        <v>0</v>
      </c>
      <c r="G13" s="443">
        <v>0</v>
      </c>
      <c r="H13" s="443">
        <v>0</v>
      </c>
      <c r="I13" s="443">
        <v>0</v>
      </c>
      <c r="J13" s="443">
        <v>0</v>
      </c>
      <c r="K13" s="444">
        <v>0</v>
      </c>
      <c r="L13" s="438">
        <f t="shared" si="2"/>
        <v>0.2</v>
      </c>
      <c r="M13" s="94">
        <f t="shared" si="6"/>
        <v>-1.3862943611198906</v>
      </c>
      <c r="AM13" t="s">
        <v>927</v>
      </c>
      <c r="AN13" s="423">
        <f>B267</f>
        <v>-2.5040776135700167</v>
      </c>
      <c r="AO13" s="424">
        <f t="shared" ref="AO13:AW13" si="7">C267</f>
        <v>-2.5060881893049185</v>
      </c>
      <c r="AP13" s="424">
        <f t="shared" si="7"/>
        <v>-2.5060881893049185</v>
      </c>
      <c r="AQ13" s="424">
        <f t="shared" si="7"/>
        <v>-1.3462382348173467</v>
      </c>
      <c r="AR13" s="424">
        <f t="shared" si="7"/>
        <v>-0.47786678044112318</v>
      </c>
      <c r="AS13" s="424">
        <f t="shared" si="7"/>
        <v>0.28117487130438812</v>
      </c>
      <c r="AT13" s="424">
        <f t="shared" si="7"/>
        <v>0.28117487130438806</v>
      </c>
      <c r="AU13" s="424">
        <f t="shared" si="7"/>
        <v>1.0052994923337806</v>
      </c>
      <c r="AV13" s="424">
        <f t="shared" si="7"/>
        <v>3.8874479465539626</v>
      </c>
      <c r="AW13" s="425">
        <f t="shared" si="7"/>
        <v>3.8874479465539626</v>
      </c>
      <c r="BA13">
        <v>2</v>
      </c>
      <c r="BB13">
        <f t="array" ref="BB13:BB22">TRANSPOSE(AN13:AW13)</f>
        <v>-2.5040776135700167</v>
      </c>
      <c r="BM13" t="e">
        <f ca="1"/>
        <v>#NAME?</v>
      </c>
      <c r="BN13" s="419" t="e">
        <f ca="1"/>
        <v>#NAME?</v>
      </c>
      <c r="BO13" s="420" t="e">
        <f ca="1"/>
        <v>#NAME?</v>
      </c>
      <c r="BP13" s="420" t="e">
        <f ca="1"/>
        <v>#NAME?</v>
      </c>
      <c r="BQ13" s="420" t="e">
        <f ca="1"/>
        <v>#NAME?</v>
      </c>
      <c r="BR13" s="420" t="e">
        <f ca="1"/>
        <v>#NAME?</v>
      </c>
      <c r="BS13" s="420" t="e">
        <f ca="1"/>
        <v>#NAME?</v>
      </c>
      <c r="BT13" s="420" t="e">
        <f ca="1"/>
        <v>#NAME?</v>
      </c>
      <c r="BU13" s="420" t="e">
        <f ca="1"/>
        <v>#NAME?</v>
      </c>
      <c r="BV13" s="420" t="e">
        <f ca="1"/>
        <v>#NAME?</v>
      </c>
      <c r="BW13" s="421" t="e">
        <f ca="1"/>
        <v>#NAME?</v>
      </c>
      <c r="BX13" s="419" t="e">
        <f ca="1"/>
        <v>#NAME?</v>
      </c>
      <c r="BY13" s="421" t="e">
        <f ca="1"/>
        <v>#NAME?</v>
      </c>
    </row>
    <row r="14" spans="1:77" x14ac:dyDescent="0.35">
      <c r="A14" t="s">
        <v>903</v>
      </c>
      <c r="B14" s="438">
        <f t="shared" ref="B14:K14" si="8">AVERAGE(B5:B13)</f>
        <v>0.875</v>
      </c>
      <c r="C14" s="438">
        <f t="shared" si="8"/>
        <v>0.88888888888888884</v>
      </c>
      <c r="D14" s="438">
        <f t="shared" si="8"/>
        <v>0.88888888888888884</v>
      </c>
      <c r="E14" s="438">
        <f t="shared" si="8"/>
        <v>0.77777777777777779</v>
      </c>
      <c r="F14" s="438">
        <f t="shared" si="8"/>
        <v>0.66666666666666663</v>
      </c>
      <c r="G14" s="438">
        <f t="shared" si="8"/>
        <v>0.55555555555555558</v>
      </c>
      <c r="H14" s="438">
        <f t="shared" si="8"/>
        <v>0.55555555555555558</v>
      </c>
      <c r="I14" s="438">
        <f t="shared" si="8"/>
        <v>0.44444444444444442</v>
      </c>
      <c r="J14" s="438">
        <f t="shared" si="8"/>
        <v>0.1111111111111111</v>
      </c>
      <c r="K14" s="438">
        <f t="shared" si="8"/>
        <v>0.1111111111111111</v>
      </c>
      <c r="M14" s="438">
        <f>AVERAGE(M5:M13)</f>
        <v>0.41933747360602691</v>
      </c>
      <c r="AM14" t="s">
        <v>265</v>
      </c>
      <c r="AN14" s="89">
        <f>1/SQRT(O266)</f>
        <v>1.2113288368812276</v>
      </c>
      <c r="AO14" s="159">
        <f t="shared" ref="AO14:AW14" si="9">1/SQRT(P266)</f>
        <v>1.211895967140189</v>
      </c>
      <c r="AP14" s="159">
        <f t="shared" si="9"/>
        <v>1.211895967140189</v>
      </c>
      <c r="AQ14" s="159">
        <f t="shared" si="9"/>
        <v>0.98128976567526338</v>
      </c>
      <c r="AR14" s="159">
        <f t="shared" si="9"/>
        <v>0.89334938258636942</v>
      </c>
      <c r="AS14" s="159">
        <f t="shared" si="9"/>
        <v>0.85508527851958327</v>
      </c>
      <c r="AT14" s="159">
        <f t="shared" si="9"/>
        <v>0.85508527851958327</v>
      </c>
      <c r="AU14" s="159">
        <f t="shared" si="9"/>
        <v>0.8531847049457737</v>
      </c>
      <c r="AV14" s="159">
        <f t="shared" si="9"/>
        <v>1.2520564971915362</v>
      </c>
      <c r="AW14" s="93">
        <f t="shared" si="9"/>
        <v>1.2520564971915362</v>
      </c>
      <c r="BA14">
        <v>2</v>
      </c>
      <c r="BB14">
        <v>-2.5060881893049185</v>
      </c>
      <c r="BM14" t="e">
        <f ca="1"/>
        <v>#NAME?</v>
      </c>
      <c r="BN14" s="99" t="e">
        <f ca="1"/>
        <v>#NAME?</v>
      </c>
      <c r="BO14" s="4" t="e">
        <f ca="1"/>
        <v>#NAME?</v>
      </c>
      <c r="BP14" s="4" t="e">
        <f ca="1"/>
        <v>#NAME?</v>
      </c>
      <c r="BQ14" s="4" t="e">
        <f ca="1"/>
        <v>#NAME?</v>
      </c>
      <c r="BR14" s="4" t="e">
        <f ca="1"/>
        <v>#NAME?</v>
      </c>
      <c r="BS14" s="4" t="e">
        <f ca="1"/>
        <v>#NAME?</v>
      </c>
      <c r="BT14" s="4" t="e">
        <f ca="1"/>
        <v>#NAME?</v>
      </c>
      <c r="BU14" s="4" t="e">
        <f ca="1"/>
        <v>#NAME?</v>
      </c>
      <c r="BV14" s="4" t="e">
        <f ca="1"/>
        <v>#NAME?</v>
      </c>
      <c r="BW14" s="32" t="e">
        <f ca="1"/>
        <v>#NAME?</v>
      </c>
      <c r="BX14" s="99" t="e">
        <f ca="1"/>
        <v>#NAME?</v>
      </c>
      <c r="BY14" s="32" t="e">
        <f ca="1"/>
        <v>#NAME?</v>
      </c>
    </row>
    <row r="15" spans="1:77" x14ac:dyDescent="0.35">
      <c r="A15" t="s">
        <v>822</v>
      </c>
      <c r="B15" s="423">
        <f>LN((1-B14)/B14)</f>
        <v>-1.9459101490553135</v>
      </c>
      <c r="C15" s="424">
        <f t="shared" ref="C15:K15" si="10">LN((1-C14)/C14)</f>
        <v>-2.0794415416798353</v>
      </c>
      <c r="D15" s="424">
        <f t="shared" si="10"/>
        <v>-2.0794415416798353</v>
      </c>
      <c r="E15" s="424">
        <f t="shared" si="10"/>
        <v>-1.2527629684953681</v>
      </c>
      <c r="F15" s="424">
        <f t="shared" si="10"/>
        <v>-0.69314718055994506</v>
      </c>
      <c r="G15" s="424">
        <f t="shared" si="10"/>
        <v>-0.22314355131420985</v>
      </c>
      <c r="H15" s="424">
        <f t="shared" si="10"/>
        <v>-0.22314355131420985</v>
      </c>
      <c r="I15" s="424">
        <f t="shared" si="10"/>
        <v>0.22314355131420993</v>
      </c>
      <c r="J15" s="424">
        <f t="shared" si="10"/>
        <v>2.0794415416798357</v>
      </c>
      <c r="K15" s="425">
        <f t="shared" si="10"/>
        <v>2.0794415416798357</v>
      </c>
      <c r="L15" s="438">
        <f>AVERAGE(B15:K15)</f>
        <v>-0.41149638494248358</v>
      </c>
      <c r="BA15">
        <v>2</v>
      </c>
      <c r="BB15">
        <v>-2.5060881893049185</v>
      </c>
      <c r="BM15" t="e">
        <f ca="1"/>
        <v>#NAME?</v>
      </c>
      <c r="BN15" s="99" t="e">
        <f ca="1"/>
        <v>#NAME?</v>
      </c>
      <c r="BO15" s="4" t="e">
        <f ca="1"/>
        <v>#NAME?</v>
      </c>
      <c r="BP15" s="4" t="e">
        <f ca="1"/>
        <v>#NAME?</v>
      </c>
      <c r="BQ15" s="4" t="e">
        <f ca="1"/>
        <v>#NAME?</v>
      </c>
      <c r="BR15" s="4" t="e">
        <f ca="1"/>
        <v>#NAME?</v>
      </c>
      <c r="BS15" s="4" t="e">
        <f ca="1"/>
        <v>#NAME?</v>
      </c>
      <c r="BT15" s="4" t="e">
        <f ca="1"/>
        <v>#NAME?</v>
      </c>
      <c r="BU15" s="4" t="e">
        <f ca="1"/>
        <v>#NAME?</v>
      </c>
      <c r="BV15" s="4" t="e">
        <f ca="1"/>
        <v>#NAME?</v>
      </c>
      <c r="BW15" s="32" t="e">
        <f ca="1"/>
        <v>#NAME?</v>
      </c>
      <c r="BX15" s="99" t="e">
        <f ca="1"/>
        <v>#NAME?</v>
      </c>
      <c r="BY15" s="32" t="e">
        <f ca="1"/>
        <v>#NAME?</v>
      </c>
    </row>
    <row r="16" spans="1:77" x14ac:dyDescent="0.35">
      <c r="A16" t="s">
        <v>906</v>
      </c>
      <c r="B16" s="89">
        <f t="shared" ref="B16:K16" si="11">B15-$L$15</f>
        <v>-1.5344137641128299</v>
      </c>
      <c r="C16" s="159">
        <f t="shared" si="11"/>
        <v>-1.6679451567373518</v>
      </c>
      <c r="D16" s="159">
        <f t="shared" si="11"/>
        <v>-1.6679451567373518</v>
      </c>
      <c r="E16" s="159">
        <f t="shared" si="11"/>
        <v>-0.84126658355288453</v>
      </c>
      <c r="F16" s="159">
        <f t="shared" si="11"/>
        <v>-0.28165079561746148</v>
      </c>
      <c r="G16" s="159">
        <f t="shared" si="11"/>
        <v>0.18835283362827374</v>
      </c>
      <c r="H16" s="159">
        <f t="shared" si="11"/>
        <v>0.18835283362827374</v>
      </c>
      <c r="I16" s="159">
        <f t="shared" si="11"/>
        <v>0.63463993625669346</v>
      </c>
      <c r="J16" s="159">
        <f t="shared" si="11"/>
        <v>2.4909379266223195</v>
      </c>
      <c r="K16" s="93">
        <f t="shared" si="11"/>
        <v>2.4909379266223195</v>
      </c>
      <c r="L16" s="438">
        <f>AVERAGE(B16:K16)</f>
        <v>0</v>
      </c>
      <c r="AN16" t="s">
        <v>911</v>
      </c>
      <c r="BA16">
        <v>2</v>
      </c>
      <c r="BB16">
        <v>-1.3462382348173467</v>
      </c>
      <c r="BM16" t="e">
        <f ca="1"/>
        <v>#NAME?</v>
      </c>
      <c r="BN16" s="99" t="e">
        <f ca="1"/>
        <v>#NAME?</v>
      </c>
      <c r="BO16" s="4" t="e">
        <f ca="1"/>
        <v>#NAME?</v>
      </c>
      <c r="BP16" s="4" t="e">
        <f ca="1"/>
        <v>#NAME?</v>
      </c>
      <c r="BQ16" s="4" t="e">
        <f ca="1"/>
        <v>#NAME?</v>
      </c>
      <c r="BR16" s="4" t="e">
        <f ca="1"/>
        <v>#NAME?</v>
      </c>
      <c r="BS16" s="4" t="e">
        <f ca="1"/>
        <v>#NAME?</v>
      </c>
      <c r="BT16" s="4" t="e">
        <f ca="1"/>
        <v>#NAME?</v>
      </c>
      <c r="BU16" s="4" t="e">
        <f ca="1"/>
        <v>#NAME?</v>
      </c>
      <c r="BV16" s="4" t="e">
        <f ca="1"/>
        <v>#NAME?</v>
      </c>
      <c r="BW16" s="32" t="e">
        <f ca="1"/>
        <v>#NAME?</v>
      </c>
      <c r="BX16" s="99" t="e">
        <f ca="1"/>
        <v>#NAME?</v>
      </c>
      <c r="BY16" s="32" t="e">
        <f ca="1"/>
        <v>#NAME?</v>
      </c>
    </row>
    <row r="17" spans="1:77" x14ac:dyDescent="0.35">
      <c r="L17" s="438"/>
      <c r="BA17">
        <v>2</v>
      </c>
      <c r="BB17">
        <v>-0.47786678044112318</v>
      </c>
      <c r="BM17" t="e">
        <f ca="1"/>
        <v>#NAME?</v>
      </c>
      <c r="BN17" s="99" t="e">
        <f ca="1"/>
        <v>#NAME?</v>
      </c>
      <c r="BO17" s="4" t="e">
        <f ca="1"/>
        <v>#NAME?</v>
      </c>
      <c r="BP17" s="4" t="e">
        <f ca="1"/>
        <v>#NAME?</v>
      </c>
      <c r="BQ17" s="4" t="e">
        <f ca="1"/>
        <v>#NAME?</v>
      </c>
      <c r="BR17" s="4" t="e">
        <f ca="1"/>
        <v>#NAME?</v>
      </c>
      <c r="BS17" s="4" t="e">
        <f ca="1"/>
        <v>#NAME?</v>
      </c>
      <c r="BT17" s="4" t="e">
        <f ca="1"/>
        <v>#NAME?</v>
      </c>
      <c r="BU17" s="4" t="e">
        <f ca="1"/>
        <v>#NAME?</v>
      </c>
      <c r="BV17" s="4" t="e">
        <f ca="1"/>
        <v>#NAME?</v>
      </c>
      <c r="BW17" s="32" t="e">
        <f ca="1"/>
        <v>#NAME?</v>
      </c>
      <c r="BX17" s="99" t="e">
        <f ca="1"/>
        <v>#NAME?</v>
      </c>
      <c r="BY17" s="32" t="e">
        <f ca="1"/>
        <v>#NAME?</v>
      </c>
    </row>
    <row r="18" spans="1:77" x14ac:dyDescent="0.35">
      <c r="A18" t="s">
        <v>907</v>
      </c>
      <c r="B18" s="461">
        <v>1</v>
      </c>
      <c r="AN18">
        <v>1</v>
      </c>
      <c r="AO18">
        <v>2</v>
      </c>
      <c r="AP18">
        <v>3</v>
      </c>
      <c r="AQ18">
        <v>4</v>
      </c>
      <c r="AR18">
        <v>5</v>
      </c>
      <c r="AS18">
        <v>6</v>
      </c>
      <c r="AT18">
        <v>7</v>
      </c>
      <c r="AU18">
        <v>8</v>
      </c>
      <c r="AV18">
        <v>9</v>
      </c>
      <c r="AW18">
        <v>10</v>
      </c>
      <c r="AX18" s="6" t="s">
        <v>912</v>
      </c>
      <c r="AY18" s="6" t="s">
        <v>913</v>
      </c>
      <c r="BA18">
        <v>2</v>
      </c>
      <c r="BB18">
        <v>0.28117487130438812</v>
      </c>
      <c r="BM18" t="e">
        <f ca="1"/>
        <v>#NAME?</v>
      </c>
      <c r="BN18" s="99" t="e">
        <f ca="1"/>
        <v>#NAME?</v>
      </c>
      <c r="BO18" s="4" t="e">
        <f ca="1"/>
        <v>#NAME?</v>
      </c>
      <c r="BP18" s="4" t="e">
        <f ca="1"/>
        <v>#NAME?</v>
      </c>
      <c r="BQ18" s="4" t="e">
        <f ca="1"/>
        <v>#NAME?</v>
      </c>
      <c r="BR18" s="4" t="e">
        <f ca="1"/>
        <v>#NAME?</v>
      </c>
      <c r="BS18" s="4" t="e">
        <f ca="1"/>
        <v>#NAME?</v>
      </c>
      <c r="BT18" s="4" t="e">
        <f ca="1"/>
        <v>#NAME?</v>
      </c>
      <c r="BU18" s="4" t="e">
        <f ca="1"/>
        <v>#NAME?</v>
      </c>
      <c r="BV18" s="4" t="e">
        <f ca="1"/>
        <v>#NAME?</v>
      </c>
      <c r="BW18" s="32" t="e">
        <f ca="1"/>
        <v>#NAME?</v>
      </c>
      <c r="BX18" s="99" t="e">
        <f ca="1"/>
        <v>#NAME?</v>
      </c>
      <c r="BY18" s="32" t="e">
        <f ca="1"/>
        <v>#NAME?</v>
      </c>
    </row>
    <row r="19" spans="1:77" x14ac:dyDescent="0.35">
      <c r="B19" s="461"/>
      <c r="AM19" t="s">
        <v>218</v>
      </c>
      <c r="AN19" s="464" t="str">
        <f>IF(ISNUMBER(B5),(B5-AN4)^2/O167,"")</f>
        <v/>
      </c>
      <c r="AO19" s="467">
        <f t="shared" ref="AO19:AW27" si="12">IF(ISNUMBER(C5),(C5-AO4)^2/P167,"")</f>
        <v>1.2456777826571907E-3</v>
      </c>
      <c r="AP19" s="467">
        <f t="shared" si="12"/>
        <v>1.2456777826571907E-3</v>
      </c>
      <c r="AQ19" s="467">
        <f t="shared" si="12"/>
        <v>4.0078525286746901E-3</v>
      </c>
      <c r="AR19" s="467">
        <f t="shared" si="12"/>
        <v>9.6353169659792442E-3</v>
      </c>
      <c r="AS19" s="467">
        <f t="shared" si="12"/>
        <v>2.0773646475395324E-2</v>
      </c>
      <c r="AT19" s="467">
        <f t="shared" si="12"/>
        <v>2.0773646475395324E-2</v>
      </c>
      <c r="AU19" s="467">
        <f t="shared" si="12"/>
        <v>4.3292754740804462E-2</v>
      </c>
      <c r="AV19" s="467">
        <f t="shared" si="12"/>
        <v>1.226642075344339</v>
      </c>
      <c r="AW19" s="465">
        <f t="shared" si="12"/>
        <v>0.81307631187960316</v>
      </c>
      <c r="AX19" s="423">
        <f>AVERAGE(AN19:AW19)</f>
        <v>0.23785477333061175</v>
      </c>
      <c r="AY19" s="425">
        <f>SUMSQ(AA167:AJ167)/Y167</f>
        <v>0.83950982812399533</v>
      </c>
      <c r="BA19">
        <v>2</v>
      </c>
      <c r="BB19">
        <v>0.28117487130438806</v>
      </c>
      <c r="BM19" t="e">
        <f ca="1"/>
        <v>#NAME?</v>
      </c>
      <c r="BN19" s="99" t="e">
        <f ca="1"/>
        <v>#NAME?</v>
      </c>
      <c r="BO19" s="4" t="e">
        <f ca="1"/>
        <v>#NAME?</v>
      </c>
      <c r="BP19" s="4" t="e">
        <f ca="1"/>
        <v>#NAME?</v>
      </c>
      <c r="BQ19" s="4" t="e">
        <f ca="1"/>
        <v>#NAME?</v>
      </c>
      <c r="BR19" s="4" t="e">
        <f ca="1"/>
        <v>#NAME?</v>
      </c>
      <c r="BS19" s="4" t="e">
        <f ca="1"/>
        <v>#NAME?</v>
      </c>
      <c r="BT19" s="4" t="e">
        <f ca="1"/>
        <v>#NAME?</v>
      </c>
      <c r="BU19" s="4" t="e">
        <f ca="1"/>
        <v>#NAME?</v>
      </c>
      <c r="BV19" s="4" t="e">
        <f ca="1"/>
        <v>#NAME?</v>
      </c>
      <c r="BW19" s="32" t="e">
        <f ca="1"/>
        <v>#NAME?</v>
      </c>
      <c r="BX19" s="99" t="e">
        <f ca="1"/>
        <v>#NAME?</v>
      </c>
      <c r="BY19" s="32" t="e">
        <f ca="1"/>
        <v>#NAME?</v>
      </c>
    </row>
    <row r="20" spans="1:77" x14ac:dyDescent="0.35">
      <c r="B20" t="s">
        <v>860</v>
      </c>
      <c r="O20" t="s">
        <v>908</v>
      </c>
      <c r="AA20" t="s">
        <v>909</v>
      </c>
      <c r="AM20" t="s">
        <v>98</v>
      </c>
      <c r="AN20" s="466">
        <f t="shared" ref="AN20:AN27" si="13">IF(ISNUMBER(B6),(B6-AN5)^2/O168,"")</f>
        <v>5.7562508318071502E-3</v>
      </c>
      <c r="AO20" s="447">
        <f t="shared" si="12"/>
        <v>5.7462140214016499E-3</v>
      </c>
      <c r="AP20" s="447">
        <f t="shared" si="12"/>
        <v>5.7462140214016499E-3</v>
      </c>
      <c r="AQ20" s="447">
        <f t="shared" si="12"/>
        <v>48.622039232457503</v>
      </c>
      <c r="AR20" s="447">
        <f t="shared" si="12"/>
        <v>4.453871274432851E-2</v>
      </c>
      <c r="AS20" s="447">
        <f t="shared" si="12"/>
        <v>9.6157767169033168E-2</v>
      </c>
      <c r="AT20" s="447">
        <f t="shared" si="12"/>
        <v>9.6157767169033084E-2</v>
      </c>
      <c r="AU20" s="447">
        <f t="shared" si="12"/>
        <v>0.20058504341811886</v>
      </c>
      <c r="AV20" s="447">
        <f t="shared" si="12"/>
        <v>3.6078714635365929</v>
      </c>
      <c r="AW20" s="448">
        <f t="shared" si="12"/>
        <v>0.27196166862777899</v>
      </c>
      <c r="AX20" s="101">
        <f t="shared" ref="AX20:AX27" si="14">AVERAGE(AN20:AW20)</f>
        <v>5.2956560333996991</v>
      </c>
      <c r="AY20" s="102">
        <f t="shared" ref="AY20:AY27" si="15">SUMSQ(AA168:AJ168)/Y168</f>
        <v>2.2616760991419849</v>
      </c>
      <c r="BA20">
        <v>2</v>
      </c>
      <c r="BB20">
        <v>1.0052994923337806</v>
      </c>
      <c r="BM20" t="e">
        <f ca="1"/>
        <v>#NAME?</v>
      </c>
      <c r="BN20" s="99" t="e">
        <f ca="1"/>
        <v>#NAME?</v>
      </c>
      <c r="BO20" s="4" t="e">
        <f ca="1"/>
        <v>#NAME?</v>
      </c>
      <c r="BP20" s="4" t="e">
        <f ca="1"/>
        <v>#NAME?</v>
      </c>
      <c r="BQ20" s="4" t="e">
        <f ca="1"/>
        <v>#NAME?</v>
      </c>
      <c r="BR20" s="4" t="e">
        <f ca="1"/>
        <v>#NAME?</v>
      </c>
      <c r="BS20" s="4" t="e">
        <f ca="1"/>
        <v>#NAME?</v>
      </c>
      <c r="BT20" s="4" t="e">
        <f ca="1"/>
        <v>#NAME?</v>
      </c>
      <c r="BU20" s="4" t="e">
        <f ca="1"/>
        <v>#NAME?</v>
      </c>
      <c r="BV20" s="4" t="e">
        <f ca="1"/>
        <v>#NAME?</v>
      </c>
      <c r="BW20" s="32" t="e">
        <f ca="1"/>
        <v>#NAME?</v>
      </c>
      <c r="BX20" s="99" t="e">
        <f ca="1"/>
        <v>#NAME?</v>
      </c>
      <c r="BY20" s="32" t="e">
        <f ca="1"/>
        <v>#NAME?</v>
      </c>
    </row>
    <row r="21" spans="1:77" x14ac:dyDescent="0.35">
      <c r="AM21" t="s">
        <v>99</v>
      </c>
      <c r="AN21" s="466">
        <f t="shared" si="13"/>
        <v>1.9659505945186256E-2</v>
      </c>
      <c r="AO21" s="447">
        <f t="shared" si="12"/>
        <v>1.9625045379241951E-2</v>
      </c>
      <c r="AP21" s="447">
        <f t="shared" si="12"/>
        <v>1.9625045379241951E-2</v>
      </c>
      <c r="AQ21" s="447">
        <f t="shared" si="12"/>
        <v>6.322393119672802E-2</v>
      </c>
      <c r="AR21" s="447">
        <f t="shared" si="12"/>
        <v>0.15210117936722398</v>
      </c>
      <c r="AS21" s="447">
        <f t="shared" si="12"/>
        <v>0.3274386242749196</v>
      </c>
      <c r="AT21" s="447">
        <f t="shared" si="12"/>
        <v>3.0250641684677686</v>
      </c>
      <c r="AU21" s="447">
        <f t="shared" si="12"/>
        <v>0.67823426699349854</v>
      </c>
      <c r="AV21" s="447">
        <f t="shared" si="12"/>
        <v>7.9668212973995206E-2</v>
      </c>
      <c r="AW21" s="448">
        <f t="shared" si="12"/>
        <v>7.9668212973995206E-2</v>
      </c>
      <c r="AX21" s="101">
        <f t="shared" si="14"/>
        <v>0.44643081929518003</v>
      </c>
      <c r="AY21" s="102">
        <f t="shared" si="15"/>
        <v>0.82712058388694709</v>
      </c>
      <c r="BA21">
        <v>2</v>
      </c>
      <c r="BB21">
        <v>3.8874479465539626</v>
      </c>
      <c r="BM21" t="e">
        <f ca="1"/>
        <v>#NAME?</v>
      </c>
      <c r="BN21" s="156" t="e">
        <f ca="1"/>
        <v>#NAME?</v>
      </c>
      <c r="BO21" s="157" t="e">
        <f ca="1"/>
        <v>#NAME?</v>
      </c>
      <c r="BP21" s="157" t="e">
        <f ca="1"/>
        <v>#NAME?</v>
      </c>
      <c r="BQ21" s="157" t="e">
        <f ca="1"/>
        <v>#NAME?</v>
      </c>
      <c r="BR21" s="157" t="e">
        <f ca="1"/>
        <v>#NAME?</v>
      </c>
      <c r="BS21" s="157" t="e">
        <f ca="1"/>
        <v>#NAME?</v>
      </c>
      <c r="BT21" s="157" t="e">
        <f ca="1"/>
        <v>#NAME?</v>
      </c>
      <c r="BU21" s="157" t="e">
        <f ca="1"/>
        <v>#NAME?</v>
      </c>
      <c r="BV21" s="157" t="e">
        <f ca="1"/>
        <v>#NAME?</v>
      </c>
      <c r="BW21" s="158" t="e">
        <f ca="1"/>
        <v>#NAME?</v>
      </c>
      <c r="BX21" s="156" t="e">
        <f ca="1"/>
        <v>#NAME?</v>
      </c>
      <c r="BY21" s="158" t="e">
        <f ca="1"/>
        <v>#NAME?</v>
      </c>
    </row>
    <row r="22" spans="1:77" x14ac:dyDescent="0.3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M22" t="s">
        <v>904</v>
      </c>
      <c r="O22">
        <v>1</v>
      </c>
      <c r="P22">
        <v>2</v>
      </c>
      <c r="Q22">
        <v>3</v>
      </c>
      <c r="R22">
        <v>4</v>
      </c>
      <c r="S22">
        <v>5</v>
      </c>
      <c r="T22">
        <v>6</v>
      </c>
      <c r="U22">
        <v>7</v>
      </c>
      <c r="V22">
        <v>8</v>
      </c>
      <c r="W22">
        <v>9</v>
      </c>
      <c r="X22">
        <v>10</v>
      </c>
      <c r="AA22">
        <v>1</v>
      </c>
      <c r="AB22">
        <v>2</v>
      </c>
      <c r="AC22">
        <v>3</v>
      </c>
      <c r="AD22">
        <v>4</v>
      </c>
      <c r="AE22">
        <v>5</v>
      </c>
      <c r="AF22">
        <v>6</v>
      </c>
      <c r="AG22">
        <v>7</v>
      </c>
      <c r="AH22">
        <v>8</v>
      </c>
      <c r="AI22">
        <v>9</v>
      </c>
      <c r="AJ22">
        <v>10</v>
      </c>
      <c r="AK22" s="461"/>
      <c r="AM22" t="s">
        <v>100</v>
      </c>
      <c r="AN22" s="466">
        <f t="shared" si="13"/>
        <v>1.9659505945186256E-2</v>
      </c>
      <c r="AO22" s="447">
        <f t="shared" si="12"/>
        <v>1.9625045379241951E-2</v>
      </c>
      <c r="AP22" s="447">
        <f t="shared" si="12"/>
        <v>1.9625045379241951E-2</v>
      </c>
      <c r="AQ22" s="447">
        <f t="shared" si="12"/>
        <v>6.322393119672802E-2</v>
      </c>
      <c r="AR22" s="447">
        <f t="shared" si="12"/>
        <v>0.15210117936722398</v>
      </c>
      <c r="AS22" s="447">
        <f t="shared" si="12"/>
        <v>0.3274386242749196</v>
      </c>
      <c r="AT22" s="447">
        <f t="shared" si="12"/>
        <v>3.0250641684677686</v>
      </c>
      <c r="AU22" s="447">
        <f t="shared" si="12"/>
        <v>0.67823426699349854</v>
      </c>
      <c r="AV22" s="447">
        <f t="shared" si="12"/>
        <v>7.9668212973995206E-2</v>
      </c>
      <c r="AW22" s="448">
        <f t="shared" si="12"/>
        <v>7.9668212973995206E-2</v>
      </c>
      <c r="AX22" s="101">
        <f t="shared" si="14"/>
        <v>0.44643081929518003</v>
      </c>
      <c r="AY22" s="102">
        <f t="shared" si="15"/>
        <v>0.82712058388694709</v>
      </c>
      <c r="BA22">
        <v>2</v>
      </c>
      <c r="BB22">
        <v>3.8874479465539626</v>
      </c>
      <c r="BM22" t="e">
        <f ca="1"/>
        <v>#NAME?</v>
      </c>
      <c r="BN22" s="419" t="e">
        <f ca="1"/>
        <v>#NAME?</v>
      </c>
      <c r="BO22" s="420" t="e">
        <f ca="1"/>
        <v>#NAME?</v>
      </c>
      <c r="BP22" s="420" t="e">
        <f ca="1"/>
        <v>#NAME?</v>
      </c>
      <c r="BQ22" s="420" t="e">
        <f ca="1"/>
        <v>#NAME?</v>
      </c>
      <c r="BR22" s="420" t="e">
        <f ca="1"/>
        <v>#NAME?</v>
      </c>
      <c r="BS22" s="420" t="e">
        <f ca="1"/>
        <v>#NAME?</v>
      </c>
      <c r="BT22" s="420" t="e">
        <f ca="1"/>
        <v>#NAME?</v>
      </c>
      <c r="BU22" s="420" t="e">
        <f ca="1"/>
        <v>#NAME?</v>
      </c>
      <c r="BV22" s="420" t="e">
        <f ca="1"/>
        <v>#NAME?</v>
      </c>
      <c r="BW22" s="421" t="e">
        <f ca="1"/>
        <v>#NAME?</v>
      </c>
      <c r="BX22" s="452" t="e">
        <f ca="1"/>
        <v>#NAME?</v>
      </c>
      <c r="BY22" s="421" t="e">
        <f ca="1"/>
        <v>#NAME?</v>
      </c>
    </row>
    <row r="23" spans="1:77" x14ac:dyDescent="0.35">
      <c r="A23" t="s">
        <v>218</v>
      </c>
      <c r="B23" s="464">
        <f t="shared" ref="B23:K23" si="16">EXP($M5-B$16)/(1+EXP($M5-B$16))</f>
        <v>0.97375937150744241</v>
      </c>
      <c r="C23" s="467">
        <f t="shared" si="16"/>
        <v>0.97696388981786175</v>
      </c>
      <c r="D23" s="467">
        <f t="shared" si="16"/>
        <v>0.97696388981786175</v>
      </c>
      <c r="E23" s="467">
        <f t="shared" si="16"/>
        <v>0.9488606711447346</v>
      </c>
      <c r="F23" s="467">
        <f t="shared" si="16"/>
        <v>0.91381187659303098</v>
      </c>
      <c r="G23" s="467">
        <f t="shared" si="16"/>
        <v>0.86887961452741769</v>
      </c>
      <c r="H23" s="467">
        <f t="shared" si="16"/>
        <v>0.86887961452741769</v>
      </c>
      <c r="I23" s="467">
        <f t="shared" si="16"/>
        <v>0.80919710648198373</v>
      </c>
      <c r="J23" s="467">
        <f t="shared" si="16"/>
        <v>0.39855337044734407</v>
      </c>
      <c r="K23" s="465">
        <f t="shared" si="16"/>
        <v>0.39855337044734407</v>
      </c>
      <c r="M23" s="468">
        <f t="shared" ref="M23:M31" si="17">M5+AK23/Y23</f>
        <v>2.871629671633535</v>
      </c>
      <c r="O23" s="464">
        <f t="shared" ref="O23:O31" si="18">B23*(1-B23)</f>
        <v>2.5552057908873167E-2</v>
      </c>
      <c r="P23" s="467">
        <f t="shared" ref="P23:P31" si="19">C23*(1-C23)</f>
        <v>2.2505447809814633E-2</v>
      </c>
      <c r="Q23" s="467">
        <f t="shared" ref="Q23:Q31" si="20">D23*(1-D23)</f>
        <v>2.2505447809814633E-2</v>
      </c>
      <c r="R23" s="467">
        <f t="shared" ref="R23:R31" si="21">E23*(1-E23)</f>
        <v>4.8524097899498415E-2</v>
      </c>
      <c r="S23" s="467">
        <f t="shared" ref="S23:S31" si="22">F23*(1-F23)</f>
        <v>7.8759730790554094E-2</v>
      </c>
      <c r="T23" s="467">
        <f t="shared" ref="T23:T31" si="23">G23*(1-G23)</f>
        <v>0.11392782998610373</v>
      </c>
      <c r="U23" s="467">
        <f t="shared" ref="U23:U31" si="24">H23*(1-H23)</f>
        <v>0.11392782998610373</v>
      </c>
      <c r="V23" s="467">
        <f t="shared" ref="V23:V31" si="25">I23*(1-I23)</f>
        <v>0.15439714934316881</v>
      </c>
      <c r="W23" s="467">
        <f t="shared" ref="W23:W31" si="26">J23*(1-J23)</f>
        <v>0.23970858135240619</v>
      </c>
      <c r="X23" s="465">
        <f t="shared" ref="X23:X31" si="27">K23*(1-K23)</f>
        <v>0.23970858135240619</v>
      </c>
      <c r="Y23" s="446">
        <f>SUM(O23:X23)</f>
        <v>1.0595167542387436</v>
      </c>
      <c r="AA23" s="464" t="str">
        <f t="shared" ref="AA23:AA31" si="28">IF(ISNUMBER(B5),B5-B23,"")</f>
        <v/>
      </c>
      <c r="AB23" s="467">
        <f t="shared" ref="AB23:AB31" si="29">IF(ISNUMBER(C5),C5-C23,"")</f>
        <v>2.3036110182138247E-2</v>
      </c>
      <c r="AC23" s="467">
        <f t="shared" ref="AC23:AC31" si="30">IF(ISNUMBER(D5),D5-D23,"")</f>
        <v>2.3036110182138247E-2</v>
      </c>
      <c r="AD23" s="467">
        <f t="shared" ref="AD23:AD31" si="31">IF(ISNUMBER(E5),E5-E23,"")</f>
        <v>5.1139328855265398E-2</v>
      </c>
      <c r="AE23" s="467">
        <f t="shared" ref="AE23:AE31" si="32">IF(ISNUMBER(F5),F5-F23,"")</f>
        <v>8.6188123406969019E-2</v>
      </c>
      <c r="AF23" s="467">
        <f t="shared" ref="AF23:AF31" si="33">IF(ISNUMBER(G5),G5-G23,"")</f>
        <v>0.13112038547258231</v>
      </c>
      <c r="AG23" s="467">
        <f t="shared" ref="AG23:AG31" si="34">IF(ISNUMBER(H5),H5-H23,"")</f>
        <v>0.13112038547258231</v>
      </c>
      <c r="AH23" s="467">
        <f t="shared" ref="AH23:AH31" si="35">IF(ISNUMBER(I5),I5-I23,"")</f>
        <v>0.19080289351801627</v>
      </c>
      <c r="AI23" s="467">
        <f t="shared" ref="AI23:AI31" si="36">IF(ISNUMBER(J5),J5-J23,"")</f>
        <v>-0.39855337044734407</v>
      </c>
      <c r="AJ23" s="465">
        <f t="shared" ref="AJ23:AJ31" si="37">IF(ISNUMBER(K5),K5-K23,"")</f>
        <v>0.60144662955265593</v>
      </c>
      <c r="AK23" s="446">
        <f>SUM(AA23:AJ23)</f>
        <v>0.83933659619500367</v>
      </c>
      <c r="AM23" t="s">
        <v>536</v>
      </c>
      <c r="AN23" s="466">
        <f t="shared" si="13"/>
        <v>4.8589028764429276E-2</v>
      </c>
      <c r="AO23" s="447">
        <f t="shared" si="12"/>
        <v>4.8503022716432025E-2</v>
      </c>
      <c r="AP23" s="447">
        <f t="shared" si="12"/>
        <v>4.8503022716432025E-2</v>
      </c>
      <c r="AQ23" s="447">
        <f t="shared" si="12"/>
        <v>0.15624267380819892</v>
      </c>
      <c r="AR23" s="447">
        <f t="shared" si="12"/>
        <v>2.6525354221698039</v>
      </c>
      <c r="AS23" s="447">
        <f t="shared" si="12"/>
        <v>0.80308999873248332</v>
      </c>
      <c r="AT23" s="447">
        <f t="shared" si="12"/>
        <v>0.80308999873248332</v>
      </c>
      <c r="AU23" s="447">
        <f t="shared" si="12"/>
        <v>0.60246761462440712</v>
      </c>
      <c r="AV23" s="447">
        <f t="shared" si="12"/>
        <v>3.2155412317842948E-2</v>
      </c>
      <c r="AW23" s="448">
        <f t="shared" si="12"/>
        <v>3.2155412317842948E-2</v>
      </c>
      <c r="AX23" s="101">
        <f t="shared" si="14"/>
        <v>0.52273316069003573</v>
      </c>
      <c r="AY23" s="102">
        <f t="shared" si="15"/>
        <v>0.87388052263966653</v>
      </c>
      <c r="BM23" t="e">
        <f ca="1"/>
        <v>#NAME?</v>
      </c>
      <c r="BN23" s="156" t="e">
        <f ca="1"/>
        <v>#NAME?</v>
      </c>
      <c r="BO23" s="157" t="e">
        <f ca="1"/>
        <v>#NAME?</v>
      </c>
      <c r="BP23" s="157" t="e">
        <f ca="1"/>
        <v>#NAME?</v>
      </c>
      <c r="BQ23" s="157" t="e">
        <f ca="1"/>
        <v>#NAME?</v>
      </c>
      <c r="BR23" s="157" t="e">
        <f ca="1"/>
        <v>#NAME?</v>
      </c>
      <c r="BS23" s="157" t="e">
        <f ca="1"/>
        <v>#NAME?</v>
      </c>
      <c r="BT23" s="157" t="e">
        <f ca="1"/>
        <v>#NAME?</v>
      </c>
      <c r="BU23" s="157" t="e">
        <f ca="1"/>
        <v>#NAME?</v>
      </c>
      <c r="BV23" s="157" t="e">
        <f ca="1"/>
        <v>#NAME?</v>
      </c>
      <c r="BW23" s="158" t="e">
        <f ca="1"/>
        <v>#NAME?</v>
      </c>
      <c r="BX23" s="453" t="e">
        <f ca="1"/>
        <v>#NAME?</v>
      </c>
      <c r="BY23" s="158" t="e">
        <f ca="1"/>
        <v>#NAME?</v>
      </c>
    </row>
    <row r="24" spans="1:77" ht="12.75" customHeight="1" x14ac:dyDescent="0.35">
      <c r="A24" t="s">
        <v>98</v>
      </c>
      <c r="B24" s="466">
        <f t="shared" ref="B24:K24" si="38">EXP($M6-B$16)/(1+EXP($M6-B$16))</f>
        <v>0.94886067114473471</v>
      </c>
      <c r="C24" s="447">
        <f t="shared" si="38"/>
        <v>0.95496520610980784</v>
      </c>
      <c r="D24" s="447">
        <f t="shared" si="38"/>
        <v>0.95496520610980784</v>
      </c>
      <c r="E24" s="447">
        <f t="shared" si="38"/>
        <v>0.90269733526009688</v>
      </c>
      <c r="F24" s="447">
        <f t="shared" si="38"/>
        <v>0.84130166487803448</v>
      </c>
      <c r="G24" s="447">
        <f t="shared" si="38"/>
        <v>0.76815839028875754</v>
      </c>
      <c r="H24" s="447">
        <f t="shared" si="38"/>
        <v>0.76815839028875754</v>
      </c>
      <c r="I24" s="447">
        <f t="shared" si="38"/>
        <v>0.6795390831570407</v>
      </c>
      <c r="J24" s="447">
        <f t="shared" si="38"/>
        <v>0.24887084158319728</v>
      </c>
      <c r="K24" s="448">
        <f t="shared" si="38"/>
        <v>0.24887084158319728</v>
      </c>
      <c r="M24" s="469">
        <f t="shared" si="17"/>
        <v>1.910656962098138</v>
      </c>
      <c r="O24" s="466">
        <f t="shared" si="18"/>
        <v>4.8524097899498318E-2</v>
      </c>
      <c r="P24" s="447">
        <f t="shared" si="19"/>
        <v>4.3006661229460071E-2</v>
      </c>
      <c r="Q24" s="447">
        <f t="shared" si="20"/>
        <v>4.3006661229460071E-2</v>
      </c>
      <c r="R24" s="447">
        <f t="shared" si="21"/>
        <v>8.7834856174417136E-2</v>
      </c>
      <c r="S24" s="447">
        <f t="shared" si="22"/>
        <v>0.13351317355148185</v>
      </c>
      <c r="T24" s="447">
        <f t="shared" si="23"/>
        <v>0.17809107771774238</v>
      </c>
      <c r="U24" s="447">
        <f t="shared" si="24"/>
        <v>0.17809107771774238</v>
      </c>
      <c r="V24" s="447">
        <f t="shared" si="25"/>
        <v>0.21776571761912922</v>
      </c>
      <c r="W24" s="447">
        <f t="shared" si="26"/>
        <v>0.18693414579286841</v>
      </c>
      <c r="X24" s="448">
        <f t="shared" si="27"/>
        <v>0.18693414579286841</v>
      </c>
      <c r="Y24" s="446">
        <f t="shared" ref="Y24:Y31" si="39">SUM(O24:X24)</f>
        <v>1.3037016147246683</v>
      </c>
      <c r="AA24" s="466">
        <f t="shared" si="28"/>
        <v>5.1139328855265287E-2</v>
      </c>
      <c r="AB24" s="447">
        <f t="shared" si="29"/>
        <v>4.503479389019216E-2</v>
      </c>
      <c r="AC24" s="447">
        <f t="shared" si="30"/>
        <v>4.503479389019216E-2</v>
      </c>
      <c r="AD24" s="447">
        <f t="shared" si="31"/>
        <v>-0.90269733526009688</v>
      </c>
      <c r="AE24" s="447">
        <f t="shared" si="32"/>
        <v>0.15869833512196552</v>
      </c>
      <c r="AF24" s="447">
        <f t="shared" si="33"/>
        <v>0.23184160971124246</v>
      </c>
      <c r="AG24" s="447">
        <f t="shared" si="34"/>
        <v>0.23184160971124246</v>
      </c>
      <c r="AH24" s="447">
        <f t="shared" si="35"/>
        <v>0.3204609168429593</v>
      </c>
      <c r="AI24" s="447">
        <f t="shared" si="36"/>
        <v>0.75112915841680272</v>
      </c>
      <c r="AJ24" s="448">
        <f t="shared" si="37"/>
        <v>-0.24887084158319728</v>
      </c>
      <c r="AK24" s="446">
        <f t="shared" ref="AK24:AK31" si="40">SUM(AA24:AJ24)</f>
        <v>0.6836123695965679</v>
      </c>
      <c r="AM24" t="s">
        <v>101</v>
      </c>
      <c r="AN24" s="466">
        <f t="shared" si="13"/>
        <v>4.8589028764429276E-2</v>
      </c>
      <c r="AO24" s="447">
        <f t="shared" si="12"/>
        <v>4.8503022716432025E-2</v>
      </c>
      <c r="AP24" s="447">
        <f t="shared" si="12"/>
        <v>4.8503022716432025E-2</v>
      </c>
      <c r="AQ24" s="447">
        <f t="shared" si="12"/>
        <v>0.15624267380819892</v>
      </c>
      <c r="AR24" s="447">
        <f t="shared" si="12"/>
        <v>0.37502738347771153</v>
      </c>
      <c r="AS24" s="447">
        <f t="shared" si="12"/>
        <v>1.2458596861449225</v>
      </c>
      <c r="AT24" s="447">
        <f t="shared" si="12"/>
        <v>0.80308999873248332</v>
      </c>
      <c r="AU24" s="447">
        <f t="shared" si="12"/>
        <v>0.60246761462440712</v>
      </c>
      <c r="AV24" s="447">
        <f t="shared" si="12"/>
        <v>3.2155412317842948E-2</v>
      </c>
      <c r="AW24" s="448">
        <f t="shared" si="12"/>
        <v>3.2155412317842948E-2</v>
      </c>
      <c r="AX24" s="101">
        <f t="shared" si="14"/>
        <v>0.33925932556207028</v>
      </c>
      <c r="AY24" s="102">
        <f t="shared" si="15"/>
        <v>0.60184090063201112</v>
      </c>
    </row>
    <row r="25" spans="1:77" x14ac:dyDescent="0.35">
      <c r="A25" t="s">
        <v>99</v>
      </c>
      <c r="B25" s="466">
        <f t="shared" ref="B25:K25" si="41">EXP($M7-B$16)/(1+EXP($M7-B$16))</f>
        <v>0.91542205023865197</v>
      </c>
      <c r="C25" s="447">
        <f t="shared" si="41"/>
        <v>0.92520352742130962</v>
      </c>
      <c r="D25" s="447">
        <f t="shared" si="41"/>
        <v>0.92520352742130962</v>
      </c>
      <c r="E25" s="447">
        <f t="shared" si="41"/>
        <v>0.84403527698500858</v>
      </c>
      <c r="F25" s="447">
        <f t="shared" si="41"/>
        <v>0.75564482510150732</v>
      </c>
      <c r="G25" s="447">
        <f t="shared" si="41"/>
        <v>0.65902336354479818</v>
      </c>
      <c r="H25" s="447">
        <f t="shared" si="41"/>
        <v>0.65902336354479818</v>
      </c>
      <c r="I25" s="447">
        <f t="shared" si="41"/>
        <v>0.55296502646836643</v>
      </c>
      <c r="J25" s="447">
        <f t="shared" si="41"/>
        <v>0.16197036651806959</v>
      </c>
      <c r="K25" s="448">
        <f t="shared" si="41"/>
        <v>0.16197036651806959</v>
      </c>
      <c r="M25" s="469">
        <f t="shared" si="17"/>
        <v>1.1402836159330803</v>
      </c>
      <c r="O25" s="466">
        <f t="shared" si="18"/>
        <v>7.7424520175514919E-2</v>
      </c>
      <c r="P25" s="447">
        <f t="shared" si="19"/>
        <v>6.9201960268475596E-2</v>
      </c>
      <c r="Q25" s="447">
        <f t="shared" si="20"/>
        <v>6.9201960268475596E-2</v>
      </c>
      <c r="R25" s="447">
        <f t="shared" si="21"/>
        <v>0.13163972818984843</v>
      </c>
      <c r="S25" s="447">
        <f t="shared" si="22"/>
        <v>0.18464572339881974</v>
      </c>
      <c r="T25" s="447">
        <f t="shared" si="23"/>
        <v>0.22471156984689894</v>
      </c>
      <c r="U25" s="447">
        <f t="shared" si="24"/>
        <v>0.22471156984689894</v>
      </c>
      <c r="V25" s="447">
        <f t="shared" si="25"/>
        <v>0.24719470597120524</v>
      </c>
      <c r="W25" s="447">
        <f t="shared" si="26"/>
        <v>0.1357359668880718</v>
      </c>
      <c r="X25" s="448">
        <f t="shared" si="27"/>
        <v>0.1357359668880718</v>
      </c>
      <c r="Y25" s="446">
        <f t="shared" si="39"/>
        <v>1.5002036717422809</v>
      </c>
      <c r="AA25" s="466">
        <f t="shared" si="28"/>
        <v>8.4577949761348026E-2</v>
      </c>
      <c r="AB25" s="447">
        <f t="shared" si="29"/>
        <v>7.4796472578690376E-2</v>
      </c>
      <c r="AC25" s="447">
        <f t="shared" si="30"/>
        <v>7.4796472578690376E-2</v>
      </c>
      <c r="AD25" s="447">
        <f t="shared" si="31"/>
        <v>0.15596472301499142</v>
      </c>
      <c r="AE25" s="447">
        <f t="shared" si="32"/>
        <v>0.24435517489849268</v>
      </c>
      <c r="AF25" s="447">
        <f t="shared" si="33"/>
        <v>0.34097663645520182</v>
      </c>
      <c r="AG25" s="447">
        <f t="shared" si="34"/>
        <v>-0.65902336354479818</v>
      </c>
      <c r="AH25" s="447">
        <f t="shared" si="35"/>
        <v>0.44703497353163357</v>
      </c>
      <c r="AI25" s="447">
        <f t="shared" si="36"/>
        <v>-0.16197036651806959</v>
      </c>
      <c r="AJ25" s="448">
        <f t="shared" si="37"/>
        <v>-0.16197036651806959</v>
      </c>
      <c r="AK25" s="446">
        <f t="shared" si="40"/>
        <v>0.43953830623811085</v>
      </c>
      <c r="AM25" t="s">
        <v>281</v>
      </c>
      <c r="AN25" s="466">
        <f t="shared" si="13"/>
        <v>0.21813039066926321</v>
      </c>
      <c r="AO25" s="447">
        <f t="shared" si="12"/>
        <v>0.21772773435281348</v>
      </c>
      <c r="AP25" s="447">
        <f t="shared" si="12"/>
        <v>0.21772773435281348</v>
      </c>
      <c r="AQ25" s="447">
        <f t="shared" si="12"/>
        <v>0.69760928954764778</v>
      </c>
      <c r="AR25" s="447">
        <f t="shared" si="12"/>
        <v>0.60052222482924633</v>
      </c>
      <c r="AS25" s="447">
        <f t="shared" si="12"/>
        <v>0.27912623413043769</v>
      </c>
      <c r="AT25" s="447">
        <f t="shared" si="12"/>
        <v>0.27912623413043786</v>
      </c>
      <c r="AU25" s="447">
        <f t="shared" si="12"/>
        <v>0.13404556790589903</v>
      </c>
      <c r="AV25" s="447">
        <f t="shared" si="12"/>
        <v>7.1475316295080667E-3</v>
      </c>
      <c r="AW25" s="448">
        <f t="shared" si="12"/>
        <v>7.1475316295080667E-3</v>
      </c>
      <c r="AX25" s="101">
        <f t="shared" si="14"/>
        <v>0.26583104731775753</v>
      </c>
      <c r="AY25" s="102">
        <f t="shared" si="15"/>
        <v>0.37657327442968036</v>
      </c>
      <c r="BM25" t="e">
        <f t="array" aca="1" ref="BM25:BY36" ca="1">RASCHFIT(A4:K13,TRUE,BN8,BN9)</f>
        <v>#NAME?</v>
      </c>
      <c r="BN25" t="e">
        <f ca="1"/>
        <v>#NAME?</v>
      </c>
      <c r="BO25" t="e">
        <f ca="1"/>
        <v>#NAME?</v>
      </c>
      <c r="BP25" t="e">
        <f ca="1"/>
        <v>#NAME?</v>
      </c>
      <c r="BQ25" t="e">
        <f ca="1"/>
        <v>#NAME?</v>
      </c>
      <c r="BR25" t="e">
        <f ca="1"/>
        <v>#NAME?</v>
      </c>
      <c r="BS25" t="e">
        <f ca="1"/>
        <v>#NAME?</v>
      </c>
      <c r="BT25" t="e">
        <f ca="1"/>
        <v>#NAME?</v>
      </c>
      <c r="BU25" t="e">
        <f ca="1"/>
        <v>#NAME?</v>
      </c>
      <c r="BV25" t="e">
        <f ca="1"/>
        <v>#NAME?</v>
      </c>
      <c r="BW25" t="e">
        <f ca="1"/>
        <v>#NAME?</v>
      </c>
      <c r="BX25" s="6" t="e">
        <f ca="1"/>
        <v>#NAME?</v>
      </c>
      <c r="BY25" s="6" t="e">
        <f ca="1"/>
        <v>#NAME?</v>
      </c>
    </row>
    <row r="26" spans="1:77" x14ac:dyDescent="0.35">
      <c r="A26" t="s">
        <v>100</v>
      </c>
      <c r="B26" s="466">
        <f t="shared" ref="B26:K26" si="42">EXP($M8-B$16)/(1+EXP($M8-B$16))</f>
        <v>0.91542205023865197</v>
      </c>
      <c r="C26" s="447">
        <f t="shared" si="42"/>
        <v>0.92520352742130962</v>
      </c>
      <c r="D26" s="447">
        <f t="shared" si="42"/>
        <v>0.92520352742130962</v>
      </c>
      <c r="E26" s="447">
        <f t="shared" si="42"/>
        <v>0.84403527698500858</v>
      </c>
      <c r="F26" s="447">
        <f t="shared" si="42"/>
        <v>0.75564482510150732</v>
      </c>
      <c r="G26" s="447">
        <f t="shared" si="42"/>
        <v>0.65902336354479818</v>
      </c>
      <c r="H26" s="447">
        <f t="shared" si="42"/>
        <v>0.65902336354479818</v>
      </c>
      <c r="I26" s="447">
        <f t="shared" si="42"/>
        <v>0.55296502646836643</v>
      </c>
      <c r="J26" s="447">
        <f t="shared" si="42"/>
        <v>0.16197036651806959</v>
      </c>
      <c r="K26" s="448">
        <f t="shared" si="42"/>
        <v>0.16197036651806959</v>
      </c>
      <c r="M26" s="469">
        <f t="shared" si="17"/>
        <v>1.1402836159330803</v>
      </c>
      <c r="O26" s="466">
        <f t="shared" si="18"/>
        <v>7.7424520175514919E-2</v>
      </c>
      <c r="P26" s="447">
        <f t="shared" si="19"/>
        <v>6.9201960268475596E-2</v>
      </c>
      <c r="Q26" s="447">
        <f t="shared" si="20"/>
        <v>6.9201960268475596E-2</v>
      </c>
      <c r="R26" s="447">
        <f t="shared" si="21"/>
        <v>0.13163972818984843</v>
      </c>
      <c r="S26" s="447">
        <f t="shared" si="22"/>
        <v>0.18464572339881974</v>
      </c>
      <c r="T26" s="447">
        <f t="shared" si="23"/>
        <v>0.22471156984689894</v>
      </c>
      <c r="U26" s="447">
        <f t="shared" si="24"/>
        <v>0.22471156984689894</v>
      </c>
      <c r="V26" s="447">
        <f t="shared" si="25"/>
        <v>0.24719470597120524</v>
      </c>
      <c r="W26" s="447">
        <f t="shared" si="26"/>
        <v>0.1357359668880718</v>
      </c>
      <c r="X26" s="448">
        <f t="shared" si="27"/>
        <v>0.1357359668880718</v>
      </c>
      <c r="Y26" s="446">
        <f t="shared" si="39"/>
        <v>1.5002036717422809</v>
      </c>
      <c r="AA26" s="466">
        <f t="shared" si="28"/>
        <v>8.4577949761348026E-2</v>
      </c>
      <c r="AB26" s="447">
        <f t="shared" si="29"/>
        <v>7.4796472578690376E-2</v>
      </c>
      <c r="AC26" s="447">
        <f t="shared" si="30"/>
        <v>7.4796472578690376E-2</v>
      </c>
      <c r="AD26" s="447">
        <f t="shared" si="31"/>
        <v>0.15596472301499142</v>
      </c>
      <c r="AE26" s="447">
        <f t="shared" si="32"/>
        <v>0.24435517489849268</v>
      </c>
      <c r="AF26" s="447">
        <f t="shared" si="33"/>
        <v>0.34097663645520182</v>
      </c>
      <c r="AG26" s="447">
        <f t="shared" si="34"/>
        <v>-0.65902336354479818</v>
      </c>
      <c r="AH26" s="447">
        <f t="shared" si="35"/>
        <v>0.44703497353163357</v>
      </c>
      <c r="AI26" s="447">
        <f t="shared" si="36"/>
        <v>-0.16197036651806959</v>
      </c>
      <c r="AJ26" s="448">
        <f t="shared" si="37"/>
        <v>-0.16197036651806959</v>
      </c>
      <c r="AK26" s="446">
        <f t="shared" si="40"/>
        <v>0.43953830623811085</v>
      </c>
      <c r="AM26" t="s">
        <v>537</v>
      </c>
      <c r="AN26" s="466">
        <f t="shared" si="13"/>
        <v>0.21813039066926321</v>
      </c>
      <c r="AO26" s="447">
        <f t="shared" si="12"/>
        <v>4.5486619219130198</v>
      </c>
      <c r="AP26" s="447">
        <f t="shared" si="12"/>
        <v>0.21772773435281348</v>
      </c>
      <c r="AQ26" s="447">
        <f t="shared" si="12"/>
        <v>1.4340503657947805</v>
      </c>
      <c r="AR26" s="447">
        <f t="shared" si="12"/>
        <v>1.6574055258436626</v>
      </c>
      <c r="AS26" s="447">
        <f t="shared" si="12"/>
        <v>0.27912623413043769</v>
      </c>
      <c r="AT26" s="447">
        <f t="shared" si="12"/>
        <v>3.5123165538738519</v>
      </c>
      <c r="AU26" s="447">
        <f t="shared" si="12"/>
        <v>0.13404556790589903</v>
      </c>
      <c r="AV26" s="447">
        <f t="shared" si="12"/>
        <v>7.1475316295080667E-3</v>
      </c>
      <c r="AW26" s="448">
        <f t="shared" si="12"/>
        <v>7.1475316295080667E-3</v>
      </c>
      <c r="AX26" s="101">
        <f t="shared" si="14"/>
        <v>1.2015759357742744</v>
      </c>
      <c r="AY26" s="102">
        <f t="shared" si="15"/>
        <v>1.5371629343763529</v>
      </c>
      <c r="BM26" t="e">
        <f ca="1"/>
        <v>#NAME?</v>
      </c>
      <c r="BN26" s="454" t="e">
        <f ca="1"/>
        <v>#NAME?</v>
      </c>
      <c r="BO26" s="420" t="e">
        <f ca="1"/>
        <v>#NAME?</v>
      </c>
      <c r="BP26" s="420" t="e">
        <f ca="1"/>
        <v>#NAME?</v>
      </c>
      <c r="BQ26" s="420" t="e">
        <f ca="1"/>
        <v>#NAME?</v>
      </c>
      <c r="BR26" s="420" t="e">
        <f ca="1"/>
        <v>#NAME?</v>
      </c>
      <c r="BS26" s="420" t="e">
        <f ca="1"/>
        <v>#NAME?</v>
      </c>
      <c r="BT26" s="420" t="e">
        <f ca="1"/>
        <v>#NAME?</v>
      </c>
      <c r="BU26" s="420" t="e">
        <f ca="1"/>
        <v>#NAME?</v>
      </c>
      <c r="BV26" s="420" t="e">
        <f ca="1"/>
        <v>#NAME?</v>
      </c>
      <c r="BW26" s="421" t="e">
        <f ca="1"/>
        <v>#NAME?</v>
      </c>
      <c r="BX26" s="419" t="e">
        <f ca="1"/>
        <v>#NAME?</v>
      </c>
      <c r="BY26" s="421" t="e">
        <f ca="1"/>
        <v>#NAME?</v>
      </c>
    </row>
    <row r="27" spans="1:77" x14ac:dyDescent="0.35">
      <c r="A27" t="s">
        <v>536</v>
      </c>
      <c r="B27" s="466">
        <f t="shared" ref="B27:K27" si="43">EXP($M9-B$16)/(1+EXP($M9-B$16))</f>
        <v>0.87433883572618287</v>
      </c>
      <c r="C27" s="447">
        <f t="shared" si="43"/>
        <v>0.88829180858641577</v>
      </c>
      <c r="D27" s="447">
        <f t="shared" si="43"/>
        <v>0.88829180858641577</v>
      </c>
      <c r="E27" s="447">
        <f t="shared" si="43"/>
        <v>0.77673358864630759</v>
      </c>
      <c r="F27" s="447">
        <f t="shared" si="43"/>
        <v>0.66532503837071677</v>
      </c>
      <c r="G27" s="447">
        <f t="shared" si="43"/>
        <v>0.554065856759973</v>
      </c>
      <c r="H27" s="447">
        <f t="shared" si="43"/>
        <v>0.554065856759973</v>
      </c>
      <c r="I27" s="447">
        <f t="shared" si="43"/>
        <v>0.4429557436209825</v>
      </c>
      <c r="J27" s="447">
        <f t="shared" si="43"/>
        <v>0.11051682514563468</v>
      </c>
      <c r="K27" s="448">
        <f t="shared" si="43"/>
        <v>0.11051682514563468</v>
      </c>
      <c r="M27" s="469">
        <f t="shared" si="17"/>
        <v>0.48762363805455522</v>
      </c>
      <c r="O27" s="466">
        <f t="shared" si="18"/>
        <v>0.10987043606716587</v>
      </c>
      <c r="P27" s="447">
        <f t="shared" si="19"/>
        <v>9.9229471384690265E-2</v>
      </c>
      <c r="Q27" s="447">
        <f t="shared" si="20"/>
        <v>9.9229471384690265E-2</v>
      </c>
      <c r="R27" s="447">
        <f t="shared" si="21"/>
        <v>0.17341852091493623</v>
      </c>
      <c r="S27" s="447">
        <f t="shared" si="22"/>
        <v>0.22266763168772102</v>
      </c>
      <c r="T27" s="447">
        <f t="shared" si="23"/>
        <v>0.24707688313281009</v>
      </c>
      <c r="U27" s="447">
        <f t="shared" si="24"/>
        <v>0.24707688313281009</v>
      </c>
      <c r="V27" s="447">
        <f t="shared" si="25"/>
        <v>0.24674595281416489</v>
      </c>
      <c r="W27" s="447">
        <f t="shared" si="26"/>
        <v>9.8302856505363898E-2</v>
      </c>
      <c r="X27" s="448">
        <f t="shared" si="27"/>
        <v>9.8302856505363898E-2</v>
      </c>
      <c r="Y27" s="446">
        <f t="shared" si="39"/>
        <v>1.6419209635297165</v>
      </c>
      <c r="AA27" s="466">
        <f t="shared" si="28"/>
        <v>0.12566116427381713</v>
      </c>
      <c r="AB27" s="447">
        <f t="shared" si="29"/>
        <v>0.11170819141358423</v>
      </c>
      <c r="AC27" s="447">
        <f t="shared" si="30"/>
        <v>0.11170819141358423</v>
      </c>
      <c r="AD27" s="447">
        <f t="shared" si="31"/>
        <v>0.22326641135369241</v>
      </c>
      <c r="AE27" s="447">
        <f t="shared" si="32"/>
        <v>-0.66532503837071677</v>
      </c>
      <c r="AF27" s="447">
        <f t="shared" si="33"/>
        <v>0.445934143240027</v>
      </c>
      <c r="AG27" s="447">
        <f t="shared" si="34"/>
        <v>0.445934143240027</v>
      </c>
      <c r="AH27" s="447">
        <f t="shared" si="35"/>
        <v>-0.4429557436209825</v>
      </c>
      <c r="AI27" s="447">
        <f t="shared" si="36"/>
        <v>-0.11051682514563468</v>
      </c>
      <c r="AJ27" s="448">
        <f t="shared" si="37"/>
        <v>-0.11051682514563468</v>
      </c>
      <c r="AK27" s="446">
        <f t="shared" si="40"/>
        <v>0.13489781265176337</v>
      </c>
      <c r="AM27" t="s">
        <v>905</v>
      </c>
      <c r="AN27" s="449">
        <f t="shared" si="13"/>
        <v>0.99681994276888597</v>
      </c>
      <c r="AO27" s="450">
        <f t="shared" si="12"/>
        <v>1.0011614036079122</v>
      </c>
      <c r="AP27" s="450">
        <f t="shared" si="12"/>
        <v>0.99884582818872236</v>
      </c>
      <c r="AQ27" s="450">
        <f t="shared" si="12"/>
        <v>3.169310517063709</v>
      </c>
      <c r="AR27" s="450">
        <f t="shared" si="12"/>
        <v>0.12935630429331216</v>
      </c>
      <c r="AS27" s="450">
        <f t="shared" si="12"/>
        <v>5.9989115828427086E-2</v>
      </c>
      <c r="AT27" s="450">
        <f t="shared" si="12"/>
        <v>5.9989115828427163E-2</v>
      </c>
      <c r="AU27" s="450">
        <f t="shared" si="12"/>
        <v>2.8816055579710665E-2</v>
      </c>
      <c r="AV27" s="450">
        <f t="shared" si="12"/>
        <v>1.541477792488371E-3</v>
      </c>
      <c r="AW27" s="451">
        <f t="shared" si="12"/>
        <v>1.541477792488371E-3</v>
      </c>
      <c r="AX27" s="89">
        <f t="shared" si="14"/>
        <v>0.6447371238744084</v>
      </c>
      <c r="AY27" s="93">
        <f t="shared" si="15"/>
        <v>1.1403227672908378</v>
      </c>
      <c r="BM27" t="e">
        <f ca="1"/>
        <v>#NAME?</v>
      </c>
      <c r="BN27" s="99" t="e">
        <f ca="1"/>
        <v>#NAME?</v>
      </c>
      <c r="BO27" s="4" t="e">
        <f ca="1"/>
        <v>#NAME?</v>
      </c>
      <c r="BP27" s="4" t="e">
        <f ca="1"/>
        <v>#NAME?</v>
      </c>
      <c r="BQ27" s="455" t="e">
        <f ca="1"/>
        <v>#NAME?</v>
      </c>
      <c r="BR27" s="4" t="e">
        <f ca="1"/>
        <v>#NAME?</v>
      </c>
      <c r="BS27" s="4" t="e">
        <f ca="1"/>
        <v>#NAME?</v>
      </c>
      <c r="BT27" s="4" t="e">
        <f ca="1"/>
        <v>#NAME?</v>
      </c>
      <c r="BU27" s="4" t="e">
        <f ca="1"/>
        <v>#NAME?</v>
      </c>
      <c r="BV27" s="455" t="e">
        <f ca="1"/>
        <v>#NAME?</v>
      </c>
      <c r="BW27" s="32" t="e">
        <f ca="1"/>
        <v>#NAME?</v>
      </c>
      <c r="BX27" s="457" t="e">
        <f ca="1"/>
        <v>#NAME?</v>
      </c>
      <c r="BY27" s="456" t="e">
        <f ca="1"/>
        <v>#NAME?</v>
      </c>
    </row>
    <row r="28" spans="1:77" x14ac:dyDescent="0.35">
      <c r="A28" t="s">
        <v>101</v>
      </c>
      <c r="B28" s="466">
        <f t="shared" ref="B28:K28" si="44">EXP($M10-B$16)/(1+EXP($M10-B$16))</f>
        <v>0.87433883572618287</v>
      </c>
      <c r="C28" s="447">
        <f t="shared" si="44"/>
        <v>0.88829180858641577</v>
      </c>
      <c r="D28" s="447">
        <f t="shared" si="44"/>
        <v>0.88829180858641577</v>
      </c>
      <c r="E28" s="447">
        <f t="shared" si="44"/>
        <v>0.77673358864630759</v>
      </c>
      <c r="F28" s="447">
        <f t="shared" si="44"/>
        <v>0.66532503837071677</v>
      </c>
      <c r="G28" s="447">
        <f t="shared" si="44"/>
        <v>0.554065856759973</v>
      </c>
      <c r="H28" s="447">
        <f t="shared" si="44"/>
        <v>0.554065856759973</v>
      </c>
      <c r="I28" s="447">
        <f t="shared" si="44"/>
        <v>0.4429557436209825</v>
      </c>
      <c r="J28" s="447">
        <f t="shared" si="44"/>
        <v>0.11051682514563468</v>
      </c>
      <c r="K28" s="448">
        <f t="shared" si="44"/>
        <v>0.11051682514563468</v>
      </c>
      <c r="M28" s="469">
        <f t="shared" si="17"/>
        <v>0.48762363805455522</v>
      </c>
      <c r="O28" s="466">
        <f t="shared" si="18"/>
        <v>0.10987043606716587</v>
      </c>
      <c r="P28" s="447">
        <f t="shared" si="19"/>
        <v>9.9229471384690265E-2</v>
      </c>
      <c r="Q28" s="447">
        <f t="shared" si="20"/>
        <v>9.9229471384690265E-2</v>
      </c>
      <c r="R28" s="447">
        <f t="shared" si="21"/>
        <v>0.17341852091493623</v>
      </c>
      <c r="S28" s="447">
        <f t="shared" si="22"/>
        <v>0.22266763168772102</v>
      </c>
      <c r="T28" s="447">
        <f t="shared" si="23"/>
        <v>0.24707688313281009</v>
      </c>
      <c r="U28" s="447">
        <f t="shared" si="24"/>
        <v>0.24707688313281009</v>
      </c>
      <c r="V28" s="447">
        <f t="shared" si="25"/>
        <v>0.24674595281416489</v>
      </c>
      <c r="W28" s="447">
        <f t="shared" si="26"/>
        <v>9.8302856505363898E-2</v>
      </c>
      <c r="X28" s="448">
        <f t="shared" si="27"/>
        <v>9.8302856505363898E-2</v>
      </c>
      <c r="Y28" s="446">
        <f t="shared" si="39"/>
        <v>1.6419209635297165</v>
      </c>
      <c r="AA28" s="466">
        <f t="shared" si="28"/>
        <v>0.12566116427381713</v>
      </c>
      <c r="AB28" s="447">
        <f t="shared" si="29"/>
        <v>0.11170819141358423</v>
      </c>
      <c r="AC28" s="447">
        <f t="shared" si="30"/>
        <v>0.11170819141358423</v>
      </c>
      <c r="AD28" s="447">
        <f t="shared" si="31"/>
        <v>0.22326641135369241</v>
      </c>
      <c r="AE28" s="447">
        <f t="shared" si="32"/>
        <v>0.33467496162928323</v>
      </c>
      <c r="AF28" s="447">
        <f t="shared" si="33"/>
        <v>-0.554065856759973</v>
      </c>
      <c r="AG28" s="447">
        <f t="shared" si="34"/>
        <v>0.445934143240027</v>
      </c>
      <c r="AH28" s="447">
        <f t="shared" si="35"/>
        <v>-0.4429557436209825</v>
      </c>
      <c r="AI28" s="447">
        <f t="shared" si="36"/>
        <v>-0.11051682514563468</v>
      </c>
      <c r="AJ28" s="448">
        <f t="shared" si="37"/>
        <v>-0.11051682514563468</v>
      </c>
      <c r="AK28" s="446">
        <f t="shared" si="40"/>
        <v>0.13489781265176337</v>
      </c>
      <c r="AM28" t="s">
        <v>912</v>
      </c>
      <c r="AN28" s="423">
        <f>AVERAGE(AN19:AN27)</f>
        <v>0.19691675554480631</v>
      </c>
      <c r="AO28" s="424">
        <f t="shared" ref="AO28:AW28" si="45">AVERAGE(AO19:AO27)</f>
        <v>0.65675545420768355</v>
      </c>
      <c r="AP28" s="424">
        <f t="shared" si="45"/>
        <v>0.17528325832108402</v>
      </c>
      <c r="AQ28" s="424">
        <f t="shared" si="45"/>
        <v>6.0406611630446863</v>
      </c>
      <c r="AR28" s="424">
        <f t="shared" si="45"/>
        <v>0.64146924989538801</v>
      </c>
      <c r="AS28" s="424">
        <f t="shared" si="45"/>
        <v>0.38211110346233057</v>
      </c>
      <c r="AT28" s="424">
        <f t="shared" si="45"/>
        <v>1.291630183541961</v>
      </c>
      <c r="AU28" s="424">
        <f t="shared" si="45"/>
        <v>0.34468763919847151</v>
      </c>
      <c r="AV28" s="424">
        <f t="shared" si="45"/>
        <v>0.56377748116845727</v>
      </c>
      <c r="AW28" s="425">
        <f t="shared" si="45"/>
        <v>0.14716908579361809</v>
      </c>
      <c r="AX28" s="4"/>
      <c r="AY28" s="4"/>
      <c r="AZ28" s="4"/>
      <c r="BM28" t="e">
        <f ca="1"/>
        <v>#NAME?</v>
      </c>
      <c r="BN28" s="99" t="e">
        <f ca="1"/>
        <v>#NAME?</v>
      </c>
      <c r="BO28" s="4" t="e">
        <f ca="1"/>
        <v>#NAME?</v>
      </c>
      <c r="BP28" s="4" t="e">
        <f ca="1"/>
        <v>#NAME?</v>
      </c>
      <c r="BQ28" s="4" t="e">
        <f ca="1"/>
        <v>#NAME?</v>
      </c>
      <c r="BR28" s="4" t="e">
        <f ca="1"/>
        <v>#NAME?</v>
      </c>
      <c r="BS28" s="4" t="e">
        <f ca="1"/>
        <v>#NAME?</v>
      </c>
      <c r="BT28" s="455" t="e">
        <f ca="1"/>
        <v>#NAME?</v>
      </c>
      <c r="BU28" s="4" t="e">
        <f ca="1"/>
        <v>#NAME?</v>
      </c>
      <c r="BV28" s="4" t="e">
        <f ca="1"/>
        <v>#NAME?</v>
      </c>
      <c r="BW28" s="32" t="e">
        <f ca="1"/>
        <v>#NAME?</v>
      </c>
      <c r="BX28" s="99" t="e">
        <f ca="1"/>
        <v>#NAME?</v>
      </c>
      <c r="BY28" s="32" t="e">
        <f ca="1"/>
        <v>#NAME?</v>
      </c>
    </row>
    <row r="29" spans="1:77" x14ac:dyDescent="0.35">
      <c r="A29" t="s">
        <v>281</v>
      </c>
      <c r="B29" s="466">
        <f t="shared" ref="B29:K29" si="46">EXP($M11-B$16)/(1+EXP($M11-B$16))</f>
        <v>0.75564482510150743</v>
      </c>
      <c r="C29" s="447">
        <f t="shared" si="46"/>
        <v>0.77945273889369193</v>
      </c>
      <c r="D29" s="447">
        <f t="shared" si="46"/>
        <v>0.77945273889369193</v>
      </c>
      <c r="E29" s="447">
        <f t="shared" si="46"/>
        <v>0.60725815293302299</v>
      </c>
      <c r="F29" s="447">
        <f t="shared" si="46"/>
        <v>0.46908590450634408</v>
      </c>
      <c r="G29" s="447">
        <f t="shared" si="46"/>
        <v>0.35575932148011347</v>
      </c>
      <c r="H29" s="447">
        <f t="shared" si="46"/>
        <v>0.35575932148011347</v>
      </c>
      <c r="I29" s="447">
        <f t="shared" si="46"/>
        <v>0.26112972604322593</v>
      </c>
      <c r="J29" s="447">
        <f t="shared" si="46"/>
        <v>5.233166061220413E-2</v>
      </c>
      <c r="K29" s="448">
        <f t="shared" si="46"/>
        <v>5.233166061220413E-2</v>
      </c>
      <c r="M29" s="469">
        <f t="shared" si="17"/>
        <v>-0.67051024093447631</v>
      </c>
      <c r="O29" s="466">
        <f t="shared" si="18"/>
        <v>0.18464572339881968</v>
      </c>
      <c r="P29" s="447">
        <f t="shared" si="19"/>
        <v>0.17190616672481404</v>
      </c>
      <c r="Q29" s="447">
        <f t="shared" si="20"/>
        <v>0.17190616672481404</v>
      </c>
      <c r="R29" s="447">
        <f t="shared" si="21"/>
        <v>0.23849568862939624</v>
      </c>
      <c r="S29" s="447">
        <f t="shared" si="22"/>
        <v>0.24904431869980914</v>
      </c>
      <c r="T29" s="447">
        <f t="shared" si="23"/>
        <v>0.22919462666012275</v>
      </c>
      <c r="U29" s="447">
        <f t="shared" si="24"/>
        <v>0.22919462666012275</v>
      </c>
      <c r="V29" s="447">
        <f t="shared" si="25"/>
        <v>0.1929409922198157</v>
      </c>
      <c r="W29" s="447">
        <f t="shared" si="26"/>
        <v>4.9593057909773211E-2</v>
      </c>
      <c r="X29" s="448">
        <f t="shared" si="27"/>
        <v>4.9593057909773211E-2</v>
      </c>
      <c r="Y29" s="446">
        <f t="shared" si="39"/>
        <v>1.7665144255372609</v>
      </c>
      <c r="AA29" s="466">
        <f t="shared" si="28"/>
        <v>0.24435517489849257</v>
      </c>
      <c r="AB29" s="447">
        <f t="shared" si="29"/>
        <v>0.22054726110630807</v>
      </c>
      <c r="AC29" s="447">
        <f t="shared" si="30"/>
        <v>0.22054726110630807</v>
      </c>
      <c r="AD29" s="447">
        <f t="shared" si="31"/>
        <v>0.39274184706697701</v>
      </c>
      <c r="AE29" s="447">
        <f t="shared" si="32"/>
        <v>-0.46908590450634408</v>
      </c>
      <c r="AF29" s="447">
        <f t="shared" si="33"/>
        <v>-0.35575932148011347</v>
      </c>
      <c r="AG29" s="447">
        <f t="shared" si="34"/>
        <v>-0.35575932148011347</v>
      </c>
      <c r="AH29" s="447">
        <f t="shared" si="35"/>
        <v>-0.26112972604322593</v>
      </c>
      <c r="AI29" s="447">
        <f t="shared" si="36"/>
        <v>-5.233166061220413E-2</v>
      </c>
      <c r="AJ29" s="448">
        <f t="shared" si="37"/>
        <v>-5.233166061220413E-2</v>
      </c>
      <c r="AK29" s="446">
        <f t="shared" si="40"/>
        <v>-0.46820605055611952</v>
      </c>
      <c r="AM29" t="s">
        <v>913</v>
      </c>
      <c r="AN29" s="89">
        <f>SUMSQ('Rasch A'!AA257:AA265)/SUM('Rasch A'!O257:O265)</f>
        <v>0.46832056222680957</v>
      </c>
      <c r="AO29" s="159">
        <f>SUMSQ('Rasch A'!AB257:AB265)/SUM('Rasch A'!P257:P265)</f>
        <v>1.4114121871244338</v>
      </c>
      <c r="AP29" s="159">
        <f>SUMSQ('Rasch A'!AC257:AC265)/SUM('Rasch A'!Q257:Q265)</f>
        <v>0.46915957438130446</v>
      </c>
      <c r="AQ29" s="159">
        <f>SUMSQ('Rasch A'!AD257:AD265)/SUM('Rasch A'!R257:R265)</f>
        <v>2.0243969070139283</v>
      </c>
      <c r="AR29" s="159">
        <f>SUMSQ('Rasch A'!AE257:AE265)/SUM('Rasch A'!S257:S265)</f>
        <v>0.9456649555630996</v>
      </c>
      <c r="AS29" s="159">
        <f>SUMSQ('Rasch A'!AF257:AF265)/SUM('Rasch A'!T257:T265)</f>
        <v>0.53905729328658614</v>
      </c>
      <c r="AT29" s="159">
        <f>SUMSQ('Rasch A'!AG257:AG265)/SUM('Rasch A'!U257:U265)</f>
        <v>1.6070174911908965</v>
      </c>
      <c r="AU29" s="159">
        <f>SUMSQ('Rasch A'!AH257:AH265)/SUM('Rasch A'!V257:V265)</f>
        <v>0.48835734220245669</v>
      </c>
      <c r="AV29" s="159">
        <f>SUMSQ('Rasch A'!AI257:AI265)/SUM('Rasch A'!W257:W265)</f>
        <v>1.4632241972271669</v>
      </c>
      <c r="AW29" s="93">
        <f>SUMSQ('Rasch A'!AJ257:AJ265)/SUM('Rasch A'!X257:X265)</f>
        <v>0.41036530603097021</v>
      </c>
      <c r="AX29" s="4"/>
      <c r="AY29" s="4"/>
      <c r="AZ29" s="4"/>
      <c r="BM29" t="e">
        <f ca="1"/>
        <v>#NAME?</v>
      </c>
      <c r="BN29" s="99" t="e">
        <f ca="1"/>
        <v>#NAME?</v>
      </c>
      <c r="BO29" s="4" t="e">
        <f ca="1"/>
        <v>#NAME?</v>
      </c>
      <c r="BP29" s="4" t="e">
        <f ca="1"/>
        <v>#NAME?</v>
      </c>
      <c r="BQ29" s="4" t="e">
        <f ca="1"/>
        <v>#NAME?</v>
      </c>
      <c r="BR29" s="4" t="e">
        <f ca="1"/>
        <v>#NAME?</v>
      </c>
      <c r="BS29" s="4" t="e">
        <f ca="1"/>
        <v>#NAME?</v>
      </c>
      <c r="BT29" s="455" t="e">
        <f ca="1"/>
        <v>#NAME?</v>
      </c>
      <c r="BU29" s="4" t="e">
        <f ca="1"/>
        <v>#NAME?</v>
      </c>
      <c r="BV29" s="4" t="e">
        <f ca="1"/>
        <v>#NAME?</v>
      </c>
      <c r="BW29" s="32" t="e">
        <f ca="1"/>
        <v>#NAME?</v>
      </c>
      <c r="BX29" s="99" t="e">
        <f ca="1"/>
        <v>#NAME?</v>
      </c>
      <c r="BY29" s="32" t="e">
        <f ca="1"/>
        <v>#NAME?</v>
      </c>
    </row>
    <row r="30" spans="1:77" x14ac:dyDescent="0.35">
      <c r="A30" t="s">
        <v>537</v>
      </c>
      <c r="B30" s="466">
        <f t="shared" ref="B30:K30" si="47">EXP($M12-B$16)/(1+EXP($M12-B$16))</f>
        <v>0.75564482510150743</v>
      </c>
      <c r="C30" s="447">
        <f t="shared" si="47"/>
        <v>0.77945273889369193</v>
      </c>
      <c r="D30" s="447">
        <f t="shared" si="47"/>
        <v>0.77945273889369193</v>
      </c>
      <c r="E30" s="447">
        <f t="shared" si="47"/>
        <v>0.60725815293302299</v>
      </c>
      <c r="F30" s="447">
        <f t="shared" si="47"/>
        <v>0.46908590450634408</v>
      </c>
      <c r="G30" s="447">
        <f t="shared" si="47"/>
        <v>0.35575932148011347</v>
      </c>
      <c r="H30" s="447">
        <f t="shared" si="47"/>
        <v>0.35575932148011347</v>
      </c>
      <c r="I30" s="447">
        <f t="shared" si="47"/>
        <v>0.26112972604322593</v>
      </c>
      <c r="J30" s="447">
        <f t="shared" si="47"/>
        <v>5.233166061220413E-2</v>
      </c>
      <c r="K30" s="448">
        <f t="shared" si="47"/>
        <v>5.233166061220413E-2</v>
      </c>
      <c r="M30" s="469">
        <f t="shared" si="17"/>
        <v>-0.6705102409344762</v>
      </c>
      <c r="O30" s="466">
        <f t="shared" si="18"/>
        <v>0.18464572339881968</v>
      </c>
      <c r="P30" s="447">
        <f t="shared" si="19"/>
        <v>0.17190616672481404</v>
      </c>
      <c r="Q30" s="447">
        <f t="shared" si="20"/>
        <v>0.17190616672481404</v>
      </c>
      <c r="R30" s="447">
        <f t="shared" si="21"/>
        <v>0.23849568862939624</v>
      </c>
      <c r="S30" s="447">
        <f t="shared" si="22"/>
        <v>0.24904431869980914</v>
      </c>
      <c r="T30" s="447">
        <f t="shared" si="23"/>
        <v>0.22919462666012275</v>
      </c>
      <c r="U30" s="447">
        <f t="shared" si="24"/>
        <v>0.22919462666012275</v>
      </c>
      <c r="V30" s="447">
        <f t="shared" si="25"/>
        <v>0.1929409922198157</v>
      </c>
      <c r="W30" s="447">
        <f t="shared" si="26"/>
        <v>4.9593057909773211E-2</v>
      </c>
      <c r="X30" s="448">
        <f t="shared" si="27"/>
        <v>4.9593057909773211E-2</v>
      </c>
      <c r="Y30" s="446">
        <f t="shared" si="39"/>
        <v>1.7665144255372609</v>
      </c>
      <c r="AA30" s="466">
        <f t="shared" si="28"/>
        <v>0.24435517489849257</v>
      </c>
      <c r="AB30" s="447">
        <f t="shared" si="29"/>
        <v>-0.77945273889369193</v>
      </c>
      <c r="AC30" s="447">
        <f t="shared" si="30"/>
        <v>0.22054726110630807</v>
      </c>
      <c r="AD30" s="447">
        <f t="shared" si="31"/>
        <v>-0.60725815293302299</v>
      </c>
      <c r="AE30" s="447">
        <f t="shared" si="32"/>
        <v>0.53091409549365598</v>
      </c>
      <c r="AF30" s="447">
        <f t="shared" si="33"/>
        <v>-0.35575932148011347</v>
      </c>
      <c r="AG30" s="447">
        <f t="shared" si="34"/>
        <v>0.64424067851988653</v>
      </c>
      <c r="AH30" s="447">
        <f t="shared" si="35"/>
        <v>-0.26112972604322593</v>
      </c>
      <c r="AI30" s="447">
        <f t="shared" si="36"/>
        <v>-5.233166061220413E-2</v>
      </c>
      <c r="AJ30" s="448">
        <f t="shared" si="37"/>
        <v>-5.233166061220413E-2</v>
      </c>
      <c r="AK30" s="446">
        <f t="shared" si="40"/>
        <v>-0.46820605055611941</v>
      </c>
      <c r="AX30" s="4"/>
      <c r="AY30" s="4"/>
      <c r="AZ30" s="4"/>
      <c r="BM30" t="e">
        <f ca="1"/>
        <v>#NAME?</v>
      </c>
      <c r="BN30" s="99" t="e">
        <f ca="1"/>
        <v>#NAME?</v>
      </c>
      <c r="BO30" s="4" t="e">
        <f ca="1"/>
        <v>#NAME?</v>
      </c>
      <c r="BP30" s="4" t="e">
        <f ca="1"/>
        <v>#NAME?</v>
      </c>
      <c r="BQ30" s="4" t="e">
        <f ca="1"/>
        <v>#NAME?</v>
      </c>
      <c r="BR30" s="455" t="e">
        <f ca="1"/>
        <v>#NAME?</v>
      </c>
      <c r="BS30" s="4" t="e">
        <f ca="1"/>
        <v>#NAME?</v>
      </c>
      <c r="BT30" s="4" t="e">
        <f ca="1"/>
        <v>#NAME?</v>
      </c>
      <c r="BU30" s="4" t="e">
        <f ca="1"/>
        <v>#NAME?</v>
      </c>
      <c r="BV30" s="4" t="e">
        <f ca="1"/>
        <v>#NAME?</v>
      </c>
      <c r="BW30" s="32" t="e">
        <f ca="1"/>
        <v>#NAME?</v>
      </c>
      <c r="BX30" s="99" t="e">
        <f ca="1"/>
        <v>#NAME?</v>
      </c>
      <c r="BY30" s="32" t="e">
        <f ca="1"/>
        <v>#NAME?</v>
      </c>
    </row>
    <row r="31" spans="1:77" x14ac:dyDescent="0.35">
      <c r="A31" t="s">
        <v>905</v>
      </c>
      <c r="B31" s="449">
        <f t="shared" ref="B31:K31" si="48">EXP($M13-B$16)/(1+EXP($M13-B$16))</f>
        <v>0.53696229802276052</v>
      </c>
      <c r="C31" s="450">
        <f t="shared" si="48"/>
        <v>0.56995089192750936</v>
      </c>
      <c r="D31" s="450">
        <f t="shared" si="48"/>
        <v>0.56995089192750936</v>
      </c>
      <c r="E31" s="450">
        <f t="shared" si="48"/>
        <v>0.3670187701226541</v>
      </c>
      <c r="F31" s="450">
        <f t="shared" si="48"/>
        <v>0.24887084158319719</v>
      </c>
      <c r="G31" s="450">
        <f t="shared" si="48"/>
        <v>0.17155490619547076</v>
      </c>
      <c r="H31" s="450">
        <f t="shared" si="48"/>
        <v>0.17155490619547076</v>
      </c>
      <c r="I31" s="450">
        <f t="shared" si="48"/>
        <v>0.11702241708818004</v>
      </c>
      <c r="J31" s="450">
        <f t="shared" si="48"/>
        <v>2.0287936096013204E-2</v>
      </c>
      <c r="K31" s="451">
        <f t="shared" si="48"/>
        <v>2.0287936096013204E-2</v>
      </c>
      <c r="M31" s="470">
        <f t="shared" si="17"/>
        <v>-1.8867666111394918</v>
      </c>
      <c r="O31" s="449">
        <f t="shared" si="18"/>
        <v>0.24863378852487664</v>
      </c>
      <c r="P31" s="450">
        <f t="shared" si="19"/>
        <v>0.24510687271854589</v>
      </c>
      <c r="Q31" s="450">
        <f t="shared" si="20"/>
        <v>0.24510687271854589</v>
      </c>
      <c r="R31" s="450">
        <f t="shared" si="21"/>
        <v>0.23231599250030846</v>
      </c>
      <c r="S31" s="450">
        <f t="shared" si="22"/>
        <v>0.18693414579286838</v>
      </c>
      <c r="T31" s="450">
        <f t="shared" si="23"/>
        <v>0.14212382035573398</v>
      </c>
      <c r="U31" s="450">
        <f t="shared" si="24"/>
        <v>0.14212382035573398</v>
      </c>
      <c r="V31" s="450">
        <f t="shared" si="25"/>
        <v>0.10332817098702006</v>
      </c>
      <c r="W31" s="450">
        <f t="shared" si="26"/>
        <v>1.9876335744977287E-2</v>
      </c>
      <c r="X31" s="451">
        <f t="shared" si="27"/>
        <v>1.9876335744977287E-2</v>
      </c>
      <c r="Y31" s="446">
        <f t="shared" si="39"/>
        <v>1.585426155443588</v>
      </c>
      <c r="AA31" s="449">
        <f t="shared" si="28"/>
        <v>-0.53696229802276052</v>
      </c>
      <c r="AB31" s="450">
        <f t="shared" si="29"/>
        <v>0.43004910807249064</v>
      </c>
      <c r="AC31" s="450">
        <f t="shared" si="30"/>
        <v>-0.56995089192750936</v>
      </c>
      <c r="AD31" s="450">
        <f t="shared" si="31"/>
        <v>0.63298122987734584</v>
      </c>
      <c r="AE31" s="450">
        <f t="shared" si="32"/>
        <v>-0.24887084158319719</v>
      </c>
      <c r="AF31" s="450">
        <f t="shared" si="33"/>
        <v>-0.17155490619547076</v>
      </c>
      <c r="AG31" s="450">
        <f t="shared" si="34"/>
        <v>-0.17155490619547076</v>
      </c>
      <c r="AH31" s="450">
        <f t="shared" si="35"/>
        <v>-0.11702241708818004</v>
      </c>
      <c r="AI31" s="450">
        <f t="shared" si="36"/>
        <v>-2.0287936096013204E-2</v>
      </c>
      <c r="AJ31" s="451">
        <f t="shared" si="37"/>
        <v>-2.0287936096013204E-2</v>
      </c>
      <c r="AK31" s="446">
        <f t="shared" si="40"/>
        <v>-0.79346179525477856</v>
      </c>
      <c r="BM31" t="e">
        <f ca="1"/>
        <v>#NAME?</v>
      </c>
      <c r="BN31" s="99" t="e">
        <f ca="1"/>
        <v>#NAME?</v>
      </c>
      <c r="BO31" s="4" t="e">
        <f ca="1"/>
        <v>#NAME?</v>
      </c>
      <c r="BP31" s="4" t="e">
        <f ca="1"/>
        <v>#NAME?</v>
      </c>
      <c r="BQ31" s="4" t="e">
        <f ca="1"/>
        <v>#NAME?</v>
      </c>
      <c r="BR31" s="4" t="e">
        <f ca="1"/>
        <v>#NAME?</v>
      </c>
      <c r="BS31" s="4" t="e">
        <f ca="1"/>
        <v>#NAME?</v>
      </c>
      <c r="BT31" s="4" t="e">
        <f ca="1"/>
        <v>#NAME?</v>
      </c>
      <c r="BU31" s="4" t="e">
        <f ca="1"/>
        <v>#NAME?</v>
      </c>
      <c r="BV31" s="4" t="e">
        <f ca="1"/>
        <v>#NAME?</v>
      </c>
      <c r="BW31" s="32" t="e">
        <f ca="1"/>
        <v>#NAME?</v>
      </c>
      <c r="BX31" s="99" t="e">
        <f ca="1"/>
        <v>#NAME?</v>
      </c>
      <c r="BY31" s="32" t="e">
        <f ca="1"/>
        <v>#NAME?</v>
      </c>
    </row>
    <row r="32" spans="1:77" x14ac:dyDescent="0.35">
      <c r="O32" s="446">
        <f>SUM(O23:O31)</f>
        <v>1.0665913036162491</v>
      </c>
      <c r="P32" s="446">
        <f t="shared" ref="P32:X32" si="49">SUM(P23:P31)</f>
        <v>0.99129417851378054</v>
      </c>
      <c r="Q32" s="446">
        <f t="shared" si="49"/>
        <v>0.99129417851378054</v>
      </c>
      <c r="R32" s="446">
        <f t="shared" si="49"/>
        <v>1.4557828220425859</v>
      </c>
      <c r="S32" s="446">
        <f t="shared" si="49"/>
        <v>1.7119223977076041</v>
      </c>
      <c r="T32" s="446">
        <f t="shared" si="49"/>
        <v>1.8361088873392437</v>
      </c>
      <c r="U32" s="446">
        <f t="shared" si="49"/>
        <v>1.8361088873392437</v>
      </c>
      <c r="V32" s="446">
        <f t="shared" si="49"/>
        <v>1.8492543399596897</v>
      </c>
      <c r="W32" s="446">
        <f t="shared" si="49"/>
        <v>1.0137828254966696</v>
      </c>
      <c r="X32" s="446">
        <f t="shared" si="49"/>
        <v>1.0137828254966696</v>
      </c>
      <c r="AA32" s="446">
        <f>SUM(AA23:AA31)</f>
        <v>0.42336560869982021</v>
      </c>
      <c r="AB32" s="446">
        <f t="shared" ref="AB32:AJ32" si="50">SUM(AB23:AB31)</f>
        <v>0.3122238623419864</v>
      </c>
      <c r="AC32" s="446">
        <f t="shared" si="50"/>
        <v>0.3122238623419864</v>
      </c>
      <c r="AD32" s="446">
        <f t="shared" si="50"/>
        <v>0.32536918634383605</v>
      </c>
      <c r="AE32" s="446">
        <f t="shared" si="50"/>
        <v>0.21590408098860106</v>
      </c>
      <c r="AF32" s="446">
        <f t="shared" si="50"/>
        <v>5.3710005418584728E-2</v>
      </c>
      <c r="AG32" s="446">
        <f t="shared" si="50"/>
        <v>5.3710005418584728E-2</v>
      </c>
      <c r="AH32" s="446">
        <f t="shared" si="50"/>
        <v>-0.1198595989923544</v>
      </c>
      <c r="AI32" s="446">
        <f t="shared" si="50"/>
        <v>-0.31734985267837135</v>
      </c>
      <c r="AJ32" s="446">
        <f t="shared" si="50"/>
        <v>-0.31734985267837135</v>
      </c>
      <c r="AK32" s="446">
        <f>SUMSQ(AK23:AK31)</f>
        <v>2.6626099106790999</v>
      </c>
      <c r="BM32" t="e">
        <f ca="1"/>
        <v>#NAME?</v>
      </c>
      <c r="BN32" s="99" t="e">
        <f ca="1"/>
        <v>#NAME?</v>
      </c>
      <c r="BO32" s="4" t="e">
        <f ca="1"/>
        <v>#NAME?</v>
      </c>
      <c r="BP32" s="4" t="e">
        <f ca="1"/>
        <v>#NAME?</v>
      </c>
      <c r="BQ32" s="4" t="e">
        <f ca="1"/>
        <v>#NAME?</v>
      </c>
      <c r="BR32" s="4" t="e">
        <f ca="1"/>
        <v>#NAME?</v>
      </c>
      <c r="BS32" s="4" t="e">
        <f ca="1"/>
        <v>#NAME?</v>
      </c>
      <c r="BT32" s="4" t="e">
        <f ca="1"/>
        <v>#NAME?</v>
      </c>
      <c r="BU32" s="4" t="e">
        <f ca="1"/>
        <v>#NAME?</v>
      </c>
      <c r="BV32" s="4" t="e">
        <f ca="1"/>
        <v>#NAME?</v>
      </c>
      <c r="BW32" s="32" t="e">
        <f ca="1"/>
        <v>#NAME?</v>
      </c>
      <c r="BX32" s="99" t="e">
        <f ca="1"/>
        <v>#NAME?</v>
      </c>
      <c r="BY32" s="32" t="e">
        <f ca="1"/>
        <v>#NAME?</v>
      </c>
    </row>
    <row r="33" spans="1:77" x14ac:dyDescent="0.35">
      <c r="A33" t="s">
        <v>822</v>
      </c>
      <c r="B33" s="471">
        <f t="shared" ref="B33:K33" si="51">B16-AA32/O32</f>
        <v>-1.9313470667418786</v>
      </c>
      <c r="C33" s="472">
        <f t="shared" si="51"/>
        <v>-1.9829110559723244</v>
      </c>
      <c r="D33" s="472">
        <f t="shared" si="51"/>
        <v>-1.9829110559723244</v>
      </c>
      <c r="E33" s="472">
        <f t="shared" si="51"/>
        <v>-1.0647677689064221</v>
      </c>
      <c r="F33" s="472">
        <f t="shared" si="51"/>
        <v>-0.40776870918510522</v>
      </c>
      <c r="G33" s="472">
        <f t="shared" si="51"/>
        <v>0.15910075288897871</v>
      </c>
      <c r="H33" s="472">
        <f t="shared" si="51"/>
        <v>0.15910075288897871</v>
      </c>
      <c r="I33" s="472">
        <f t="shared" si="51"/>
        <v>0.69945503302427336</v>
      </c>
      <c r="J33" s="472">
        <f t="shared" si="51"/>
        <v>2.8039732678186908</v>
      </c>
      <c r="K33" s="473">
        <f t="shared" si="51"/>
        <v>2.8039732678186908</v>
      </c>
      <c r="L33" s="446">
        <f>AVERAGE(B33:K33)</f>
        <v>-7.4410258233844312E-2</v>
      </c>
      <c r="BM33" t="e">
        <f ca="1"/>
        <v>#NAME?</v>
      </c>
      <c r="BN33" s="99" t="e">
        <f ca="1"/>
        <v>#NAME?</v>
      </c>
      <c r="BO33" s="455" t="e">
        <f ca="1"/>
        <v>#NAME?</v>
      </c>
      <c r="BP33" s="4" t="e">
        <f ca="1"/>
        <v>#NAME?</v>
      </c>
      <c r="BQ33" s="455" t="e">
        <f ca="1"/>
        <v>#NAME?</v>
      </c>
      <c r="BR33" s="455" t="e">
        <f ca="1"/>
        <v>#NAME?</v>
      </c>
      <c r="BS33" s="4" t="e">
        <f ca="1"/>
        <v>#NAME?</v>
      </c>
      <c r="BT33" s="455" t="e">
        <f ca="1"/>
        <v>#NAME?</v>
      </c>
      <c r="BU33" s="4" t="e">
        <f ca="1"/>
        <v>#NAME?</v>
      </c>
      <c r="BV33" s="4" t="e">
        <f ca="1"/>
        <v>#NAME?</v>
      </c>
      <c r="BW33" s="32" t="e">
        <f ca="1"/>
        <v>#NAME?</v>
      </c>
      <c r="BX33" s="99" t="e">
        <f ca="1"/>
        <v>#NAME?</v>
      </c>
      <c r="BY33" s="456" t="e">
        <f ca="1"/>
        <v>#NAME?</v>
      </c>
    </row>
    <row r="34" spans="1:77" x14ac:dyDescent="0.35">
      <c r="A34" t="s">
        <v>906</v>
      </c>
      <c r="B34" s="89">
        <f>B33-L33</f>
        <v>-1.8569368085080342</v>
      </c>
      <c r="C34" s="159">
        <f>C33-L33</f>
        <v>-1.90850079773848</v>
      </c>
      <c r="D34" s="159">
        <f>D33-L33</f>
        <v>-1.90850079773848</v>
      </c>
      <c r="E34" s="159">
        <f>E33-L33</f>
        <v>-0.99035751067257782</v>
      </c>
      <c r="F34" s="159">
        <f>F33-L33</f>
        <v>-0.33335845095126093</v>
      </c>
      <c r="G34" s="159">
        <f>G33-L33</f>
        <v>0.23351101112282302</v>
      </c>
      <c r="H34" s="159">
        <f>H33-L33</f>
        <v>0.23351101112282302</v>
      </c>
      <c r="I34" s="159">
        <f>I33-L33</f>
        <v>0.77386529125811765</v>
      </c>
      <c r="J34" s="159">
        <f>J33-L33</f>
        <v>2.8783835260525352</v>
      </c>
      <c r="K34" s="93">
        <f>K33-L33</f>
        <v>2.8783835260525352</v>
      </c>
      <c r="L34" s="446">
        <f>AVERAGE(B34:K34)</f>
        <v>0</v>
      </c>
      <c r="BM34" t="e">
        <f ca="1"/>
        <v>#NAME?</v>
      </c>
      <c r="BN34" s="156" t="e">
        <f ca="1"/>
        <v>#NAME?</v>
      </c>
      <c r="BO34" s="157" t="e">
        <f ca="1"/>
        <v>#NAME?</v>
      </c>
      <c r="BP34" s="157" t="e">
        <f ca="1"/>
        <v>#NAME?</v>
      </c>
      <c r="BQ34" s="459" t="e">
        <f ca="1"/>
        <v>#NAME?</v>
      </c>
      <c r="BR34" s="157" t="e">
        <f ca="1"/>
        <v>#NAME?</v>
      </c>
      <c r="BS34" s="157" t="e">
        <f ca="1"/>
        <v>#NAME?</v>
      </c>
      <c r="BT34" s="157" t="e">
        <f ca="1"/>
        <v>#NAME?</v>
      </c>
      <c r="BU34" s="157" t="e">
        <f ca="1"/>
        <v>#NAME?</v>
      </c>
      <c r="BV34" s="157" t="e">
        <f ca="1"/>
        <v>#NAME?</v>
      </c>
      <c r="BW34" s="158" t="e">
        <f ca="1"/>
        <v>#NAME?</v>
      </c>
      <c r="BX34" s="156" t="e">
        <f ca="1"/>
        <v>#NAME?</v>
      </c>
      <c r="BY34" s="158" t="e">
        <f ca="1"/>
        <v>#NAME?</v>
      </c>
    </row>
    <row r="35" spans="1:77" x14ac:dyDescent="0.35">
      <c r="B35" s="4"/>
      <c r="C35" s="4"/>
      <c r="D35" s="4"/>
      <c r="E35" s="4"/>
      <c r="F35" s="4"/>
      <c r="G35" s="4"/>
      <c r="H35" s="4"/>
      <c r="I35" s="4"/>
      <c r="J35" s="4"/>
      <c r="K35" s="4"/>
      <c r="L35" s="446"/>
      <c r="BM35" t="e">
        <f ca="1"/>
        <v>#NAME?</v>
      </c>
      <c r="BN35" s="419" t="e">
        <f ca="1"/>
        <v>#NAME?</v>
      </c>
      <c r="BO35" s="420" t="e">
        <f ca="1"/>
        <v>#NAME?</v>
      </c>
      <c r="BP35" s="420" t="e">
        <f ca="1"/>
        <v>#NAME?</v>
      </c>
      <c r="BQ35" s="458" t="e">
        <f ca="1"/>
        <v>#NAME?</v>
      </c>
      <c r="BR35" s="420" t="e">
        <f ca="1"/>
        <v>#NAME?</v>
      </c>
      <c r="BS35" s="420" t="e">
        <f ca="1"/>
        <v>#NAME?</v>
      </c>
      <c r="BT35" s="458" t="e">
        <f ca="1"/>
        <v>#NAME?</v>
      </c>
      <c r="BU35" s="420" t="e">
        <f ca="1"/>
        <v>#NAME?</v>
      </c>
      <c r="BV35" s="420" t="e">
        <f ca="1"/>
        <v>#NAME?</v>
      </c>
      <c r="BW35" s="421" t="e">
        <f ca="1"/>
        <v>#NAME?</v>
      </c>
      <c r="BX35" s="452" t="e">
        <f ca="1"/>
        <v>#NAME?</v>
      </c>
      <c r="BY35" s="421" t="e">
        <f ca="1"/>
        <v>#NAME?</v>
      </c>
    </row>
    <row r="36" spans="1:77" x14ac:dyDescent="0.35">
      <c r="A36" t="s">
        <v>907</v>
      </c>
      <c r="B36" s="461">
        <f>B18+1</f>
        <v>2</v>
      </c>
      <c r="BM36" t="e">
        <f ca="1"/>
        <v>#NAME?</v>
      </c>
      <c r="BN36" s="156" t="e">
        <f ca="1"/>
        <v>#NAME?</v>
      </c>
      <c r="BO36" s="459" t="e">
        <f ca="1"/>
        <v>#NAME?</v>
      </c>
      <c r="BP36" s="157" t="e">
        <f ca="1"/>
        <v>#NAME?</v>
      </c>
      <c r="BQ36" s="459" t="e">
        <f ca="1"/>
        <v>#NAME?</v>
      </c>
      <c r="BR36" s="157" t="e">
        <f ca="1"/>
        <v>#NAME?</v>
      </c>
      <c r="BS36" s="157" t="e">
        <f ca="1"/>
        <v>#NAME?</v>
      </c>
      <c r="BT36" s="459" t="e">
        <f ca="1"/>
        <v>#NAME?</v>
      </c>
      <c r="BU36" s="157" t="e">
        <f ca="1"/>
        <v>#NAME?</v>
      </c>
      <c r="BV36" s="459" t="e">
        <f ca="1"/>
        <v>#NAME?</v>
      </c>
      <c r="BW36" s="158" t="e">
        <f ca="1"/>
        <v>#NAME?</v>
      </c>
      <c r="BX36" s="453" t="e">
        <f ca="1"/>
        <v>#NAME?</v>
      </c>
      <c r="BY36" s="158" t="e">
        <f ca="1"/>
        <v>#NAME?</v>
      </c>
    </row>
    <row r="37" spans="1:77" x14ac:dyDescent="0.35">
      <c r="B37" s="461"/>
    </row>
    <row r="38" spans="1:77" x14ac:dyDescent="0.35">
      <c r="B38" t="s">
        <v>860</v>
      </c>
      <c r="O38" t="s">
        <v>908</v>
      </c>
      <c r="AA38" t="s">
        <v>909</v>
      </c>
    </row>
    <row r="40" spans="1:77" x14ac:dyDescent="0.35">
      <c r="B40">
        <v>1</v>
      </c>
      <c r="C40">
        <v>2</v>
      </c>
      <c r="D40">
        <v>3</v>
      </c>
      <c r="E40">
        <v>4</v>
      </c>
      <c r="F40">
        <v>5</v>
      </c>
      <c r="G40">
        <v>6</v>
      </c>
      <c r="H40">
        <v>7</v>
      </c>
      <c r="I40">
        <v>8</v>
      </c>
      <c r="J40">
        <v>9</v>
      </c>
      <c r="K40">
        <v>10</v>
      </c>
      <c r="M40" t="s">
        <v>904</v>
      </c>
      <c r="O40">
        <v>1</v>
      </c>
      <c r="P40">
        <v>2</v>
      </c>
      <c r="Q40">
        <v>3</v>
      </c>
      <c r="R40">
        <v>4</v>
      </c>
      <c r="S40">
        <v>5</v>
      </c>
      <c r="T40">
        <v>6</v>
      </c>
      <c r="U40">
        <v>7</v>
      </c>
      <c r="V40">
        <v>8</v>
      </c>
      <c r="W40">
        <v>9</v>
      </c>
      <c r="X40">
        <v>10</v>
      </c>
      <c r="AA40">
        <v>1</v>
      </c>
      <c r="AB40">
        <v>2</v>
      </c>
      <c r="AC40">
        <v>3</v>
      </c>
      <c r="AD40">
        <v>4</v>
      </c>
      <c r="AE40">
        <v>5</v>
      </c>
      <c r="AF40">
        <v>6</v>
      </c>
      <c r="AG40">
        <v>7</v>
      </c>
      <c r="AH40">
        <v>8</v>
      </c>
      <c r="AI40">
        <v>9</v>
      </c>
      <c r="AJ40">
        <v>10</v>
      </c>
    </row>
    <row r="41" spans="1:77" x14ac:dyDescent="0.35">
      <c r="A41" t="s">
        <v>218</v>
      </c>
      <c r="B41" s="464">
        <f t="shared" ref="B41:K41" si="52">EXP($M23-B$34)/(1+EXP($M23-B$34))</f>
        <v>0.99123831268510043</v>
      </c>
      <c r="C41" s="467">
        <f t="shared" si="52"/>
        <v>0.99167498408796673</v>
      </c>
      <c r="D41" s="467">
        <f t="shared" si="52"/>
        <v>0.99167498408796673</v>
      </c>
      <c r="E41" s="467">
        <f t="shared" si="52"/>
        <v>0.97940682065820661</v>
      </c>
      <c r="F41" s="467">
        <f t="shared" si="52"/>
        <v>0.96102155818914403</v>
      </c>
      <c r="G41" s="467">
        <f t="shared" si="52"/>
        <v>0.93327490349328357</v>
      </c>
      <c r="H41" s="467">
        <f t="shared" si="52"/>
        <v>0.93327490349328357</v>
      </c>
      <c r="I41" s="467">
        <f t="shared" si="52"/>
        <v>0.89068569844707279</v>
      </c>
      <c r="J41" s="467">
        <f t="shared" si="52"/>
        <v>0.49831154281342954</v>
      </c>
      <c r="K41" s="465">
        <f t="shared" si="52"/>
        <v>0.49831154281342954</v>
      </c>
      <c r="M41" s="468">
        <f t="shared" ref="M41:M49" si="53">M23+AK41/Y41</f>
        <v>3.2722154050970262</v>
      </c>
      <c r="O41" s="464">
        <f t="shared" ref="O41:O49" si="54">B41*(1-B41)</f>
        <v>8.684920150295497E-3</v>
      </c>
      <c r="P41" s="467">
        <f t="shared" ref="P41:P49" si="55">C41*(1-C41)</f>
        <v>8.2557100220976669E-3</v>
      </c>
      <c r="Q41" s="467">
        <f t="shared" ref="Q41:Q49" si="56">D41*(1-D41)</f>
        <v>8.2557100220976669E-3</v>
      </c>
      <c r="R41" s="467">
        <f t="shared" ref="R41:R49" si="57">E41*(1-E41)</f>
        <v>2.0169100306390124E-2</v>
      </c>
      <c r="S41" s="467">
        <f t="shared" ref="S41:S49" si="58">F41*(1-F41)</f>
        <v>3.7459122884853681E-2</v>
      </c>
      <c r="T41" s="467">
        <f t="shared" ref="T41:T49" si="59">G41*(1-G41)</f>
        <v>6.227285800288581E-2</v>
      </c>
      <c r="U41" s="467">
        <f t="shared" ref="U41:U49" si="60">H41*(1-H41)</f>
        <v>6.227285800288581E-2</v>
      </c>
      <c r="V41" s="467">
        <f t="shared" ref="V41:V49" si="61">I41*(1-I41)</f>
        <v>9.7364685028922898E-2</v>
      </c>
      <c r="W41" s="467">
        <f t="shared" ref="W41:W49" si="62">J41*(1-J41)</f>
        <v>0.24999714911232915</v>
      </c>
      <c r="X41" s="465">
        <f t="shared" ref="X41:X49" si="63">K41*(1-K41)</f>
        <v>0.24999714911232915</v>
      </c>
      <c r="Y41" s="446">
        <f>SUM(O41:X41)</f>
        <v>0.80472926264508748</v>
      </c>
      <c r="AA41" s="464" t="str">
        <f t="shared" ref="AA41:AA49" si="64">IF(ISNUMBER(B5),B5-B41,"")</f>
        <v/>
      </c>
      <c r="AB41" s="467">
        <f t="shared" ref="AB41:AB49" si="65">IF(ISNUMBER(C5),C5-C41,"")</f>
        <v>8.3250159120332734E-3</v>
      </c>
      <c r="AC41" s="467">
        <f t="shared" ref="AC41:AC49" si="66">IF(ISNUMBER(D5),D5-D41,"")</f>
        <v>8.3250159120332734E-3</v>
      </c>
      <c r="AD41" s="467">
        <f t="shared" ref="AD41:AD49" si="67">IF(ISNUMBER(E5),E5-E41,"")</f>
        <v>2.0593179341793388E-2</v>
      </c>
      <c r="AE41" s="467">
        <f t="shared" ref="AE41:AE49" si="68">IF(ISNUMBER(F5),F5-F41,"")</f>
        <v>3.8978441810855968E-2</v>
      </c>
      <c r="AF41" s="467">
        <f t="shared" ref="AF41:AF49" si="69">IF(ISNUMBER(G5),G5-G41,"")</f>
        <v>6.672509650671643E-2</v>
      </c>
      <c r="AG41" s="467">
        <f t="shared" ref="AG41:AG49" si="70">IF(ISNUMBER(H5),H5-H41,"")</f>
        <v>6.672509650671643E-2</v>
      </c>
      <c r="AH41" s="467">
        <f t="shared" ref="AH41:AH49" si="71">IF(ISNUMBER(I5),I5-I41,"")</f>
        <v>0.10931430155292721</v>
      </c>
      <c r="AI41" s="467">
        <f t="shared" ref="AI41:AI49" si="72">IF(ISNUMBER(J5),J5-J41,"")</f>
        <v>-0.49831154281342954</v>
      </c>
      <c r="AJ41" s="465">
        <f t="shared" ref="AJ41:AJ49" si="73">IF(ISNUMBER(K5),K5-K41,"")</f>
        <v>0.50168845718657051</v>
      </c>
      <c r="AK41" s="446">
        <f>SUM(AA41:AJ41)</f>
        <v>0.32236306191621694</v>
      </c>
    </row>
    <row r="42" spans="1:77" x14ac:dyDescent="0.35">
      <c r="A42" t="s">
        <v>98</v>
      </c>
      <c r="B42" s="466">
        <f t="shared" ref="B42:K42" si="74">EXP($M24-B$34)/(1+EXP($M24-B$34))</f>
        <v>0.9774143026021207</v>
      </c>
      <c r="C42" s="447">
        <f t="shared" si="74"/>
        <v>0.97852501874194908</v>
      </c>
      <c r="D42" s="447">
        <f t="shared" si="74"/>
        <v>0.97852501874194908</v>
      </c>
      <c r="E42" s="447">
        <f t="shared" si="74"/>
        <v>0.9478965631531775</v>
      </c>
      <c r="F42" s="447">
        <f t="shared" si="74"/>
        <v>0.90413306533754334</v>
      </c>
      <c r="G42" s="447">
        <f t="shared" si="74"/>
        <v>0.84252623801576032</v>
      </c>
      <c r="H42" s="447">
        <f t="shared" si="74"/>
        <v>0.84252623801576032</v>
      </c>
      <c r="I42" s="447">
        <f t="shared" si="74"/>
        <v>0.75709009902880986</v>
      </c>
      <c r="J42" s="447">
        <f t="shared" si="74"/>
        <v>0.27533387807767229</v>
      </c>
      <c r="K42" s="448">
        <f t="shared" si="74"/>
        <v>0.27533387807767229</v>
      </c>
      <c r="M42" s="469">
        <f t="shared" si="53"/>
        <v>2.1211490917654832</v>
      </c>
      <c r="O42" s="466">
        <f t="shared" si="54"/>
        <v>2.207558367093073E-2</v>
      </c>
      <c r="P42" s="447">
        <f t="shared" si="55"/>
        <v>2.1013806438017278E-2</v>
      </c>
      <c r="Q42" s="447">
        <f t="shared" si="56"/>
        <v>2.1013806438017278E-2</v>
      </c>
      <c r="R42" s="447">
        <f t="shared" si="57"/>
        <v>4.9388668715571682E-2</v>
      </c>
      <c r="S42" s="447">
        <f t="shared" si="58"/>
        <v>8.6676465500880928E-2</v>
      </c>
      <c r="T42" s="447">
        <f t="shared" si="59"/>
        <v>0.13267577627077071</v>
      </c>
      <c r="U42" s="447">
        <f t="shared" si="60"/>
        <v>0.13267577627077071</v>
      </c>
      <c r="V42" s="447">
        <f t="shared" si="61"/>
        <v>0.18390468098135673</v>
      </c>
      <c r="W42" s="447">
        <f t="shared" si="62"/>
        <v>0.19952513366038177</v>
      </c>
      <c r="X42" s="448">
        <f t="shared" si="63"/>
        <v>0.19952513366038177</v>
      </c>
      <c r="Y42" s="446">
        <f t="shared" ref="Y42:Y49" si="75">SUM(O42:X42)</f>
        <v>1.0484748316070795</v>
      </c>
      <c r="AA42" s="466">
        <f t="shared" si="64"/>
        <v>2.2585697397879301E-2</v>
      </c>
      <c r="AB42" s="447">
        <f t="shared" si="65"/>
        <v>2.1474981258050918E-2</v>
      </c>
      <c r="AC42" s="447">
        <f t="shared" si="66"/>
        <v>2.1474981258050918E-2</v>
      </c>
      <c r="AD42" s="447">
        <f t="shared" si="67"/>
        <v>-0.9478965631531775</v>
      </c>
      <c r="AE42" s="447">
        <f t="shared" si="68"/>
        <v>9.586693466245666E-2</v>
      </c>
      <c r="AF42" s="447">
        <f t="shared" si="69"/>
        <v>0.15747376198423968</v>
      </c>
      <c r="AG42" s="447">
        <f t="shared" si="70"/>
        <v>0.15747376198423968</v>
      </c>
      <c r="AH42" s="447">
        <f t="shared" si="71"/>
        <v>0.24290990097119014</v>
      </c>
      <c r="AI42" s="447">
        <f t="shared" si="72"/>
        <v>0.72466612192232771</v>
      </c>
      <c r="AJ42" s="448">
        <f t="shared" si="73"/>
        <v>-0.27533387807767229</v>
      </c>
      <c r="AK42" s="446">
        <f t="shared" ref="AK42:AK49" si="76">SUM(AA42:AJ42)</f>
        <v>0.22069570020758522</v>
      </c>
    </row>
    <row r="43" spans="1:77" x14ac:dyDescent="0.35">
      <c r="A43" t="s">
        <v>99</v>
      </c>
      <c r="B43" s="466">
        <f t="shared" ref="B43:K43" si="77">EXP($M25-B$34)/(1+EXP($M25-B$34))</f>
        <v>0.95244839680032345</v>
      </c>
      <c r="C43" s="447">
        <f t="shared" si="77"/>
        <v>0.95473001716400274</v>
      </c>
      <c r="D43" s="447">
        <f t="shared" si="77"/>
        <v>0.95473001716400274</v>
      </c>
      <c r="E43" s="447">
        <f t="shared" si="77"/>
        <v>0.89384585726793664</v>
      </c>
      <c r="F43" s="447">
        <f t="shared" si="77"/>
        <v>0.8136103311881141</v>
      </c>
      <c r="G43" s="447">
        <f t="shared" si="77"/>
        <v>0.71233928413306302</v>
      </c>
      <c r="H43" s="447">
        <f t="shared" si="77"/>
        <v>0.71233928413306302</v>
      </c>
      <c r="I43" s="447">
        <f t="shared" si="77"/>
        <v>0.59059323673032715</v>
      </c>
      <c r="J43" s="447">
        <f t="shared" si="77"/>
        <v>0.14955444210611649</v>
      </c>
      <c r="K43" s="448">
        <f t="shared" si="77"/>
        <v>0.14955444210611649</v>
      </c>
      <c r="M43" s="469">
        <f t="shared" si="53"/>
        <v>1.2308064341855389</v>
      </c>
      <c r="O43" s="466">
        <f t="shared" si="54"/>
        <v>4.5290448232817061E-2</v>
      </c>
      <c r="P43" s="447">
        <f t="shared" si="55"/>
        <v>4.3220611490025769E-2</v>
      </c>
      <c r="Q43" s="447">
        <f t="shared" si="56"/>
        <v>4.3220611490025769E-2</v>
      </c>
      <c r="R43" s="447">
        <f t="shared" si="57"/>
        <v>9.4885440712884087E-2</v>
      </c>
      <c r="S43" s="447">
        <f t="shared" si="58"/>
        <v>0.15164856017208139</v>
      </c>
      <c r="T43" s="447">
        <f t="shared" si="59"/>
        <v>0.20491202841385833</v>
      </c>
      <c r="U43" s="447">
        <f t="shared" si="60"/>
        <v>0.20491202841385833</v>
      </c>
      <c r="V43" s="447">
        <f t="shared" si="61"/>
        <v>0.24179286545872292</v>
      </c>
      <c r="W43" s="447">
        <f t="shared" si="62"/>
        <v>0.12718791095244475</v>
      </c>
      <c r="X43" s="448">
        <f t="shared" si="63"/>
        <v>0.12718791095244475</v>
      </c>
      <c r="Y43" s="446">
        <f t="shared" si="75"/>
        <v>1.284258416289163</v>
      </c>
      <c r="AA43" s="466">
        <f t="shared" si="64"/>
        <v>4.7551603199676551E-2</v>
      </c>
      <c r="AB43" s="447">
        <f t="shared" si="65"/>
        <v>4.5269982835997258E-2</v>
      </c>
      <c r="AC43" s="447">
        <f t="shared" si="66"/>
        <v>4.5269982835997258E-2</v>
      </c>
      <c r="AD43" s="447">
        <f t="shared" si="67"/>
        <v>0.10615414273206336</v>
      </c>
      <c r="AE43" s="447">
        <f t="shared" si="68"/>
        <v>0.1863896688118859</v>
      </c>
      <c r="AF43" s="447">
        <f t="shared" si="69"/>
        <v>0.28766071586693698</v>
      </c>
      <c r="AG43" s="447">
        <f t="shared" si="70"/>
        <v>-0.71233928413306302</v>
      </c>
      <c r="AH43" s="447">
        <f t="shared" si="71"/>
        <v>0.40940676326967285</v>
      </c>
      <c r="AI43" s="447">
        <f t="shared" si="72"/>
        <v>-0.14955444210611649</v>
      </c>
      <c r="AJ43" s="448">
        <f t="shared" si="73"/>
        <v>-0.14955444210611649</v>
      </c>
      <c r="AK43" s="446">
        <f t="shared" si="76"/>
        <v>0.11625469120693419</v>
      </c>
    </row>
    <row r="44" spans="1:77" x14ac:dyDescent="0.35">
      <c r="A44" t="s">
        <v>100</v>
      </c>
      <c r="B44" s="466">
        <f t="shared" ref="B44:K44" si="78">EXP($M26-B$34)/(1+EXP($M26-B$34))</f>
        <v>0.95244839680032345</v>
      </c>
      <c r="C44" s="447">
        <f t="shared" si="78"/>
        <v>0.95473001716400274</v>
      </c>
      <c r="D44" s="447">
        <f t="shared" si="78"/>
        <v>0.95473001716400274</v>
      </c>
      <c r="E44" s="447">
        <f t="shared" si="78"/>
        <v>0.89384585726793664</v>
      </c>
      <c r="F44" s="447">
        <f t="shared" si="78"/>
        <v>0.8136103311881141</v>
      </c>
      <c r="G44" s="447">
        <f t="shared" si="78"/>
        <v>0.71233928413306302</v>
      </c>
      <c r="H44" s="447">
        <f t="shared" si="78"/>
        <v>0.71233928413306302</v>
      </c>
      <c r="I44" s="447">
        <f t="shared" si="78"/>
        <v>0.59059323673032715</v>
      </c>
      <c r="J44" s="447">
        <f t="shared" si="78"/>
        <v>0.14955444210611649</v>
      </c>
      <c r="K44" s="448">
        <f t="shared" si="78"/>
        <v>0.14955444210611649</v>
      </c>
      <c r="M44" s="469">
        <f t="shared" si="53"/>
        <v>1.2308064341855389</v>
      </c>
      <c r="O44" s="466">
        <f t="shared" si="54"/>
        <v>4.5290448232817061E-2</v>
      </c>
      <c r="P44" s="447">
        <f t="shared" si="55"/>
        <v>4.3220611490025769E-2</v>
      </c>
      <c r="Q44" s="447">
        <f t="shared" si="56"/>
        <v>4.3220611490025769E-2</v>
      </c>
      <c r="R44" s="447">
        <f t="shared" si="57"/>
        <v>9.4885440712884087E-2</v>
      </c>
      <c r="S44" s="447">
        <f t="shared" si="58"/>
        <v>0.15164856017208139</v>
      </c>
      <c r="T44" s="447">
        <f t="shared" si="59"/>
        <v>0.20491202841385833</v>
      </c>
      <c r="U44" s="447">
        <f t="shared" si="60"/>
        <v>0.20491202841385833</v>
      </c>
      <c r="V44" s="447">
        <f t="shared" si="61"/>
        <v>0.24179286545872292</v>
      </c>
      <c r="W44" s="447">
        <f t="shared" si="62"/>
        <v>0.12718791095244475</v>
      </c>
      <c r="X44" s="448">
        <f t="shared" si="63"/>
        <v>0.12718791095244475</v>
      </c>
      <c r="Y44" s="446">
        <f t="shared" si="75"/>
        <v>1.284258416289163</v>
      </c>
      <c r="AA44" s="466">
        <f t="shared" si="64"/>
        <v>4.7551603199676551E-2</v>
      </c>
      <c r="AB44" s="447">
        <f t="shared" si="65"/>
        <v>4.5269982835997258E-2</v>
      </c>
      <c r="AC44" s="447">
        <f t="shared" si="66"/>
        <v>4.5269982835997258E-2</v>
      </c>
      <c r="AD44" s="447">
        <f t="shared" si="67"/>
        <v>0.10615414273206336</v>
      </c>
      <c r="AE44" s="447">
        <f t="shared" si="68"/>
        <v>0.1863896688118859</v>
      </c>
      <c r="AF44" s="447">
        <f t="shared" si="69"/>
        <v>0.28766071586693698</v>
      </c>
      <c r="AG44" s="447">
        <f t="shared" si="70"/>
        <v>-0.71233928413306302</v>
      </c>
      <c r="AH44" s="447">
        <f t="shared" si="71"/>
        <v>0.40940676326967285</v>
      </c>
      <c r="AI44" s="447">
        <f t="shared" si="72"/>
        <v>-0.14955444210611649</v>
      </c>
      <c r="AJ44" s="448">
        <f t="shared" si="73"/>
        <v>-0.14955444210611649</v>
      </c>
      <c r="AK44" s="446">
        <f t="shared" si="76"/>
        <v>0.11625469120693419</v>
      </c>
    </row>
    <row r="45" spans="1:77" x14ac:dyDescent="0.35">
      <c r="A45" t="s">
        <v>536</v>
      </c>
      <c r="B45" s="466">
        <f t="shared" ref="B45:K45" si="79">EXP($M27-B$34)/(1+EXP($M27-B$34))</f>
        <v>0.91250089061057715</v>
      </c>
      <c r="C45" s="447">
        <f t="shared" si="79"/>
        <v>0.91653129454665161</v>
      </c>
      <c r="D45" s="447">
        <f t="shared" si="79"/>
        <v>0.91653129454665161</v>
      </c>
      <c r="E45" s="447">
        <f t="shared" si="79"/>
        <v>0.81426745147431079</v>
      </c>
      <c r="F45" s="447">
        <f t="shared" si="79"/>
        <v>0.69444477056888099</v>
      </c>
      <c r="G45" s="447">
        <f t="shared" si="79"/>
        <v>0.56318849834029094</v>
      </c>
      <c r="H45" s="447">
        <f t="shared" si="79"/>
        <v>0.56318849834029094</v>
      </c>
      <c r="I45" s="447">
        <f t="shared" si="79"/>
        <v>0.42892422054242718</v>
      </c>
      <c r="J45" s="447">
        <f t="shared" si="79"/>
        <v>8.3880020473505026E-2</v>
      </c>
      <c r="K45" s="448">
        <f t="shared" si="79"/>
        <v>8.3880020473505026E-2</v>
      </c>
      <c r="M45" s="469">
        <f t="shared" si="53"/>
        <v>0.502865191424539</v>
      </c>
      <c r="O45" s="466">
        <f t="shared" si="54"/>
        <v>7.9843015245480667E-2</v>
      </c>
      <c r="P45" s="447">
        <f t="shared" si="55"/>
        <v>7.6501680663290564E-2</v>
      </c>
      <c r="Q45" s="447">
        <f t="shared" si="56"/>
        <v>7.6501680663290564E-2</v>
      </c>
      <c r="R45" s="447">
        <f t="shared" si="57"/>
        <v>0.15123596894384173</v>
      </c>
      <c r="S45" s="447">
        <f t="shared" si="58"/>
        <v>0.21219123119841524</v>
      </c>
      <c r="T45" s="447">
        <f t="shared" si="59"/>
        <v>0.24600721367749906</v>
      </c>
      <c r="U45" s="447">
        <f t="shared" si="60"/>
        <v>0.24600721367749906</v>
      </c>
      <c r="V45" s="447">
        <f t="shared" si="61"/>
        <v>0.24494823357449846</v>
      </c>
      <c r="W45" s="447">
        <f t="shared" si="62"/>
        <v>7.6844162638869395E-2</v>
      </c>
      <c r="X45" s="448">
        <f t="shared" si="63"/>
        <v>7.6844162638869395E-2</v>
      </c>
      <c r="Y45" s="446">
        <f t="shared" si="75"/>
        <v>1.4869245629215544</v>
      </c>
      <c r="AA45" s="466">
        <f t="shared" si="64"/>
        <v>8.7499109389422847E-2</v>
      </c>
      <c r="AB45" s="447">
        <f t="shared" si="65"/>
        <v>8.3468705453348391E-2</v>
      </c>
      <c r="AC45" s="447">
        <f t="shared" si="66"/>
        <v>8.3468705453348391E-2</v>
      </c>
      <c r="AD45" s="447">
        <f t="shared" si="67"/>
        <v>0.18573254852568921</v>
      </c>
      <c r="AE45" s="447">
        <f t="shared" si="68"/>
        <v>-0.69444477056888099</v>
      </c>
      <c r="AF45" s="447">
        <f t="shared" si="69"/>
        <v>0.43681150165970906</v>
      </c>
      <c r="AG45" s="447">
        <f t="shared" si="70"/>
        <v>0.43681150165970906</v>
      </c>
      <c r="AH45" s="447">
        <f t="shared" si="71"/>
        <v>-0.42892422054242718</v>
      </c>
      <c r="AI45" s="447">
        <f t="shared" si="72"/>
        <v>-8.3880020473505026E-2</v>
      </c>
      <c r="AJ45" s="448">
        <f t="shared" si="73"/>
        <v>-8.3880020473505026E-2</v>
      </c>
      <c r="AK45" s="446">
        <f t="shared" si="76"/>
        <v>2.2663040082908731E-2</v>
      </c>
    </row>
    <row r="46" spans="1:77" x14ac:dyDescent="0.35">
      <c r="A46" t="s">
        <v>101</v>
      </c>
      <c r="B46" s="466">
        <f t="shared" ref="B46:K46" si="80">EXP($M28-B$34)/(1+EXP($M28-B$34))</f>
        <v>0.91250089061057715</v>
      </c>
      <c r="C46" s="447">
        <f t="shared" si="80"/>
        <v>0.91653129454665161</v>
      </c>
      <c r="D46" s="447">
        <f t="shared" si="80"/>
        <v>0.91653129454665161</v>
      </c>
      <c r="E46" s="447">
        <f t="shared" si="80"/>
        <v>0.81426745147431079</v>
      </c>
      <c r="F46" s="447">
        <f t="shared" si="80"/>
        <v>0.69444477056888099</v>
      </c>
      <c r="G46" s="447">
        <f t="shared" si="80"/>
        <v>0.56318849834029094</v>
      </c>
      <c r="H46" s="447">
        <f t="shared" si="80"/>
        <v>0.56318849834029094</v>
      </c>
      <c r="I46" s="447">
        <f t="shared" si="80"/>
        <v>0.42892422054242718</v>
      </c>
      <c r="J46" s="447">
        <f t="shared" si="80"/>
        <v>8.3880020473505026E-2</v>
      </c>
      <c r="K46" s="448">
        <f t="shared" si="80"/>
        <v>8.3880020473505026E-2</v>
      </c>
      <c r="M46" s="469">
        <f t="shared" si="53"/>
        <v>0.502865191424539</v>
      </c>
      <c r="O46" s="466">
        <f t="shared" si="54"/>
        <v>7.9843015245480667E-2</v>
      </c>
      <c r="P46" s="447">
        <f t="shared" si="55"/>
        <v>7.6501680663290564E-2</v>
      </c>
      <c r="Q46" s="447">
        <f t="shared" si="56"/>
        <v>7.6501680663290564E-2</v>
      </c>
      <c r="R46" s="447">
        <f t="shared" si="57"/>
        <v>0.15123596894384173</v>
      </c>
      <c r="S46" s="447">
        <f t="shared" si="58"/>
        <v>0.21219123119841524</v>
      </c>
      <c r="T46" s="447">
        <f t="shared" si="59"/>
        <v>0.24600721367749906</v>
      </c>
      <c r="U46" s="447">
        <f t="shared" si="60"/>
        <v>0.24600721367749906</v>
      </c>
      <c r="V46" s="447">
        <f t="shared" si="61"/>
        <v>0.24494823357449846</v>
      </c>
      <c r="W46" s="447">
        <f t="shared" si="62"/>
        <v>7.6844162638869395E-2</v>
      </c>
      <c r="X46" s="448">
        <f t="shared" si="63"/>
        <v>7.6844162638869395E-2</v>
      </c>
      <c r="Y46" s="446">
        <f t="shared" si="75"/>
        <v>1.4869245629215544</v>
      </c>
      <c r="AA46" s="466">
        <f t="shared" si="64"/>
        <v>8.7499109389422847E-2</v>
      </c>
      <c r="AB46" s="447">
        <f t="shared" si="65"/>
        <v>8.3468705453348391E-2</v>
      </c>
      <c r="AC46" s="447">
        <f t="shared" si="66"/>
        <v>8.3468705453348391E-2</v>
      </c>
      <c r="AD46" s="447">
        <f t="shared" si="67"/>
        <v>0.18573254852568921</v>
      </c>
      <c r="AE46" s="447">
        <f t="shared" si="68"/>
        <v>0.30555522943111901</v>
      </c>
      <c r="AF46" s="447">
        <f t="shared" si="69"/>
        <v>-0.56318849834029094</v>
      </c>
      <c r="AG46" s="447">
        <f t="shared" si="70"/>
        <v>0.43681150165970906</v>
      </c>
      <c r="AH46" s="447">
        <f t="shared" si="71"/>
        <v>-0.42892422054242718</v>
      </c>
      <c r="AI46" s="447">
        <f t="shared" si="72"/>
        <v>-8.3880020473505026E-2</v>
      </c>
      <c r="AJ46" s="448">
        <f t="shared" si="73"/>
        <v>-8.3880020473505026E-2</v>
      </c>
      <c r="AK46" s="446">
        <f t="shared" si="76"/>
        <v>2.2663040082908731E-2</v>
      </c>
    </row>
    <row r="47" spans="1:77" x14ac:dyDescent="0.35">
      <c r="A47" t="s">
        <v>281</v>
      </c>
      <c r="B47" s="466">
        <f t="shared" ref="B47:K47" si="81">EXP($M29-B$34)/(1+EXP($M29-B$34))</f>
        <v>0.76610134959798093</v>
      </c>
      <c r="C47" s="447">
        <f t="shared" si="81"/>
        <v>0.77521404792686455</v>
      </c>
      <c r="D47" s="447">
        <f t="shared" si="81"/>
        <v>0.77521404792686455</v>
      </c>
      <c r="E47" s="447">
        <f t="shared" si="81"/>
        <v>0.57928703016266958</v>
      </c>
      <c r="F47" s="447">
        <f t="shared" si="81"/>
        <v>0.4165015068060029</v>
      </c>
      <c r="G47" s="447">
        <f t="shared" si="81"/>
        <v>0.288224830351687</v>
      </c>
      <c r="H47" s="447">
        <f t="shared" si="81"/>
        <v>0.288224830351687</v>
      </c>
      <c r="I47" s="447">
        <f t="shared" si="81"/>
        <v>0.19086868667685983</v>
      </c>
      <c r="J47" s="447">
        <f t="shared" si="81"/>
        <v>2.7952615845898331E-2</v>
      </c>
      <c r="K47" s="448">
        <f t="shared" si="81"/>
        <v>2.7952615845898331E-2</v>
      </c>
      <c r="M47" s="469">
        <f t="shared" si="53"/>
        <v>-0.75348492956445934</v>
      </c>
      <c r="O47" s="466">
        <f t="shared" si="54"/>
        <v>0.17919007174213314</v>
      </c>
      <c r="P47" s="447">
        <f t="shared" si="55"/>
        <v>0.1742572278237095</v>
      </c>
      <c r="Q47" s="447">
        <f t="shared" si="56"/>
        <v>0.1742572278237095</v>
      </c>
      <c r="R47" s="447">
        <f t="shared" si="57"/>
        <v>0.24371356684798393</v>
      </c>
      <c r="S47" s="447">
        <f t="shared" si="58"/>
        <v>0.243028001634332</v>
      </c>
      <c r="T47" s="447">
        <f t="shared" si="59"/>
        <v>0.20515127752042825</v>
      </c>
      <c r="U47" s="447">
        <f t="shared" si="60"/>
        <v>0.20515127752042825</v>
      </c>
      <c r="V47" s="447">
        <f t="shared" si="61"/>
        <v>0.15443783112311055</v>
      </c>
      <c r="W47" s="447">
        <f t="shared" si="62"/>
        <v>2.7171267113269962E-2</v>
      </c>
      <c r="X47" s="448">
        <f t="shared" si="63"/>
        <v>2.7171267113269962E-2</v>
      </c>
      <c r="Y47" s="446">
        <f t="shared" si="75"/>
        <v>1.6335290162623752</v>
      </c>
      <c r="AA47" s="466">
        <f t="shared" si="64"/>
        <v>0.23389865040201907</v>
      </c>
      <c r="AB47" s="447">
        <f t="shared" si="65"/>
        <v>0.22478595207313545</v>
      </c>
      <c r="AC47" s="447">
        <f t="shared" si="66"/>
        <v>0.22478595207313545</v>
      </c>
      <c r="AD47" s="447">
        <f t="shared" si="67"/>
        <v>0.42071296983733042</v>
      </c>
      <c r="AE47" s="447">
        <f t="shared" si="68"/>
        <v>-0.4165015068060029</v>
      </c>
      <c r="AF47" s="447">
        <f t="shared" si="69"/>
        <v>-0.288224830351687</v>
      </c>
      <c r="AG47" s="447">
        <f t="shared" si="70"/>
        <v>-0.288224830351687</v>
      </c>
      <c r="AH47" s="447">
        <f t="shared" si="71"/>
        <v>-0.19086868667685983</v>
      </c>
      <c r="AI47" s="447">
        <f t="shared" si="72"/>
        <v>-2.7952615845898331E-2</v>
      </c>
      <c r="AJ47" s="448">
        <f t="shared" si="73"/>
        <v>-2.7952615845898331E-2</v>
      </c>
      <c r="AK47" s="446">
        <f t="shared" si="76"/>
        <v>-0.13554156149241306</v>
      </c>
    </row>
    <row r="48" spans="1:77" x14ac:dyDescent="0.35">
      <c r="A48" t="s">
        <v>537</v>
      </c>
      <c r="B48" s="466">
        <f t="shared" ref="B48:K48" si="82">EXP($M30-B$34)/(1+EXP($M30-B$34))</f>
        <v>0.76610134959798093</v>
      </c>
      <c r="C48" s="447">
        <f t="shared" si="82"/>
        <v>0.77521404792686455</v>
      </c>
      <c r="D48" s="447">
        <f t="shared" si="82"/>
        <v>0.77521404792686455</v>
      </c>
      <c r="E48" s="447">
        <f t="shared" si="82"/>
        <v>0.57928703016266958</v>
      </c>
      <c r="F48" s="447">
        <f t="shared" si="82"/>
        <v>0.4165015068060029</v>
      </c>
      <c r="G48" s="447">
        <f t="shared" si="82"/>
        <v>0.288224830351687</v>
      </c>
      <c r="H48" s="447">
        <f t="shared" si="82"/>
        <v>0.288224830351687</v>
      </c>
      <c r="I48" s="447">
        <f t="shared" si="82"/>
        <v>0.19086868667685983</v>
      </c>
      <c r="J48" s="447">
        <f t="shared" si="82"/>
        <v>2.7952615845898331E-2</v>
      </c>
      <c r="K48" s="448">
        <f t="shared" si="82"/>
        <v>2.7952615845898331E-2</v>
      </c>
      <c r="M48" s="469">
        <f t="shared" si="53"/>
        <v>-0.75348492956445923</v>
      </c>
      <c r="O48" s="466">
        <f t="shared" si="54"/>
        <v>0.17919007174213314</v>
      </c>
      <c r="P48" s="447">
        <f t="shared" si="55"/>
        <v>0.1742572278237095</v>
      </c>
      <c r="Q48" s="447">
        <f t="shared" si="56"/>
        <v>0.1742572278237095</v>
      </c>
      <c r="R48" s="447">
        <f t="shared" si="57"/>
        <v>0.24371356684798393</v>
      </c>
      <c r="S48" s="447">
        <f t="shared" si="58"/>
        <v>0.243028001634332</v>
      </c>
      <c r="T48" s="447">
        <f t="shared" si="59"/>
        <v>0.20515127752042825</v>
      </c>
      <c r="U48" s="447">
        <f t="shared" si="60"/>
        <v>0.20515127752042825</v>
      </c>
      <c r="V48" s="447">
        <f t="shared" si="61"/>
        <v>0.15443783112311055</v>
      </c>
      <c r="W48" s="447">
        <f t="shared" si="62"/>
        <v>2.7171267113269962E-2</v>
      </c>
      <c r="X48" s="448">
        <f t="shared" si="63"/>
        <v>2.7171267113269962E-2</v>
      </c>
      <c r="Y48" s="446">
        <f t="shared" si="75"/>
        <v>1.6335290162623752</v>
      </c>
      <c r="AA48" s="466">
        <f t="shared" si="64"/>
        <v>0.23389865040201907</v>
      </c>
      <c r="AB48" s="447">
        <f t="shared" si="65"/>
        <v>-0.77521404792686455</v>
      </c>
      <c r="AC48" s="447">
        <f t="shared" si="66"/>
        <v>0.22478595207313545</v>
      </c>
      <c r="AD48" s="447">
        <f t="shared" si="67"/>
        <v>-0.57928703016266958</v>
      </c>
      <c r="AE48" s="447">
        <f t="shared" si="68"/>
        <v>0.58349849319399705</v>
      </c>
      <c r="AF48" s="447">
        <f t="shared" si="69"/>
        <v>-0.288224830351687</v>
      </c>
      <c r="AG48" s="447">
        <f t="shared" si="70"/>
        <v>0.711775169648313</v>
      </c>
      <c r="AH48" s="447">
        <f t="shared" si="71"/>
        <v>-0.19086868667685983</v>
      </c>
      <c r="AI48" s="447">
        <f t="shared" si="72"/>
        <v>-2.7952615845898331E-2</v>
      </c>
      <c r="AJ48" s="448">
        <f t="shared" si="73"/>
        <v>-2.7952615845898331E-2</v>
      </c>
      <c r="AK48" s="446">
        <f t="shared" si="76"/>
        <v>-0.13554156149241306</v>
      </c>
    </row>
    <row r="49" spans="1:37" x14ac:dyDescent="0.35">
      <c r="A49" t="s">
        <v>905</v>
      </c>
      <c r="B49" s="449">
        <f t="shared" ref="B49:K49" si="83">EXP($M31-B$34)/(1+EXP($M31-B$34))</f>
        <v>0.49254310227354359</v>
      </c>
      <c r="C49" s="450">
        <f t="shared" si="83"/>
        <v>0.50543333277061053</v>
      </c>
      <c r="D49" s="450">
        <f t="shared" si="83"/>
        <v>0.50543333277061053</v>
      </c>
      <c r="E49" s="450">
        <f t="shared" si="83"/>
        <v>0.28978898694385796</v>
      </c>
      <c r="F49" s="450">
        <f t="shared" si="83"/>
        <v>0.17459456891507463</v>
      </c>
      <c r="G49" s="450">
        <f t="shared" si="83"/>
        <v>0.10714150963160642</v>
      </c>
      <c r="H49" s="450">
        <f t="shared" si="83"/>
        <v>0.10714150963160642</v>
      </c>
      <c r="I49" s="450">
        <f t="shared" si="83"/>
        <v>6.5336733907188027E-2</v>
      </c>
      <c r="J49" s="450">
        <f t="shared" si="83"/>
        <v>8.4496045123177172E-3</v>
      </c>
      <c r="K49" s="451">
        <f t="shared" si="83"/>
        <v>8.4496045123177172E-3</v>
      </c>
      <c r="M49" s="470">
        <f t="shared" si="53"/>
        <v>-2.0798423256029208</v>
      </c>
      <c r="O49" s="449">
        <f t="shared" si="54"/>
        <v>0.24994439467629717</v>
      </c>
      <c r="P49" s="450">
        <f t="shared" si="55"/>
        <v>0.24997047889500382</v>
      </c>
      <c r="Q49" s="450">
        <f t="shared" si="56"/>
        <v>0.24997047889500382</v>
      </c>
      <c r="R49" s="450">
        <f t="shared" si="57"/>
        <v>0.2058113299899105</v>
      </c>
      <c r="S49" s="450">
        <f t="shared" si="58"/>
        <v>0.14411130542043388</v>
      </c>
      <c r="T49" s="450">
        <f t="shared" si="59"/>
        <v>9.566220654546681E-2</v>
      </c>
      <c r="U49" s="450">
        <f t="shared" si="60"/>
        <v>9.566220654546681E-2</v>
      </c>
      <c r="V49" s="450">
        <f t="shared" si="61"/>
        <v>6.106784510952934E-2</v>
      </c>
      <c r="W49" s="450">
        <f t="shared" si="62"/>
        <v>8.378208695903137E-3</v>
      </c>
      <c r="X49" s="451">
        <f t="shared" si="63"/>
        <v>8.378208695903137E-3</v>
      </c>
      <c r="Y49" s="446">
        <f t="shared" si="75"/>
        <v>1.3689566634689188</v>
      </c>
      <c r="AA49" s="449">
        <f t="shared" si="64"/>
        <v>-0.49254310227354359</v>
      </c>
      <c r="AB49" s="450">
        <f t="shared" si="65"/>
        <v>0.49456666722938947</v>
      </c>
      <c r="AC49" s="450">
        <f t="shared" si="66"/>
        <v>-0.50543333277061053</v>
      </c>
      <c r="AD49" s="450">
        <f t="shared" si="67"/>
        <v>0.71021101305614209</v>
      </c>
      <c r="AE49" s="450">
        <f t="shared" si="68"/>
        <v>-0.17459456891507463</v>
      </c>
      <c r="AF49" s="450">
        <f t="shared" si="69"/>
        <v>-0.10714150963160642</v>
      </c>
      <c r="AG49" s="450">
        <f t="shared" si="70"/>
        <v>-0.10714150963160642</v>
      </c>
      <c r="AH49" s="450">
        <f t="shared" si="71"/>
        <v>-6.5336733907188027E-2</v>
      </c>
      <c r="AI49" s="450">
        <f t="shared" si="72"/>
        <v>-8.4496045123177172E-3</v>
      </c>
      <c r="AJ49" s="451">
        <f t="shared" si="73"/>
        <v>-8.4496045123177172E-3</v>
      </c>
      <c r="AK49" s="446">
        <f t="shared" si="76"/>
        <v>-0.26431228586873351</v>
      </c>
    </row>
    <row r="50" spans="1:37" x14ac:dyDescent="0.35">
      <c r="O50" s="446">
        <f>SUM(O41:O49)</f>
        <v>0.88935196893838508</v>
      </c>
      <c r="P50" s="446">
        <f t="shared" ref="P50:X50" si="84">SUM(P41:P49)</f>
        <v>0.86719903530917042</v>
      </c>
      <c r="Q50" s="446">
        <f t="shared" si="84"/>
        <v>0.86719903530917042</v>
      </c>
      <c r="R50" s="446">
        <f t="shared" si="84"/>
        <v>1.2550390520212917</v>
      </c>
      <c r="S50" s="446">
        <f t="shared" si="84"/>
        <v>1.4819824798158256</v>
      </c>
      <c r="T50" s="446">
        <f t="shared" si="84"/>
        <v>1.6027518800426948</v>
      </c>
      <c r="U50" s="446">
        <f t="shared" si="84"/>
        <v>1.6027518800426948</v>
      </c>
      <c r="V50" s="446">
        <f t="shared" si="84"/>
        <v>1.6246950714324728</v>
      </c>
      <c r="W50" s="446">
        <f t="shared" si="84"/>
        <v>0.9203071728777823</v>
      </c>
      <c r="X50" s="446">
        <f t="shared" si="84"/>
        <v>0.9203071728777823</v>
      </c>
      <c r="AA50" s="446">
        <f>SUM(AA41:AA49)</f>
        <v>0.26794132110657265</v>
      </c>
      <c r="AB50" s="446">
        <f t="shared" ref="AB50:AJ50" si="85">SUM(AB41:AB49)</f>
        <v>0.23141594512443586</v>
      </c>
      <c r="AC50" s="446">
        <f t="shared" si="85"/>
        <v>0.23141594512443586</v>
      </c>
      <c r="AD50" s="446">
        <f t="shared" si="85"/>
        <v>0.20810695143492397</v>
      </c>
      <c r="AE50" s="446">
        <f t="shared" si="85"/>
        <v>0.11113759043224197</v>
      </c>
      <c r="AF50" s="446">
        <f t="shared" si="85"/>
        <v>-1.0447876790732238E-2</v>
      </c>
      <c r="AG50" s="446">
        <f t="shared" si="85"/>
        <v>-1.0447876790732127E-2</v>
      </c>
      <c r="AH50" s="446">
        <f t="shared" si="85"/>
        <v>-0.13388481928229901</v>
      </c>
      <c r="AI50" s="446">
        <f t="shared" si="85"/>
        <v>-0.30486918225445919</v>
      </c>
      <c r="AJ50" s="446">
        <f t="shared" si="85"/>
        <v>-0.30486918225445914</v>
      </c>
      <c r="AK50" s="446">
        <f>SUMSQ(AK41:AK49)</f>
        <v>0.28728608324971161</v>
      </c>
    </row>
    <row r="51" spans="1:37" x14ac:dyDescent="0.35">
      <c r="A51" t="s">
        <v>822</v>
      </c>
      <c r="B51" s="471">
        <f t="shared" ref="B51:K51" si="86">B34-AA50/O50</f>
        <v>-2.1582138399474684</v>
      </c>
      <c r="C51" s="472">
        <f t="shared" si="86"/>
        <v>-2.1753552748562184</v>
      </c>
      <c r="D51" s="472">
        <f t="shared" si="86"/>
        <v>-2.1753552748562184</v>
      </c>
      <c r="E51" s="472">
        <f t="shared" si="86"/>
        <v>-1.1561746229765808</v>
      </c>
      <c r="F51" s="472">
        <f t="shared" si="86"/>
        <v>-0.40835096398424475</v>
      </c>
      <c r="G51" s="472">
        <f t="shared" si="86"/>
        <v>0.24002972242232493</v>
      </c>
      <c r="H51" s="472">
        <f t="shared" si="86"/>
        <v>0.24002972242232487</v>
      </c>
      <c r="I51" s="472">
        <f t="shared" si="86"/>
        <v>0.85627141265064122</v>
      </c>
      <c r="J51" s="472">
        <f t="shared" si="86"/>
        <v>3.2096524667271353</v>
      </c>
      <c r="K51" s="473">
        <f t="shared" si="86"/>
        <v>3.2096524667271353</v>
      </c>
      <c r="L51" s="446">
        <f>AVERAGE(B51:K51)</f>
        <v>-3.1781418567116936E-2</v>
      </c>
    </row>
    <row r="52" spans="1:37" x14ac:dyDescent="0.35">
      <c r="A52" t="s">
        <v>906</v>
      </c>
      <c r="B52" s="89">
        <f>B51-L51</f>
        <v>-2.1264324213803514</v>
      </c>
      <c r="C52" s="159">
        <f>C51-L51</f>
        <v>-2.1435738562891014</v>
      </c>
      <c r="D52" s="159">
        <f>D51-L51</f>
        <v>-2.1435738562891014</v>
      </c>
      <c r="E52" s="159">
        <f>E51-L51</f>
        <v>-1.1243932044094638</v>
      </c>
      <c r="F52" s="159">
        <f>F51-L51</f>
        <v>-0.37656954541712784</v>
      </c>
      <c r="G52" s="159">
        <f>G51-L51</f>
        <v>0.27181114098944187</v>
      </c>
      <c r="H52" s="159">
        <f>H51-L51</f>
        <v>0.27181114098944181</v>
      </c>
      <c r="I52" s="159">
        <f>I51-L51</f>
        <v>0.88805283121775813</v>
      </c>
      <c r="J52" s="159">
        <f>J51-L51</f>
        <v>3.2414338852942524</v>
      </c>
      <c r="K52" s="93">
        <f>K51-L51</f>
        <v>3.2414338852942524</v>
      </c>
      <c r="L52" s="446">
        <f>AVERAGE(B52:K52)</f>
        <v>0</v>
      </c>
    </row>
    <row r="53" spans="1:37" x14ac:dyDescent="0.35">
      <c r="L53" s="446"/>
    </row>
    <row r="54" spans="1:37" x14ac:dyDescent="0.35">
      <c r="A54" t="s">
        <v>907</v>
      </c>
      <c r="B54" s="461">
        <f>B36+1</f>
        <v>3</v>
      </c>
    </row>
    <row r="55" spans="1:37" x14ac:dyDescent="0.35">
      <c r="B55" s="461"/>
    </row>
    <row r="56" spans="1:37" x14ac:dyDescent="0.35">
      <c r="B56" t="s">
        <v>860</v>
      </c>
      <c r="O56" t="s">
        <v>908</v>
      </c>
      <c r="AA56" t="s">
        <v>909</v>
      </c>
    </row>
    <row r="58" spans="1:37" x14ac:dyDescent="0.35">
      <c r="B58">
        <v>1</v>
      </c>
      <c r="C58">
        <v>2</v>
      </c>
      <c r="D58">
        <v>3</v>
      </c>
      <c r="E58">
        <v>4</v>
      </c>
      <c r="F58">
        <v>5</v>
      </c>
      <c r="G58">
        <v>6</v>
      </c>
      <c r="H58">
        <v>7</v>
      </c>
      <c r="I58">
        <v>8</v>
      </c>
      <c r="J58">
        <v>9</v>
      </c>
      <c r="K58">
        <v>10</v>
      </c>
      <c r="M58" t="s">
        <v>904</v>
      </c>
      <c r="O58">
        <v>1</v>
      </c>
      <c r="P58">
        <v>2</v>
      </c>
      <c r="Q58">
        <v>3</v>
      </c>
      <c r="R58">
        <v>4</v>
      </c>
      <c r="S58">
        <v>5</v>
      </c>
      <c r="T58">
        <v>6</v>
      </c>
      <c r="U58">
        <v>7</v>
      </c>
      <c r="V58">
        <v>8</v>
      </c>
      <c r="W58">
        <v>9</v>
      </c>
      <c r="X58">
        <v>10</v>
      </c>
      <c r="AA58">
        <v>1</v>
      </c>
      <c r="AB58">
        <v>2</v>
      </c>
      <c r="AC58">
        <v>3</v>
      </c>
      <c r="AD58">
        <v>4</v>
      </c>
      <c r="AE58">
        <v>5</v>
      </c>
      <c r="AF58">
        <v>6</v>
      </c>
      <c r="AG58">
        <v>7</v>
      </c>
      <c r="AH58">
        <v>8</v>
      </c>
      <c r="AI58">
        <v>9</v>
      </c>
      <c r="AJ58">
        <v>10</v>
      </c>
    </row>
    <row r="59" spans="1:37" x14ac:dyDescent="0.35">
      <c r="A59" t="s">
        <v>218</v>
      </c>
      <c r="B59" s="464">
        <f t="shared" ref="B59:K59" si="87">EXP($M41-B$52)/(1+EXP($M41-B$52))</f>
        <v>0.99549767037676928</v>
      </c>
      <c r="C59" s="467">
        <f t="shared" si="87"/>
        <v>0.99557385039001089</v>
      </c>
      <c r="D59" s="467">
        <f t="shared" si="87"/>
        <v>0.99557385039001089</v>
      </c>
      <c r="E59" s="467">
        <f t="shared" si="87"/>
        <v>0.98783086432370071</v>
      </c>
      <c r="F59" s="467">
        <f t="shared" si="87"/>
        <v>0.97463727872902439</v>
      </c>
      <c r="G59" s="467">
        <f t="shared" si="87"/>
        <v>0.95259238678338143</v>
      </c>
      <c r="H59" s="467">
        <f t="shared" si="87"/>
        <v>0.95259238678338143</v>
      </c>
      <c r="I59" s="467">
        <f t="shared" si="87"/>
        <v>0.91561162070685642</v>
      </c>
      <c r="J59" s="467">
        <f t="shared" si="87"/>
        <v>0.5076947723926265</v>
      </c>
      <c r="K59" s="465">
        <f t="shared" si="87"/>
        <v>0.5076947723926265</v>
      </c>
      <c r="M59" s="468">
        <f t="shared" ref="M59:M67" si="88">M41+AK59/Y59</f>
        <v>3.5651727544166159</v>
      </c>
      <c r="O59" s="464">
        <f t="shared" ref="O59:O67" si="89">B59*(1-B59)</f>
        <v>4.4820586511944956E-3</v>
      </c>
      <c r="P59" s="467">
        <f t="shared" ref="P59:P67" si="90">C59*(1-C59)</f>
        <v>4.406558809619098E-3</v>
      </c>
      <c r="Q59" s="467">
        <f t="shared" ref="Q59:Q67" si="91">D59*(1-D59)</f>
        <v>4.406558809619098E-3</v>
      </c>
      <c r="R59" s="467">
        <f t="shared" ref="R59:R67" si="92">E59*(1-E59)</f>
        <v>1.2021047813191112E-2</v>
      </c>
      <c r="S59" s="467">
        <f t="shared" ref="S59:S67" si="93">F59*(1-F59)</f>
        <v>2.471945364070641E-2</v>
      </c>
      <c r="T59" s="467">
        <f t="shared" ref="T59:T67" si="94">G59*(1-G59)</f>
        <v>4.5160131425722061E-2</v>
      </c>
      <c r="U59" s="467">
        <f t="shared" ref="U59:U67" si="95">H59*(1-H59)</f>
        <v>4.5160131425722061E-2</v>
      </c>
      <c r="V59" s="467">
        <f t="shared" ref="V59:V67" si="96">I59*(1-I59)</f>
        <v>7.7266980733420115E-2</v>
      </c>
      <c r="W59" s="467">
        <f t="shared" ref="W59:W67" si="97">J59*(1-J59)</f>
        <v>0.24994079047782566</v>
      </c>
      <c r="X59" s="465">
        <f t="shared" ref="X59:X67" si="98">K59*(1-K59)</f>
        <v>0.24994079047782566</v>
      </c>
      <c r="Y59" s="446">
        <f>SUM(O59:X59)</f>
        <v>0.71750450226484574</v>
      </c>
      <c r="AA59" s="464" t="str">
        <f t="shared" ref="AA59:AA67" si="99">IF(ISNUMBER(B5),B5-B59,"")</f>
        <v/>
      </c>
      <c r="AB59" s="467">
        <f t="shared" ref="AB59:AB67" si="100">IF(ISNUMBER(C5),C5-C59,"")</f>
        <v>4.4261496099891051E-3</v>
      </c>
      <c r="AC59" s="467">
        <f t="shared" ref="AC59:AC67" si="101">IF(ISNUMBER(D5),D5-D59,"")</f>
        <v>4.4261496099891051E-3</v>
      </c>
      <c r="AD59" s="467">
        <f t="shared" ref="AD59:AD67" si="102">IF(ISNUMBER(E5),E5-E59,"")</f>
        <v>1.2169135676299292E-2</v>
      </c>
      <c r="AE59" s="467">
        <f t="shared" ref="AE59:AE67" si="103">IF(ISNUMBER(F5),F5-F59,"")</f>
        <v>2.5362721270975608E-2</v>
      </c>
      <c r="AF59" s="467">
        <f t="shared" ref="AF59:AF67" si="104">IF(ISNUMBER(G5),G5-G59,"")</f>
        <v>4.7407613216618572E-2</v>
      </c>
      <c r="AG59" s="467">
        <f t="shared" ref="AG59:AG67" si="105">IF(ISNUMBER(H5),H5-H59,"")</f>
        <v>4.7407613216618572E-2</v>
      </c>
      <c r="AH59" s="467">
        <f t="shared" ref="AH59:AH67" si="106">IF(ISNUMBER(I5),I5-I59,"")</f>
        <v>8.4388379293143578E-2</v>
      </c>
      <c r="AI59" s="467">
        <f t="shared" ref="AI59:AI67" si="107">IF(ISNUMBER(J5),J5-J59,"")</f>
        <v>-0.5076947723926265</v>
      </c>
      <c r="AJ59" s="465">
        <f t="shared" ref="AJ59:AJ67" si="108">IF(ISNUMBER(K5),K5-K59,"")</f>
        <v>0.4923052276073735</v>
      </c>
      <c r="AK59" s="446">
        <f>SUM(AA59:AJ59)</f>
        <v>0.21019821710838082</v>
      </c>
    </row>
    <row r="60" spans="1:37" x14ac:dyDescent="0.35">
      <c r="A60" t="s">
        <v>98</v>
      </c>
      <c r="B60" s="466">
        <f t="shared" ref="B60:K60" si="109">EXP($M42-B$52)/(1+EXP($M42-B$52))</f>
        <v>0.98590279916092372</v>
      </c>
      <c r="C60" s="447">
        <f t="shared" si="109"/>
        <v>0.98613906521387873</v>
      </c>
      <c r="D60" s="447">
        <f t="shared" si="109"/>
        <v>0.98613906521387873</v>
      </c>
      <c r="E60" s="447">
        <f t="shared" si="109"/>
        <v>0.96251260056668086</v>
      </c>
      <c r="F60" s="447">
        <f t="shared" si="109"/>
        <v>0.92398173313244747</v>
      </c>
      <c r="G60" s="447">
        <f t="shared" si="109"/>
        <v>0.86404935208907585</v>
      </c>
      <c r="H60" s="447">
        <f t="shared" si="109"/>
        <v>0.86404935208907585</v>
      </c>
      <c r="I60" s="447">
        <f t="shared" si="109"/>
        <v>0.77436003279334042</v>
      </c>
      <c r="J60" s="447">
        <f t="shared" si="109"/>
        <v>0.24595846109698347</v>
      </c>
      <c r="K60" s="448">
        <f t="shared" si="109"/>
        <v>0.24595846109698347</v>
      </c>
      <c r="M60" s="469">
        <f t="shared" si="88"/>
        <v>2.2945582827085982</v>
      </c>
      <c r="O60" s="466">
        <f t="shared" si="89"/>
        <v>1.3898469767579032E-2</v>
      </c>
      <c r="P60" s="447">
        <f t="shared" si="90"/>
        <v>1.3668809272976165E-2</v>
      </c>
      <c r="Q60" s="447">
        <f t="shared" si="91"/>
        <v>1.3668809272976165E-2</v>
      </c>
      <c r="R60" s="447">
        <f t="shared" si="92"/>
        <v>3.6082094317045919E-2</v>
      </c>
      <c r="S60" s="447">
        <f t="shared" si="93"/>
        <v>7.0239489970006092E-2</v>
      </c>
      <c r="T60" s="447">
        <f t="shared" si="94"/>
        <v>0.11746806924352408</v>
      </c>
      <c r="U60" s="447">
        <f t="shared" si="95"/>
        <v>0.11746806924352408</v>
      </c>
      <c r="V60" s="447">
        <f t="shared" si="96"/>
        <v>0.17472657240563716</v>
      </c>
      <c r="W60" s="447">
        <f t="shared" si="97"/>
        <v>0.18546289651178713</v>
      </c>
      <c r="X60" s="448">
        <f t="shared" si="98"/>
        <v>0.18546289651178713</v>
      </c>
      <c r="Y60" s="446">
        <f t="shared" ref="Y60:Y67" si="110">SUM(O60:X60)</f>
        <v>0.92814617651684306</v>
      </c>
      <c r="AA60" s="466">
        <f t="shared" si="99"/>
        <v>1.4097200839076285E-2</v>
      </c>
      <c r="AB60" s="447">
        <f t="shared" si="100"/>
        <v>1.3860934786121271E-2</v>
      </c>
      <c r="AC60" s="447">
        <f t="shared" si="101"/>
        <v>1.3860934786121271E-2</v>
      </c>
      <c r="AD60" s="447">
        <f t="shared" si="102"/>
        <v>-0.96251260056668086</v>
      </c>
      <c r="AE60" s="447">
        <f t="shared" si="103"/>
        <v>7.6018266867552531E-2</v>
      </c>
      <c r="AF60" s="447">
        <f t="shared" si="104"/>
        <v>0.13595064791092415</v>
      </c>
      <c r="AG60" s="447">
        <f t="shared" si="105"/>
        <v>0.13595064791092415</v>
      </c>
      <c r="AH60" s="447">
        <f t="shared" si="106"/>
        <v>0.22563996720665958</v>
      </c>
      <c r="AI60" s="447">
        <f t="shared" si="107"/>
        <v>0.75404153890301651</v>
      </c>
      <c r="AJ60" s="448">
        <f t="shared" si="108"/>
        <v>-0.24595846109698347</v>
      </c>
      <c r="AK60" s="446">
        <f t="shared" ref="AK60:AK67" si="111">SUM(AA60:AJ60)</f>
        <v>0.16094907754673141</v>
      </c>
    </row>
    <row r="61" spans="1:37" x14ac:dyDescent="0.35">
      <c r="A61" t="s">
        <v>99</v>
      </c>
      <c r="B61" s="466">
        <f t="shared" ref="B61:K61" si="112">EXP($M43-B$52)/(1+EXP($M43-B$52))</f>
        <v>0.96634108330052504</v>
      </c>
      <c r="C61" s="447">
        <f t="shared" si="112"/>
        <v>0.96689419056267367</v>
      </c>
      <c r="D61" s="447">
        <f t="shared" si="112"/>
        <v>0.96689419056267367</v>
      </c>
      <c r="E61" s="447">
        <f t="shared" si="112"/>
        <v>0.91334663610147415</v>
      </c>
      <c r="F61" s="447">
        <f t="shared" si="112"/>
        <v>0.8330467569078317</v>
      </c>
      <c r="G61" s="447">
        <f t="shared" si="112"/>
        <v>0.72292060099634903</v>
      </c>
      <c r="H61" s="447">
        <f t="shared" si="112"/>
        <v>0.72292060099634903</v>
      </c>
      <c r="I61" s="447">
        <f t="shared" si="112"/>
        <v>0.58485925056609323</v>
      </c>
      <c r="J61" s="447">
        <f t="shared" si="112"/>
        <v>0.11809161563439867</v>
      </c>
      <c r="K61" s="448">
        <f t="shared" si="112"/>
        <v>0.11809161563439867</v>
      </c>
      <c r="M61" s="469">
        <f t="shared" si="88"/>
        <v>1.3050416753793104</v>
      </c>
      <c r="O61" s="466">
        <f t="shared" si="89"/>
        <v>3.2525994026092769E-2</v>
      </c>
      <c r="P61" s="447">
        <f t="shared" si="90"/>
        <v>3.2009814818825762E-2</v>
      </c>
      <c r="Q61" s="447">
        <f t="shared" si="91"/>
        <v>3.2009814818825762E-2</v>
      </c>
      <c r="R61" s="447">
        <f t="shared" si="92"/>
        <v>7.914455842359551E-2</v>
      </c>
      <c r="S61" s="447">
        <f t="shared" si="93"/>
        <v>0.13907985771317566</v>
      </c>
      <c r="T61" s="447">
        <f t="shared" si="94"/>
        <v>0.20030640565142654</v>
      </c>
      <c r="U61" s="447">
        <f t="shared" si="95"/>
        <v>0.20030640565142654</v>
      </c>
      <c r="V61" s="447">
        <f t="shared" si="96"/>
        <v>0.24279890759336101</v>
      </c>
      <c r="W61" s="447">
        <f t="shared" si="97"/>
        <v>0.10414598595125613</v>
      </c>
      <c r="X61" s="448">
        <f t="shared" si="98"/>
        <v>0.10414598595125613</v>
      </c>
      <c r="Y61" s="446">
        <f t="shared" si="110"/>
        <v>1.1664737305992419</v>
      </c>
      <c r="AA61" s="466">
        <f t="shared" si="99"/>
        <v>3.3658916699474961E-2</v>
      </c>
      <c r="AB61" s="447">
        <f t="shared" si="100"/>
        <v>3.3105809437326328E-2</v>
      </c>
      <c r="AC61" s="447">
        <f t="shared" si="101"/>
        <v>3.3105809437326328E-2</v>
      </c>
      <c r="AD61" s="447">
        <f t="shared" si="102"/>
        <v>8.6653363898525848E-2</v>
      </c>
      <c r="AE61" s="447">
        <f t="shared" si="103"/>
        <v>0.1669532430921683</v>
      </c>
      <c r="AF61" s="447">
        <f t="shared" si="104"/>
        <v>0.27707939900365097</v>
      </c>
      <c r="AG61" s="447">
        <f t="shared" si="105"/>
        <v>-0.72292060099634903</v>
      </c>
      <c r="AH61" s="447">
        <f t="shared" si="106"/>
        <v>0.41514074943390677</v>
      </c>
      <c r="AI61" s="447">
        <f t="shared" si="107"/>
        <v>-0.11809161563439867</v>
      </c>
      <c r="AJ61" s="448">
        <f t="shared" si="108"/>
        <v>-0.11809161563439867</v>
      </c>
      <c r="AK61" s="446">
        <f t="shared" si="111"/>
        <v>8.6593458737233134E-2</v>
      </c>
    </row>
    <row r="62" spans="1:37" x14ac:dyDescent="0.35">
      <c r="A62" t="s">
        <v>100</v>
      </c>
      <c r="B62" s="466">
        <f t="shared" ref="B62:K62" si="113">EXP($M44-B$52)/(1+EXP($M44-B$52))</f>
        <v>0.96634108330052504</v>
      </c>
      <c r="C62" s="447">
        <f t="shared" si="113"/>
        <v>0.96689419056267367</v>
      </c>
      <c r="D62" s="447">
        <f t="shared" si="113"/>
        <v>0.96689419056267367</v>
      </c>
      <c r="E62" s="447">
        <f t="shared" si="113"/>
        <v>0.91334663610147415</v>
      </c>
      <c r="F62" s="447">
        <f t="shared" si="113"/>
        <v>0.8330467569078317</v>
      </c>
      <c r="G62" s="447">
        <f t="shared" si="113"/>
        <v>0.72292060099634903</v>
      </c>
      <c r="H62" s="447">
        <f t="shared" si="113"/>
        <v>0.72292060099634903</v>
      </c>
      <c r="I62" s="447">
        <f t="shared" si="113"/>
        <v>0.58485925056609323</v>
      </c>
      <c r="J62" s="447">
        <f t="shared" si="113"/>
        <v>0.11809161563439867</v>
      </c>
      <c r="K62" s="448">
        <f t="shared" si="113"/>
        <v>0.11809161563439867</v>
      </c>
      <c r="M62" s="469">
        <f t="shared" si="88"/>
        <v>1.3050416753793104</v>
      </c>
      <c r="O62" s="466">
        <f t="shared" si="89"/>
        <v>3.2525994026092769E-2</v>
      </c>
      <c r="P62" s="447">
        <f t="shared" si="90"/>
        <v>3.2009814818825762E-2</v>
      </c>
      <c r="Q62" s="447">
        <f t="shared" si="91"/>
        <v>3.2009814818825762E-2</v>
      </c>
      <c r="R62" s="447">
        <f t="shared" si="92"/>
        <v>7.914455842359551E-2</v>
      </c>
      <c r="S62" s="447">
        <f t="shared" si="93"/>
        <v>0.13907985771317566</v>
      </c>
      <c r="T62" s="447">
        <f t="shared" si="94"/>
        <v>0.20030640565142654</v>
      </c>
      <c r="U62" s="447">
        <f t="shared" si="95"/>
        <v>0.20030640565142654</v>
      </c>
      <c r="V62" s="447">
        <f t="shared" si="96"/>
        <v>0.24279890759336101</v>
      </c>
      <c r="W62" s="447">
        <f t="shared" si="97"/>
        <v>0.10414598595125613</v>
      </c>
      <c r="X62" s="448">
        <f t="shared" si="98"/>
        <v>0.10414598595125613</v>
      </c>
      <c r="Y62" s="446">
        <f t="shared" si="110"/>
        <v>1.1664737305992419</v>
      </c>
      <c r="AA62" s="466">
        <f t="shared" si="99"/>
        <v>3.3658916699474961E-2</v>
      </c>
      <c r="AB62" s="447">
        <f t="shared" si="100"/>
        <v>3.3105809437326328E-2</v>
      </c>
      <c r="AC62" s="447">
        <f t="shared" si="101"/>
        <v>3.3105809437326328E-2</v>
      </c>
      <c r="AD62" s="447">
        <f t="shared" si="102"/>
        <v>8.6653363898525848E-2</v>
      </c>
      <c r="AE62" s="447">
        <f t="shared" si="103"/>
        <v>0.1669532430921683</v>
      </c>
      <c r="AF62" s="447">
        <f t="shared" si="104"/>
        <v>0.27707939900365097</v>
      </c>
      <c r="AG62" s="447">
        <f t="shared" si="105"/>
        <v>-0.72292060099634903</v>
      </c>
      <c r="AH62" s="447">
        <f t="shared" si="106"/>
        <v>0.41514074943390677</v>
      </c>
      <c r="AI62" s="447">
        <f t="shared" si="107"/>
        <v>-0.11809161563439867</v>
      </c>
      <c r="AJ62" s="448">
        <f t="shared" si="108"/>
        <v>-0.11809161563439867</v>
      </c>
      <c r="AK62" s="446">
        <f t="shared" si="111"/>
        <v>8.6593458737233134E-2</v>
      </c>
    </row>
    <row r="63" spans="1:37" x14ac:dyDescent="0.35">
      <c r="A63" t="s">
        <v>536</v>
      </c>
      <c r="B63" s="466">
        <f t="shared" ref="B63:K63" si="114">EXP($M45-B$52)/(1+EXP($M45-B$52))</f>
        <v>0.93272348774042291</v>
      </c>
      <c r="C63" s="447">
        <f t="shared" si="114"/>
        <v>0.93379117364408692</v>
      </c>
      <c r="D63" s="447">
        <f t="shared" si="114"/>
        <v>0.93379117364408692</v>
      </c>
      <c r="E63" s="447">
        <f t="shared" si="114"/>
        <v>0.83579372026571097</v>
      </c>
      <c r="F63" s="447">
        <f t="shared" si="114"/>
        <v>0.70670507098650803</v>
      </c>
      <c r="G63" s="447">
        <f t="shared" si="114"/>
        <v>0.55750789703448211</v>
      </c>
      <c r="H63" s="447">
        <f t="shared" si="114"/>
        <v>0.55750789703448211</v>
      </c>
      <c r="I63" s="447">
        <f t="shared" si="114"/>
        <v>0.40487631324031986</v>
      </c>
      <c r="J63" s="447">
        <f t="shared" si="114"/>
        <v>6.0735503292211605E-2</v>
      </c>
      <c r="K63" s="448">
        <f t="shared" si="114"/>
        <v>6.0735503292211605E-2</v>
      </c>
      <c r="M63" s="469">
        <f t="shared" si="88"/>
        <v>0.51434327492445353</v>
      </c>
      <c r="O63" s="466">
        <f t="shared" si="89"/>
        <v>6.2750383157764072E-2</v>
      </c>
      <c r="P63" s="447">
        <f t="shared" si="90"/>
        <v>6.1825217668485623E-2</v>
      </c>
      <c r="Q63" s="447">
        <f t="shared" si="91"/>
        <v>6.1825217668485623E-2</v>
      </c>
      <c r="R63" s="447">
        <f t="shared" si="92"/>
        <v>0.13724257743011345</v>
      </c>
      <c r="S63" s="447">
        <f t="shared" si="93"/>
        <v>0.20727301362846268</v>
      </c>
      <c r="T63" s="447">
        <f t="shared" si="94"/>
        <v>0.2466928417786714</v>
      </c>
      <c r="U63" s="447">
        <f t="shared" si="95"/>
        <v>0.2466928417786714</v>
      </c>
      <c r="V63" s="447">
        <f t="shared" si="96"/>
        <v>0.24095148421724624</v>
      </c>
      <c r="W63" s="447">
        <f t="shared" si="97"/>
        <v>5.7046701932053363E-2</v>
      </c>
      <c r="X63" s="448">
        <f t="shared" si="98"/>
        <v>5.7046701932053363E-2</v>
      </c>
      <c r="Y63" s="446">
        <f t="shared" si="110"/>
        <v>1.3793469811920069</v>
      </c>
      <c r="AA63" s="466">
        <f t="shared" si="99"/>
        <v>6.7276512259577093E-2</v>
      </c>
      <c r="AB63" s="447">
        <f t="shared" si="100"/>
        <v>6.6208826355913075E-2</v>
      </c>
      <c r="AC63" s="447">
        <f t="shared" si="101"/>
        <v>6.6208826355913075E-2</v>
      </c>
      <c r="AD63" s="447">
        <f t="shared" si="102"/>
        <v>0.16420627973428903</v>
      </c>
      <c r="AE63" s="447">
        <f t="shared" si="103"/>
        <v>-0.70670507098650803</v>
      </c>
      <c r="AF63" s="447">
        <f t="shared" si="104"/>
        <v>0.44249210296551789</v>
      </c>
      <c r="AG63" s="447">
        <f t="shared" si="105"/>
        <v>0.44249210296551789</v>
      </c>
      <c r="AH63" s="447">
        <f t="shared" si="106"/>
        <v>-0.40487631324031986</v>
      </c>
      <c r="AI63" s="447">
        <f t="shared" si="107"/>
        <v>-6.0735503292211605E-2</v>
      </c>
      <c r="AJ63" s="448">
        <f t="shared" si="108"/>
        <v>-6.0735503292211605E-2</v>
      </c>
      <c r="AK63" s="446">
        <f t="shared" si="111"/>
        <v>1.5832259825476931E-2</v>
      </c>
    </row>
    <row r="64" spans="1:37" x14ac:dyDescent="0.35">
      <c r="A64" t="s">
        <v>101</v>
      </c>
      <c r="B64" s="466">
        <f t="shared" ref="B64:K64" si="115">EXP($M46-B$52)/(1+EXP($M46-B$52))</f>
        <v>0.93272348774042291</v>
      </c>
      <c r="C64" s="447">
        <f t="shared" si="115"/>
        <v>0.93379117364408692</v>
      </c>
      <c r="D64" s="447">
        <f t="shared" si="115"/>
        <v>0.93379117364408692</v>
      </c>
      <c r="E64" s="447">
        <f t="shared" si="115"/>
        <v>0.83579372026571097</v>
      </c>
      <c r="F64" s="447">
        <f t="shared" si="115"/>
        <v>0.70670507098650803</v>
      </c>
      <c r="G64" s="447">
        <f t="shared" si="115"/>
        <v>0.55750789703448211</v>
      </c>
      <c r="H64" s="447">
        <f t="shared" si="115"/>
        <v>0.55750789703448211</v>
      </c>
      <c r="I64" s="447">
        <f t="shared" si="115"/>
        <v>0.40487631324031986</v>
      </c>
      <c r="J64" s="447">
        <f t="shared" si="115"/>
        <v>6.0735503292211605E-2</v>
      </c>
      <c r="K64" s="448">
        <f t="shared" si="115"/>
        <v>6.0735503292211605E-2</v>
      </c>
      <c r="M64" s="469">
        <f t="shared" si="88"/>
        <v>0.51434327492445353</v>
      </c>
      <c r="O64" s="466">
        <f t="shared" si="89"/>
        <v>6.2750383157764072E-2</v>
      </c>
      <c r="P64" s="447">
        <f t="shared" si="90"/>
        <v>6.1825217668485623E-2</v>
      </c>
      <c r="Q64" s="447">
        <f t="shared" si="91"/>
        <v>6.1825217668485623E-2</v>
      </c>
      <c r="R64" s="447">
        <f t="shared" si="92"/>
        <v>0.13724257743011345</v>
      </c>
      <c r="S64" s="447">
        <f t="shared" si="93"/>
        <v>0.20727301362846268</v>
      </c>
      <c r="T64" s="447">
        <f t="shared" si="94"/>
        <v>0.2466928417786714</v>
      </c>
      <c r="U64" s="447">
        <f t="shared" si="95"/>
        <v>0.2466928417786714</v>
      </c>
      <c r="V64" s="447">
        <f t="shared" si="96"/>
        <v>0.24095148421724624</v>
      </c>
      <c r="W64" s="447">
        <f t="shared" si="97"/>
        <v>5.7046701932053363E-2</v>
      </c>
      <c r="X64" s="448">
        <f t="shared" si="98"/>
        <v>5.7046701932053363E-2</v>
      </c>
      <c r="Y64" s="446">
        <f t="shared" si="110"/>
        <v>1.3793469811920069</v>
      </c>
      <c r="AA64" s="466">
        <f t="shared" si="99"/>
        <v>6.7276512259577093E-2</v>
      </c>
      <c r="AB64" s="447">
        <f t="shared" si="100"/>
        <v>6.6208826355913075E-2</v>
      </c>
      <c r="AC64" s="447">
        <f t="shared" si="101"/>
        <v>6.6208826355913075E-2</v>
      </c>
      <c r="AD64" s="447">
        <f t="shared" si="102"/>
        <v>0.16420627973428903</v>
      </c>
      <c r="AE64" s="447">
        <f t="shared" si="103"/>
        <v>0.29329492901349197</v>
      </c>
      <c r="AF64" s="447">
        <f t="shared" si="104"/>
        <v>-0.55750789703448211</v>
      </c>
      <c r="AG64" s="447">
        <f t="shared" si="105"/>
        <v>0.44249210296551789</v>
      </c>
      <c r="AH64" s="447">
        <f t="shared" si="106"/>
        <v>-0.40487631324031986</v>
      </c>
      <c r="AI64" s="447">
        <f t="shared" si="107"/>
        <v>-6.0735503292211605E-2</v>
      </c>
      <c r="AJ64" s="448">
        <f t="shared" si="108"/>
        <v>-6.0735503292211605E-2</v>
      </c>
      <c r="AK64" s="446">
        <f t="shared" si="111"/>
        <v>1.5832259825476931E-2</v>
      </c>
    </row>
    <row r="65" spans="1:37" x14ac:dyDescent="0.35">
      <c r="A65" t="s">
        <v>281</v>
      </c>
      <c r="B65" s="466">
        <f t="shared" ref="B65:K65" si="116">EXP($M47-B$52)/(1+EXP($M47-B$52))</f>
        <v>0.79785594782427627</v>
      </c>
      <c r="C65" s="447">
        <f t="shared" si="116"/>
        <v>0.80060643941685161</v>
      </c>
      <c r="D65" s="447">
        <f t="shared" si="116"/>
        <v>0.80060643941685161</v>
      </c>
      <c r="E65" s="447">
        <f t="shared" si="116"/>
        <v>0.59167843141178122</v>
      </c>
      <c r="F65" s="447">
        <f t="shared" si="116"/>
        <v>0.40687108380074866</v>
      </c>
      <c r="G65" s="447">
        <f t="shared" si="116"/>
        <v>0.26399707476924189</v>
      </c>
      <c r="H65" s="447">
        <f t="shared" si="116"/>
        <v>0.26399707476924189</v>
      </c>
      <c r="I65" s="447">
        <f t="shared" si="116"/>
        <v>0.16225592780795381</v>
      </c>
      <c r="J65" s="447">
        <f t="shared" si="116"/>
        <v>1.8076177597739759E-2</v>
      </c>
      <c r="K65" s="448">
        <f t="shared" si="116"/>
        <v>1.8076177597739759E-2</v>
      </c>
      <c r="M65" s="469">
        <f t="shared" si="88"/>
        <v>-0.83488964504782093</v>
      </c>
      <c r="O65" s="466">
        <f t="shared" si="89"/>
        <v>0.16128183434570201</v>
      </c>
      <c r="P65" s="447">
        <f t="shared" si="90"/>
        <v>0.15963576858112272</v>
      </c>
      <c r="Q65" s="447">
        <f t="shared" si="91"/>
        <v>0.15963576858112272</v>
      </c>
      <c r="R65" s="447">
        <f t="shared" si="92"/>
        <v>0.24159506521387533</v>
      </c>
      <c r="S65" s="447">
        <f t="shared" si="93"/>
        <v>0.24132700496755283</v>
      </c>
      <c r="T65" s="447">
        <f t="shared" si="94"/>
        <v>0.19430261928252518</v>
      </c>
      <c r="U65" s="447">
        <f t="shared" si="95"/>
        <v>0.19430261928252518</v>
      </c>
      <c r="V65" s="447">
        <f t="shared" si="96"/>
        <v>0.13592894169913389</v>
      </c>
      <c r="W65" s="447">
        <f t="shared" si="97"/>
        <v>1.7749429401194731E-2</v>
      </c>
      <c r="X65" s="448">
        <f t="shared" si="98"/>
        <v>1.7749429401194731E-2</v>
      </c>
      <c r="Y65" s="446">
        <f t="shared" si="110"/>
        <v>1.5235084807559496</v>
      </c>
      <c r="AA65" s="466">
        <f t="shared" si="99"/>
        <v>0.20214405217572373</v>
      </c>
      <c r="AB65" s="447">
        <f t="shared" si="100"/>
        <v>0.19939356058314839</v>
      </c>
      <c r="AC65" s="447">
        <f t="shared" si="101"/>
        <v>0.19939356058314839</v>
      </c>
      <c r="AD65" s="447">
        <f t="shared" si="102"/>
        <v>0.40832156858821878</v>
      </c>
      <c r="AE65" s="447">
        <f t="shared" si="103"/>
        <v>-0.40687108380074866</v>
      </c>
      <c r="AF65" s="447">
        <f t="shared" si="104"/>
        <v>-0.26399707476924189</v>
      </c>
      <c r="AG65" s="447">
        <f t="shared" si="105"/>
        <v>-0.26399707476924189</v>
      </c>
      <c r="AH65" s="447">
        <f t="shared" si="106"/>
        <v>-0.16225592780795381</v>
      </c>
      <c r="AI65" s="447">
        <f t="shared" si="107"/>
        <v>-1.8076177597739759E-2</v>
      </c>
      <c r="AJ65" s="448">
        <f t="shared" si="108"/>
        <v>-1.8076177597739759E-2</v>
      </c>
      <c r="AK65" s="446">
        <f t="shared" si="111"/>
        <v>-0.12402077441242648</v>
      </c>
    </row>
    <row r="66" spans="1:37" x14ac:dyDescent="0.35">
      <c r="A66" t="s">
        <v>537</v>
      </c>
      <c r="B66" s="466">
        <f t="shared" ref="B66:K66" si="117">EXP($M48-B$52)/(1+EXP($M48-B$52))</f>
        <v>0.79785594782427616</v>
      </c>
      <c r="C66" s="447">
        <f t="shared" si="117"/>
        <v>0.80060643941685161</v>
      </c>
      <c r="D66" s="447">
        <f t="shared" si="117"/>
        <v>0.80060643941685161</v>
      </c>
      <c r="E66" s="447">
        <f t="shared" si="117"/>
        <v>0.59167843141178122</v>
      </c>
      <c r="F66" s="447">
        <f t="shared" si="117"/>
        <v>0.40687108380074866</v>
      </c>
      <c r="G66" s="447">
        <f t="shared" si="117"/>
        <v>0.26399707476924189</v>
      </c>
      <c r="H66" s="447">
        <f t="shared" si="117"/>
        <v>0.26399707476924195</v>
      </c>
      <c r="I66" s="447">
        <f t="shared" si="117"/>
        <v>0.16225592780795386</v>
      </c>
      <c r="J66" s="447">
        <f t="shared" si="117"/>
        <v>1.807617759773977E-2</v>
      </c>
      <c r="K66" s="448">
        <f t="shared" si="117"/>
        <v>1.807617759773977E-2</v>
      </c>
      <c r="M66" s="469">
        <f t="shared" si="88"/>
        <v>-0.83488964504782082</v>
      </c>
      <c r="O66" s="466">
        <f t="shared" si="89"/>
        <v>0.16128183434570209</v>
      </c>
      <c r="P66" s="447">
        <f t="shared" si="90"/>
        <v>0.15963576858112272</v>
      </c>
      <c r="Q66" s="447">
        <f t="shared" si="91"/>
        <v>0.15963576858112272</v>
      </c>
      <c r="R66" s="447">
        <f t="shared" si="92"/>
        <v>0.24159506521387533</v>
      </c>
      <c r="S66" s="447">
        <f t="shared" si="93"/>
        <v>0.24132700496755283</v>
      </c>
      <c r="T66" s="447">
        <f t="shared" si="94"/>
        <v>0.19430261928252518</v>
      </c>
      <c r="U66" s="447">
        <f t="shared" si="95"/>
        <v>0.19430261928252524</v>
      </c>
      <c r="V66" s="447">
        <f t="shared" si="96"/>
        <v>0.13592894169913394</v>
      </c>
      <c r="W66" s="447">
        <f t="shared" si="97"/>
        <v>1.7749429401194741E-2</v>
      </c>
      <c r="X66" s="448">
        <f t="shared" si="98"/>
        <v>1.7749429401194741E-2</v>
      </c>
      <c r="Y66" s="446">
        <f t="shared" si="110"/>
        <v>1.5235084807559498</v>
      </c>
      <c r="AA66" s="466">
        <f t="shared" si="99"/>
        <v>0.20214405217572384</v>
      </c>
      <c r="AB66" s="447">
        <f t="shared" si="100"/>
        <v>-0.80060643941685161</v>
      </c>
      <c r="AC66" s="447">
        <f t="shared" si="101"/>
        <v>0.19939356058314839</v>
      </c>
      <c r="AD66" s="447">
        <f t="shared" si="102"/>
        <v>-0.59167843141178122</v>
      </c>
      <c r="AE66" s="447">
        <f t="shared" si="103"/>
        <v>0.59312891619925134</v>
      </c>
      <c r="AF66" s="447">
        <f t="shared" si="104"/>
        <v>-0.26399707476924189</v>
      </c>
      <c r="AG66" s="447">
        <f t="shared" si="105"/>
        <v>0.73600292523075805</v>
      </c>
      <c r="AH66" s="447">
        <f t="shared" si="106"/>
        <v>-0.16225592780795386</v>
      </c>
      <c r="AI66" s="447">
        <f t="shared" si="107"/>
        <v>-1.807617759773977E-2</v>
      </c>
      <c r="AJ66" s="448">
        <f t="shared" si="108"/>
        <v>-1.807617759773977E-2</v>
      </c>
      <c r="AK66" s="446">
        <f t="shared" si="111"/>
        <v>-0.12402077441242657</v>
      </c>
    </row>
    <row r="67" spans="1:37" x14ac:dyDescent="0.35">
      <c r="A67" t="s">
        <v>905</v>
      </c>
      <c r="B67" s="449">
        <f t="shared" ref="B67:K67" si="118">EXP($M49-B$52)/(1+EXP($M49-B$52))</f>
        <v>0.51164541752269099</v>
      </c>
      <c r="C67" s="450">
        <f t="shared" si="118"/>
        <v>0.51592749196799204</v>
      </c>
      <c r="D67" s="450">
        <f t="shared" si="118"/>
        <v>0.51592749196799204</v>
      </c>
      <c r="E67" s="450">
        <f t="shared" si="118"/>
        <v>0.27779028118924104</v>
      </c>
      <c r="F67" s="450">
        <f t="shared" si="118"/>
        <v>0.15403830439624991</v>
      </c>
      <c r="G67" s="450">
        <f t="shared" si="118"/>
        <v>8.6934435815951006E-2</v>
      </c>
      <c r="H67" s="450">
        <f t="shared" si="118"/>
        <v>8.6934435815951006E-2</v>
      </c>
      <c r="I67" s="450">
        <f t="shared" si="118"/>
        <v>4.8897519103495067E-2</v>
      </c>
      <c r="J67" s="450">
        <f t="shared" si="118"/>
        <v>4.8627516208214691E-3</v>
      </c>
      <c r="K67" s="451">
        <f t="shared" si="118"/>
        <v>4.8627516208214691E-3</v>
      </c>
      <c r="M67" s="470">
        <f t="shared" si="88"/>
        <v>-2.2402934217430324</v>
      </c>
      <c r="O67" s="449">
        <f t="shared" si="89"/>
        <v>0.24986438425072219</v>
      </c>
      <c r="P67" s="450">
        <f t="shared" si="90"/>
        <v>0.24974631499960956</v>
      </c>
      <c r="Q67" s="450">
        <f t="shared" si="91"/>
        <v>0.24974631499960956</v>
      </c>
      <c r="R67" s="450">
        <f t="shared" si="92"/>
        <v>0.20062284086604346</v>
      </c>
      <c r="S67" s="450">
        <f t="shared" si="93"/>
        <v>0.13031050517497816</v>
      </c>
      <c r="T67" s="450">
        <f t="shared" si="94"/>
        <v>7.9376839685313311E-2</v>
      </c>
      <c r="U67" s="450">
        <f t="shared" si="95"/>
        <v>7.9376839685313311E-2</v>
      </c>
      <c r="V67" s="450">
        <f t="shared" si="96"/>
        <v>4.6506551729018401E-2</v>
      </c>
      <c r="W67" s="450">
        <f t="shared" si="97"/>
        <v>4.8391052674956669E-3</v>
      </c>
      <c r="X67" s="451">
        <f t="shared" si="98"/>
        <v>4.8391052674956669E-3</v>
      </c>
      <c r="Y67" s="446">
        <f t="shared" si="110"/>
        <v>1.2952288019255993</v>
      </c>
      <c r="AA67" s="449">
        <f t="shared" si="99"/>
        <v>-0.51164541752269099</v>
      </c>
      <c r="AB67" s="450">
        <f t="shared" si="100"/>
        <v>0.48407250803200796</v>
      </c>
      <c r="AC67" s="450">
        <f t="shared" si="101"/>
        <v>-0.51592749196799204</v>
      </c>
      <c r="AD67" s="450">
        <f t="shared" si="102"/>
        <v>0.72220971881075902</v>
      </c>
      <c r="AE67" s="450">
        <f t="shared" si="103"/>
        <v>-0.15403830439624991</v>
      </c>
      <c r="AF67" s="450">
        <f t="shared" si="104"/>
        <v>-8.6934435815951006E-2</v>
      </c>
      <c r="AG67" s="450">
        <f t="shared" si="105"/>
        <v>-8.6934435815951006E-2</v>
      </c>
      <c r="AH67" s="450">
        <f t="shared" si="106"/>
        <v>-4.8897519103495067E-2</v>
      </c>
      <c r="AI67" s="450">
        <f t="shared" si="107"/>
        <v>-4.8627516208214691E-3</v>
      </c>
      <c r="AJ67" s="451">
        <f t="shared" si="108"/>
        <v>-4.8627516208214691E-3</v>
      </c>
      <c r="AK67" s="446">
        <f t="shared" si="111"/>
        <v>-0.20782088102120599</v>
      </c>
    </row>
    <row r="68" spans="1:37" x14ac:dyDescent="0.35">
      <c r="O68" s="446">
        <f>SUM(O59:O67)</f>
        <v>0.78136133572861355</v>
      </c>
      <c r="P68" s="446">
        <f t="shared" ref="P68:X68" si="119">SUM(P59:P67)</f>
        <v>0.77476328521907301</v>
      </c>
      <c r="Q68" s="446">
        <f t="shared" si="119"/>
        <v>0.77476328521907301</v>
      </c>
      <c r="R68" s="446">
        <f t="shared" si="119"/>
        <v>1.1646903851314492</v>
      </c>
      <c r="S68" s="446">
        <f t="shared" si="119"/>
        <v>1.4006292014040731</v>
      </c>
      <c r="T68" s="446">
        <f t="shared" si="119"/>
        <v>1.5246087737798057</v>
      </c>
      <c r="U68" s="446">
        <f t="shared" si="119"/>
        <v>1.5246087737798057</v>
      </c>
      <c r="V68" s="446">
        <f t="shared" si="119"/>
        <v>1.5378587718875578</v>
      </c>
      <c r="W68" s="446">
        <f t="shared" si="119"/>
        <v>0.79812702682611691</v>
      </c>
      <c r="X68" s="446">
        <f t="shared" si="119"/>
        <v>0.79812702682611691</v>
      </c>
      <c r="AA68" s="446">
        <f>SUM(AA59:AA67)</f>
        <v>0.10861074558593697</v>
      </c>
      <c r="AB68" s="446">
        <f t="shared" ref="AB68:AJ68" si="120">SUM(AB59:AB67)</f>
        <v>9.9775985180893922E-2</v>
      </c>
      <c r="AC68" s="446">
        <f t="shared" si="120"/>
        <v>9.9775985180893922E-2</v>
      </c>
      <c r="AD68" s="446">
        <f t="shared" si="120"/>
        <v>9.0228678362444747E-2</v>
      </c>
      <c r="AE68" s="446">
        <f t="shared" si="120"/>
        <v>5.4096860352101456E-2</v>
      </c>
      <c r="AF68" s="446">
        <f t="shared" si="120"/>
        <v>7.5726797114456512E-3</v>
      </c>
      <c r="AG68" s="446">
        <f t="shared" si="120"/>
        <v>7.5726797114454292E-3</v>
      </c>
      <c r="AH68" s="446">
        <f t="shared" si="120"/>
        <v>-4.285215583242593E-2</v>
      </c>
      <c r="AI68" s="446">
        <f t="shared" si="120"/>
        <v>-0.15232257815913156</v>
      </c>
      <c r="AJ68" s="446">
        <f t="shared" si="120"/>
        <v>-0.1523225781591315</v>
      </c>
      <c r="AK68" s="446">
        <f>SUMSQ(AK59:AK67)</f>
        <v>0.15953789469334861</v>
      </c>
    </row>
    <row r="69" spans="1:37" x14ac:dyDescent="0.35">
      <c r="A69" t="s">
        <v>822</v>
      </c>
      <c r="B69" s="471">
        <f t="shared" ref="B69:K69" si="121">B52-AA68/O68</f>
        <v>-2.265434366600303</v>
      </c>
      <c r="C69" s="472">
        <f t="shared" si="121"/>
        <v>-2.2723563981111252</v>
      </c>
      <c r="D69" s="472">
        <f t="shared" si="121"/>
        <v>-2.2723563981111252</v>
      </c>
      <c r="E69" s="472">
        <f t="shared" si="121"/>
        <v>-1.2018633024838643</v>
      </c>
      <c r="F69" s="472">
        <f t="shared" si="121"/>
        <v>-0.41519280152079296</v>
      </c>
      <c r="G69" s="472">
        <f t="shared" si="121"/>
        <v>0.26684417514110065</v>
      </c>
      <c r="H69" s="472">
        <f t="shared" si="121"/>
        <v>0.26684417514110076</v>
      </c>
      <c r="I69" s="472">
        <f t="shared" si="121"/>
        <v>0.91591764989667324</v>
      </c>
      <c r="J69" s="472">
        <f t="shared" si="121"/>
        <v>3.432283929258892</v>
      </c>
      <c r="K69" s="473">
        <f t="shared" si="121"/>
        <v>3.432283929258892</v>
      </c>
      <c r="L69" s="446">
        <f>AVERAGE(B69:K69)</f>
        <v>-1.1302940813055074E-2</v>
      </c>
    </row>
    <row r="70" spans="1:37" x14ac:dyDescent="0.35">
      <c r="A70" t="s">
        <v>906</v>
      </c>
      <c r="B70" s="89">
        <f>B69-L69</f>
        <v>-2.2541314257872478</v>
      </c>
      <c r="C70" s="159">
        <f>C69-L69</f>
        <v>-2.2610534572980701</v>
      </c>
      <c r="D70" s="159">
        <f>D69-L69</f>
        <v>-2.2610534572980701</v>
      </c>
      <c r="E70" s="159">
        <f>E69-L69</f>
        <v>-1.1905603616708091</v>
      </c>
      <c r="F70" s="159">
        <f>F69-L69</f>
        <v>-0.40388986070773791</v>
      </c>
      <c r="G70" s="159">
        <f>G69-L69</f>
        <v>0.2781471159541557</v>
      </c>
      <c r="H70" s="159">
        <f>H69-L69</f>
        <v>0.27814711595415581</v>
      </c>
      <c r="I70" s="159">
        <f>I69-L69</f>
        <v>0.92722059070972829</v>
      </c>
      <c r="J70" s="159">
        <f>J69-L69</f>
        <v>3.4435868700719472</v>
      </c>
      <c r="K70" s="93">
        <f>K69-L69</f>
        <v>3.4435868700719472</v>
      </c>
      <c r="L70" s="446">
        <f>AVERAGE(B70:K70)</f>
        <v>0</v>
      </c>
    </row>
    <row r="71" spans="1:37" x14ac:dyDescent="0.35">
      <c r="L71" s="446"/>
    </row>
    <row r="72" spans="1:37" x14ac:dyDescent="0.35">
      <c r="A72" t="s">
        <v>907</v>
      </c>
      <c r="B72" s="461">
        <f>B54+1</f>
        <v>4</v>
      </c>
    </row>
    <row r="73" spans="1:37" x14ac:dyDescent="0.35">
      <c r="B73" s="461"/>
    </row>
    <row r="74" spans="1:37" x14ac:dyDescent="0.35">
      <c r="B74" t="s">
        <v>860</v>
      </c>
      <c r="P74" t="s">
        <v>908</v>
      </c>
      <c r="AD74" t="s">
        <v>909</v>
      </c>
    </row>
    <row r="76" spans="1:37" x14ac:dyDescent="0.35">
      <c r="B76">
        <v>1</v>
      </c>
      <c r="C76">
        <v>2</v>
      </c>
      <c r="D76">
        <v>3</v>
      </c>
      <c r="E76">
        <v>4</v>
      </c>
      <c r="F76">
        <v>5</v>
      </c>
      <c r="G76">
        <v>6</v>
      </c>
      <c r="H76">
        <v>7</v>
      </c>
      <c r="I76">
        <v>8</v>
      </c>
      <c r="J76">
        <v>9</v>
      </c>
      <c r="K76">
        <v>10</v>
      </c>
      <c r="M76" t="s">
        <v>904</v>
      </c>
      <c r="O76">
        <v>1</v>
      </c>
      <c r="P76">
        <v>2</v>
      </c>
      <c r="Q76">
        <v>3</v>
      </c>
      <c r="R76">
        <v>4</v>
      </c>
      <c r="S76">
        <v>5</v>
      </c>
      <c r="T76">
        <v>6</v>
      </c>
      <c r="U76">
        <v>7</v>
      </c>
      <c r="V76">
        <v>8</v>
      </c>
      <c r="W76">
        <v>9</v>
      </c>
      <c r="X76">
        <v>10</v>
      </c>
      <c r="AA76">
        <v>1</v>
      </c>
      <c r="AB76">
        <v>2</v>
      </c>
      <c r="AC76">
        <v>3</v>
      </c>
      <c r="AD76">
        <v>4</v>
      </c>
      <c r="AE76">
        <v>5</v>
      </c>
      <c r="AF76">
        <v>6</v>
      </c>
      <c r="AG76">
        <v>7</v>
      </c>
      <c r="AH76">
        <v>8</v>
      </c>
      <c r="AI76">
        <v>9</v>
      </c>
      <c r="AJ76">
        <v>10</v>
      </c>
    </row>
    <row r="77" spans="1:37" x14ac:dyDescent="0.35">
      <c r="A77" t="s">
        <v>218</v>
      </c>
      <c r="B77" s="464">
        <f t="shared" ref="B77:K77" si="122">EXP($M59-B$70)/(1+EXP($M59-B$70))</f>
        <v>0.99703912205097356</v>
      </c>
      <c r="C77" s="467">
        <f t="shared" si="122"/>
        <v>0.99705948651172616</v>
      </c>
      <c r="D77" s="467">
        <f t="shared" si="122"/>
        <v>0.99705948651172616</v>
      </c>
      <c r="E77" s="467">
        <f t="shared" si="122"/>
        <v>0.9914711313965795</v>
      </c>
      <c r="F77" s="467">
        <f t="shared" si="122"/>
        <v>0.9814591250362712</v>
      </c>
      <c r="G77" s="467">
        <f t="shared" si="122"/>
        <v>0.9639810218953816</v>
      </c>
      <c r="H77" s="467">
        <f t="shared" si="122"/>
        <v>0.9639810218953816</v>
      </c>
      <c r="I77" s="467">
        <f t="shared" si="122"/>
        <v>0.93326453451347835</v>
      </c>
      <c r="J77" s="467">
        <f t="shared" si="122"/>
        <v>0.53035908011901356</v>
      </c>
      <c r="K77" s="465">
        <f t="shared" si="122"/>
        <v>0.53035908011901356</v>
      </c>
      <c r="M77" s="468">
        <f t="shared" ref="M77:M85" si="123">M59+AK77/Y77</f>
        <v>3.7320111076865161</v>
      </c>
      <c r="O77" s="464">
        <f t="shared" ref="O77:O85" si="124">B77*(1-B77)</f>
        <v>2.9521111507974105E-3</v>
      </c>
      <c r="P77" s="467">
        <f t="shared" ref="P77:P85" si="125">C77*(1-C77)</f>
        <v>2.9318668686991235E-3</v>
      </c>
      <c r="Q77" s="467">
        <f t="shared" ref="Q77:Q85" si="126">D77*(1-D77)</f>
        <v>2.9318668686991235E-3</v>
      </c>
      <c r="R77" s="467">
        <f t="shared" ref="R77:R85" si="127">E77*(1-E77)</f>
        <v>8.4561270037660907E-3</v>
      </c>
      <c r="S77" s="467">
        <f t="shared" ref="S77:S85" si="128">F77*(1-F77)</f>
        <v>1.8197110919308177E-2</v>
      </c>
      <c r="T77" s="467">
        <f t="shared" ref="T77:T85" si="129">G77*(1-G77)</f>
        <v>3.4721611320917424E-2</v>
      </c>
      <c r="U77" s="467">
        <f t="shared" ref="U77:U85" si="130">H77*(1-H77)</f>
        <v>3.4721611320917424E-2</v>
      </c>
      <c r="V77" s="467">
        <f t="shared" ref="V77:V85" si="131">I77*(1-I77)</f>
        <v>6.2281843132818926E-2</v>
      </c>
      <c r="W77" s="467">
        <f t="shared" ref="W77:W85" si="132">J77*(1-J77)</f>
        <v>0.24907832625432733</v>
      </c>
      <c r="X77" s="465">
        <f t="shared" ref="X77:X85" si="133">K77*(1-K77)</f>
        <v>0.24907832625432733</v>
      </c>
      <c r="Y77" s="446">
        <f>SUM(O77:X77)</f>
        <v>0.66535080109457834</v>
      </c>
      <c r="AA77" s="464" t="str">
        <f t="shared" ref="AA77:AA85" si="134">IF(ISNUMBER(B5),B5-B77,"")</f>
        <v/>
      </c>
      <c r="AB77" s="467">
        <f t="shared" ref="AB77:AB85" si="135">IF(ISNUMBER(C5),C5-C77,"")</f>
        <v>2.9405134882738437E-3</v>
      </c>
      <c r="AC77" s="467">
        <f t="shared" ref="AC77:AC85" si="136">IF(ISNUMBER(D5),D5-D77,"")</f>
        <v>2.9405134882738437E-3</v>
      </c>
      <c r="AD77" s="467">
        <f t="shared" ref="AD77:AD85" si="137">IF(ISNUMBER(E5),E5-E77,"")</f>
        <v>8.528868603420503E-3</v>
      </c>
      <c r="AE77" s="467">
        <f t="shared" ref="AE77:AE85" si="138">IF(ISNUMBER(F5),F5-F77,"")</f>
        <v>1.8540874963728804E-2</v>
      </c>
      <c r="AF77" s="467">
        <f t="shared" ref="AF77:AF85" si="139">IF(ISNUMBER(G5),G5-G77,"")</f>
        <v>3.6018978104618404E-2</v>
      </c>
      <c r="AG77" s="467">
        <f t="shared" ref="AG77:AG85" si="140">IF(ISNUMBER(H5),H5-H77,"")</f>
        <v>3.6018978104618404E-2</v>
      </c>
      <c r="AH77" s="467">
        <f t="shared" ref="AH77:AH85" si="141">IF(ISNUMBER(I5),I5-I77,"")</f>
        <v>6.673546548652165E-2</v>
      </c>
      <c r="AI77" s="467">
        <f t="shared" ref="AI77:AI85" si="142">IF(ISNUMBER(J5),J5-J77,"")</f>
        <v>-0.53035908011901356</v>
      </c>
      <c r="AJ77" s="465">
        <f t="shared" ref="AJ77:AJ85" si="143">IF(ISNUMBER(K5),K5-K77,"")</f>
        <v>0.46964091988098644</v>
      </c>
      <c r="AK77" s="446">
        <f>SUM(AA77:AJ77)</f>
        <v>0.11100603200142833</v>
      </c>
    </row>
    <row r="78" spans="1:37" x14ac:dyDescent="0.35">
      <c r="A78" t="s">
        <v>98</v>
      </c>
      <c r="B78" s="466">
        <f t="shared" ref="B78:K78" si="144">EXP($M60-B$70)/(1+EXP($M60-B$70))</f>
        <v>0.98952972700517916</v>
      </c>
      <c r="C78" s="447">
        <f t="shared" si="144"/>
        <v>0.98960120124715234</v>
      </c>
      <c r="D78" s="447">
        <f t="shared" si="144"/>
        <v>0.98960120124715234</v>
      </c>
      <c r="E78" s="447">
        <f t="shared" si="144"/>
        <v>0.9702613708551322</v>
      </c>
      <c r="F78" s="447">
        <f t="shared" si="144"/>
        <v>0.93693501030811188</v>
      </c>
      <c r="G78" s="447">
        <f t="shared" si="144"/>
        <v>0.88250940589247462</v>
      </c>
      <c r="H78" s="447">
        <f t="shared" si="144"/>
        <v>0.88250940589247462</v>
      </c>
      <c r="I78" s="447">
        <f t="shared" si="144"/>
        <v>0.79694967709730546</v>
      </c>
      <c r="J78" s="447">
        <f t="shared" si="144"/>
        <v>0.24066656026286887</v>
      </c>
      <c r="K78" s="448">
        <f t="shared" si="144"/>
        <v>0.24066656026286887</v>
      </c>
      <c r="M78" s="469">
        <f t="shared" si="123"/>
        <v>2.3891842034918938</v>
      </c>
      <c r="O78" s="466">
        <f t="shared" si="124"/>
        <v>1.0360646378234766E-2</v>
      </c>
      <c r="P78" s="447">
        <f t="shared" si="125"/>
        <v>1.0290663737345433E-2</v>
      </c>
      <c r="Q78" s="447">
        <f t="shared" si="126"/>
        <v>1.0290663737345433E-2</v>
      </c>
      <c r="R78" s="447">
        <f t="shared" si="127"/>
        <v>2.8854243081451819E-2</v>
      </c>
      <c r="S78" s="447">
        <f t="shared" si="128"/>
        <v>5.9087796767050164E-2</v>
      </c>
      <c r="T78" s="447">
        <f t="shared" si="129"/>
        <v>0.1036865544037861</v>
      </c>
      <c r="U78" s="447">
        <f t="shared" si="130"/>
        <v>0.1036865544037861</v>
      </c>
      <c r="V78" s="447">
        <f t="shared" si="131"/>
        <v>0.16182088927180602</v>
      </c>
      <c r="W78" s="447">
        <f t="shared" si="132"/>
        <v>0.18274616703410779</v>
      </c>
      <c r="X78" s="448">
        <f t="shared" si="133"/>
        <v>0.18274616703410779</v>
      </c>
      <c r="Y78" s="446">
        <f t="shared" ref="Y78:Y85" si="145">SUM(O78:X78)</f>
        <v>0.85357034584902136</v>
      </c>
      <c r="AA78" s="466">
        <f t="shared" si="134"/>
        <v>1.047027299482084E-2</v>
      </c>
      <c r="AB78" s="447">
        <f t="shared" si="135"/>
        <v>1.039879875284766E-2</v>
      </c>
      <c r="AC78" s="447">
        <f t="shared" si="136"/>
        <v>1.039879875284766E-2</v>
      </c>
      <c r="AD78" s="447">
        <f t="shared" si="137"/>
        <v>-0.9702613708551322</v>
      </c>
      <c r="AE78" s="447">
        <f t="shared" si="138"/>
        <v>6.3064989691888118E-2</v>
      </c>
      <c r="AF78" s="447">
        <f t="shared" si="139"/>
        <v>0.11749059410752538</v>
      </c>
      <c r="AG78" s="447">
        <f t="shared" si="140"/>
        <v>0.11749059410752538</v>
      </c>
      <c r="AH78" s="447">
        <f t="shared" si="141"/>
        <v>0.20305032290269454</v>
      </c>
      <c r="AI78" s="447">
        <f t="shared" si="142"/>
        <v>0.75933343973713119</v>
      </c>
      <c r="AJ78" s="448">
        <f t="shared" si="143"/>
        <v>-0.24066656026286887</v>
      </c>
      <c r="AK78" s="446">
        <f t="shared" ref="AK78:AK85" si="146">SUM(AA78:AJ78)</f>
        <v>8.0769879929279698E-2</v>
      </c>
    </row>
    <row r="79" spans="1:37" x14ac:dyDescent="0.35">
      <c r="A79" t="s">
        <v>99</v>
      </c>
      <c r="B79" s="466">
        <f t="shared" ref="B79:K79" si="147">EXP($M61-B$70)/(1+EXP($M61-B$70))</f>
        <v>0.97232533552879896</v>
      </c>
      <c r="C79" s="447">
        <f t="shared" si="147"/>
        <v>0.97251099120060658</v>
      </c>
      <c r="D79" s="447">
        <f t="shared" si="147"/>
        <v>0.97251099120060658</v>
      </c>
      <c r="E79" s="447">
        <f t="shared" si="147"/>
        <v>0.92383293073898665</v>
      </c>
      <c r="F79" s="447">
        <f t="shared" si="147"/>
        <v>0.84669764819624505</v>
      </c>
      <c r="G79" s="447">
        <f t="shared" si="147"/>
        <v>0.73631339861374923</v>
      </c>
      <c r="H79" s="447">
        <f t="shared" si="147"/>
        <v>0.73631339861374923</v>
      </c>
      <c r="I79" s="447">
        <f t="shared" si="147"/>
        <v>0.5933474677445969</v>
      </c>
      <c r="J79" s="447">
        <f t="shared" si="147"/>
        <v>0.10540649306242048</v>
      </c>
      <c r="K79" s="448">
        <f t="shared" si="147"/>
        <v>0.10540649306242048</v>
      </c>
      <c r="M79" s="469">
        <f t="shared" si="123"/>
        <v>1.3372013387174639</v>
      </c>
      <c r="O79" s="466">
        <f t="shared" si="124"/>
        <v>2.6908777417607482E-2</v>
      </c>
      <c r="P79" s="447">
        <f t="shared" si="125"/>
        <v>2.6733363194620292E-2</v>
      </c>
      <c r="Q79" s="447">
        <f t="shared" si="126"/>
        <v>2.6733363194620292E-2</v>
      </c>
      <c r="R79" s="447">
        <f t="shared" si="127"/>
        <v>7.0365646821201347E-2</v>
      </c>
      <c r="S79" s="447">
        <f t="shared" si="128"/>
        <v>0.12980074073519271</v>
      </c>
      <c r="T79" s="447">
        <f t="shared" si="129"/>
        <v>0.19415597763561926</v>
      </c>
      <c r="U79" s="447">
        <f t="shared" si="130"/>
        <v>0.19415597763561926</v>
      </c>
      <c r="V79" s="447">
        <f t="shared" si="131"/>
        <v>0.24128625026567144</v>
      </c>
      <c r="W79" s="447">
        <f t="shared" si="132"/>
        <v>9.4295964282702385E-2</v>
      </c>
      <c r="X79" s="448">
        <f t="shared" si="133"/>
        <v>9.4295964282702385E-2</v>
      </c>
      <c r="Y79" s="446">
        <f t="shared" si="145"/>
        <v>1.0987320254655568</v>
      </c>
      <c r="AA79" s="466">
        <f t="shared" si="134"/>
        <v>2.7674664471201038E-2</v>
      </c>
      <c r="AB79" s="447">
        <f t="shared" si="135"/>
        <v>2.7489008799393422E-2</v>
      </c>
      <c r="AC79" s="447">
        <f t="shared" si="136"/>
        <v>2.7489008799393422E-2</v>
      </c>
      <c r="AD79" s="447">
        <f t="shared" si="137"/>
        <v>7.6167069261013354E-2</v>
      </c>
      <c r="AE79" s="447">
        <f t="shared" si="138"/>
        <v>0.15330235180375495</v>
      </c>
      <c r="AF79" s="447">
        <f t="shared" si="139"/>
        <v>0.26368660138625077</v>
      </c>
      <c r="AG79" s="447">
        <f t="shared" si="140"/>
        <v>-0.73631339861374923</v>
      </c>
      <c r="AH79" s="447">
        <f t="shared" si="141"/>
        <v>0.4066525322554031</v>
      </c>
      <c r="AI79" s="447">
        <f t="shared" si="142"/>
        <v>-0.10540649306242048</v>
      </c>
      <c r="AJ79" s="448">
        <f t="shared" si="143"/>
        <v>-0.10540649306242048</v>
      </c>
      <c r="AK79" s="446">
        <f t="shared" si="146"/>
        <v>3.5334852037819886E-2</v>
      </c>
    </row>
    <row r="80" spans="1:37" x14ac:dyDescent="0.35">
      <c r="A80" t="s">
        <v>100</v>
      </c>
      <c r="B80" s="466">
        <f t="shared" ref="B80:K80" si="148">EXP($M62-B$70)/(1+EXP($M62-B$70))</f>
        <v>0.97232533552879896</v>
      </c>
      <c r="C80" s="447">
        <f t="shared" si="148"/>
        <v>0.97251099120060658</v>
      </c>
      <c r="D80" s="447">
        <f t="shared" si="148"/>
        <v>0.97251099120060658</v>
      </c>
      <c r="E80" s="447">
        <f t="shared" si="148"/>
        <v>0.92383293073898665</v>
      </c>
      <c r="F80" s="447">
        <f t="shared" si="148"/>
        <v>0.84669764819624505</v>
      </c>
      <c r="G80" s="447">
        <f t="shared" si="148"/>
        <v>0.73631339861374923</v>
      </c>
      <c r="H80" s="447">
        <f t="shared" si="148"/>
        <v>0.73631339861374923</v>
      </c>
      <c r="I80" s="447">
        <f t="shared" si="148"/>
        <v>0.5933474677445969</v>
      </c>
      <c r="J80" s="447">
        <f t="shared" si="148"/>
        <v>0.10540649306242048</v>
      </c>
      <c r="K80" s="448">
        <f t="shared" si="148"/>
        <v>0.10540649306242048</v>
      </c>
      <c r="M80" s="469">
        <f t="shared" si="123"/>
        <v>1.3372013387174639</v>
      </c>
      <c r="O80" s="466">
        <f t="shared" si="124"/>
        <v>2.6908777417607482E-2</v>
      </c>
      <c r="P80" s="447">
        <f t="shared" si="125"/>
        <v>2.6733363194620292E-2</v>
      </c>
      <c r="Q80" s="447">
        <f t="shared" si="126"/>
        <v>2.6733363194620292E-2</v>
      </c>
      <c r="R80" s="447">
        <f t="shared" si="127"/>
        <v>7.0365646821201347E-2</v>
      </c>
      <c r="S80" s="447">
        <f t="shared" si="128"/>
        <v>0.12980074073519271</v>
      </c>
      <c r="T80" s="447">
        <f t="shared" si="129"/>
        <v>0.19415597763561926</v>
      </c>
      <c r="U80" s="447">
        <f t="shared" si="130"/>
        <v>0.19415597763561926</v>
      </c>
      <c r="V80" s="447">
        <f t="shared" si="131"/>
        <v>0.24128625026567144</v>
      </c>
      <c r="W80" s="447">
        <f t="shared" si="132"/>
        <v>9.4295964282702385E-2</v>
      </c>
      <c r="X80" s="448">
        <f t="shared" si="133"/>
        <v>9.4295964282702385E-2</v>
      </c>
      <c r="Y80" s="446">
        <f t="shared" si="145"/>
        <v>1.0987320254655568</v>
      </c>
      <c r="AA80" s="466">
        <f t="shared" si="134"/>
        <v>2.7674664471201038E-2</v>
      </c>
      <c r="AB80" s="447">
        <f t="shared" si="135"/>
        <v>2.7489008799393422E-2</v>
      </c>
      <c r="AC80" s="447">
        <f t="shared" si="136"/>
        <v>2.7489008799393422E-2</v>
      </c>
      <c r="AD80" s="447">
        <f t="shared" si="137"/>
        <v>7.6167069261013354E-2</v>
      </c>
      <c r="AE80" s="447">
        <f t="shared" si="138"/>
        <v>0.15330235180375495</v>
      </c>
      <c r="AF80" s="447">
        <f t="shared" si="139"/>
        <v>0.26368660138625077</v>
      </c>
      <c r="AG80" s="447">
        <f t="shared" si="140"/>
        <v>-0.73631339861374923</v>
      </c>
      <c r="AH80" s="447">
        <f t="shared" si="141"/>
        <v>0.4066525322554031</v>
      </c>
      <c r="AI80" s="447">
        <f t="shared" si="142"/>
        <v>-0.10540649306242048</v>
      </c>
      <c r="AJ80" s="448">
        <f t="shared" si="143"/>
        <v>-0.10540649306242048</v>
      </c>
      <c r="AK80" s="446">
        <f t="shared" si="146"/>
        <v>3.5334852037819886E-2</v>
      </c>
    </row>
    <row r="81" spans="1:37" x14ac:dyDescent="0.35">
      <c r="A81" t="s">
        <v>536</v>
      </c>
      <c r="B81" s="466">
        <f t="shared" ref="B81:K81" si="149">EXP($M63-B$70)/(1+EXP($M63-B$70))</f>
        <v>0.94094829086395182</v>
      </c>
      <c r="C81" s="447">
        <f t="shared" si="149"/>
        <v>0.94133173889578581</v>
      </c>
      <c r="D81" s="447">
        <f t="shared" si="149"/>
        <v>0.94133173889578581</v>
      </c>
      <c r="E81" s="447">
        <f t="shared" si="149"/>
        <v>0.84617409344145844</v>
      </c>
      <c r="F81" s="447">
        <f t="shared" si="149"/>
        <v>0.71468195816300029</v>
      </c>
      <c r="G81" s="447">
        <f t="shared" si="149"/>
        <v>0.55877604060240993</v>
      </c>
      <c r="H81" s="447">
        <f t="shared" si="149"/>
        <v>0.55877604060240993</v>
      </c>
      <c r="I81" s="447">
        <f t="shared" si="149"/>
        <v>0.39822239589315284</v>
      </c>
      <c r="J81" s="447">
        <f t="shared" si="149"/>
        <v>5.0726736122868335E-2</v>
      </c>
      <c r="K81" s="448">
        <f t="shared" si="149"/>
        <v>5.0726736122868335E-2</v>
      </c>
      <c r="M81" s="469">
        <f t="shared" si="123"/>
        <v>0.51306742704012309</v>
      </c>
      <c r="O81" s="466">
        <f t="shared" si="124"/>
        <v>5.5564604784159748E-2</v>
      </c>
      <c r="P81" s="447">
        <f t="shared" si="125"/>
        <v>5.5226296243221944E-2</v>
      </c>
      <c r="Q81" s="447">
        <f t="shared" si="126"/>
        <v>5.5226296243221944E-2</v>
      </c>
      <c r="R81" s="447">
        <f t="shared" si="127"/>
        <v>0.13016349702998439</v>
      </c>
      <c r="S81" s="447">
        <f t="shared" si="128"/>
        <v>0.20391165683929979</v>
      </c>
      <c r="T81" s="447">
        <f t="shared" si="129"/>
        <v>0.24654537705110385</v>
      </c>
      <c r="U81" s="447">
        <f t="shared" si="130"/>
        <v>0.24654537705110385</v>
      </c>
      <c r="V81" s="447">
        <f t="shared" si="131"/>
        <v>0.23964131930226992</v>
      </c>
      <c r="W81" s="447">
        <f t="shared" si="132"/>
        <v>4.8153534365189217E-2</v>
      </c>
      <c r="X81" s="448">
        <f t="shared" si="133"/>
        <v>4.8153534365189217E-2</v>
      </c>
      <c r="Y81" s="446">
        <f t="shared" si="145"/>
        <v>1.3291314932747442</v>
      </c>
      <c r="AA81" s="466">
        <f t="shared" si="134"/>
        <v>5.9051709136048181E-2</v>
      </c>
      <c r="AB81" s="447">
        <f t="shared" si="135"/>
        <v>5.8668261104214192E-2</v>
      </c>
      <c r="AC81" s="447">
        <f t="shared" si="136"/>
        <v>5.8668261104214192E-2</v>
      </c>
      <c r="AD81" s="447">
        <f t="shared" si="137"/>
        <v>0.15382590655854156</v>
      </c>
      <c r="AE81" s="447">
        <f t="shared" si="138"/>
        <v>-0.71468195816300029</v>
      </c>
      <c r="AF81" s="447">
        <f t="shared" si="139"/>
        <v>0.44122395939759007</v>
      </c>
      <c r="AG81" s="447">
        <f t="shared" si="140"/>
        <v>0.44122395939759007</v>
      </c>
      <c r="AH81" s="447">
        <f t="shared" si="141"/>
        <v>-0.39822239589315284</v>
      </c>
      <c r="AI81" s="447">
        <f t="shared" si="142"/>
        <v>-5.0726736122868335E-2</v>
      </c>
      <c r="AJ81" s="448">
        <f t="shared" si="143"/>
        <v>-5.0726736122868335E-2</v>
      </c>
      <c r="AK81" s="446">
        <f t="shared" si="146"/>
        <v>-1.6957696036915271E-3</v>
      </c>
    </row>
    <row r="82" spans="1:37" x14ac:dyDescent="0.35">
      <c r="A82" t="s">
        <v>101</v>
      </c>
      <c r="B82" s="466">
        <f t="shared" ref="B82:K82" si="150">EXP($M64-B$70)/(1+EXP($M64-B$70))</f>
        <v>0.94094829086395182</v>
      </c>
      <c r="C82" s="447">
        <f t="shared" si="150"/>
        <v>0.94133173889578581</v>
      </c>
      <c r="D82" s="447">
        <f t="shared" si="150"/>
        <v>0.94133173889578581</v>
      </c>
      <c r="E82" s="447">
        <f t="shared" si="150"/>
        <v>0.84617409344145844</v>
      </c>
      <c r="F82" s="447">
        <f t="shared" si="150"/>
        <v>0.71468195816300029</v>
      </c>
      <c r="G82" s="447">
        <f t="shared" si="150"/>
        <v>0.55877604060240993</v>
      </c>
      <c r="H82" s="447">
        <f t="shared" si="150"/>
        <v>0.55877604060240993</v>
      </c>
      <c r="I82" s="447">
        <f t="shared" si="150"/>
        <v>0.39822239589315284</v>
      </c>
      <c r="J82" s="447">
        <f t="shared" si="150"/>
        <v>5.0726736122868335E-2</v>
      </c>
      <c r="K82" s="448">
        <f t="shared" si="150"/>
        <v>5.0726736122868335E-2</v>
      </c>
      <c r="M82" s="469">
        <f t="shared" si="123"/>
        <v>0.51306742704012309</v>
      </c>
      <c r="O82" s="466">
        <f t="shared" si="124"/>
        <v>5.5564604784159748E-2</v>
      </c>
      <c r="P82" s="447">
        <f t="shared" si="125"/>
        <v>5.5226296243221944E-2</v>
      </c>
      <c r="Q82" s="447">
        <f t="shared" si="126"/>
        <v>5.5226296243221944E-2</v>
      </c>
      <c r="R82" s="447">
        <f t="shared" si="127"/>
        <v>0.13016349702998439</v>
      </c>
      <c r="S82" s="447">
        <f t="shared" si="128"/>
        <v>0.20391165683929979</v>
      </c>
      <c r="T82" s="447">
        <f t="shared" si="129"/>
        <v>0.24654537705110385</v>
      </c>
      <c r="U82" s="447">
        <f t="shared" si="130"/>
        <v>0.24654537705110385</v>
      </c>
      <c r="V82" s="447">
        <f t="shared" si="131"/>
        <v>0.23964131930226992</v>
      </c>
      <c r="W82" s="447">
        <f t="shared" si="132"/>
        <v>4.8153534365189217E-2</v>
      </c>
      <c r="X82" s="448">
        <f t="shared" si="133"/>
        <v>4.8153534365189217E-2</v>
      </c>
      <c r="Y82" s="446">
        <f t="shared" si="145"/>
        <v>1.3291314932747442</v>
      </c>
      <c r="AA82" s="466">
        <f t="shared" si="134"/>
        <v>5.9051709136048181E-2</v>
      </c>
      <c r="AB82" s="447">
        <f t="shared" si="135"/>
        <v>5.8668261104214192E-2</v>
      </c>
      <c r="AC82" s="447">
        <f t="shared" si="136"/>
        <v>5.8668261104214192E-2</v>
      </c>
      <c r="AD82" s="447">
        <f t="shared" si="137"/>
        <v>0.15382590655854156</v>
      </c>
      <c r="AE82" s="447">
        <f t="shared" si="138"/>
        <v>0.28531804183699971</v>
      </c>
      <c r="AF82" s="447">
        <f t="shared" si="139"/>
        <v>-0.55877604060240993</v>
      </c>
      <c r="AG82" s="447">
        <f t="shared" si="140"/>
        <v>0.44122395939759007</v>
      </c>
      <c r="AH82" s="447">
        <f t="shared" si="141"/>
        <v>-0.39822239589315284</v>
      </c>
      <c r="AI82" s="447">
        <f t="shared" si="142"/>
        <v>-5.0726736122868335E-2</v>
      </c>
      <c r="AJ82" s="448">
        <f t="shared" si="143"/>
        <v>-5.0726736122868335E-2</v>
      </c>
      <c r="AK82" s="446">
        <f t="shared" si="146"/>
        <v>-1.6957696036915271E-3</v>
      </c>
    </row>
    <row r="83" spans="1:37" x14ac:dyDescent="0.35">
      <c r="A83" t="s">
        <v>281</v>
      </c>
      <c r="B83" s="466">
        <f t="shared" ref="B83:K83" si="151">EXP($M65-B$70)/(1+EXP($M65-B$70))</f>
        <v>0.80521952402957986</v>
      </c>
      <c r="C83" s="447">
        <f t="shared" si="151"/>
        <v>0.80630288947120277</v>
      </c>
      <c r="D83" s="447">
        <f t="shared" si="151"/>
        <v>0.80630288947120277</v>
      </c>
      <c r="E83" s="447">
        <f t="shared" si="151"/>
        <v>0.58799203413305834</v>
      </c>
      <c r="F83" s="447">
        <f t="shared" si="151"/>
        <v>0.39388761758746205</v>
      </c>
      <c r="G83" s="447">
        <f t="shared" si="151"/>
        <v>0.24730517601570909</v>
      </c>
      <c r="H83" s="447">
        <f t="shared" si="151"/>
        <v>0.24730517601570909</v>
      </c>
      <c r="I83" s="447">
        <f t="shared" si="151"/>
        <v>0.14652624462241479</v>
      </c>
      <c r="J83" s="447">
        <f t="shared" si="151"/>
        <v>1.3674191438115411E-2</v>
      </c>
      <c r="K83" s="448">
        <f t="shared" si="151"/>
        <v>1.3674191438115411E-2</v>
      </c>
      <c r="M83" s="469">
        <f t="shared" si="123"/>
        <v>-0.88113525058036191</v>
      </c>
      <c r="O83" s="466">
        <f t="shared" si="124"/>
        <v>0.15684104215115671</v>
      </c>
      <c r="P83" s="447">
        <f t="shared" si="125"/>
        <v>0.15617853990159214</v>
      </c>
      <c r="Q83" s="447">
        <f t="shared" si="126"/>
        <v>0.15617853990159214</v>
      </c>
      <c r="R83" s="447">
        <f t="shared" si="127"/>
        <v>0.2422574019291267</v>
      </c>
      <c r="S83" s="447">
        <f t="shared" si="128"/>
        <v>0.23874016229873529</v>
      </c>
      <c r="T83" s="447">
        <f t="shared" si="129"/>
        <v>0.18614532593154823</v>
      </c>
      <c r="U83" s="447">
        <f t="shared" si="130"/>
        <v>0.18614532593154823</v>
      </c>
      <c r="V83" s="447">
        <f t="shared" si="131"/>
        <v>0.12505630425926703</v>
      </c>
      <c r="W83" s="447">
        <f t="shared" si="132"/>
        <v>1.3487207926629182E-2</v>
      </c>
      <c r="X83" s="448">
        <f t="shared" si="133"/>
        <v>1.3487207926629182E-2</v>
      </c>
      <c r="Y83" s="446">
        <f t="shared" si="145"/>
        <v>1.4745170581578249</v>
      </c>
      <c r="AA83" s="466">
        <f t="shared" si="134"/>
        <v>0.19478047597042014</v>
      </c>
      <c r="AB83" s="447">
        <f t="shared" si="135"/>
        <v>0.19369711052879723</v>
      </c>
      <c r="AC83" s="447">
        <f t="shared" si="136"/>
        <v>0.19369711052879723</v>
      </c>
      <c r="AD83" s="447">
        <f t="shared" si="137"/>
        <v>0.41200796586694166</v>
      </c>
      <c r="AE83" s="447">
        <f t="shared" si="138"/>
        <v>-0.39388761758746205</v>
      </c>
      <c r="AF83" s="447">
        <f t="shared" si="139"/>
        <v>-0.24730517601570909</v>
      </c>
      <c r="AG83" s="447">
        <f t="shared" si="140"/>
        <v>-0.24730517601570909</v>
      </c>
      <c r="AH83" s="447">
        <f t="shared" si="141"/>
        <v>-0.14652624462241479</v>
      </c>
      <c r="AI83" s="447">
        <f t="shared" si="142"/>
        <v>-1.3674191438115411E-2</v>
      </c>
      <c r="AJ83" s="448">
        <f t="shared" si="143"/>
        <v>-1.3674191438115411E-2</v>
      </c>
      <c r="AK83" s="446">
        <f t="shared" si="146"/>
        <v>-6.8189934222569581E-2</v>
      </c>
    </row>
    <row r="84" spans="1:37" x14ac:dyDescent="0.35">
      <c r="A84" t="s">
        <v>537</v>
      </c>
      <c r="B84" s="466">
        <f t="shared" ref="B84:K84" si="152">EXP($M66-B$70)/(1+EXP($M66-B$70))</f>
        <v>0.80521952402957986</v>
      </c>
      <c r="C84" s="447">
        <f t="shared" si="152"/>
        <v>0.80630288947120277</v>
      </c>
      <c r="D84" s="447">
        <f t="shared" si="152"/>
        <v>0.80630288947120277</v>
      </c>
      <c r="E84" s="447">
        <f t="shared" si="152"/>
        <v>0.58799203413305834</v>
      </c>
      <c r="F84" s="447">
        <f t="shared" si="152"/>
        <v>0.3938876175874621</v>
      </c>
      <c r="G84" s="447">
        <f t="shared" si="152"/>
        <v>0.24730517601570912</v>
      </c>
      <c r="H84" s="447">
        <f t="shared" si="152"/>
        <v>0.24730517601570909</v>
      </c>
      <c r="I84" s="447">
        <f t="shared" si="152"/>
        <v>0.14652624462241479</v>
      </c>
      <c r="J84" s="447">
        <f t="shared" si="152"/>
        <v>1.3674191438115423E-2</v>
      </c>
      <c r="K84" s="448">
        <f t="shared" si="152"/>
        <v>1.3674191438115423E-2</v>
      </c>
      <c r="M84" s="469">
        <f t="shared" si="123"/>
        <v>-0.88113525058036202</v>
      </c>
      <c r="O84" s="466">
        <f t="shared" si="124"/>
        <v>0.15684104215115671</v>
      </c>
      <c r="P84" s="447">
        <f t="shared" si="125"/>
        <v>0.15617853990159214</v>
      </c>
      <c r="Q84" s="447">
        <f t="shared" si="126"/>
        <v>0.15617853990159214</v>
      </c>
      <c r="R84" s="447">
        <f t="shared" si="127"/>
        <v>0.2422574019291267</v>
      </c>
      <c r="S84" s="447">
        <f t="shared" si="128"/>
        <v>0.23874016229873529</v>
      </c>
      <c r="T84" s="447">
        <f t="shared" si="129"/>
        <v>0.18614532593154826</v>
      </c>
      <c r="U84" s="447">
        <f t="shared" si="130"/>
        <v>0.18614532593154823</v>
      </c>
      <c r="V84" s="447">
        <f t="shared" si="131"/>
        <v>0.12505630425926703</v>
      </c>
      <c r="W84" s="447">
        <f t="shared" si="132"/>
        <v>1.3487207926629193E-2</v>
      </c>
      <c r="X84" s="448">
        <f t="shared" si="133"/>
        <v>1.3487207926629193E-2</v>
      </c>
      <c r="Y84" s="446">
        <f t="shared" si="145"/>
        <v>1.4745170581578249</v>
      </c>
      <c r="AA84" s="466">
        <f t="shared" si="134"/>
        <v>0.19478047597042014</v>
      </c>
      <c r="AB84" s="447">
        <f t="shared" si="135"/>
        <v>-0.80630288947120277</v>
      </c>
      <c r="AC84" s="447">
        <f t="shared" si="136"/>
        <v>0.19369711052879723</v>
      </c>
      <c r="AD84" s="447">
        <f t="shared" si="137"/>
        <v>-0.58799203413305834</v>
      </c>
      <c r="AE84" s="447">
        <f t="shared" si="138"/>
        <v>0.60611238241253784</v>
      </c>
      <c r="AF84" s="447">
        <f t="shared" si="139"/>
        <v>-0.24730517601570912</v>
      </c>
      <c r="AG84" s="447">
        <f t="shared" si="140"/>
        <v>0.75269482398429088</v>
      </c>
      <c r="AH84" s="447">
        <f t="shared" si="141"/>
        <v>-0.14652624462241479</v>
      </c>
      <c r="AI84" s="447">
        <f t="shared" si="142"/>
        <v>-1.3674191438115423E-2</v>
      </c>
      <c r="AJ84" s="448">
        <f t="shared" si="143"/>
        <v>-1.3674191438115423E-2</v>
      </c>
      <c r="AK84" s="446">
        <f t="shared" si="146"/>
        <v>-6.8189934222569859E-2</v>
      </c>
    </row>
    <row r="85" spans="1:37" x14ac:dyDescent="0.35">
      <c r="A85" t="s">
        <v>905</v>
      </c>
      <c r="B85" s="449">
        <f t="shared" ref="B85:K85" si="153">EXP($M67-B$70)/(1+EXP($M67-B$70))</f>
        <v>0.50345944580702096</v>
      </c>
      <c r="C85" s="450">
        <f t="shared" si="153"/>
        <v>0.5051898224980228</v>
      </c>
      <c r="D85" s="450">
        <f t="shared" si="153"/>
        <v>0.5051898224980228</v>
      </c>
      <c r="E85" s="450">
        <f t="shared" si="153"/>
        <v>0.25927636390542497</v>
      </c>
      <c r="F85" s="450">
        <f t="shared" si="153"/>
        <v>0.13747719254481125</v>
      </c>
      <c r="G85" s="450">
        <f t="shared" si="153"/>
        <v>7.4575498511023103E-2</v>
      </c>
      <c r="H85" s="450">
        <f t="shared" si="153"/>
        <v>7.4575498511023103E-2</v>
      </c>
      <c r="I85" s="450">
        <f t="shared" si="153"/>
        <v>4.0406697038111401E-2</v>
      </c>
      <c r="J85" s="450">
        <f t="shared" si="153"/>
        <v>3.3888153862563167E-3</v>
      </c>
      <c r="K85" s="451">
        <f t="shared" si="153"/>
        <v>3.3888153862563167E-3</v>
      </c>
      <c r="M85" s="470">
        <f t="shared" si="123"/>
        <v>-2.3262400818855977</v>
      </c>
      <c r="O85" s="449">
        <f t="shared" si="124"/>
        <v>0.24998803223470828</v>
      </c>
      <c r="P85" s="450">
        <f t="shared" si="125"/>
        <v>0.24997306574243902</v>
      </c>
      <c r="Q85" s="450">
        <f t="shared" si="126"/>
        <v>0.24997306574243902</v>
      </c>
      <c r="R85" s="450">
        <f t="shared" si="127"/>
        <v>0.19205213102540661</v>
      </c>
      <c r="S85" s="450">
        <f t="shared" si="128"/>
        <v>0.11857721407480815</v>
      </c>
      <c r="T85" s="450">
        <f t="shared" si="129"/>
        <v>6.9013993532855492E-2</v>
      </c>
      <c r="U85" s="450">
        <f t="shared" si="130"/>
        <v>6.9013993532855492E-2</v>
      </c>
      <c r="V85" s="450">
        <f t="shared" si="131"/>
        <v>3.8773995872581679E-2</v>
      </c>
      <c r="W85" s="450">
        <f t="shared" si="132"/>
        <v>3.377331316534189E-3</v>
      </c>
      <c r="X85" s="451">
        <f t="shared" si="133"/>
        <v>3.377331316534189E-3</v>
      </c>
      <c r="Y85" s="446">
        <f t="shared" si="145"/>
        <v>1.2441201543911622</v>
      </c>
      <c r="AA85" s="449">
        <f t="shared" si="134"/>
        <v>-0.50345944580702096</v>
      </c>
      <c r="AB85" s="450">
        <f t="shared" si="135"/>
        <v>0.4948101775019772</v>
      </c>
      <c r="AC85" s="450">
        <f t="shared" si="136"/>
        <v>-0.5051898224980228</v>
      </c>
      <c r="AD85" s="450">
        <f t="shared" si="137"/>
        <v>0.74072363609457503</v>
      </c>
      <c r="AE85" s="450">
        <f t="shared" si="138"/>
        <v>-0.13747719254481125</v>
      </c>
      <c r="AF85" s="450">
        <f t="shared" si="139"/>
        <v>-7.4575498511023103E-2</v>
      </c>
      <c r="AG85" s="450">
        <f t="shared" si="140"/>
        <v>-7.4575498511023103E-2</v>
      </c>
      <c r="AH85" s="450">
        <f t="shared" si="141"/>
        <v>-4.0406697038111401E-2</v>
      </c>
      <c r="AI85" s="450">
        <f t="shared" si="142"/>
        <v>-3.3888153862563167E-3</v>
      </c>
      <c r="AJ85" s="451">
        <f t="shared" si="143"/>
        <v>-3.3888153862563167E-3</v>
      </c>
      <c r="AK85" s="446">
        <f t="shared" si="146"/>
        <v>-0.10692797208597302</v>
      </c>
    </row>
    <row r="86" spans="1:37" x14ac:dyDescent="0.35">
      <c r="O86" s="446">
        <f>SUM(O77:O85)</f>
        <v>0.74192963846958837</v>
      </c>
      <c r="P86" s="446">
        <f t="shared" ref="P86:X86" si="154">SUM(P77:P85)</f>
        <v>0.73947199502735239</v>
      </c>
      <c r="Q86" s="446">
        <f t="shared" si="154"/>
        <v>0.73947199502735239</v>
      </c>
      <c r="R86" s="446">
        <f t="shared" si="154"/>
        <v>1.1149355926712494</v>
      </c>
      <c r="S86" s="446">
        <f t="shared" si="154"/>
        <v>1.3407672415076219</v>
      </c>
      <c r="T86" s="446">
        <f t="shared" si="154"/>
        <v>1.4611155204941018</v>
      </c>
      <c r="U86" s="446">
        <f t="shared" si="154"/>
        <v>1.4611155204941018</v>
      </c>
      <c r="V86" s="446">
        <f t="shared" si="154"/>
        <v>1.4748444759316233</v>
      </c>
      <c r="W86" s="446">
        <f t="shared" si="154"/>
        <v>0.74707523775401075</v>
      </c>
      <c r="X86" s="446">
        <f t="shared" si="154"/>
        <v>0.74707523775401075</v>
      </c>
      <c r="AA86" s="446">
        <f>SUM(AA77:AA85)</f>
        <v>7.0024526343138604E-2</v>
      </c>
      <c r="AB86" s="446">
        <f t="shared" ref="AB86:AJ86" si="155">SUM(AB77:AB85)</f>
        <v>6.7858250607908399E-2</v>
      </c>
      <c r="AC86" s="446">
        <f t="shared" si="155"/>
        <v>6.7858250607908399E-2</v>
      </c>
      <c r="AD86" s="446">
        <f t="shared" si="155"/>
        <v>6.2993017215856484E-2</v>
      </c>
      <c r="AE86" s="446">
        <f t="shared" si="155"/>
        <v>3.3594224217390806E-2</v>
      </c>
      <c r="AF86" s="446">
        <f t="shared" si="155"/>
        <v>-5.8551567626157486E-3</v>
      </c>
      <c r="AG86" s="446">
        <f t="shared" si="155"/>
        <v>-5.8551567626158596E-3</v>
      </c>
      <c r="AH86" s="446">
        <f t="shared" si="155"/>
        <v>-4.6813125169224097E-2</v>
      </c>
      <c r="AI86" s="446">
        <f t="shared" si="155"/>
        <v>-0.11402929701494714</v>
      </c>
      <c r="AJ86" s="446">
        <f t="shared" si="155"/>
        <v>-0.1140292970149472</v>
      </c>
      <c r="AK86" s="446">
        <f>SUMSQ(AK77:AK85)</f>
        <v>4.2082292923634648E-2</v>
      </c>
    </row>
    <row r="87" spans="1:37" x14ac:dyDescent="0.35">
      <c r="A87" t="s">
        <v>822</v>
      </c>
      <c r="B87" s="471">
        <f t="shared" ref="B87:K87" si="156">B70-AA86/O86</f>
        <v>-2.3485130527129243</v>
      </c>
      <c r="C87" s="472">
        <f t="shared" si="156"/>
        <v>-2.3528192727234378</v>
      </c>
      <c r="D87" s="472">
        <f t="shared" si="156"/>
        <v>-2.3528192727234378</v>
      </c>
      <c r="E87" s="472">
        <f t="shared" si="156"/>
        <v>-1.247059604882637</v>
      </c>
      <c r="F87" s="472">
        <f t="shared" si="156"/>
        <v>-0.42894583103381467</v>
      </c>
      <c r="G87" s="472">
        <f t="shared" si="156"/>
        <v>0.2821544354853559</v>
      </c>
      <c r="H87" s="472">
        <f t="shared" si="156"/>
        <v>0.28215443548535607</v>
      </c>
      <c r="I87" s="472">
        <f t="shared" si="156"/>
        <v>0.95896164946757012</v>
      </c>
      <c r="J87" s="472">
        <f t="shared" si="156"/>
        <v>3.5962211580959513</v>
      </c>
      <c r="K87" s="473">
        <f t="shared" si="156"/>
        <v>3.5962211580959513</v>
      </c>
      <c r="L87" s="446">
        <f>AVERAGE(B87:K87)</f>
        <v>-1.4444197446065842E-3</v>
      </c>
    </row>
    <row r="88" spans="1:37" x14ac:dyDescent="0.35">
      <c r="A88" t="s">
        <v>906</v>
      </c>
      <c r="B88" s="89">
        <f>B87-L87</f>
        <v>-2.3470686329683179</v>
      </c>
      <c r="C88" s="159">
        <f>C87-L87</f>
        <v>-2.3513748529788314</v>
      </c>
      <c r="D88" s="159">
        <f>D87-L87</f>
        <v>-2.3513748529788314</v>
      </c>
      <c r="E88" s="159">
        <f>E87-L87</f>
        <v>-1.2456151851380304</v>
      </c>
      <c r="F88" s="159">
        <f>F87-L87</f>
        <v>-0.4275014112892081</v>
      </c>
      <c r="G88" s="159">
        <f>G87-L87</f>
        <v>0.28359885522996248</v>
      </c>
      <c r="H88" s="159">
        <f>H87-L87</f>
        <v>0.28359885522996264</v>
      </c>
      <c r="I88" s="159">
        <f>I87-L87</f>
        <v>0.96040606921217675</v>
      </c>
      <c r="J88" s="159">
        <f>J87-L87</f>
        <v>3.5976655778405577</v>
      </c>
      <c r="K88" s="93">
        <f>K87-L87</f>
        <v>3.5976655778405577</v>
      </c>
      <c r="L88" s="446">
        <f>AVERAGE(B88:K88)</f>
        <v>0</v>
      </c>
    </row>
    <row r="89" spans="1:37" x14ac:dyDescent="0.35">
      <c r="M89" s="446"/>
    </row>
    <row r="90" spans="1:37" x14ac:dyDescent="0.35">
      <c r="A90" t="s">
        <v>907</v>
      </c>
      <c r="B90" s="461">
        <f>B72+1</f>
        <v>5</v>
      </c>
    </row>
    <row r="91" spans="1:37" x14ac:dyDescent="0.35">
      <c r="B91" s="461"/>
    </row>
    <row r="92" spans="1:37" x14ac:dyDescent="0.35">
      <c r="B92" t="s">
        <v>860</v>
      </c>
      <c r="O92" t="s">
        <v>908</v>
      </c>
      <c r="AA92" t="s">
        <v>909</v>
      </c>
    </row>
    <row r="94" spans="1:37" x14ac:dyDescent="0.35">
      <c r="B94">
        <v>1</v>
      </c>
      <c r="C94">
        <v>2</v>
      </c>
      <c r="D94">
        <v>3</v>
      </c>
      <c r="E94">
        <v>4</v>
      </c>
      <c r="F94">
        <v>5</v>
      </c>
      <c r="G94">
        <v>6</v>
      </c>
      <c r="H94">
        <v>7</v>
      </c>
      <c r="I94">
        <v>8</v>
      </c>
      <c r="J94">
        <v>9</v>
      </c>
      <c r="K94">
        <v>10</v>
      </c>
      <c r="M94" t="s">
        <v>904</v>
      </c>
      <c r="O94">
        <v>1</v>
      </c>
      <c r="P94">
        <v>2</v>
      </c>
      <c r="Q94">
        <v>3</v>
      </c>
      <c r="R94">
        <v>4</v>
      </c>
      <c r="S94">
        <v>5</v>
      </c>
      <c r="T94">
        <v>6</v>
      </c>
      <c r="U94">
        <v>7</v>
      </c>
      <c r="V94">
        <v>8</v>
      </c>
      <c r="W94">
        <v>9</v>
      </c>
      <c r="X94">
        <v>10</v>
      </c>
      <c r="AA94">
        <v>1</v>
      </c>
      <c r="AB94">
        <v>2</v>
      </c>
      <c r="AC94">
        <v>3</v>
      </c>
      <c r="AD94">
        <v>4</v>
      </c>
      <c r="AE94">
        <v>5</v>
      </c>
      <c r="AF94">
        <v>6</v>
      </c>
      <c r="AG94">
        <v>7</v>
      </c>
      <c r="AH94">
        <v>8</v>
      </c>
      <c r="AI94">
        <v>9</v>
      </c>
      <c r="AJ94">
        <v>10</v>
      </c>
    </row>
    <row r="95" spans="1:37" x14ac:dyDescent="0.35">
      <c r="A95" t="s">
        <v>218</v>
      </c>
      <c r="B95" s="464">
        <f t="shared" ref="B95:K95" si="157">EXP($M77-B$88)/(1+EXP($M77-B$88))</f>
        <v>0.99771495007370281</v>
      </c>
      <c r="C95" s="467">
        <f t="shared" si="157"/>
        <v>0.99772474650515752</v>
      </c>
      <c r="D95" s="467">
        <f t="shared" si="157"/>
        <v>0.99772474650515752</v>
      </c>
      <c r="E95" s="467">
        <f t="shared" si="157"/>
        <v>0.99315675374645307</v>
      </c>
      <c r="F95" s="467">
        <f t="shared" si="157"/>
        <v>0.98462491635358229</v>
      </c>
      <c r="G95" s="467">
        <f t="shared" si="157"/>
        <v>0.96918375532556156</v>
      </c>
      <c r="H95" s="467">
        <f t="shared" si="157"/>
        <v>0.96918375532556156</v>
      </c>
      <c r="I95" s="467">
        <f t="shared" si="157"/>
        <v>0.94112198694706495</v>
      </c>
      <c r="J95" s="467">
        <f t="shared" si="157"/>
        <v>0.53353595753179084</v>
      </c>
      <c r="K95" s="465">
        <f t="shared" si="157"/>
        <v>0.53353595753179084</v>
      </c>
      <c r="M95" s="468">
        <f t="shared" ref="M95:M103" si="158">M77+AK95/Y95</f>
        <v>3.8570128660467016</v>
      </c>
      <c r="O95" s="464">
        <f t="shared" ref="O95:O103" si="159">B95*(1-B95)</f>
        <v>2.2798284731315181E-3</v>
      </c>
      <c r="P95" s="467">
        <f t="shared" ref="P95:P103" si="160">C95*(1-C95)</f>
        <v>2.2700767163766843E-3</v>
      </c>
      <c r="Q95" s="467">
        <f t="shared" ref="Q95:Q103" si="161">D95*(1-D95)</f>
        <v>2.2700767163766843E-3</v>
      </c>
      <c r="R95" s="467">
        <f t="shared" ref="R95:R103" si="162">E95*(1-E95)</f>
        <v>6.7964162342602471E-3</v>
      </c>
      <c r="S95" s="467">
        <f t="shared" ref="S95:S103" si="163">F95*(1-F95)</f>
        <v>1.5138690449283367E-2</v>
      </c>
      <c r="T95" s="467">
        <f t="shared" ref="T95:T103" si="164">G95*(1-G95)</f>
        <v>2.9866603738603587E-2</v>
      </c>
      <c r="U95" s="467">
        <f t="shared" ref="U95:U103" si="165">H95*(1-H95)</f>
        <v>2.9866603738603587E-2</v>
      </c>
      <c r="V95" s="467">
        <f t="shared" ref="V95:V103" si="166">I95*(1-I95)</f>
        <v>5.541139263187346E-2</v>
      </c>
      <c r="W95" s="467">
        <f t="shared" ref="W95:W103" si="167">J95*(1-J95)</f>
        <v>0.24887533955242591</v>
      </c>
      <c r="X95" s="465">
        <f t="shared" ref="X95:X103" si="168">K95*(1-K95)</f>
        <v>0.24887533955242591</v>
      </c>
      <c r="Y95" s="446">
        <f>SUM(O95:X95)</f>
        <v>0.64165036780336093</v>
      </c>
      <c r="AA95" s="464" t="str">
        <f t="shared" ref="AA95:AA103" si="169">IF(ISNUMBER(B5),B5-B95,"")</f>
        <v/>
      </c>
      <c r="AB95" s="467">
        <f t="shared" ref="AB95:AB103" si="170">IF(ISNUMBER(C5),C5-C95,"")</f>
        <v>2.2752534948424774E-3</v>
      </c>
      <c r="AC95" s="467">
        <f t="shared" ref="AC95:AC103" si="171">IF(ISNUMBER(D5),D5-D95,"")</f>
        <v>2.2752534948424774E-3</v>
      </c>
      <c r="AD95" s="467">
        <f t="shared" ref="AD95:AD103" si="172">IF(ISNUMBER(E5),E5-E95,"")</f>
        <v>6.8432462535469307E-3</v>
      </c>
      <c r="AE95" s="467">
        <f t="shared" ref="AE95:AE103" si="173">IF(ISNUMBER(F5),F5-F95,"")</f>
        <v>1.5375083646417709E-2</v>
      </c>
      <c r="AF95" s="467">
        <f t="shared" ref="AF95:AF103" si="174">IF(ISNUMBER(G5),G5-G95,"")</f>
        <v>3.0816244674438442E-2</v>
      </c>
      <c r="AG95" s="467">
        <f t="shared" ref="AG95:AG103" si="175">IF(ISNUMBER(H5),H5-H95,"")</f>
        <v>3.0816244674438442E-2</v>
      </c>
      <c r="AH95" s="467">
        <f t="shared" ref="AH95:AH103" si="176">IF(ISNUMBER(I5),I5-I95,"")</f>
        <v>5.8878013052935052E-2</v>
      </c>
      <c r="AI95" s="467">
        <f t="shared" ref="AI95:AI103" si="177">IF(ISNUMBER(J5),J5-J95,"")</f>
        <v>-0.53353595753179084</v>
      </c>
      <c r="AJ95" s="465">
        <f t="shared" ref="AJ95:AJ103" si="178">IF(ISNUMBER(K5),K5-K95,"")</f>
        <v>0.46646404246820916</v>
      </c>
      <c r="AK95" s="446">
        <f>SUM(AA95:AJ95)</f>
        <v>8.0207424227879853E-2</v>
      </c>
    </row>
    <row r="96" spans="1:37" x14ac:dyDescent="0.35">
      <c r="A96" t="s">
        <v>98</v>
      </c>
      <c r="B96" s="466">
        <f t="shared" ref="B96:K96" si="179">EXP($M78-B$88)/(1+EXP($M78-B$88))</f>
        <v>0.99130481664074233</v>
      </c>
      <c r="C96" s="447">
        <f t="shared" si="179"/>
        <v>0.99134185601612157</v>
      </c>
      <c r="D96" s="447">
        <f t="shared" si="179"/>
        <v>0.99134185601612157</v>
      </c>
      <c r="E96" s="447">
        <f t="shared" si="179"/>
        <v>0.97428925877248029</v>
      </c>
      <c r="F96" s="447">
        <f t="shared" si="179"/>
        <v>0.94357085154462494</v>
      </c>
      <c r="G96" s="447">
        <f t="shared" si="179"/>
        <v>0.89144486100051579</v>
      </c>
      <c r="H96" s="447">
        <f t="shared" si="179"/>
        <v>0.89144486100051579</v>
      </c>
      <c r="I96" s="447">
        <f t="shared" si="179"/>
        <v>0.80671086354104571</v>
      </c>
      <c r="J96" s="447">
        <f t="shared" si="179"/>
        <v>0.22996986455674659</v>
      </c>
      <c r="K96" s="448">
        <f t="shared" si="179"/>
        <v>0.22996986455674659</v>
      </c>
      <c r="M96" s="469">
        <f t="shared" si="158"/>
        <v>2.4617479278195065</v>
      </c>
      <c r="O96" s="466">
        <f t="shared" si="159"/>
        <v>8.6195771456065631E-3</v>
      </c>
      <c r="P96" s="447">
        <f t="shared" si="160"/>
        <v>8.5831805266328599E-3</v>
      </c>
      <c r="Q96" s="447">
        <f t="shared" si="161"/>
        <v>8.5831805266328599E-3</v>
      </c>
      <c r="R96" s="447">
        <f t="shared" si="162"/>
        <v>2.5049699013051225E-2</v>
      </c>
      <c r="S96" s="447">
        <f t="shared" si="163"/>
        <v>5.3244899659976301E-2</v>
      </c>
      <c r="T96" s="447">
        <f t="shared" si="164"/>
        <v>9.677092079628688E-2</v>
      </c>
      <c r="U96" s="447">
        <f t="shared" si="165"/>
        <v>9.677092079628688E-2</v>
      </c>
      <c r="V96" s="447">
        <f t="shared" si="166"/>
        <v>0.15592844618590604</v>
      </c>
      <c r="W96" s="447">
        <f t="shared" si="167"/>
        <v>0.17708372595249822</v>
      </c>
      <c r="X96" s="448">
        <f t="shared" si="168"/>
        <v>0.17708372595249822</v>
      </c>
      <c r="Y96" s="446">
        <f t="shared" ref="Y96:Y103" si="180">SUM(O96:X96)</f>
        <v>0.80771827655537609</v>
      </c>
      <c r="AA96" s="466">
        <f t="shared" si="169"/>
        <v>8.6951833592576744E-3</v>
      </c>
      <c r="AB96" s="447">
        <f t="shared" si="170"/>
        <v>8.6581439838784302E-3</v>
      </c>
      <c r="AC96" s="447">
        <f t="shared" si="171"/>
        <v>8.6581439838784302E-3</v>
      </c>
      <c r="AD96" s="447">
        <f t="shared" si="172"/>
        <v>-0.97428925877248029</v>
      </c>
      <c r="AE96" s="447">
        <f t="shared" si="173"/>
        <v>5.6429148455375056E-2</v>
      </c>
      <c r="AF96" s="447">
        <f t="shared" si="174"/>
        <v>0.10855513899948421</v>
      </c>
      <c r="AG96" s="447">
        <f t="shared" si="175"/>
        <v>0.10855513899948421</v>
      </c>
      <c r="AH96" s="447">
        <f t="shared" si="176"/>
        <v>0.19328913645895429</v>
      </c>
      <c r="AI96" s="447">
        <f t="shared" si="177"/>
        <v>0.77003013544325338</v>
      </c>
      <c r="AJ96" s="448">
        <f t="shared" si="178"/>
        <v>-0.22996986455674659</v>
      </c>
      <c r="AK96" s="446">
        <f t="shared" ref="AK96:AK103" si="181">SUM(AA96:AJ96)</f>
        <v>5.8611046354338808E-2</v>
      </c>
    </row>
    <row r="97" spans="1:37" x14ac:dyDescent="0.35">
      <c r="A97" t="s">
        <v>99</v>
      </c>
      <c r="B97" s="466">
        <f t="shared" ref="B97:K97" si="182">EXP($M79-B$88)/(1+EXP($M79-B$88))</f>
        <v>0.97549983100844129</v>
      </c>
      <c r="C97" s="447">
        <f t="shared" si="182"/>
        <v>0.97560253881826176</v>
      </c>
      <c r="D97" s="447">
        <f t="shared" si="182"/>
        <v>0.97560253881826176</v>
      </c>
      <c r="E97" s="447">
        <f t="shared" si="182"/>
        <v>0.92974745915839407</v>
      </c>
      <c r="F97" s="447">
        <f t="shared" si="182"/>
        <v>0.85379766861742168</v>
      </c>
      <c r="G97" s="447">
        <f t="shared" si="182"/>
        <v>0.74146607462793701</v>
      </c>
      <c r="H97" s="447">
        <f t="shared" si="182"/>
        <v>0.7414660746279369</v>
      </c>
      <c r="I97" s="447">
        <f t="shared" si="182"/>
        <v>0.59309992896821362</v>
      </c>
      <c r="J97" s="447">
        <f t="shared" si="182"/>
        <v>9.4450655227527325E-2</v>
      </c>
      <c r="K97" s="448">
        <f t="shared" si="182"/>
        <v>9.4450655227527325E-2</v>
      </c>
      <c r="M97" s="469">
        <f t="shared" si="158"/>
        <v>1.3606701286437386</v>
      </c>
      <c r="O97" s="466">
        <f t="shared" si="159"/>
        <v>2.3899910710943779E-2</v>
      </c>
      <c r="P97" s="447">
        <f t="shared" si="160"/>
        <v>2.380222506962382E-2</v>
      </c>
      <c r="Q97" s="447">
        <f t="shared" si="161"/>
        <v>2.380222506962382E-2</v>
      </c>
      <c r="R97" s="447">
        <f t="shared" si="162"/>
        <v>6.5317121346904414E-2</v>
      </c>
      <c r="S97" s="447">
        <f t="shared" si="163"/>
        <v>0.12482720968087707</v>
      </c>
      <c r="T97" s="447">
        <f t="shared" si="164"/>
        <v>0.19169413480377556</v>
      </c>
      <c r="U97" s="447">
        <f t="shared" si="165"/>
        <v>0.19169413480377562</v>
      </c>
      <c r="V97" s="447">
        <f t="shared" si="166"/>
        <v>0.24133240322611357</v>
      </c>
      <c r="W97" s="447">
        <f t="shared" si="167"/>
        <v>8.5529728954618092E-2</v>
      </c>
      <c r="X97" s="448">
        <f t="shared" si="168"/>
        <v>8.5529728954618092E-2</v>
      </c>
      <c r="Y97" s="446">
        <f t="shared" si="180"/>
        <v>1.0574288226208739</v>
      </c>
      <c r="AA97" s="466">
        <f t="shared" si="169"/>
        <v>2.4500168991558713E-2</v>
      </c>
      <c r="AB97" s="447">
        <f t="shared" si="170"/>
        <v>2.4397461181738245E-2</v>
      </c>
      <c r="AC97" s="447">
        <f t="shared" si="171"/>
        <v>2.4397461181738245E-2</v>
      </c>
      <c r="AD97" s="447">
        <f t="shared" si="172"/>
        <v>7.0252540841605926E-2</v>
      </c>
      <c r="AE97" s="447">
        <f t="shared" si="173"/>
        <v>0.14620233138257832</v>
      </c>
      <c r="AF97" s="447">
        <f t="shared" si="174"/>
        <v>0.25853392537206299</v>
      </c>
      <c r="AG97" s="447">
        <f t="shared" si="175"/>
        <v>-0.7414660746279369</v>
      </c>
      <c r="AH97" s="447">
        <f t="shared" si="176"/>
        <v>0.40690007103178638</v>
      </c>
      <c r="AI97" s="447">
        <f t="shared" si="177"/>
        <v>-9.4450655227527325E-2</v>
      </c>
      <c r="AJ97" s="448">
        <f t="shared" si="178"/>
        <v>-9.4450655227527325E-2</v>
      </c>
      <c r="AK97" s="446">
        <f t="shared" si="181"/>
        <v>2.4816574900077271E-2</v>
      </c>
    </row>
    <row r="98" spans="1:37" x14ac:dyDescent="0.35">
      <c r="A98" t="s">
        <v>100</v>
      </c>
      <c r="B98" s="466">
        <f t="shared" ref="B98:K98" si="183">EXP($M80-B$88)/(1+EXP($M80-B$88))</f>
        <v>0.97549983100844129</v>
      </c>
      <c r="C98" s="447">
        <f t="shared" si="183"/>
        <v>0.97560253881826176</v>
      </c>
      <c r="D98" s="447">
        <f t="shared" si="183"/>
        <v>0.97560253881826176</v>
      </c>
      <c r="E98" s="447">
        <f t="shared" si="183"/>
        <v>0.92974745915839407</v>
      </c>
      <c r="F98" s="447">
        <f t="shared" si="183"/>
        <v>0.85379766861742168</v>
      </c>
      <c r="G98" s="447">
        <f t="shared" si="183"/>
        <v>0.74146607462793701</v>
      </c>
      <c r="H98" s="447">
        <f t="shared" si="183"/>
        <v>0.7414660746279369</v>
      </c>
      <c r="I98" s="447">
        <f t="shared" si="183"/>
        <v>0.59309992896821362</v>
      </c>
      <c r="J98" s="447">
        <f t="shared" si="183"/>
        <v>9.4450655227527325E-2</v>
      </c>
      <c r="K98" s="448">
        <f t="shared" si="183"/>
        <v>9.4450655227527325E-2</v>
      </c>
      <c r="M98" s="469">
        <f t="shared" si="158"/>
        <v>1.3606701286437386</v>
      </c>
      <c r="O98" s="466">
        <f t="shared" si="159"/>
        <v>2.3899910710943779E-2</v>
      </c>
      <c r="P98" s="447">
        <f t="shared" si="160"/>
        <v>2.380222506962382E-2</v>
      </c>
      <c r="Q98" s="447">
        <f t="shared" si="161"/>
        <v>2.380222506962382E-2</v>
      </c>
      <c r="R98" s="447">
        <f t="shared" si="162"/>
        <v>6.5317121346904414E-2</v>
      </c>
      <c r="S98" s="447">
        <f t="shared" si="163"/>
        <v>0.12482720968087707</v>
      </c>
      <c r="T98" s="447">
        <f t="shared" si="164"/>
        <v>0.19169413480377556</v>
      </c>
      <c r="U98" s="447">
        <f t="shared" si="165"/>
        <v>0.19169413480377562</v>
      </c>
      <c r="V98" s="447">
        <f t="shared" si="166"/>
        <v>0.24133240322611357</v>
      </c>
      <c r="W98" s="447">
        <f t="shared" si="167"/>
        <v>8.5529728954618092E-2</v>
      </c>
      <c r="X98" s="448">
        <f t="shared" si="168"/>
        <v>8.5529728954618092E-2</v>
      </c>
      <c r="Y98" s="446">
        <f t="shared" si="180"/>
        <v>1.0574288226208739</v>
      </c>
      <c r="AA98" s="466">
        <f t="shared" si="169"/>
        <v>2.4500168991558713E-2</v>
      </c>
      <c r="AB98" s="447">
        <f t="shared" si="170"/>
        <v>2.4397461181738245E-2</v>
      </c>
      <c r="AC98" s="447">
        <f t="shared" si="171"/>
        <v>2.4397461181738245E-2</v>
      </c>
      <c r="AD98" s="447">
        <f t="shared" si="172"/>
        <v>7.0252540841605926E-2</v>
      </c>
      <c r="AE98" s="447">
        <f t="shared" si="173"/>
        <v>0.14620233138257832</v>
      </c>
      <c r="AF98" s="447">
        <f t="shared" si="174"/>
        <v>0.25853392537206299</v>
      </c>
      <c r="AG98" s="447">
        <f t="shared" si="175"/>
        <v>-0.7414660746279369</v>
      </c>
      <c r="AH98" s="447">
        <f t="shared" si="176"/>
        <v>0.40690007103178638</v>
      </c>
      <c r="AI98" s="447">
        <f t="shared" si="177"/>
        <v>-9.4450655227527325E-2</v>
      </c>
      <c r="AJ98" s="448">
        <f t="shared" si="178"/>
        <v>-9.4450655227527325E-2</v>
      </c>
      <c r="AK98" s="446">
        <f t="shared" si="181"/>
        <v>2.4816574900077271E-2</v>
      </c>
    </row>
    <row r="99" spans="1:37" x14ac:dyDescent="0.35">
      <c r="A99" t="s">
        <v>536</v>
      </c>
      <c r="B99" s="466">
        <f t="shared" ref="B99:K99" si="184">EXP($M81-B$88)/(1+EXP($M81-B$88))</f>
        <v>0.94584026981331659</v>
      </c>
      <c r="C99" s="447">
        <f t="shared" si="184"/>
        <v>0.9460604391534686</v>
      </c>
      <c r="D99" s="447">
        <f t="shared" si="184"/>
        <v>0.9460604391534686</v>
      </c>
      <c r="E99" s="447">
        <f t="shared" si="184"/>
        <v>0.85304458989436738</v>
      </c>
      <c r="F99" s="447">
        <f t="shared" si="184"/>
        <v>0.71921454578629262</v>
      </c>
      <c r="G99" s="447">
        <f t="shared" si="184"/>
        <v>0.5571167352236851</v>
      </c>
      <c r="H99" s="447">
        <f t="shared" si="184"/>
        <v>0.55711673522368499</v>
      </c>
      <c r="I99" s="447">
        <f t="shared" si="184"/>
        <v>0.38999371371812869</v>
      </c>
      <c r="J99" s="447">
        <f t="shared" si="184"/>
        <v>4.3747055745549254E-2</v>
      </c>
      <c r="K99" s="448">
        <f t="shared" si="184"/>
        <v>4.3747055745549254E-2</v>
      </c>
      <c r="M99" s="469">
        <f t="shared" si="158"/>
        <v>0.51156886876282115</v>
      </c>
      <c r="O99" s="466">
        <f t="shared" si="159"/>
        <v>5.1226453812789063E-2</v>
      </c>
      <c r="P99" s="447">
        <f t="shared" si="160"/>
        <v>5.1030084622214734E-2</v>
      </c>
      <c r="Q99" s="447">
        <f t="shared" si="161"/>
        <v>5.1030084622214734E-2</v>
      </c>
      <c r="R99" s="447">
        <f t="shared" si="162"/>
        <v>0.12535951754631794</v>
      </c>
      <c r="S99" s="447">
        <f t="shared" si="163"/>
        <v>0.20194498291570942</v>
      </c>
      <c r="T99" s="447">
        <f t="shared" si="164"/>
        <v>0.24673767855738746</v>
      </c>
      <c r="U99" s="447">
        <f t="shared" si="165"/>
        <v>0.24673767855738746</v>
      </c>
      <c r="V99" s="447">
        <f t="shared" si="166"/>
        <v>0.23789861697847101</v>
      </c>
      <c r="W99" s="447">
        <f t="shared" si="167"/>
        <v>4.1833250859145063E-2</v>
      </c>
      <c r="X99" s="448">
        <f t="shared" si="168"/>
        <v>4.1833250859145063E-2</v>
      </c>
      <c r="Y99" s="446">
        <f t="shared" si="180"/>
        <v>1.2956315993307819</v>
      </c>
      <c r="AA99" s="466">
        <f t="shared" si="169"/>
        <v>5.4159730186683408E-2</v>
      </c>
      <c r="AB99" s="447">
        <f t="shared" si="170"/>
        <v>5.3939560846531398E-2</v>
      </c>
      <c r="AC99" s="447">
        <f t="shared" si="171"/>
        <v>5.3939560846531398E-2</v>
      </c>
      <c r="AD99" s="447">
        <f t="shared" si="172"/>
        <v>0.14695541010563262</v>
      </c>
      <c r="AE99" s="447">
        <f t="shared" si="173"/>
        <v>-0.71921454578629262</v>
      </c>
      <c r="AF99" s="447">
        <f t="shared" si="174"/>
        <v>0.4428832647763149</v>
      </c>
      <c r="AG99" s="447">
        <f t="shared" si="175"/>
        <v>0.44288326477631501</v>
      </c>
      <c r="AH99" s="447">
        <f t="shared" si="176"/>
        <v>-0.38999371371812869</v>
      </c>
      <c r="AI99" s="447">
        <f t="shared" si="177"/>
        <v>-4.3747055745549254E-2</v>
      </c>
      <c r="AJ99" s="448">
        <f t="shared" si="178"/>
        <v>-4.3747055745549254E-2</v>
      </c>
      <c r="AK99" s="446">
        <f t="shared" si="181"/>
        <v>-1.9415794575110834E-3</v>
      </c>
    </row>
    <row r="100" spans="1:37" x14ac:dyDescent="0.35">
      <c r="A100" t="s">
        <v>101</v>
      </c>
      <c r="B100" s="466">
        <f t="shared" ref="B100:K100" si="185">EXP($M82-B$88)/(1+EXP($M82-B$88))</f>
        <v>0.94584026981331659</v>
      </c>
      <c r="C100" s="447">
        <f t="shared" si="185"/>
        <v>0.9460604391534686</v>
      </c>
      <c r="D100" s="447">
        <f t="shared" si="185"/>
        <v>0.9460604391534686</v>
      </c>
      <c r="E100" s="447">
        <f t="shared" si="185"/>
        <v>0.85304458989436738</v>
      </c>
      <c r="F100" s="447">
        <f t="shared" si="185"/>
        <v>0.71921454578629262</v>
      </c>
      <c r="G100" s="447">
        <f t="shared" si="185"/>
        <v>0.5571167352236851</v>
      </c>
      <c r="H100" s="447">
        <f t="shared" si="185"/>
        <v>0.55711673522368499</v>
      </c>
      <c r="I100" s="447">
        <f t="shared" si="185"/>
        <v>0.38999371371812869</v>
      </c>
      <c r="J100" s="447">
        <f t="shared" si="185"/>
        <v>4.3747055745549254E-2</v>
      </c>
      <c r="K100" s="448">
        <f t="shared" si="185"/>
        <v>4.3747055745549254E-2</v>
      </c>
      <c r="M100" s="469">
        <f t="shared" si="158"/>
        <v>0.51156886876282115</v>
      </c>
      <c r="O100" s="466">
        <f t="shared" si="159"/>
        <v>5.1226453812789063E-2</v>
      </c>
      <c r="P100" s="447">
        <f t="shared" si="160"/>
        <v>5.1030084622214734E-2</v>
      </c>
      <c r="Q100" s="447">
        <f t="shared" si="161"/>
        <v>5.1030084622214734E-2</v>
      </c>
      <c r="R100" s="447">
        <f t="shared" si="162"/>
        <v>0.12535951754631794</v>
      </c>
      <c r="S100" s="447">
        <f t="shared" si="163"/>
        <v>0.20194498291570942</v>
      </c>
      <c r="T100" s="447">
        <f t="shared" si="164"/>
        <v>0.24673767855738746</v>
      </c>
      <c r="U100" s="447">
        <f t="shared" si="165"/>
        <v>0.24673767855738746</v>
      </c>
      <c r="V100" s="447">
        <f t="shared" si="166"/>
        <v>0.23789861697847101</v>
      </c>
      <c r="W100" s="447">
        <f t="shared" si="167"/>
        <v>4.1833250859145063E-2</v>
      </c>
      <c r="X100" s="448">
        <f t="shared" si="168"/>
        <v>4.1833250859145063E-2</v>
      </c>
      <c r="Y100" s="446">
        <f t="shared" si="180"/>
        <v>1.2956315993307819</v>
      </c>
      <c r="AA100" s="466">
        <f t="shared" si="169"/>
        <v>5.4159730186683408E-2</v>
      </c>
      <c r="AB100" s="447">
        <f t="shared" si="170"/>
        <v>5.3939560846531398E-2</v>
      </c>
      <c r="AC100" s="447">
        <f t="shared" si="171"/>
        <v>5.3939560846531398E-2</v>
      </c>
      <c r="AD100" s="447">
        <f t="shared" si="172"/>
        <v>0.14695541010563262</v>
      </c>
      <c r="AE100" s="447">
        <f t="shared" si="173"/>
        <v>0.28078545421370738</v>
      </c>
      <c r="AF100" s="447">
        <f t="shared" si="174"/>
        <v>-0.5571167352236851</v>
      </c>
      <c r="AG100" s="447">
        <f t="shared" si="175"/>
        <v>0.44288326477631501</v>
      </c>
      <c r="AH100" s="447">
        <f t="shared" si="176"/>
        <v>-0.38999371371812869</v>
      </c>
      <c r="AI100" s="447">
        <f t="shared" si="177"/>
        <v>-4.3747055745549254E-2</v>
      </c>
      <c r="AJ100" s="448">
        <f t="shared" si="178"/>
        <v>-4.3747055745549254E-2</v>
      </c>
      <c r="AK100" s="446">
        <f t="shared" si="181"/>
        <v>-1.9415794575110834E-3</v>
      </c>
    </row>
    <row r="101" spans="1:37" x14ac:dyDescent="0.35">
      <c r="A101" t="s">
        <v>281</v>
      </c>
      <c r="B101" s="466">
        <f t="shared" ref="B101:K101" si="186">EXP($M83-B$88)/(1+EXP($M83-B$88))</f>
        <v>0.81243849314078842</v>
      </c>
      <c r="C101" s="447">
        <f t="shared" si="186"/>
        <v>0.81309380168432532</v>
      </c>
      <c r="D101" s="447">
        <f t="shared" si="186"/>
        <v>0.81309380168432532</v>
      </c>
      <c r="E101" s="447">
        <f t="shared" si="186"/>
        <v>0.59012446565770749</v>
      </c>
      <c r="F101" s="447">
        <f t="shared" si="186"/>
        <v>0.38849713636893035</v>
      </c>
      <c r="G101" s="447">
        <f t="shared" si="186"/>
        <v>0.23780813797794556</v>
      </c>
      <c r="H101" s="447">
        <f t="shared" si="186"/>
        <v>0.23780813797794551</v>
      </c>
      <c r="I101" s="447">
        <f t="shared" si="186"/>
        <v>0.13686910535807106</v>
      </c>
      <c r="J101" s="447">
        <f t="shared" si="186"/>
        <v>1.1219701921180023E-2</v>
      </c>
      <c r="K101" s="448">
        <f t="shared" si="186"/>
        <v>1.1219701921180023E-2</v>
      </c>
      <c r="M101" s="469">
        <f t="shared" si="158"/>
        <v>-0.91740125277342277</v>
      </c>
      <c r="O101" s="466">
        <f t="shared" si="159"/>
        <v>0.15238218800391351</v>
      </c>
      <c r="P101" s="447">
        <f t="shared" si="160"/>
        <v>0.15197227134685637</v>
      </c>
      <c r="Q101" s="447">
        <f t="shared" si="161"/>
        <v>0.15197227134685637</v>
      </c>
      <c r="R101" s="447">
        <f t="shared" si="162"/>
        <v>0.24187758068991269</v>
      </c>
      <c r="S101" s="447">
        <f t="shared" si="163"/>
        <v>0.2375671114020711</v>
      </c>
      <c r="T101" s="447">
        <f t="shared" si="164"/>
        <v>0.18125542748940798</v>
      </c>
      <c r="U101" s="447">
        <f t="shared" si="165"/>
        <v>0.18125542748940793</v>
      </c>
      <c r="V101" s="447">
        <f t="shared" si="166"/>
        <v>0.1181359533565523</v>
      </c>
      <c r="W101" s="447">
        <f t="shared" si="167"/>
        <v>1.1093820209979892E-2</v>
      </c>
      <c r="X101" s="448">
        <f t="shared" si="168"/>
        <v>1.1093820209979892E-2</v>
      </c>
      <c r="Y101" s="446">
        <f t="shared" si="180"/>
        <v>1.4386058715449381</v>
      </c>
      <c r="AA101" s="466">
        <f t="shared" si="169"/>
        <v>0.18756150685921158</v>
      </c>
      <c r="AB101" s="447">
        <f t="shared" si="170"/>
        <v>0.18690619831567468</v>
      </c>
      <c r="AC101" s="447">
        <f t="shared" si="171"/>
        <v>0.18690619831567468</v>
      </c>
      <c r="AD101" s="447">
        <f t="shared" si="172"/>
        <v>0.40987553434229251</v>
      </c>
      <c r="AE101" s="447">
        <f t="shared" si="173"/>
        <v>-0.38849713636893035</v>
      </c>
      <c r="AF101" s="447">
        <f t="shared" si="174"/>
        <v>-0.23780813797794556</v>
      </c>
      <c r="AG101" s="447">
        <f t="shared" si="175"/>
        <v>-0.23780813797794551</v>
      </c>
      <c r="AH101" s="447">
        <f t="shared" si="176"/>
        <v>-0.13686910535807106</v>
      </c>
      <c r="AI101" s="447">
        <f t="shared" si="177"/>
        <v>-1.1219701921180023E-2</v>
      </c>
      <c r="AJ101" s="448">
        <f t="shared" si="178"/>
        <v>-1.1219701921180023E-2</v>
      </c>
      <c r="AK101" s="446">
        <f t="shared" si="181"/>
        <v>-5.2172483692399046E-2</v>
      </c>
    </row>
    <row r="102" spans="1:37" x14ac:dyDescent="0.35">
      <c r="A102" t="s">
        <v>537</v>
      </c>
      <c r="B102" s="466">
        <f t="shared" ref="B102:K102" si="187">EXP($M84-B$88)/(1+EXP($M84-B$88))</f>
        <v>0.81243849314078831</v>
      </c>
      <c r="C102" s="447">
        <f t="shared" si="187"/>
        <v>0.81309380168432532</v>
      </c>
      <c r="D102" s="447">
        <f t="shared" si="187"/>
        <v>0.81309380168432532</v>
      </c>
      <c r="E102" s="447">
        <f t="shared" si="187"/>
        <v>0.59012446565770749</v>
      </c>
      <c r="F102" s="447">
        <f t="shared" si="187"/>
        <v>0.38849713636893035</v>
      </c>
      <c r="G102" s="447">
        <f t="shared" si="187"/>
        <v>0.23780813797794556</v>
      </c>
      <c r="H102" s="447">
        <f t="shared" si="187"/>
        <v>0.23780813797794551</v>
      </c>
      <c r="I102" s="447">
        <f t="shared" si="187"/>
        <v>0.13686910535807104</v>
      </c>
      <c r="J102" s="447">
        <f t="shared" si="187"/>
        <v>1.1219701921180023E-2</v>
      </c>
      <c r="K102" s="448">
        <f t="shared" si="187"/>
        <v>1.1219701921180023E-2</v>
      </c>
      <c r="M102" s="469">
        <f t="shared" si="158"/>
        <v>-0.91740125277342288</v>
      </c>
      <c r="O102" s="466">
        <f t="shared" si="159"/>
        <v>0.15238218800391357</v>
      </c>
      <c r="P102" s="447">
        <f t="shared" si="160"/>
        <v>0.15197227134685637</v>
      </c>
      <c r="Q102" s="447">
        <f t="shared" si="161"/>
        <v>0.15197227134685637</v>
      </c>
      <c r="R102" s="447">
        <f t="shared" si="162"/>
        <v>0.24187758068991269</v>
      </c>
      <c r="S102" s="447">
        <f t="shared" si="163"/>
        <v>0.2375671114020711</v>
      </c>
      <c r="T102" s="447">
        <f t="shared" si="164"/>
        <v>0.18125542748940798</v>
      </c>
      <c r="U102" s="447">
        <f t="shared" si="165"/>
        <v>0.18125542748940793</v>
      </c>
      <c r="V102" s="447">
        <f t="shared" si="166"/>
        <v>0.11813595335655228</v>
      </c>
      <c r="W102" s="447">
        <f t="shared" si="167"/>
        <v>1.1093820209979892E-2</v>
      </c>
      <c r="X102" s="448">
        <f t="shared" si="168"/>
        <v>1.1093820209979892E-2</v>
      </c>
      <c r="Y102" s="446">
        <f t="shared" si="180"/>
        <v>1.4386058715449381</v>
      </c>
      <c r="AA102" s="466">
        <f t="shared" si="169"/>
        <v>0.18756150685921169</v>
      </c>
      <c r="AB102" s="447">
        <f t="shared" si="170"/>
        <v>-0.81309380168432532</v>
      </c>
      <c r="AC102" s="447">
        <f t="shared" si="171"/>
        <v>0.18690619831567468</v>
      </c>
      <c r="AD102" s="447">
        <f t="shared" si="172"/>
        <v>-0.59012446565770749</v>
      </c>
      <c r="AE102" s="447">
        <f t="shared" si="173"/>
        <v>0.61150286363106965</v>
      </c>
      <c r="AF102" s="447">
        <f t="shared" si="174"/>
        <v>-0.23780813797794556</v>
      </c>
      <c r="AG102" s="447">
        <f t="shared" si="175"/>
        <v>0.76219186202205447</v>
      </c>
      <c r="AH102" s="447">
        <f t="shared" si="176"/>
        <v>-0.13686910535807104</v>
      </c>
      <c r="AI102" s="447">
        <f t="shared" si="177"/>
        <v>-1.1219701921180023E-2</v>
      </c>
      <c r="AJ102" s="448">
        <f t="shared" si="178"/>
        <v>-1.1219701921180023E-2</v>
      </c>
      <c r="AK102" s="446">
        <f t="shared" si="181"/>
        <v>-5.2172483692398935E-2</v>
      </c>
    </row>
    <row r="103" spans="1:37" x14ac:dyDescent="0.35">
      <c r="A103" t="s">
        <v>905</v>
      </c>
      <c r="B103" s="449">
        <f t="shared" ref="B103:K103" si="188">EXP($M85-B$88)/(1+EXP($M85-B$88))</f>
        <v>0.50520694952843159</v>
      </c>
      <c r="C103" s="450">
        <f t="shared" si="188"/>
        <v>0.50628336198044621</v>
      </c>
      <c r="D103" s="450">
        <f t="shared" si="188"/>
        <v>0.50628336198044621</v>
      </c>
      <c r="E103" s="450">
        <f t="shared" si="188"/>
        <v>0.25338777897067877</v>
      </c>
      <c r="F103" s="450">
        <f t="shared" si="188"/>
        <v>0.13025129856833295</v>
      </c>
      <c r="G103" s="450">
        <f t="shared" si="188"/>
        <v>6.8507881165763895E-2</v>
      </c>
      <c r="H103" s="450">
        <f t="shared" si="188"/>
        <v>6.8507881165763895E-2</v>
      </c>
      <c r="I103" s="450">
        <f t="shared" si="188"/>
        <v>3.6032156837682655E-2</v>
      </c>
      <c r="J103" s="450">
        <f t="shared" si="188"/>
        <v>2.6675980394762189E-3</v>
      </c>
      <c r="K103" s="451">
        <f t="shared" si="188"/>
        <v>2.6675980394762189E-3</v>
      </c>
      <c r="M103" s="470">
        <f t="shared" si="158"/>
        <v>-2.391644055891085</v>
      </c>
      <c r="O103" s="449">
        <f t="shared" si="159"/>
        <v>0.24997288767660836</v>
      </c>
      <c r="P103" s="450">
        <f t="shared" si="160"/>
        <v>0.24996051936222269</v>
      </c>
      <c r="Q103" s="450">
        <f t="shared" si="161"/>
        <v>0.24996051936222269</v>
      </c>
      <c r="R103" s="450">
        <f t="shared" si="162"/>
        <v>0.1891824124389852</v>
      </c>
      <c r="S103" s="450">
        <f t="shared" si="163"/>
        <v>0.11328589778959594</v>
      </c>
      <c r="T103" s="450">
        <f t="shared" si="164"/>
        <v>6.3814551383941473E-2</v>
      </c>
      <c r="U103" s="450">
        <f t="shared" si="165"/>
        <v>6.3814551383941473E-2</v>
      </c>
      <c r="V103" s="450">
        <f t="shared" si="166"/>
        <v>3.473384051130729E-2</v>
      </c>
      <c r="W103" s="450">
        <f t="shared" si="167"/>
        <v>2.6604819601760013E-3</v>
      </c>
      <c r="X103" s="451">
        <f t="shared" si="168"/>
        <v>2.6604819601760013E-3</v>
      </c>
      <c r="Y103" s="446">
        <f t="shared" si="180"/>
        <v>1.2200461438291772</v>
      </c>
      <c r="AA103" s="449">
        <f t="shared" si="169"/>
        <v>-0.50520694952843159</v>
      </c>
      <c r="AB103" s="450">
        <f t="shared" si="170"/>
        <v>0.49371663801955379</v>
      </c>
      <c r="AC103" s="450">
        <f t="shared" si="171"/>
        <v>-0.50628336198044621</v>
      </c>
      <c r="AD103" s="450">
        <f t="shared" si="172"/>
        <v>0.74661222102932123</v>
      </c>
      <c r="AE103" s="450">
        <f t="shared" si="173"/>
        <v>-0.13025129856833295</v>
      </c>
      <c r="AF103" s="450">
        <f t="shared" si="174"/>
        <v>-6.8507881165763895E-2</v>
      </c>
      <c r="AG103" s="450">
        <f t="shared" si="175"/>
        <v>-6.8507881165763895E-2</v>
      </c>
      <c r="AH103" s="450">
        <f t="shared" si="176"/>
        <v>-3.6032156837682655E-2</v>
      </c>
      <c r="AI103" s="450">
        <f t="shared" si="177"/>
        <v>-2.6675980394762189E-3</v>
      </c>
      <c r="AJ103" s="451">
        <f t="shared" si="178"/>
        <v>-2.6675980394762189E-3</v>
      </c>
      <c r="AK103" s="446">
        <f t="shared" si="181"/>
        <v>-7.9795866276498623E-2</v>
      </c>
    </row>
    <row r="104" spans="1:37" x14ac:dyDescent="0.35">
      <c r="O104" s="446">
        <f>SUM(O95:O103)</f>
        <v>0.71588939835063914</v>
      </c>
      <c r="P104" s="446">
        <f t="shared" ref="P104:X104" si="189">SUM(P95:P103)</f>
        <v>0.71442293868262208</v>
      </c>
      <c r="Q104" s="446">
        <f t="shared" si="189"/>
        <v>0.71442293868262208</v>
      </c>
      <c r="R104" s="446">
        <f t="shared" si="189"/>
        <v>1.0861369668525669</v>
      </c>
      <c r="S104" s="446">
        <f t="shared" si="189"/>
        <v>1.3103480958961706</v>
      </c>
      <c r="T104" s="446">
        <f t="shared" si="189"/>
        <v>1.429826557619974</v>
      </c>
      <c r="U104" s="446">
        <f t="shared" si="189"/>
        <v>1.429826557619974</v>
      </c>
      <c r="V104" s="446">
        <f t="shared" si="189"/>
        <v>1.4408076264513605</v>
      </c>
      <c r="W104" s="446">
        <f t="shared" si="189"/>
        <v>0.705533147512586</v>
      </c>
      <c r="X104" s="446">
        <f t="shared" si="189"/>
        <v>0.705533147512586</v>
      </c>
      <c r="AA104" s="446">
        <f>SUM(AA95:AA103)</f>
        <v>3.5931045905733594E-2</v>
      </c>
      <c r="AB104" s="446">
        <f t="shared" ref="AB104:AJ104" si="190">SUM(AB95:AB103)</f>
        <v>3.5136476186163335E-2</v>
      </c>
      <c r="AC104" s="446">
        <f t="shared" si="190"/>
        <v>3.5136476186163335E-2</v>
      </c>
      <c r="AD104" s="446">
        <f t="shared" si="190"/>
        <v>3.3333179089449994E-2</v>
      </c>
      <c r="AE104" s="446">
        <f t="shared" si="190"/>
        <v>1.8534231988170502E-2</v>
      </c>
      <c r="AF104" s="446">
        <f t="shared" si="190"/>
        <v>-1.9183931509765551E-3</v>
      </c>
      <c r="AG104" s="446">
        <f t="shared" si="190"/>
        <v>-1.9183931509761942E-3</v>
      </c>
      <c r="AH104" s="446">
        <f t="shared" si="190"/>
        <v>-2.3790503414619968E-2</v>
      </c>
      <c r="AI104" s="446">
        <f t="shared" si="190"/>
        <v>-6.5008245916526874E-2</v>
      </c>
      <c r="AJ104" s="446">
        <f t="shared" si="190"/>
        <v>-6.5008245916526847E-2</v>
      </c>
      <c r="AK104" s="446">
        <f>SUMSQ(AK95:AK103)</f>
        <v>2.2919066281227619E-2</v>
      </c>
    </row>
    <row r="105" spans="1:37" x14ac:dyDescent="0.35">
      <c r="A105" t="s">
        <v>822</v>
      </c>
      <c r="B105" s="471">
        <f t="shared" ref="B105:K105" si="191">B88-AA104/O104</f>
        <v>-2.397259411024979</v>
      </c>
      <c r="C105" s="472">
        <f t="shared" si="191"/>
        <v>-2.4005564711544096</v>
      </c>
      <c r="D105" s="472">
        <f t="shared" si="191"/>
        <v>-2.4005564711544096</v>
      </c>
      <c r="E105" s="472">
        <f t="shared" si="191"/>
        <v>-1.2763048496156548</v>
      </c>
      <c r="F105" s="472">
        <f t="shared" si="191"/>
        <v>-0.44164592147411025</v>
      </c>
      <c r="G105" s="472">
        <f t="shared" si="191"/>
        <v>0.28494055163415422</v>
      </c>
      <c r="H105" s="472">
        <f t="shared" si="191"/>
        <v>0.2849405516341541</v>
      </c>
      <c r="I105" s="472">
        <f t="shared" si="191"/>
        <v>0.97691799139932867</v>
      </c>
      <c r="J105" s="472">
        <f t="shared" si="191"/>
        <v>3.6898061755512659</v>
      </c>
      <c r="K105" s="473">
        <f t="shared" si="191"/>
        <v>3.6898061755512659</v>
      </c>
      <c r="L105" s="446">
        <f>AVERAGE(B105:K105)</f>
        <v>1.008832134660409E-3</v>
      </c>
    </row>
    <row r="106" spans="1:37" x14ac:dyDescent="0.35">
      <c r="A106" t="s">
        <v>906</v>
      </c>
      <c r="B106" s="89">
        <f>B105-L105</f>
        <v>-2.3982682431596394</v>
      </c>
      <c r="C106" s="159">
        <f>C105-L105</f>
        <v>-2.40156530328907</v>
      </c>
      <c r="D106" s="159">
        <f>D105-L105</f>
        <v>-2.40156530328907</v>
      </c>
      <c r="E106" s="159">
        <f>E105-L105</f>
        <v>-1.2773136817503152</v>
      </c>
      <c r="F106" s="159">
        <f>F105-L105</f>
        <v>-0.44265475360877066</v>
      </c>
      <c r="G106" s="159">
        <f>G105-L105</f>
        <v>0.28393171949949381</v>
      </c>
      <c r="H106" s="159">
        <f>H105-L105</f>
        <v>0.2839317194994937</v>
      </c>
      <c r="I106" s="159">
        <f>I105-L105</f>
        <v>0.97590915926466826</v>
      </c>
      <c r="J106" s="159">
        <f>J105-L105</f>
        <v>3.6887973434166055</v>
      </c>
      <c r="K106" s="93">
        <f>K105-L105</f>
        <v>3.6887973434166055</v>
      </c>
      <c r="L106" s="446">
        <f>AVERAGE(B106:K106)</f>
        <v>0</v>
      </c>
    </row>
    <row r="107" spans="1:37" x14ac:dyDescent="0.35">
      <c r="M107" s="446"/>
    </row>
    <row r="108" spans="1:37" x14ac:dyDescent="0.35">
      <c r="A108" t="s">
        <v>907</v>
      </c>
      <c r="B108" s="461">
        <f>B90+1</f>
        <v>6</v>
      </c>
    </row>
    <row r="109" spans="1:37" x14ac:dyDescent="0.35">
      <c r="B109" s="461"/>
    </row>
    <row r="110" spans="1:37" x14ac:dyDescent="0.35">
      <c r="B110" t="s">
        <v>860</v>
      </c>
      <c r="O110" t="s">
        <v>908</v>
      </c>
      <c r="AA110" t="s">
        <v>909</v>
      </c>
    </row>
    <row r="112" spans="1:37" x14ac:dyDescent="0.35">
      <c r="B112">
        <v>1</v>
      </c>
      <c r="C112">
        <v>2</v>
      </c>
      <c r="D112">
        <v>3</v>
      </c>
      <c r="E112">
        <v>4</v>
      </c>
      <c r="F112">
        <v>5</v>
      </c>
      <c r="G112">
        <v>6</v>
      </c>
      <c r="H112">
        <v>7</v>
      </c>
      <c r="I112">
        <v>8</v>
      </c>
      <c r="J112">
        <v>9</v>
      </c>
      <c r="K112">
        <v>10</v>
      </c>
      <c r="M112" t="s">
        <v>904</v>
      </c>
      <c r="O112">
        <v>1</v>
      </c>
      <c r="P112">
        <v>2</v>
      </c>
      <c r="Q112">
        <v>3</v>
      </c>
      <c r="R112">
        <v>4</v>
      </c>
      <c r="S112">
        <v>5</v>
      </c>
      <c r="T112">
        <v>6</v>
      </c>
      <c r="U112">
        <v>7</v>
      </c>
      <c r="V112">
        <v>8</v>
      </c>
      <c r="W112">
        <v>9</v>
      </c>
      <c r="X112">
        <v>10</v>
      </c>
      <c r="AA112">
        <v>1</v>
      </c>
      <c r="AB112">
        <v>2</v>
      </c>
      <c r="AC112">
        <v>3</v>
      </c>
      <c r="AD112">
        <v>4</v>
      </c>
      <c r="AE112">
        <v>5</v>
      </c>
      <c r="AF112">
        <v>6</v>
      </c>
      <c r="AG112">
        <v>7</v>
      </c>
      <c r="AH112">
        <v>8</v>
      </c>
      <c r="AI112">
        <v>9</v>
      </c>
      <c r="AJ112">
        <v>10</v>
      </c>
    </row>
    <row r="113" spans="1:37" x14ac:dyDescent="0.35">
      <c r="A113" t="s">
        <v>218</v>
      </c>
      <c r="B113" s="464">
        <f t="shared" ref="B113:K113" si="192">EXP($M95-B$106)/(1+EXP($M95-B$106))</f>
        <v>0.99808339436102766</v>
      </c>
      <c r="C113" s="467">
        <f t="shared" si="192"/>
        <v>0.99808969106749423</v>
      </c>
      <c r="D113" s="467">
        <f t="shared" si="192"/>
        <v>0.99808969106749423</v>
      </c>
      <c r="E113" s="467">
        <f t="shared" si="192"/>
        <v>0.9941434833536672</v>
      </c>
      <c r="F113" s="467">
        <f t="shared" si="192"/>
        <v>0.98660869147960084</v>
      </c>
      <c r="G113" s="467">
        <f t="shared" si="192"/>
        <v>0.97269713563273974</v>
      </c>
      <c r="H113" s="467">
        <f t="shared" si="192"/>
        <v>0.97269713563273974</v>
      </c>
      <c r="I113" s="467">
        <f t="shared" si="192"/>
        <v>0.94690438146570355</v>
      </c>
      <c r="J113" s="467">
        <f t="shared" si="192"/>
        <v>0.54195499578744555</v>
      </c>
      <c r="K113" s="465">
        <f t="shared" si="192"/>
        <v>0.54195499578744555</v>
      </c>
      <c r="M113" s="468">
        <f t="shared" ref="M113:M121" si="193">M95+AK113/Y113</f>
        <v>3.9320327976995157</v>
      </c>
      <c r="O113" s="464">
        <f t="shared" ref="O113:O121" si="194">B113*(1-B113)</f>
        <v>1.9129322617969947E-3</v>
      </c>
      <c r="P113" s="467">
        <f t="shared" ref="P113:P121" si="195">C113*(1-C113)</f>
        <v>1.9066596522881551E-3</v>
      </c>
      <c r="Q113" s="467">
        <f t="shared" ref="Q113:Q121" si="196">D113*(1-D113)</f>
        <v>1.9066596522881551E-3</v>
      </c>
      <c r="R113" s="467">
        <f t="shared" ref="R113:R121" si="197">E113*(1-E113)</f>
        <v>5.822217859104026E-3</v>
      </c>
      <c r="S113" s="467">
        <f t="shared" ref="S113:S121" si="198">F113*(1-F113)</f>
        <v>1.3211981376510643E-2</v>
      </c>
      <c r="T113" s="467">
        <f t="shared" ref="T113:T121" si="199">G113*(1-G113)</f>
        <v>2.6557417964603251E-2</v>
      </c>
      <c r="U113" s="467">
        <f t="shared" ref="U113:U121" si="200">H113*(1-H113)</f>
        <v>2.6557417964603251E-2</v>
      </c>
      <c r="V113" s="467">
        <f t="shared" ref="V113:V121" si="201">I113*(1-I113)</f>
        <v>5.0276473826756929E-2</v>
      </c>
      <c r="W113" s="467">
        <f t="shared" ref="W113:W121" si="202">J113*(1-J113)</f>
        <v>0.24823977832847544</v>
      </c>
      <c r="X113" s="465">
        <f t="shared" ref="X113:X121" si="203">K113*(1-K113)</f>
        <v>0.24823977832847544</v>
      </c>
      <c r="Y113" s="446">
        <f>SUM(O113:X113)</f>
        <v>0.62463131721490228</v>
      </c>
      <c r="AA113" s="464" t="str">
        <f t="shared" ref="AA113:AA121" si="204">IF(ISNUMBER(B5),B5-B113,"")</f>
        <v/>
      </c>
      <c r="AB113" s="467">
        <f t="shared" ref="AB113:AB121" si="205">IF(ISNUMBER(C5),C5-C113,"")</f>
        <v>1.9103089325057665E-3</v>
      </c>
      <c r="AC113" s="467">
        <f t="shared" ref="AC113:AC121" si="206">IF(ISNUMBER(D5),D5-D113,"")</f>
        <v>1.9103089325057665E-3</v>
      </c>
      <c r="AD113" s="467">
        <f t="shared" ref="AD113:AD121" si="207">IF(ISNUMBER(E5),E5-E113,"")</f>
        <v>5.8565166463327989E-3</v>
      </c>
      <c r="AE113" s="467">
        <f t="shared" ref="AE113:AE121" si="208">IF(ISNUMBER(F5),F5-F113,"")</f>
        <v>1.3391308520399159E-2</v>
      </c>
      <c r="AF113" s="467">
        <f t="shared" ref="AF113:AF121" si="209">IF(ISNUMBER(G5),G5-G113,"")</f>
        <v>2.730286436726026E-2</v>
      </c>
      <c r="AG113" s="467">
        <f t="shared" ref="AG113:AG121" si="210">IF(ISNUMBER(H5),H5-H113,"")</f>
        <v>2.730286436726026E-2</v>
      </c>
      <c r="AH113" s="467">
        <f t="shared" ref="AH113:AH121" si="211">IF(ISNUMBER(I5),I5-I113,"")</f>
        <v>5.3095618534296452E-2</v>
      </c>
      <c r="AI113" s="467">
        <f t="shared" ref="AI113:AI121" si="212">IF(ISNUMBER(J5),J5-J113,"")</f>
        <v>-0.54195499578744555</v>
      </c>
      <c r="AJ113" s="465">
        <f t="shared" ref="AJ113:AJ121" si="213">IF(ISNUMBER(K5),K5-K113,"")</f>
        <v>0.45804500421255445</v>
      </c>
      <c r="AK113" s="446">
        <f>SUM(AA113:AJ113)</f>
        <v>4.6859798725669366E-2</v>
      </c>
    </row>
    <row r="114" spans="1:37" x14ac:dyDescent="0.35">
      <c r="A114" t="s">
        <v>98</v>
      </c>
      <c r="B114" s="466">
        <f t="shared" ref="B114:K114" si="214">EXP($M96-B$106)/(1+EXP($M96-B$106))</f>
        <v>0.99230924752999616</v>
      </c>
      <c r="C114" s="447">
        <f t="shared" si="214"/>
        <v>0.99233436859130408</v>
      </c>
      <c r="D114" s="447">
        <f t="shared" si="214"/>
        <v>0.99233436859130408</v>
      </c>
      <c r="E114" s="447">
        <f t="shared" si="214"/>
        <v>0.97677578412789468</v>
      </c>
      <c r="F114" s="447">
        <f t="shared" si="214"/>
        <v>0.9480636485449816</v>
      </c>
      <c r="G114" s="447">
        <f t="shared" si="214"/>
        <v>0.89823963572696575</v>
      </c>
      <c r="H114" s="447">
        <f t="shared" si="214"/>
        <v>0.89823963572696575</v>
      </c>
      <c r="I114" s="447">
        <f t="shared" si="214"/>
        <v>0.81545287285072154</v>
      </c>
      <c r="J114" s="447">
        <f t="shared" si="214"/>
        <v>0.22669826420212019</v>
      </c>
      <c r="K114" s="448">
        <f t="shared" si="214"/>
        <v>0.22669826420212019</v>
      </c>
      <c r="M114" s="469">
        <f t="shared" si="193"/>
        <v>2.5039396532305851</v>
      </c>
      <c r="O114" s="466">
        <f t="shared" si="194"/>
        <v>7.6316047964489668E-3</v>
      </c>
      <c r="P114" s="447">
        <f t="shared" si="195"/>
        <v>7.6068695038019312E-3</v>
      </c>
      <c r="Q114" s="447">
        <f t="shared" si="196"/>
        <v>7.6068695038019312E-3</v>
      </c>
      <c r="R114" s="447">
        <f t="shared" si="197"/>
        <v>2.2684851669231176E-2</v>
      </c>
      <c r="S114" s="447">
        <f t="shared" si="198"/>
        <v>4.9238966852559213E-2</v>
      </c>
      <c r="T114" s="447">
        <f t="shared" si="199"/>
        <v>9.1405192536053628E-2</v>
      </c>
      <c r="U114" s="447">
        <f t="shared" si="200"/>
        <v>9.1405192536053628E-2</v>
      </c>
      <c r="V114" s="447">
        <f t="shared" si="201"/>
        <v>0.15048948501022652</v>
      </c>
      <c r="W114" s="447">
        <f t="shared" si="202"/>
        <v>0.17530616120986589</v>
      </c>
      <c r="X114" s="448">
        <f t="shared" si="203"/>
        <v>0.17530616120986589</v>
      </c>
      <c r="Y114" s="446">
        <f t="shared" ref="Y114:Y121" si="215">SUM(O114:X114)</f>
        <v>0.77868135482790879</v>
      </c>
      <c r="AA114" s="466">
        <f t="shared" si="204"/>
        <v>7.6907524700038365E-3</v>
      </c>
      <c r="AB114" s="447">
        <f t="shared" si="205"/>
        <v>7.6656314086959165E-3</v>
      </c>
      <c r="AC114" s="447">
        <f t="shared" si="206"/>
        <v>7.6656314086959165E-3</v>
      </c>
      <c r="AD114" s="447">
        <f t="shared" si="207"/>
        <v>-0.97677578412789468</v>
      </c>
      <c r="AE114" s="447">
        <f t="shared" si="208"/>
        <v>5.1936351455018404E-2</v>
      </c>
      <c r="AF114" s="447">
        <f t="shared" si="209"/>
        <v>0.10176036427303425</v>
      </c>
      <c r="AG114" s="447">
        <f t="shared" si="210"/>
        <v>0.10176036427303425</v>
      </c>
      <c r="AH114" s="447">
        <f t="shared" si="211"/>
        <v>0.18454712714927846</v>
      </c>
      <c r="AI114" s="447">
        <f t="shared" si="212"/>
        <v>0.77330173579787975</v>
      </c>
      <c r="AJ114" s="448">
        <f t="shared" si="213"/>
        <v>-0.22669826420212019</v>
      </c>
      <c r="AK114" s="446">
        <f t="shared" ref="AK114:AK121" si="216">SUM(AA114:AJ114)</f>
        <v>3.2853909905625922E-2</v>
      </c>
    </row>
    <row r="115" spans="1:37" x14ac:dyDescent="0.35">
      <c r="A115" t="s">
        <v>99</v>
      </c>
      <c r="B115" s="466">
        <f t="shared" ref="B115:K115" si="217">EXP($M97-B$106)/(1+EXP($M97-B$106))</f>
        <v>0.97722243799437458</v>
      </c>
      <c r="C115" s="447">
        <f t="shared" si="217"/>
        <v>0.97729571105748159</v>
      </c>
      <c r="D115" s="447">
        <f t="shared" si="217"/>
        <v>0.97729571105748159</v>
      </c>
      <c r="E115" s="447">
        <f t="shared" si="217"/>
        <v>0.93326650550045898</v>
      </c>
      <c r="F115" s="447">
        <f t="shared" si="217"/>
        <v>0.85855318906338052</v>
      </c>
      <c r="G115" s="447">
        <f t="shared" si="217"/>
        <v>0.74587626147061725</v>
      </c>
      <c r="H115" s="447">
        <f t="shared" si="217"/>
        <v>0.74587626147061725</v>
      </c>
      <c r="I115" s="447">
        <f t="shared" si="217"/>
        <v>0.59502087571894269</v>
      </c>
      <c r="J115" s="447">
        <f t="shared" si="217"/>
        <v>8.8820113155948649E-2</v>
      </c>
      <c r="K115" s="448">
        <f t="shared" si="217"/>
        <v>8.8820113155948649E-2</v>
      </c>
      <c r="M115" s="469">
        <f t="shared" si="193"/>
        <v>1.3722491878348742</v>
      </c>
      <c r="O115" s="466">
        <f t="shared" si="194"/>
        <v>2.2258744674705306E-2</v>
      </c>
      <c r="P115" s="447">
        <f t="shared" si="195"/>
        <v>2.2188804206133051E-2</v>
      </c>
      <c r="Q115" s="447">
        <f t="shared" si="196"/>
        <v>2.2188804206133051E-2</v>
      </c>
      <c r="R115" s="447">
        <f t="shared" si="197"/>
        <v>6.2280135211420749E-2</v>
      </c>
      <c r="S115" s="447">
        <f t="shared" si="198"/>
        <v>0.12143961061247971</v>
      </c>
      <c r="T115" s="447">
        <f t="shared" si="199"/>
        <v>0.18954486404523266</v>
      </c>
      <c r="U115" s="447">
        <f t="shared" si="200"/>
        <v>0.18954486404523266</v>
      </c>
      <c r="V115" s="447">
        <f t="shared" si="201"/>
        <v>0.24097103317760524</v>
      </c>
      <c r="W115" s="447">
        <f t="shared" si="202"/>
        <v>8.093110065491313E-2</v>
      </c>
      <c r="X115" s="448">
        <f t="shared" si="203"/>
        <v>8.093110065491313E-2</v>
      </c>
      <c r="Y115" s="446">
        <f t="shared" si="215"/>
        <v>1.0322790614887687</v>
      </c>
      <c r="AA115" s="466">
        <f t="shared" si="204"/>
        <v>2.2777562005625418E-2</v>
      </c>
      <c r="AB115" s="447">
        <f t="shared" si="205"/>
        <v>2.2704288942518414E-2</v>
      </c>
      <c r="AC115" s="447">
        <f t="shared" si="206"/>
        <v>2.2704288942518414E-2</v>
      </c>
      <c r="AD115" s="447">
        <f t="shared" si="207"/>
        <v>6.6733494499541024E-2</v>
      </c>
      <c r="AE115" s="447">
        <f t="shared" si="208"/>
        <v>0.14144681093661948</v>
      </c>
      <c r="AF115" s="447">
        <f t="shared" si="209"/>
        <v>0.25412373852938275</v>
      </c>
      <c r="AG115" s="447">
        <f t="shared" si="210"/>
        <v>-0.74587626147061725</v>
      </c>
      <c r="AH115" s="447">
        <f t="shared" si="211"/>
        <v>0.40497912428105731</v>
      </c>
      <c r="AI115" s="447">
        <f t="shared" si="212"/>
        <v>-8.8820113155948649E-2</v>
      </c>
      <c r="AJ115" s="448">
        <f t="shared" si="213"/>
        <v>-8.8820113155948649E-2</v>
      </c>
      <c r="AK115" s="446">
        <f t="shared" si="216"/>
        <v>1.1952820354748261E-2</v>
      </c>
    </row>
    <row r="116" spans="1:37" x14ac:dyDescent="0.35">
      <c r="A116" t="s">
        <v>100</v>
      </c>
      <c r="B116" s="466">
        <f t="shared" ref="B116:K116" si="218">EXP($M98-B$106)/(1+EXP($M98-B$106))</f>
        <v>0.97722243799437458</v>
      </c>
      <c r="C116" s="447">
        <f t="shared" si="218"/>
        <v>0.97729571105748159</v>
      </c>
      <c r="D116" s="447">
        <f t="shared" si="218"/>
        <v>0.97729571105748159</v>
      </c>
      <c r="E116" s="447">
        <f t="shared" si="218"/>
        <v>0.93326650550045898</v>
      </c>
      <c r="F116" s="447">
        <f t="shared" si="218"/>
        <v>0.85855318906338052</v>
      </c>
      <c r="G116" s="447">
        <f t="shared" si="218"/>
        <v>0.74587626147061725</v>
      </c>
      <c r="H116" s="447">
        <f t="shared" si="218"/>
        <v>0.74587626147061725</v>
      </c>
      <c r="I116" s="447">
        <f t="shared" si="218"/>
        <v>0.59502087571894269</v>
      </c>
      <c r="J116" s="447">
        <f t="shared" si="218"/>
        <v>8.8820113155948649E-2</v>
      </c>
      <c r="K116" s="448">
        <f t="shared" si="218"/>
        <v>8.8820113155948649E-2</v>
      </c>
      <c r="M116" s="469">
        <f t="shared" si="193"/>
        <v>1.3722491878348742</v>
      </c>
      <c r="O116" s="466">
        <f t="shared" si="194"/>
        <v>2.2258744674705306E-2</v>
      </c>
      <c r="P116" s="447">
        <f t="shared" si="195"/>
        <v>2.2188804206133051E-2</v>
      </c>
      <c r="Q116" s="447">
        <f t="shared" si="196"/>
        <v>2.2188804206133051E-2</v>
      </c>
      <c r="R116" s="447">
        <f t="shared" si="197"/>
        <v>6.2280135211420749E-2</v>
      </c>
      <c r="S116" s="447">
        <f t="shared" si="198"/>
        <v>0.12143961061247971</v>
      </c>
      <c r="T116" s="447">
        <f t="shared" si="199"/>
        <v>0.18954486404523266</v>
      </c>
      <c r="U116" s="447">
        <f t="shared" si="200"/>
        <v>0.18954486404523266</v>
      </c>
      <c r="V116" s="447">
        <f t="shared" si="201"/>
        <v>0.24097103317760524</v>
      </c>
      <c r="W116" s="447">
        <f t="shared" si="202"/>
        <v>8.093110065491313E-2</v>
      </c>
      <c r="X116" s="448">
        <f t="shared" si="203"/>
        <v>8.093110065491313E-2</v>
      </c>
      <c r="Y116" s="446">
        <f t="shared" si="215"/>
        <v>1.0322790614887687</v>
      </c>
      <c r="AA116" s="466">
        <f t="shared" si="204"/>
        <v>2.2777562005625418E-2</v>
      </c>
      <c r="AB116" s="447">
        <f t="shared" si="205"/>
        <v>2.2704288942518414E-2</v>
      </c>
      <c r="AC116" s="447">
        <f t="shared" si="206"/>
        <v>2.2704288942518414E-2</v>
      </c>
      <c r="AD116" s="447">
        <f t="shared" si="207"/>
        <v>6.6733494499541024E-2</v>
      </c>
      <c r="AE116" s="447">
        <f t="shared" si="208"/>
        <v>0.14144681093661948</v>
      </c>
      <c r="AF116" s="447">
        <f t="shared" si="209"/>
        <v>0.25412373852938275</v>
      </c>
      <c r="AG116" s="447">
        <f t="shared" si="210"/>
        <v>-0.74587626147061725</v>
      </c>
      <c r="AH116" s="447">
        <f t="shared" si="211"/>
        <v>0.40497912428105731</v>
      </c>
      <c r="AI116" s="447">
        <f t="shared" si="212"/>
        <v>-8.8820113155948649E-2</v>
      </c>
      <c r="AJ116" s="448">
        <f t="shared" si="213"/>
        <v>-8.8820113155948649E-2</v>
      </c>
      <c r="AK116" s="446">
        <f t="shared" si="216"/>
        <v>1.1952820354748261E-2</v>
      </c>
    </row>
    <row r="117" spans="1:37" x14ac:dyDescent="0.35">
      <c r="A117" t="s">
        <v>536</v>
      </c>
      <c r="B117" s="466">
        <f t="shared" ref="B117:K117" si="219">EXP($M99-B$106)/(1+EXP($M99-B$106))</f>
        <v>0.94833058365181866</v>
      </c>
      <c r="C117" s="447">
        <f t="shared" si="219"/>
        <v>0.94849189996915351</v>
      </c>
      <c r="D117" s="447">
        <f t="shared" si="219"/>
        <v>0.94849189996915351</v>
      </c>
      <c r="E117" s="447">
        <f t="shared" si="219"/>
        <v>0.85679021929992227</v>
      </c>
      <c r="F117" s="447">
        <f t="shared" si="219"/>
        <v>0.72196378881531476</v>
      </c>
      <c r="G117" s="447">
        <f t="shared" si="219"/>
        <v>0.55666480712845701</v>
      </c>
      <c r="H117" s="447">
        <f t="shared" si="219"/>
        <v>0.55666480712845701</v>
      </c>
      <c r="I117" s="447">
        <f t="shared" si="219"/>
        <v>0.38595669273011557</v>
      </c>
      <c r="J117" s="447">
        <f t="shared" si="219"/>
        <v>4.0031705694354609E-2</v>
      </c>
      <c r="K117" s="448">
        <f t="shared" si="219"/>
        <v>4.0031705694354609E-2</v>
      </c>
      <c r="M117" s="469">
        <f t="shared" si="193"/>
        <v>0.50889339772512365</v>
      </c>
      <c r="O117" s="466">
        <f t="shared" si="194"/>
        <v>4.8999687762419634E-2</v>
      </c>
      <c r="P117" s="447">
        <f t="shared" si="195"/>
        <v>4.8855015662058805E-2</v>
      </c>
      <c r="Q117" s="447">
        <f t="shared" si="196"/>
        <v>4.8855015662058805E-2</v>
      </c>
      <c r="R117" s="447">
        <f t="shared" si="197"/>
        <v>0.12270073941191337</v>
      </c>
      <c r="S117" s="447">
        <f t="shared" si="198"/>
        <v>0.20073207645475036</v>
      </c>
      <c r="T117" s="447">
        <f t="shared" si="199"/>
        <v>0.24678909963309476</v>
      </c>
      <c r="U117" s="447">
        <f t="shared" si="200"/>
        <v>0.24678909963309476</v>
      </c>
      <c r="V117" s="447">
        <f t="shared" si="201"/>
        <v>0.23699412406694673</v>
      </c>
      <c r="W117" s="447">
        <f t="shared" si="202"/>
        <v>3.8429168233555182E-2</v>
      </c>
      <c r="X117" s="448">
        <f t="shared" si="203"/>
        <v>3.8429168233555182E-2</v>
      </c>
      <c r="Y117" s="446">
        <f t="shared" si="215"/>
        <v>1.2775731947534474</v>
      </c>
      <c r="AA117" s="466">
        <f t="shared" si="204"/>
        <v>5.1669416348181341E-2</v>
      </c>
      <c r="AB117" s="447">
        <f t="shared" si="205"/>
        <v>5.1508100030846493E-2</v>
      </c>
      <c r="AC117" s="447">
        <f t="shared" si="206"/>
        <v>5.1508100030846493E-2</v>
      </c>
      <c r="AD117" s="447">
        <f t="shared" si="207"/>
        <v>0.14320978070007773</v>
      </c>
      <c r="AE117" s="447">
        <f t="shared" si="208"/>
        <v>-0.72196378881531476</v>
      </c>
      <c r="AF117" s="447">
        <f t="shared" si="209"/>
        <v>0.44333519287154299</v>
      </c>
      <c r="AG117" s="447">
        <f t="shared" si="210"/>
        <v>0.44333519287154299</v>
      </c>
      <c r="AH117" s="447">
        <f t="shared" si="211"/>
        <v>-0.38595669273011557</v>
      </c>
      <c r="AI117" s="447">
        <f t="shared" si="212"/>
        <v>-4.0031705694354609E-2</v>
      </c>
      <c r="AJ117" s="448">
        <f t="shared" si="213"/>
        <v>-4.0031705694354609E-2</v>
      </c>
      <c r="AK117" s="446">
        <f t="shared" si="216"/>
        <v>-3.4181100811015025E-3</v>
      </c>
    </row>
    <row r="118" spans="1:37" x14ac:dyDescent="0.35">
      <c r="A118" t="s">
        <v>101</v>
      </c>
      <c r="B118" s="466">
        <f t="shared" ref="B118:K118" si="220">EXP($M100-B$106)/(1+EXP($M100-B$106))</f>
        <v>0.94833058365181866</v>
      </c>
      <c r="C118" s="447">
        <f t="shared" si="220"/>
        <v>0.94849189996915351</v>
      </c>
      <c r="D118" s="447">
        <f t="shared" si="220"/>
        <v>0.94849189996915351</v>
      </c>
      <c r="E118" s="447">
        <f t="shared" si="220"/>
        <v>0.85679021929992227</v>
      </c>
      <c r="F118" s="447">
        <f t="shared" si="220"/>
        <v>0.72196378881531476</v>
      </c>
      <c r="G118" s="447">
        <f t="shared" si="220"/>
        <v>0.55666480712845701</v>
      </c>
      <c r="H118" s="447">
        <f t="shared" si="220"/>
        <v>0.55666480712845701</v>
      </c>
      <c r="I118" s="447">
        <f t="shared" si="220"/>
        <v>0.38595669273011557</v>
      </c>
      <c r="J118" s="447">
        <f t="shared" si="220"/>
        <v>4.0031705694354609E-2</v>
      </c>
      <c r="K118" s="448">
        <f t="shared" si="220"/>
        <v>4.0031705694354609E-2</v>
      </c>
      <c r="M118" s="469">
        <f t="shared" si="193"/>
        <v>0.50889339772512365</v>
      </c>
      <c r="O118" s="466">
        <f t="shared" si="194"/>
        <v>4.8999687762419634E-2</v>
      </c>
      <c r="P118" s="447">
        <f t="shared" si="195"/>
        <v>4.8855015662058805E-2</v>
      </c>
      <c r="Q118" s="447">
        <f t="shared" si="196"/>
        <v>4.8855015662058805E-2</v>
      </c>
      <c r="R118" s="447">
        <f t="shared" si="197"/>
        <v>0.12270073941191337</v>
      </c>
      <c r="S118" s="447">
        <f t="shared" si="198"/>
        <v>0.20073207645475036</v>
      </c>
      <c r="T118" s="447">
        <f t="shared" si="199"/>
        <v>0.24678909963309476</v>
      </c>
      <c r="U118" s="447">
        <f t="shared" si="200"/>
        <v>0.24678909963309476</v>
      </c>
      <c r="V118" s="447">
        <f t="shared" si="201"/>
        <v>0.23699412406694673</v>
      </c>
      <c r="W118" s="447">
        <f t="shared" si="202"/>
        <v>3.8429168233555182E-2</v>
      </c>
      <c r="X118" s="448">
        <f t="shared" si="203"/>
        <v>3.8429168233555182E-2</v>
      </c>
      <c r="Y118" s="446">
        <f t="shared" si="215"/>
        <v>1.2775731947534474</v>
      </c>
      <c r="AA118" s="466">
        <f t="shared" si="204"/>
        <v>5.1669416348181341E-2</v>
      </c>
      <c r="AB118" s="447">
        <f t="shared" si="205"/>
        <v>5.1508100030846493E-2</v>
      </c>
      <c r="AC118" s="447">
        <f t="shared" si="206"/>
        <v>5.1508100030846493E-2</v>
      </c>
      <c r="AD118" s="447">
        <f t="shared" si="207"/>
        <v>0.14320978070007773</v>
      </c>
      <c r="AE118" s="447">
        <f t="shared" si="208"/>
        <v>0.27803621118468524</v>
      </c>
      <c r="AF118" s="447">
        <f t="shared" si="209"/>
        <v>-0.55666480712845701</v>
      </c>
      <c r="AG118" s="447">
        <f t="shared" si="210"/>
        <v>0.44333519287154299</v>
      </c>
      <c r="AH118" s="447">
        <f t="shared" si="211"/>
        <v>-0.38595669273011557</v>
      </c>
      <c r="AI118" s="447">
        <f t="shared" si="212"/>
        <v>-4.0031705694354609E-2</v>
      </c>
      <c r="AJ118" s="448">
        <f t="shared" si="213"/>
        <v>-4.0031705694354609E-2</v>
      </c>
      <c r="AK118" s="446">
        <f t="shared" si="216"/>
        <v>-3.4181100811015025E-3</v>
      </c>
    </row>
    <row r="119" spans="1:37" x14ac:dyDescent="0.35">
      <c r="A119" t="s">
        <v>281</v>
      </c>
      <c r="B119" s="466">
        <f t="shared" ref="B119:K119" si="221">EXP($M101-B$106)/(1+EXP($M101-B$106))</f>
        <v>0.81470349876854753</v>
      </c>
      <c r="C119" s="447">
        <f t="shared" si="221"/>
        <v>0.81520071223930868</v>
      </c>
      <c r="D119" s="447">
        <f t="shared" si="221"/>
        <v>0.81520071223930868</v>
      </c>
      <c r="E119" s="447">
        <f t="shared" si="221"/>
        <v>0.58901923541809709</v>
      </c>
      <c r="F119" s="447">
        <f t="shared" si="221"/>
        <v>0.38349342795221425</v>
      </c>
      <c r="G119" s="447">
        <f t="shared" si="221"/>
        <v>0.23123817302560765</v>
      </c>
      <c r="H119" s="447">
        <f t="shared" si="221"/>
        <v>0.2312381730256077</v>
      </c>
      <c r="I119" s="447">
        <f t="shared" si="221"/>
        <v>0.13086747892991304</v>
      </c>
      <c r="J119" s="447">
        <f t="shared" si="221"/>
        <v>9.8909137140446891E-3</v>
      </c>
      <c r="K119" s="448">
        <f t="shared" si="221"/>
        <v>9.8909137140446891E-3</v>
      </c>
      <c r="M119" s="469">
        <f t="shared" si="193"/>
        <v>-0.93905718533246074</v>
      </c>
      <c r="O119" s="466">
        <f t="shared" si="194"/>
        <v>0.1509617078628348</v>
      </c>
      <c r="P119" s="447">
        <f t="shared" si="195"/>
        <v>0.15064851100383253</v>
      </c>
      <c r="Q119" s="447">
        <f t="shared" si="196"/>
        <v>0.15064851100383253</v>
      </c>
      <c r="R119" s="447">
        <f t="shared" si="197"/>
        <v>0.24207557572557742</v>
      </c>
      <c r="S119" s="447">
        <f t="shared" si="198"/>
        <v>0.23642621866967414</v>
      </c>
      <c r="T119" s="447">
        <f t="shared" si="199"/>
        <v>0.17776708036138678</v>
      </c>
      <c r="U119" s="447">
        <f t="shared" si="200"/>
        <v>0.17776708036138683</v>
      </c>
      <c r="V119" s="447">
        <f t="shared" si="201"/>
        <v>0.11374118188844182</v>
      </c>
      <c r="W119" s="447">
        <f t="shared" si="202"/>
        <v>9.7930835399460108E-3</v>
      </c>
      <c r="X119" s="448">
        <f t="shared" si="203"/>
        <v>9.7930835399460108E-3</v>
      </c>
      <c r="Y119" s="446">
        <f t="shared" si="215"/>
        <v>1.4196220339568588</v>
      </c>
      <c r="AA119" s="466">
        <f t="shared" si="204"/>
        <v>0.18529650123145247</v>
      </c>
      <c r="AB119" s="447">
        <f t="shared" si="205"/>
        <v>0.18479928776069132</v>
      </c>
      <c r="AC119" s="447">
        <f t="shared" si="206"/>
        <v>0.18479928776069132</v>
      </c>
      <c r="AD119" s="447">
        <f t="shared" si="207"/>
        <v>0.41098076458190291</v>
      </c>
      <c r="AE119" s="447">
        <f t="shared" si="208"/>
        <v>-0.38349342795221425</v>
      </c>
      <c r="AF119" s="447">
        <f t="shared" si="209"/>
        <v>-0.23123817302560765</v>
      </c>
      <c r="AG119" s="447">
        <f t="shared" si="210"/>
        <v>-0.2312381730256077</v>
      </c>
      <c r="AH119" s="447">
        <f t="shared" si="211"/>
        <v>-0.13086747892991304</v>
      </c>
      <c r="AI119" s="447">
        <f t="shared" si="212"/>
        <v>-9.8909137140446891E-3</v>
      </c>
      <c r="AJ119" s="448">
        <f t="shared" si="213"/>
        <v>-9.8909137140446891E-3</v>
      </c>
      <c r="AK119" s="446">
        <f t="shared" si="216"/>
        <v>-3.0743239026694076E-2</v>
      </c>
    </row>
    <row r="120" spans="1:37" x14ac:dyDescent="0.35">
      <c r="A120" t="s">
        <v>537</v>
      </c>
      <c r="B120" s="466">
        <f t="shared" ref="B120:K120" si="222">EXP($M102-B$106)/(1+EXP($M102-B$106))</f>
        <v>0.81470349876854742</v>
      </c>
      <c r="C120" s="447">
        <f t="shared" si="222"/>
        <v>0.81520071223930857</v>
      </c>
      <c r="D120" s="447">
        <f t="shared" si="222"/>
        <v>0.81520071223930857</v>
      </c>
      <c r="E120" s="447">
        <f t="shared" si="222"/>
        <v>0.58901923541809709</v>
      </c>
      <c r="F120" s="447">
        <f t="shared" si="222"/>
        <v>0.38349342795221414</v>
      </c>
      <c r="G120" s="447">
        <f t="shared" si="222"/>
        <v>0.23123817302560765</v>
      </c>
      <c r="H120" s="447">
        <f t="shared" si="222"/>
        <v>0.23123817302560765</v>
      </c>
      <c r="I120" s="447">
        <f t="shared" si="222"/>
        <v>0.13086747892991302</v>
      </c>
      <c r="J120" s="447">
        <f t="shared" si="222"/>
        <v>9.8909137140446891E-3</v>
      </c>
      <c r="K120" s="448">
        <f t="shared" si="222"/>
        <v>9.8909137140446891E-3</v>
      </c>
      <c r="M120" s="469">
        <f t="shared" si="193"/>
        <v>-0.93905718533246052</v>
      </c>
      <c r="O120" s="466">
        <f t="shared" si="194"/>
        <v>0.15096170786283489</v>
      </c>
      <c r="P120" s="447">
        <f t="shared" si="195"/>
        <v>0.15064851100383259</v>
      </c>
      <c r="Q120" s="447">
        <f t="shared" si="196"/>
        <v>0.15064851100383259</v>
      </c>
      <c r="R120" s="447">
        <f t="shared" si="197"/>
        <v>0.24207557572557742</v>
      </c>
      <c r="S120" s="447">
        <f t="shared" si="198"/>
        <v>0.23642621866967406</v>
      </c>
      <c r="T120" s="447">
        <f t="shared" si="199"/>
        <v>0.17776708036138678</v>
      </c>
      <c r="U120" s="447">
        <f t="shared" si="200"/>
        <v>0.17776708036138678</v>
      </c>
      <c r="V120" s="447">
        <f t="shared" si="201"/>
        <v>0.11374118188844179</v>
      </c>
      <c r="W120" s="447">
        <f t="shared" si="202"/>
        <v>9.7930835399460108E-3</v>
      </c>
      <c r="X120" s="448">
        <f t="shared" si="203"/>
        <v>9.7930835399460108E-3</v>
      </c>
      <c r="Y120" s="446">
        <f t="shared" si="215"/>
        <v>1.419622033956859</v>
      </c>
      <c r="AA120" s="466">
        <f t="shared" si="204"/>
        <v>0.18529650123145258</v>
      </c>
      <c r="AB120" s="447">
        <f t="shared" si="205"/>
        <v>-0.81520071223930857</v>
      </c>
      <c r="AC120" s="447">
        <f t="shared" si="206"/>
        <v>0.18479928776069143</v>
      </c>
      <c r="AD120" s="447">
        <f t="shared" si="207"/>
        <v>-0.58901923541809709</v>
      </c>
      <c r="AE120" s="447">
        <f t="shared" si="208"/>
        <v>0.61650657204778581</v>
      </c>
      <c r="AF120" s="447">
        <f t="shared" si="209"/>
        <v>-0.23123817302560765</v>
      </c>
      <c r="AG120" s="447">
        <f t="shared" si="210"/>
        <v>0.76876182697439233</v>
      </c>
      <c r="AH120" s="447">
        <f t="shared" si="211"/>
        <v>-0.13086747892991302</v>
      </c>
      <c r="AI120" s="447">
        <f t="shared" si="212"/>
        <v>-9.8909137140446891E-3</v>
      </c>
      <c r="AJ120" s="448">
        <f t="shared" si="213"/>
        <v>-9.8909137140446891E-3</v>
      </c>
      <c r="AK120" s="446">
        <f t="shared" si="216"/>
        <v>-3.0743239026693576E-2</v>
      </c>
    </row>
    <row r="121" spans="1:37" x14ac:dyDescent="0.35">
      <c r="A121" t="s">
        <v>905</v>
      </c>
      <c r="B121" s="449">
        <f t="shared" ref="B121:K121" si="223">EXP($M103-B$106)/(1+EXP($M103-B$106))</f>
        <v>0.50165604076157377</v>
      </c>
      <c r="C121" s="450">
        <f t="shared" si="223"/>
        <v>0.50248029150470086</v>
      </c>
      <c r="D121" s="450">
        <f t="shared" si="223"/>
        <v>0.50248029150470086</v>
      </c>
      <c r="E121" s="450">
        <f t="shared" si="223"/>
        <v>0.24706445469916175</v>
      </c>
      <c r="F121" s="450">
        <f t="shared" si="223"/>
        <v>0.12466360630947508</v>
      </c>
      <c r="G121" s="450">
        <f t="shared" si="223"/>
        <v>6.4430050071774075E-2</v>
      </c>
      <c r="H121" s="450">
        <f t="shared" si="223"/>
        <v>6.4430050071774075E-2</v>
      </c>
      <c r="I121" s="450">
        <f t="shared" si="223"/>
        <v>3.3325040807298728E-2</v>
      </c>
      <c r="J121" s="450">
        <f t="shared" si="223"/>
        <v>2.2819476810561176E-3</v>
      </c>
      <c r="K121" s="451">
        <f t="shared" si="223"/>
        <v>2.2819476810561176E-3</v>
      </c>
      <c r="M121" s="470">
        <f t="shared" si="193"/>
        <v>-2.429145380463984</v>
      </c>
      <c r="O121" s="449">
        <f t="shared" si="194"/>
        <v>0.24999725752899601</v>
      </c>
      <c r="P121" s="450">
        <f t="shared" si="195"/>
        <v>0.24999384815405171</v>
      </c>
      <c r="Q121" s="450">
        <f t="shared" si="196"/>
        <v>0.24999384815405171</v>
      </c>
      <c r="R121" s="450">
        <f t="shared" si="197"/>
        <v>0.18602360992336761</v>
      </c>
      <c r="S121" s="450">
        <f t="shared" si="198"/>
        <v>0.10912259157139129</v>
      </c>
      <c r="T121" s="450">
        <f t="shared" si="199"/>
        <v>6.0278818719522766E-2</v>
      </c>
      <c r="U121" s="450">
        <f t="shared" si="200"/>
        <v>6.0278818719522766E-2</v>
      </c>
      <c r="V121" s="450">
        <f t="shared" si="201"/>
        <v>3.2214482462490604E-2</v>
      </c>
      <c r="W121" s="450">
        <f t="shared" si="202"/>
        <v>2.27674039583704E-3</v>
      </c>
      <c r="X121" s="451">
        <f t="shared" si="203"/>
        <v>2.27674039583704E-3</v>
      </c>
      <c r="Y121" s="446">
        <f t="shared" si="215"/>
        <v>1.2024567560250683</v>
      </c>
      <c r="AA121" s="449">
        <f t="shared" si="204"/>
        <v>-0.50165604076157377</v>
      </c>
      <c r="AB121" s="450">
        <f t="shared" si="205"/>
        <v>0.49751970849529914</v>
      </c>
      <c r="AC121" s="450">
        <f t="shared" si="206"/>
        <v>-0.50248029150470086</v>
      </c>
      <c r="AD121" s="450">
        <f t="shared" si="207"/>
        <v>0.75293554530083828</v>
      </c>
      <c r="AE121" s="450">
        <f t="shared" si="208"/>
        <v>-0.12466360630947508</v>
      </c>
      <c r="AF121" s="450">
        <f t="shared" si="209"/>
        <v>-6.4430050071774075E-2</v>
      </c>
      <c r="AG121" s="450">
        <f t="shared" si="210"/>
        <v>-6.4430050071774075E-2</v>
      </c>
      <c r="AH121" s="450">
        <f t="shared" si="211"/>
        <v>-3.3325040807298728E-2</v>
      </c>
      <c r="AI121" s="450">
        <f t="shared" si="212"/>
        <v>-2.2819476810561176E-3</v>
      </c>
      <c r="AJ121" s="451">
        <f t="shared" si="213"/>
        <v>-2.2819476810561176E-3</v>
      </c>
      <c r="AK121" s="446">
        <f t="shared" si="216"/>
        <v>-4.5093721092571412E-2</v>
      </c>
    </row>
    <row r="122" spans="1:37" x14ac:dyDescent="0.35">
      <c r="O122" s="446">
        <f>SUM(O113:O121)</f>
        <v>0.7039820751871616</v>
      </c>
      <c r="P122" s="446">
        <f t="shared" ref="P122:X122" si="224">SUM(P113:P121)</f>
        <v>0.70289203905419062</v>
      </c>
      <c r="Q122" s="446">
        <f t="shared" si="224"/>
        <v>0.70289203905419062</v>
      </c>
      <c r="R122" s="446">
        <f t="shared" si="224"/>
        <v>1.068643580149526</v>
      </c>
      <c r="S122" s="446">
        <f t="shared" si="224"/>
        <v>1.2887693512742695</v>
      </c>
      <c r="T122" s="446">
        <f t="shared" si="224"/>
        <v>1.4064435172996079</v>
      </c>
      <c r="U122" s="446">
        <f t="shared" si="224"/>
        <v>1.4064435172996079</v>
      </c>
      <c r="V122" s="446">
        <f t="shared" si="224"/>
        <v>1.4163931195654615</v>
      </c>
      <c r="W122" s="446">
        <f t="shared" si="224"/>
        <v>0.68412938479100693</v>
      </c>
      <c r="X122" s="446">
        <f t="shared" si="224"/>
        <v>0.68412938479100693</v>
      </c>
      <c r="AA122" s="446">
        <f>SUM(AA113:AA121)</f>
        <v>2.5521670878948632E-2</v>
      </c>
      <c r="AB122" s="446">
        <f t="shared" ref="AB122:AJ122" si="225">SUM(AB113:AB121)</f>
        <v>2.5119002304613391E-2</v>
      </c>
      <c r="AC122" s="446">
        <f t="shared" si="225"/>
        <v>2.5119002304613391E-2</v>
      </c>
      <c r="AD122" s="446">
        <f t="shared" si="225"/>
        <v>2.3864357382319734E-2</v>
      </c>
      <c r="AE122" s="446">
        <f t="shared" si="225"/>
        <v>1.2643242004123492E-2</v>
      </c>
      <c r="AF122" s="446">
        <f t="shared" si="225"/>
        <v>-2.9253046808435101E-3</v>
      </c>
      <c r="AG122" s="446">
        <f t="shared" si="225"/>
        <v>-2.9253046808435379E-3</v>
      </c>
      <c r="AH122" s="446">
        <f t="shared" si="225"/>
        <v>-1.9372389881666507E-2</v>
      </c>
      <c r="AI122" s="446">
        <f t="shared" si="225"/>
        <v>-4.8420672799317804E-2</v>
      </c>
      <c r="AJ122" s="446">
        <f t="shared" si="225"/>
        <v>-4.8420672799317749E-2</v>
      </c>
      <c r="AK122" s="446">
        <f>SUMSQ(AK113:AK121)</f>
        <v>7.5080640882955341E-3</v>
      </c>
    </row>
    <row r="123" spans="1:37" x14ac:dyDescent="0.35">
      <c r="A123" t="s">
        <v>822</v>
      </c>
      <c r="B123" s="471">
        <f t="shared" ref="B123:K123" si="226">B106-AA122/O122</f>
        <v>-2.4345215396262625</v>
      </c>
      <c r="C123" s="472">
        <f t="shared" si="226"/>
        <v>-2.4373019469113446</v>
      </c>
      <c r="D123" s="472">
        <f t="shared" si="226"/>
        <v>-2.4373019469113446</v>
      </c>
      <c r="E123" s="472">
        <f t="shared" si="226"/>
        <v>-1.2996451286663961</v>
      </c>
      <c r="F123" s="472">
        <f t="shared" si="226"/>
        <v>-0.45246507536387953</v>
      </c>
      <c r="G123" s="472">
        <f t="shared" si="226"/>
        <v>0.28601164993741152</v>
      </c>
      <c r="H123" s="472">
        <f t="shared" si="226"/>
        <v>0.28601164993741146</v>
      </c>
      <c r="I123" s="472">
        <f t="shared" si="226"/>
        <v>0.98958642838865962</v>
      </c>
      <c r="J123" s="472">
        <f t="shared" si="226"/>
        <v>3.759574412602297</v>
      </c>
      <c r="K123" s="473">
        <f t="shared" si="226"/>
        <v>3.759574412602297</v>
      </c>
      <c r="L123" s="446">
        <f>AVERAGE(B123:K123)</f>
        <v>1.9522915988848589E-3</v>
      </c>
    </row>
    <row r="124" spans="1:37" x14ac:dyDescent="0.35">
      <c r="A124" t="s">
        <v>906</v>
      </c>
      <c r="B124" s="89">
        <f>B123-L123</f>
        <v>-2.4364738312251473</v>
      </c>
      <c r="C124" s="159">
        <f>C123-L123</f>
        <v>-2.4392542385102294</v>
      </c>
      <c r="D124" s="159">
        <f>D123-L123</f>
        <v>-2.4392542385102294</v>
      </c>
      <c r="E124" s="159">
        <f>E123-L123</f>
        <v>-1.3015974202652809</v>
      </c>
      <c r="F124" s="159">
        <f>F123-L123</f>
        <v>-0.45441736696276441</v>
      </c>
      <c r="G124" s="159">
        <f>G123-L123</f>
        <v>0.28405935833852664</v>
      </c>
      <c r="H124" s="159">
        <f>H123-L123</f>
        <v>0.28405935833852658</v>
      </c>
      <c r="I124" s="159">
        <f>I123-L123</f>
        <v>0.98763413678977474</v>
      </c>
      <c r="J124" s="159">
        <f>J123-L123</f>
        <v>3.7576221210034122</v>
      </c>
      <c r="K124" s="93">
        <f>K123-L123</f>
        <v>3.7576221210034122</v>
      </c>
      <c r="L124" s="446">
        <f>AVERAGE(B124:K124)</f>
        <v>0</v>
      </c>
    </row>
    <row r="125" spans="1:37" x14ac:dyDescent="0.35">
      <c r="M125" s="446"/>
    </row>
    <row r="126" spans="1:37" x14ac:dyDescent="0.35">
      <c r="A126" t="s">
        <v>907</v>
      </c>
      <c r="B126" s="461">
        <f>B108+1</f>
        <v>7</v>
      </c>
    </row>
    <row r="127" spans="1:37" x14ac:dyDescent="0.35">
      <c r="B127" s="461"/>
    </row>
    <row r="128" spans="1:37" x14ac:dyDescent="0.35">
      <c r="B128" t="s">
        <v>860</v>
      </c>
      <c r="O128" t="s">
        <v>908</v>
      </c>
      <c r="AA128" t="s">
        <v>909</v>
      </c>
    </row>
    <row r="130" spans="1:37" x14ac:dyDescent="0.35">
      <c r="B130">
        <v>1</v>
      </c>
      <c r="C130">
        <v>2</v>
      </c>
      <c r="D130">
        <v>3</v>
      </c>
      <c r="E130">
        <v>4</v>
      </c>
      <c r="F130">
        <v>5</v>
      </c>
      <c r="G130">
        <v>6</v>
      </c>
      <c r="H130">
        <v>7</v>
      </c>
      <c r="I130">
        <v>8</v>
      </c>
      <c r="J130">
        <v>9</v>
      </c>
      <c r="K130">
        <v>10</v>
      </c>
      <c r="M130" t="s">
        <v>904</v>
      </c>
      <c r="O130">
        <v>1</v>
      </c>
      <c r="P130">
        <v>2</v>
      </c>
      <c r="Q130">
        <v>3</v>
      </c>
      <c r="R130">
        <v>4</v>
      </c>
      <c r="S130">
        <v>5</v>
      </c>
      <c r="T130">
        <v>6</v>
      </c>
      <c r="U130">
        <v>7</v>
      </c>
      <c r="V130">
        <v>8</v>
      </c>
      <c r="W130">
        <v>9</v>
      </c>
      <c r="X130">
        <v>10</v>
      </c>
      <c r="AA130">
        <v>1</v>
      </c>
      <c r="AB130">
        <v>2</v>
      </c>
      <c r="AC130">
        <v>3</v>
      </c>
      <c r="AD130">
        <v>4</v>
      </c>
      <c r="AE130">
        <v>5</v>
      </c>
      <c r="AF130">
        <v>6</v>
      </c>
      <c r="AG130">
        <v>7</v>
      </c>
      <c r="AH130">
        <v>8</v>
      </c>
      <c r="AI130">
        <v>9</v>
      </c>
      <c r="AJ130">
        <v>10</v>
      </c>
    </row>
    <row r="131" spans="1:37" x14ac:dyDescent="0.35">
      <c r="A131" t="s">
        <v>218</v>
      </c>
      <c r="B131" s="464">
        <f t="shared" ref="B131:K131" si="227">EXP($M113-B$124)/(1+EXP($M113-B$124))</f>
        <v>0.99828821720004945</v>
      </c>
      <c r="C131" s="467">
        <f t="shared" si="227"/>
        <v>0.99829296192965178</v>
      </c>
      <c r="D131" s="467">
        <f t="shared" si="227"/>
        <v>0.99829296192965178</v>
      </c>
      <c r="E131" s="467">
        <f t="shared" si="227"/>
        <v>0.99469417586290942</v>
      </c>
      <c r="F131" s="467">
        <f t="shared" si="227"/>
        <v>0.98770814206508484</v>
      </c>
      <c r="G131" s="467">
        <f t="shared" si="227"/>
        <v>0.97461721088819675</v>
      </c>
      <c r="H131" s="467">
        <f t="shared" si="227"/>
        <v>0.97461721088819675</v>
      </c>
      <c r="I131" s="467">
        <f t="shared" si="227"/>
        <v>0.94999808484806003</v>
      </c>
      <c r="J131" s="467">
        <f t="shared" si="227"/>
        <v>0.54349247492415909</v>
      </c>
      <c r="K131" s="465">
        <f t="shared" si="227"/>
        <v>0.54349247492415909</v>
      </c>
      <c r="M131" s="468">
        <f t="shared" ref="M131:M139" si="228">M113+AK131/Y131</f>
        <v>3.9885417231776681</v>
      </c>
      <c r="O131" s="464">
        <f t="shared" ref="O131:O139" si="229">B131*(1-B131)</f>
        <v>1.7088525995963388E-3</v>
      </c>
      <c r="P131" s="467">
        <f t="shared" ref="P131:P139" si="230">C131*(1-C131)</f>
        <v>1.7041240913746032E-3</v>
      </c>
      <c r="Q131" s="467">
        <f t="shared" ref="Q131:Q139" si="231">D131*(1-D131)</f>
        <v>1.7041240913746032E-3</v>
      </c>
      <c r="R131" s="467">
        <f t="shared" ref="R131:R139" si="232">E131*(1-E131)</f>
        <v>5.2776723673168425E-3</v>
      </c>
      <c r="S131" s="467">
        <f t="shared" ref="S131:S139" si="233">F131*(1-F131)</f>
        <v>1.2140768163423025E-2</v>
      </c>
      <c r="T131" s="467">
        <f t="shared" ref="T131:T139" si="234">G131*(1-G131)</f>
        <v>2.4738503128708973E-2</v>
      </c>
      <c r="U131" s="467">
        <f t="shared" ref="U131:U139" si="235">H131*(1-H131)</f>
        <v>2.4738503128708973E-2</v>
      </c>
      <c r="V131" s="467">
        <f t="shared" ref="V131:V139" si="236">I131*(1-I131)</f>
        <v>4.7501723633078162E-2</v>
      </c>
      <c r="W131" s="467">
        <f t="shared" ref="W131:W139" si="237">J131*(1-J131)</f>
        <v>0.24810840462497138</v>
      </c>
      <c r="X131" s="465">
        <f t="shared" ref="X131:X139" si="238">K131*(1-K131)</f>
        <v>0.24810840462497138</v>
      </c>
      <c r="Y131" s="446">
        <f>SUM(O131:X131)</f>
        <v>0.61573108045352432</v>
      </c>
      <c r="AA131" s="464" t="str">
        <f t="shared" ref="AA131:AA139" si="239">IF(ISNUMBER(B5),B5-B131,"")</f>
        <v/>
      </c>
      <c r="AB131" s="467">
        <f t="shared" ref="AB131:AB139" si="240">IF(ISNUMBER(C5),C5-C131,"")</f>
        <v>1.7070380703482213E-3</v>
      </c>
      <c r="AC131" s="467">
        <f t="shared" ref="AC131:AC139" si="241">IF(ISNUMBER(D5),D5-D131,"")</f>
        <v>1.7070380703482213E-3</v>
      </c>
      <c r="AD131" s="467">
        <f t="shared" ref="AD131:AD139" si="242">IF(ISNUMBER(E5),E5-E131,"")</f>
        <v>5.3058241370905757E-3</v>
      </c>
      <c r="AE131" s="467">
        <f t="shared" ref="AE131:AE139" si="243">IF(ISNUMBER(F5),F5-F131,"")</f>
        <v>1.2291857934915162E-2</v>
      </c>
      <c r="AF131" s="467">
        <f t="shared" ref="AF131:AF139" si="244">IF(ISNUMBER(G5),G5-G131,"")</f>
        <v>2.538278911180325E-2</v>
      </c>
      <c r="AG131" s="467">
        <f t="shared" ref="AG131:AG139" si="245">IF(ISNUMBER(H5),H5-H131,"")</f>
        <v>2.538278911180325E-2</v>
      </c>
      <c r="AH131" s="467">
        <f t="shared" ref="AH131:AH139" si="246">IF(ISNUMBER(I5),I5-I131,"")</f>
        <v>5.0001915151939968E-2</v>
      </c>
      <c r="AI131" s="467">
        <f t="shared" ref="AI131:AI139" si="247">IF(ISNUMBER(J5),J5-J131,"")</f>
        <v>-0.54349247492415909</v>
      </c>
      <c r="AJ131" s="465">
        <f t="shared" ref="AJ131:AJ139" si="248">IF(ISNUMBER(K5),K5-K131,"")</f>
        <v>0.45650752507584091</v>
      </c>
      <c r="AK131" s="446">
        <f>SUM(AA131:AJ131)</f>
        <v>3.4794301739930478E-2</v>
      </c>
    </row>
    <row r="132" spans="1:37" x14ac:dyDescent="0.35">
      <c r="A132" t="s">
        <v>98</v>
      </c>
      <c r="B132" s="466">
        <f t="shared" ref="B132:K132" si="249">EXP($M114-B$124)/(1+EXP($M114-B$124))</f>
        <v>0.99289914211540453</v>
      </c>
      <c r="C132" s="447">
        <f t="shared" si="249"/>
        <v>0.99291871835711831</v>
      </c>
      <c r="D132" s="447">
        <f t="shared" si="249"/>
        <v>0.99291871835711831</v>
      </c>
      <c r="E132" s="447">
        <f t="shared" si="249"/>
        <v>0.97823692296772613</v>
      </c>
      <c r="F132" s="447">
        <f t="shared" si="249"/>
        <v>0.95065698158986023</v>
      </c>
      <c r="G132" s="447">
        <f t="shared" si="249"/>
        <v>0.9020206167431043</v>
      </c>
      <c r="H132" s="447">
        <f t="shared" si="249"/>
        <v>0.9020206167431043</v>
      </c>
      <c r="I132" s="447">
        <f t="shared" si="249"/>
        <v>0.81999380471272365</v>
      </c>
      <c r="J132" s="447">
        <f t="shared" si="249"/>
        <v>0.22206333701427272</v>
      </c>
      <c r="K132" s="448">
        <f t="shared" si="249"/>
        <v>0.22206333701427272</v>
      </c>
      <c r="M132" s="469">
        <f t="shared" si="228"/>
        <v>2.5358266132163334</v>
      </c>
      <c r="O132" s="466">
        <f t="shared" si="229"/>
        <v>7.0504357018982469E-3</v>
      </c>
      <c r="P132" s="447">
        <f t="shared" si="230"/>
        <v>7.0311370931758739E-3</v>
      </c>
      <c r="Q132" s="447">
        <f t="shared" si="231"/>
        <v>7.0311370931758739E-3</v>
      </c>
      <c r="R132" s="447">
        <f t="shared" si="232"/>
        <v>2.1289445510361184E-2</v>
      </c>
      <c r="S132" s="447">
        <f t="shared" si="233"/>
        <v>4.6908284944316377E-2</v>
      </c>
      <c r="T132" s="447">
        <f t="shared" si="234"/>
        <v>8.8379423713494054E-2</v>
      </c>
      <c r="U132" s="447">
        <f t="shared" si="235"/>
        <v>8.8379423713494054E-2</v>
      </c>
      <c r="V132" s="447">
        <f t="shared" si="236"/>
        <v>0.14760396494547529</v>
      </c>
      <c r="W132" s="447">
        <f t="shared" si="237"/>
        <v>0.17275121136835825</v>
      </c>
      <c r="X132" s="448">
        <f t="shared" si="238"/>
        <v>0.17275121136835825</v>
      </c>
      <c r="Y132" s="446">
        <f t="shared" ref="Y132:Y139" si="250">SUM(O132:X132)</f>
        <v>0.75917567545210751</v>
      </c>
      <c r="AA132" s="466">
        <f t="shared" si="239"/>
        <v>7.1008578845954684E-3</v>
      </c>
      <c r="AB132" s="447">
        <f t="shared" si="240"/>
        <v>7.0812816428816872E-3</v>
      </c>
      <c r="AC132" s="447">
        <f t="shared" si="241"/>
        <v>7.0812816428816872E-3</v>
      </c>
      <c r="AD132" s="447">
        <f t="shared" si="242"/>
        <v>-0.97823692296772613</v>
      </c>
      <c r="AE132" s="447">
        <f t="shared" si="243"/>
        <v>4.9343018410139772E-2</v>
      </c>
      <c r="AF132" s="447">
        <f t="shared" si="244"/>
        <v>9.7979383256895702E-2</v>
      </c>
      <c r="AG132" s="447">
        <f t="shared" si="245"/>
        <v>9.7979383256895702E-2</v>
      </c>
      <c r="AH132" s="447">
        <f t="shared" si="246"/>
        <v>0.18000619528727635</v>
      </c>
      <c r="AI132" s="447">
        <f t="shared" si="247"/>
        <v>0.77793666298572728</v>
      </c>
      <c r="AJ132" s="448">
        <f t="shared" si="248"/>
        <v>-0.22206333701427272</v>
      </c>
      <c r="AK132" s="446">
        <f t="shared" ref="AK132:AK139" si="251">SUM(AA132:AJ132)</f>
        <v>2.4207804385294796E-2</v>
      </c>
    </row>
    <row r="133" spans="1:37" x14ac:dyDescent="0.35">
      <c r="A133" t="s">
        <v>99</v>
      </c>
      <c r="B133" s="466">
        <f t="shared" ref="B133:K133" si="252">EXP($M115-B$124)/(1+EXP($M115-B$124))</f>
        <v>0.97830464673849915</v>
      </c>
      <c r="C133" s="447">
        <f t="shared" si="252"/>
        <v>0.97836358153715508</v>
      </c>
      <c r="D133" s="447">
        <f t="shared" si="252"/>
        <v>0.97836358153715508</v>
      </c>
      <c r="E133" s="447">
        <f t="shared" si="252"/>
        <v>0.93546563922854675</v>
      </c>
      <c r="F133" s="447">
        <f t="shared" si="252"/>
        <v>0.86136413956994018</v>
      </c>
      <c r="G133" s="447">
        <f t="shared" si="252"/>
        <v>0.74804070146418089</v>
      </c>
      <c r="H133" s="447">
        <f t="shared" si="252"/>
        <v>0.74804070146418089</v>
      </c>
      <c r="I133" s="447">
        <f t="shared" si="252"/>
        <v>0.59498571313976922</v>
      </c>
      <c r="J133" s="447">
        <f t="shared" si="252"/>
        <v>8.4294905517660945E-2</v>
      </c>
      <c r="K133" s="448">
        <f t="shared" si="252"/>
        <v>8.4294905517660945E-2</v>
      </c>
      <c r="M133" s="469">
        <f t="shared" si="228"/>
        <v>1.380599943114809</v>
      </c>
      <c r="O133" s="466">
        <f t="shared" si="229"/>
        <v>2.1224664908359534E-2</v>
      </c>
      <c r="P133" s="447">
        <f t="shared" si="230"/>
        <v>2.1168283858945584E-2</v>
      </c>
      <c r="Q133" s="447">
        <f t="shared" si="231"/>
        <v>2.1168283858945584E-2</v>
      </c>
      <c r="R133" s="447">
        <f t="shared" si="232"/>
        <v>6.0369677051273163E-2</v>
      </c>
      <c r="S133" s="447">
        <f t="shared" si="233"/>
        <v>0.1194159586328768</v>
      </c>
      <c r="T133" s="447">
        <f t="shared" si="234"/>
        <v>0.18847581041715708</v>
      </c>
      <c r="U133" s="447">
        <f t="shared" si="235"/>
        <v>0.18847581041715708</v>
      </c>
      <c r="V133" s="447">
        <f t="shared" si="236"/>
        <v>0.24097771429932946</v>
      </c>
      <c r="W133" s="447">
        <f t="shared" si="237"/>
        <v>7.718927442142956E-2</v>
      </c>
      <c r="X133" s="448">
        <f t="shared" si="238"/>
        <v>7.718927442142956E-2</v>
      </c>
      <c r="Y133" s="446">
        <f t="shared" si="250"/>
        <v>1.0156547522869035</v>
      </c>
      <c r="AA133" s="466">
        <f t="shared" si="239"/>
        <v>2.1695353261500849E-2</v>
      </c>
      <c r="AB133" s="447">
        <f t="shared" si="240"/>
        <v>2.163641846284492E-2</v>
      </c>
      <c r="AC133" s="447">
        <f t="shared" si="241"/>
        <v>2.163641846284492E-2</v>
      </c>
      <c r="AD133" s="447">
        <f t="shared" si="242"/>
        <v>6.4534360771453247E-2</v>
      </c>
      <c r="AE133" s="447">
        <f t="shared" si="243"/>
        <v>0.13863586043005982</v>
      </c>
      <c r="AF133" s="447">
        <f t="shared" si="244"/>
        <v>0.25195929853581911</v>
      </c>
      <c r="AG133" s="447">
        <f t="shared" si="245"/>
        <v>-0.74804070146418089</v>
      </c>
      <c r="AH133" s="447">
        <f t="shared" si="246"/>
        <v>0.40501428686023078</v>
      </c>
      <c r="AI133" s="447">
        <f t="shared" si="247"/>
        <v>-8.4294905517660945E-2</v>
      </c>
      <c r="AJ133" s="448">
        <f t="shared" si="248"/>
        <v>-8.4294905517660945E-2</v>
      </c>
      <c r="AK133" s="446">
        <f t="shared" si="251"/>
        <v>8.4814842852508621E-3</v>
      </c>
    </row>
    <row r="134" spans="1:37" x14ac:dyDescent="0.35">
      <c r="A134" t="s">
        <v>100</v>
      </c>
      <c r="B134" s="466">
        <f t="shared" ref="B134:K134" si="253">EXP($M116-B$124)/(1+EXP($M116-B$124))</f>
        <v>0.97830464673849915</v>
      </c>
      <c r="C134" s="447">
        <f t="shared" si="253"/>
        <v>0.97836358153715508</v>
      </c>
      <c r="D134" s="447">
        <f t="shared" si="253"/>
        <v>0.97836358153715508</v>
      </c>
      <c r="E134" s="447">
        <f t="shared" si="253"/>
        <v>0.93546563922854675</v>
      </c>
      <c r="F134" s="447">
        <f t="shared" si="253"/>
        <v>0.86136413956994018</v>
      </c>
      <c r="G134" s="447">
        <f t="shared" si="253"/>
        <v>0.74804070146418089</v>
      </c>
      <c r="H134" s="447">
        <f t="shared" si="253"/>
        <v>0.74804070146418089</v>
      </c>
      <c r="I134" s="447">
        <f t="shared" si="253"/>
        <v>0.59498571313976922</v>
      </c>
      <c r="J134" s="447">
        <f t="shared" si="253"/>
        <v>8.4294905517660945E-2</v>
      </c>
      <c r="K134" s="448">
        <f t="shared" si="253"/>
        <v>8.4294905517660945E-2</v>
      </c>
      <c r="M134" s="469">
        <f t="shared" si="228"/>
        <v>1.380599943114809</v>
      </c>
      <c r="O134" s="466">
        <f t="shared" si="229"/>
        <v>2.1224664908359534E-2</v>
      </c>
      <c r="P134" s="447">
        <f t="shared" si="230"/>
        <v>2.1168283858945584E-2</v>
      </c>
      <c r="Q134" s="447">
        <f t="shared" si="231"/>
        <v>2.1168283858945584E-2</v>
      </c>
      <c r="R134" s="447">
        <f t="shared" si="232"/>
        <v>6.0369677051273163E-2</v>
      </c>
      <c r="S134" s="447">
        <f t="shared" si="233"/>
        <v>0.1194159586328768</v>
      </c>
      <c r="T134" s="447">
        <f t="shared" si="234"/>
        <v>0.18847581041715708</v>
      </c>
      <c r="U134" s="447">
        <f t="shared" si="235"/>
        <v>0.18847581041715708</v>
      </c>
      <c r="V134" s="447">
        <f t="shared" si="236"/>
        <v>0.24097771429932946</v>
      </c>
      <c r="W134" s="447">
        <f t="shared" si="237"/>
        <v>7.718927442142956E-2</v>
      </c>
      <c r="X134" s="448">
        <f t="shared" si="238"/>
        <v>7.718927442142956E-2</v>
      </c>
      <c r="Y134" s="446">
        <f t="shared" si="250"/>
        <v>1.0156547522869035</v>
      </c>
      <c r="AA134" s="466">
        <f t="shared" si="239"/>
        <v>2.1695353261500849E-2</v>
      </c>
      <c r="AB134" s="447">
        <f t="shared" si="240"/>
        <v>2.163641846284492E-2</v>
      </c>
      <c r="AC134" s="447">
        <f t="shared" si="241"/>
        <v>2.163641846284492E-2</v>
      </c>
      <c r="AD134" s="447">
        <f t="shared" si="242"/>
        <v>6.4534360771453247E-2</v>
      </c>
      <c r="AE134" s="447">
        <f t="shared" si="243"/>
        <v>0.13863586043005982</v>
      </c>
      <c r="AF134" s="447">
        <f t="shared" si="244"/>
        <v>0.25195929853581911</v>
      </c>
      <c r="AG134" s="447">
        <f t="shared" si="245"/>
        <v>-0.74804070146418089</v>
      </c>
      <c r="AH134" s="447">
        <f t="shared" si="246"/>
        <v>0.40501428686023078</v>
      </c>
      <c r="AI134" s="447">
        <f t="shared" si="247"/>
        <v>-8.4294905517660945E-2</v>
      </c>
      <c r="AJ134" s="448">
        <f t="shared" si="248"/>
        <v>-8.4294905517660945E-2</v>
      </c>
      <c r="AK134" s="446">
        <f t="shared" si="251"/>
        <v>8.4814842852508621E-3</v>
      </c>
    </row>
    <row r="135" spans="1:37" x14ac:dyDescent="0.35">
      <c r="A135" t="s">
        <v>536</v>
      </c>
      <c r="B135" s="466">
        <f t="shared" ref="B135:K135" si="254">EXP($M117-B$124)/(1+EXP($M117-B$124))</f>
        <v>0.95004407345153996</v>
      </c>
      <c r="C135" s="447">
        <f t="shared" si="254"/>
        <v>0.95017586750467886</v>
      </c>
      <c r="D135" s="447">
        <f t="shared" si="254"/>
        <v>0.95017586750467886</v>
      </c>
      <c r="E135" s="447">
        <f t="shared" si="254"/>
        <v>0.85942118359638653</v>
      </c>
      <c r="F135" s="447">
        <f t="shared" si="254"/>
        <v>0.72378418546459489</v>
      </c>
      <c r="G135" s="447">
        <f t="shared" si="254"/>
        <v>0.55597292072121107</v>
      </c>
      <c r="H135" s="447">
        <f t="shared" si="254"/>
        <v>0.55597292072121107</v>
      </c>
      <c r="I135" s="447">
        <f t="shared" si="254"/>
        <v>0.38254952542106219</v>
      </c>
      <c r="J135" s="447">
        <f t="shared" si="254"/>
        <v>3.7372595760547661E-2</v>
      </c>
      <c r="K135" s="448">
        <f t="shared" si="254"/>
        <v>3.7372595760547661E-2</v>
      </c>
      <c r="M135" s="469">
        <f t="shared" si="228"/>
        <v>0.50664656117905016</v>
      </c>
      <c r="O135" s="466">
        <f t="shared" si="229"/>
        <v>4.7460331951144907E-2</v>
      </c>
      <c r="P135" s="447">
        <f t="shared" si="230"/>
        <v>4.7341688316409822E-2</v>
      </c>
      <c r="Q135" s="447">
        <f t="shared" si="231"/>
        <v>4.7341688316409822E-2</v>
      </c>
      <c r="R135" s="447">
        <f t="shared" si="232"/>
        <v>0.1208164127821726</v>
      </c>
      <c r="S135" s="447">
        <f t="shared" si="233"/>
        <v>0.19992063833594781</v>
      </c>
      <c r="T135" s="447">
        <f t="shared" si="234"/>
        <v>0.24686703214593703</v>
      </c>
      <c r="U135" s="447">
        <f t="shared" si="235"/>
        <v>0.24686703214593703</v>
      </c>
      <c r="V135" s="447">
        <f t="shared" si="236"/>
        <v>0.23620538602118227</v>
      </c>
      <c r="W135" s="447">
        <f t="shared" si="237"/>
        <v>3.5975884846666355E-2</v>
      </c>
      <c r="X135" s="448">
        <f t="shared" si="238"/>
        <v>3.5975884846666355E-2</v>
      </c>
      <c r="Y135" s="446">
        <f t="shared" si="250"/>
        <v>1.2647719797084738</v>
      </c>
      <c r="AA135" s="466">
        <f t="shared" si="239"/>
        <v>4.9955926548460039E-2</v>
      </c>
      <c r="AB135" s="447">
        <f t="shared" si="240"/>
        <v>4.9824132495321138E-2</v>
      </c>
      <c r="AC135" s="447">
        <f t="shared" si="241"/>
        <v>4.9824132495321138E-2</v>
      </c>
      <c r="AD135" s="447">
        <f t="shared" si="242"/>
        <v>0.14057881640361347</v>
      </c>
      <c r="AE135" s="447">
        <f t="shared" si="243"/>
        <v>-0.72378418546459489</v>
      </c>
      <c r="AF135" s="447">
        <f t="shared" si="244"/>
        <v>0.44402707927878893</v>
      </c>
      <c r="AG135" s="447">
        <f t="shared" si="245"/>
        <v>0.44402707927878893</v>
      </c>
      <c r="AH135" s="447">
        <f t="shared" si="246"/>
        <v>-0.38254952542106219</v>
      </c>
      <c r="AI135" s="447">
        <f t="shared" si="247"/>
        <v>-3.7372595760547661E-2</v>
      </c>
      <c r="AJ135" s="448">
        <f t="shared" si="248"/>
        <v>-3.7372595760547661E-2</v>
      </c>
      <c r="AK135" s="446">
        <f t="shared" si="251"/>
        <v>-2.8417359064587533E-3</v>
      </c>
    </row>
    <row r="136" spans="1:37" x14ac:dyDescent="0.35">
      <c r="A136" t="s">
        <v>101</v>
      </c>
      <c r="B136" s="466">
        <f t="shared" ref="B136:K136" si="255">EXP($M118-B$124)/(1+EXP($M118-B$124))</f>
        <v>0.95004407345153996</v>
      </c>
      <c r="C136" s="447">
        <f t="shared" si="255"/>
        <v>0.95017586750467886</v>
      </c>
      <c r="D136" s="447">
        <f t="shared" si="255"/>
        <v>0.95017586750467886</v>
      </c>
      <c r="E136" s="447">
        <f t="shared" si="255"/>
        <v>0.85942118359638653</v>
      </c>
      <c r="F136" s="447">
        <f t="shared" si="255"/>
        <v>0.72378418546459489</v>
      </c>
      <c r="G136" s="447">
        <f t="shared" si="255"/>
        <v>0.55597292072121107</v>
      </c>
      <c r="H136" s="447">
        <f t="shared" si="255"/>
        <v>0.55597292072121107</v>
      </c>
      <c r="I136" s="447">
        <f t="shared" si="255"/>
        <v>0.38254952542106219</v>
      </c>
      <c r="J136" s="447">
        <f t="shared" si="255"/>
        <v>3.7372595760547661E-2</v>
      </c>
      <c r="K136" s="448">
        <f t="shared" si="255"/>
        <v>3.7372595760547661E-2</v>
      </c>
      <c r="M136" s="469">
        <f t="shared" si="228"/>
        <v>0.50664656117905016</v>
      </c>
      <c r="O136" s="466">
        <f t="shared" si="229"/>
        <v>4.7460331951144907E-2</v>
      </c>
      <c r="P136" s="447">
        <f t="shared" si="230"/>
        <v>4.7341688316409822E-2</v>
      </c>
      <c r="Q136" s="447">
        <f t="shared" si="231"/>
        <v>4.7341688316409822E-2</v>
      </c>
      <c r="R136" s="447">
        <f t="shared" si="232"/>
        <v>0.1208164127821726</v>
      </c>
      <c r="S136" s="447">
        <f t="shared" si="233"/>
        <v>0.19992063833594781</v>
      </c>
      <c r="T136" s="447">
        <f t="shared" si="234"/>
        <v>0.24686703214593703</v>
      </c>
      <c r="U136" s="447">
        <f t="shared" si="235"/>
        <v>0.24686703214593703</v>
      </c>
      <c r="V136" s="447">
        <f t="shared" si="236"/>
        <v>0.23620538602118227</v>
      </c>
      <c r="W136" s="447">
        <f t="shared" si="237"/>
        <v>3.5975884846666355E-2</v>
      </c>
      <c r="X136" s="448">
        <f t="shared" si="238"/>
        <v>3.5975884846666355E-2</v>
      </c>
      <c r="Y136" s="446">
        <f t="shared" si="250"/>
        <v>1.2647719797084738</v>
      </c>
      <c r="AA136" s="466">
        <f t="shared" si="239"/>
        <v>4.9955926548460039E-2</v>
      </c>
      <c r="AB136" s="447">
        <f t="shared" si="240"/>
        <v>4.9824132495321138E-2</v>
      </c>
      <c r="AC136" s="447">
        <f t="shared" si="241"/>
        <v>4.9824132495321138E-2</v>
      </c>
      <c r="AD136" s="447">
        <f t="shared" si="242"/>
        <v>0.14057881640361347</v>
      </c>
      <c r="AE136" s="447">
        <f t="shared" si="243"/>
        <v>0.27621581453540511</v>
      </c>
      <c r="AF136" s="447">
        <f t="shared" si="244"/>
        <v>-0.55597292072121107</v>
      </c>
      <c r="AG136" s="447">
        <f t="shared" si="245"/>
        <v>0.44402707927878893</v>
      </c>
      <c r="AH136" s="447">
        <f t="shared" si="246"/>
        <v>-0.38254952542106219</v>
      </c>
      <c r="AI136" s="447">
        <f t="shared" si="247"/>
        <v>-3.7372595760547661E-2</v>
      </c>
      <c r="AJ136" s="448">
        <f t="shared" si="248"/>
        <v>-3.7372595760547661E-2</v>
      </c>
      <c r="AK136" s="446">
        <f t="shared" si="251"/>
        <v>-2.8417359064587533E-3</v>
      </c>
    </row>
    <row r="137" spans="1:37" x14ac:dyDescent="0.35">
      <c r="A137" t="s">
        <v>281</v>
      </c>
      <c r="B137" s="466">
        <f t="shared" ref="B137:K137" si="256">EXP($M119-B$124)/(1+EXP($M119-B$124))</f>
        <v>0.81718886194780038</v>
      </c>
      <c r="C137" s="447">
        <f t="shared" si="256"/>
        <v>0.81760386413681208</v>
      </c>
      <c r="D137" s="447">
        <f t="shared" si="256"/>
        <v>0.81760386413681208</v>
      </c>
      <c r="E137" s="447">
        <f t="shared" si="256"/>
        <v>0.58965521392035425</v>
      </c>
      <c r="F137" s="447">
        <f t="shared" si="256"/>
        <v>0.38115709989613294</v>
      </c>
      <c r="G137" s="447">
        <f t="shared" si="256"/>
        <v>0.2273884618587351</v>
      </c>
      <c r="H137" s="447">
        <f t="shared" si="256"/>
        <v>0.2273884618587351</v>
      </c>
      <c r="I137" s="447">
        <f t="shared" si="256"/>
        <v>0.12711725319761127</v>
      </c>
      <c r="J137" s="447">
        <f t="shared" si="256"/>
        <v>9.0430076957210351E-3</v>
      </c>
      <c r="K137" s="448">
        <f t="shared" si="256"/>
        <v>9.0430076957210351E-3</v>
      </c>
      <c r="M137" s="469">
        <f t="shared" si="228"/>
        <v>-0.9555532867260067</v>
      </c>
      <c r="O137" s="466">
        <f t="shared" si="229"/>
        <v>0.14939122585625922</v>
      </c>
      <c r="P137" s="447">
        <f t="shared" si="230"/>
        <v>0.14912778548536543</v>
      </c>
      <c r="Q137" s="447">
        <f t="shared" si="231"/>
        <v>0.14912778548536543</v>
      </c>
      <c r="R137" s="447">
        <f t="shared" si="232"/>
        <v>0.24196194261689552</v>
      </c>
      <c r="S137" s="447">
        <f t="shared" si="233"/>
        <v>0.23587636509490228</v>
      </c>
      <c r="T137" s="447">
        <f t="shared" si="234"/>
        <v>0.17568294927225367</v>
      </c>
      <c r="U137" s="447">
        <f t="shared" si="235"/>
        <v>0.17568294927225367</v>
      </c>
      <c r="V137" s="447">
        <f t="shared" si="236"/>
        <v>0.11095845713710567</v>
      </c>
      <c r="W137" s="447">
        <f t="shared" si="237"/>
        <v>8.9612317075361651E-3</v>
      </c>
      <c r="X137" s="448">
        <f t="shared" si="238"/>
        <v>8.9612317075361651E-3</v>
      </c>
      <c r="Y137" s="446">
        <f t="shared" si="250"/>
        <v>1.4057319236354733</v>
      </c>
      <c r="AA137" s="466">
        <f t="shared" si="239"/>
        <v>0.18281113805219962</v>
      </c>
      <c r="AB137" s="447">
        <f t="shared" si="240"/>
        <v>0.18239613586318792</v>
      </c>
      <c r="AC137" s="447">
        <f t="shared" si="241"/>
        <v>0.18239613586318792</v>
      </c>
      <c r="AD137" s="447">
        <f t="shared" si="242"/>
        <v>0.41034478607964575</v>
      </c>
      <c r="AE137" s="447">
        <f t="shared" si="243"/>
        <v>-0.38115709989613294</v>
      </c>
      <c r="AF137" s="447">
        <f t="shared" si="244"/>
        <v>-0.2273884618587351</v>
      </c>
      <c r="AG137" s="447">
        <f t="shared" si="245"/>
        <v>-0.2273884618587351</v>
      </c>
      <c r="AH137" s="447">
        <f t="shared" si="246"/>
        <v>-0.12711725319761127</v>
      </c>
      <c r="AI137" s="447">
        <f t="shared" si="247"/>
        <v>-9.0430076957210351E-3</v>
      </c>
      <c r="AJ137" s="448">
        <f t="shared" si="248"/>
        <v>-9.0430076957210351E-3</v>
      </c>
      <c r="AK137" s="446">
        <f t="shared" si="251"/>
        <v>-2.3189096344435181E-2</v>
      </c>
    </row>
    <row r="138" spans="1:37" x14ac:dyDescent="0.35">
      <c r="A138" t="s">
        <v>537</v>
      </c>
      <c r="B138" s="466">
        <f t="shared" ref="B138:K138" si="257">EXP($M120-B$124)/(1+EXP($M120-B$124))</f>
        <v>0.81718886194780038</v>
      </c>
      <c r="C138" s="447">
        <f t="shared" si="257"/>
        <v>0.81760386413681219</v>
      </c>
      <c r="D138" s="447">
        <f t="shared" si="257"/>
        <v>0.81760386413681219</v>
      </c>
      <c r="E138" s="447">
        <f t="shared" si="257"/>
        <v>0.58965521392035425</v>
      </c>
      <c r="F138" s="447">
        <f t="shared" si="257"/>
        <v>0.381157099896133</v>
      </c>
      <c r="G138" s="447">
        <f t="shared" si="257"/>
        <v>0.22738846185873515</v>
      </c>
      <c r="H138" s="447">
        <f t="shared" si="257"/>
        <v>0.22738846185873518</v>
      </c>
      <c r="I138" s="447">
        <f t="shared" si="257"/>
        <v>0.12711725319761127</v>
      </c>
      <c r="J138" s="447">
        <f t="shared" si="257"/>
        <v>9.0430076957210351E-3</v>
      </c>
      <c r="K138" s="448">
        <f t="shared" si="257"/>
        <v>9.0430076957210351E-3</v>
      </c>
      <c r="M138" s="469">
        <f t="shared" si="228"/>
        <v>-0.95555328672600681</v>
      </c>
      <c r="O138" s="466">
        <f t="shared" si="229"/>
        <v>0.14939122585625922</v>
      </c>
      <c r="P138" s="447">
        <f t="shared" si="230"/>
        <v>0.14912778548536534</v>
      </c>
      <c r="Q138" s="447">
        <f t="shared" si="231"/>
        <v>0.14912778548536534</v>
      </c>
      <c r="R138" s="447">
        <f t="shared" si="232"/>
        <v>0.24196194261689552</v>
      </c>
      <c r="S138" s="447">
        <f t="shared" si="233"/>
        <v>0.23587636509490228</v>
      </c>
      <c r="T138" s="447">
        <f t="shared" si="234"/>
        <v>0.1756829492722537</v>
      </c>
      <c r="U138" s="447">
        <f t="shared" si="235"/>
        <v>0.17568294927225372</v>
      </c>
      <c r="V138" s="447">
        <f t="shared" si="236"/>
        <v>0.11095845713710567</v>
      </c>
      <c r="W138" s="447">
        <f t="shared" si="237"/>
        <v>8.9612317075361651E-3</v>
      </c>
      <c r="X138" s="448">
        <f t="shared" si="238"/>
        <v>8.9612317075361651E-3</v>
      </c>
      <c r="Y138" s="446">
        <f t="shared" si="250"/>
        <v>1.4057319236354733</v>
      </c>
      <c r="AA138" s="466">
        <f t="shared" si="239"/>
        <v>0.18281113805219962</v>
      </c>
      <c r="AB138" s="447">
        <f t="shared" si="240"/>
        <v>-0.81760386413681219</v>
      </c>
      <c r="AC138" s="447">
        <f t="shared" si="241"/>
        <v>0.18239613586318781</v>
      </c>
      <c r="AD138" s="447">
        <f t="shared" si="242"/>
        <v>-0.58965521392035425</v>
      </c>
      <c r="AE138" s="447">
        <f t="shared" si="243"/>
        <v>0.618842900103867</v>
      </c>
      <c r="AF138" s="447">
        <f t="shared" si="244"/>
        <v>-0.22738846185873515</v>
      </c>
      <c r="AG138" s="447">
        <f t="shared" si="245"/>
        <v>0.77261153814126482</v>
      </c>
      <c r="AH138" s="447">
        <f t="shared" si="246"/>
        <v>-0.12711725319761127</v>
      </c>
      <c r="AI138" s="447">
        <f t="shared" si="247"/>
        <v>-9.0430076957210351E-3</v>
      </c>
      <c r="AJ138" s="448">
        <f t="shared" si="248"/>
        <v>-9.0430076957210351E-3</v>
      </c>
      <c r="AK138" s="446">
        <f t="shared" si="251"/>
        <v>-2.3189096344435708E-2</v>
      </c>
    </row>
    <row r="139" spans="1:37" x14ac:dyDescent="0.35">
      <c r="A139" t="s">
        <v>905</v>
      </c>
      <c r="B139" s="449">
        <f t="shared" ref="B139:K139" si="258">EXP($M121-B$124)/(1+EXP($M121-B$124))</f>
        <v>0.50183210449068549</v>
      </c>
      <c r="C139" s="450">
        <f t="shared" si="258"/>
        <v>0.50252719299065207</v>
      </c>
      <c r="D139" s="450">
        <f t="shared" si="258"/>
        <v>0.50252719299065207</v>
      </c>
      <c r="E139" s="450">
        <f t="shared" si="258"/>
        <v>0.24461389999099098</v>
      </c>
      <c r="F139" s="450">
        <f t="shared" si="258"/>
        <v>0.12188195760592895</v>
      </c>
      <c r="G139" s="450">
        <f t="shared" si="258"/>
        <v>6.21986565365601E-2</v>
      </c>
      <c r="H139" s="450">
        <f t="shared" si="258"/>
        <v>6.21986565365601E-2</v>
      </c>
      <c r="I139" s="450">
        <f t="shared" si="258"/>
        <v>3.1775158871242284E-2</v>
      </c>
      <c r="J139" s="450">
        <f t="shared" si="258"/>
        <v>2.0522431729123269E-3</v>
      </c>
      <c r="K139" s="451">
        <f t="shared" si="258"/>
        <v>2.0522431729123269E-3</v>
      </c>
      <c r="M139" s="470">
        <f t="shared" si="228"/>
        <v>-2.4573520526449069</v>
      </c>
      <c r="O139" s="449">
        <f t="shared" si="229"/>
        <v>0.24999664339313521</v>
      </c>
      <c r="P139" s="450">
        <f t="shared" si="230"/>
        <v>0.249993613295588</v>
      </c>
      <c r="Q139" s="450">
        <f t="shared" si="231"/>
        <v>0.249993613295588</v>
      </c>
      <c r="R139" s="450">
        <f t="shared" si="232"/>
        <v>0.18477793992218844</v>
      </c>
      <c r="S139" s="450">
        <f t="shared" si="233"/>
        <v>0.10702674601607549</v>
      </c>
      <c r="T139" s="450">
        <f t="shared" si="234"/>
        <v>5.8329983661607132E-2</v>
      </c>
      <c r="U139" s="450">
        <f t="shared" si="235"/>
        <v>5.8329983661607132E-2</v>
      </c>
      <c r="V139" s="450">
        <f t="shared" si="236"/>
        <v>3.0765498149949597E-2</v>
      </c>
      <c r="W139" s="450">
        <f t="shared" si="237"/>
        <v>2.0480314708715614E-3</v>
      </c>
      <c r="X139" s="451">
        <f t="shared" si="238"/>
        <v>2.0480314708715614E-3</v>
      </c>
      <c r="Y139" s="446">
        <f t="shared" si="250"/>
        <v>1.193310084337482</v>
      </c>
      <c r="AA139" s="449">
        <f t="shared" si="239"/>
        <v>-0.50183210449068549</v>
      </c>
      <c r="AB139" s="450">
        <f t="shared" si="240"/>
        <v>0.49747280700934793</v>
      </c>
      <c r="AC139" s="450">
        <f t="shared" si="241"/>
        <v>-0.50252719299065207</v>
      </c>
      <c r="AD139" s="450">
        <f t="shared" si="242"/>
        <v>0.75538610000900897</v>
      </c>
      <c r="AE139" s="450">
        <f t="shared" si="243"/>
        <v>-0.12188195760592895</v>
      </c>
      <c r="AF139" s="450">
        <f t="shared" si="244"/>
        <v>-6.21986565365601E-2</v>
      </c>
      <c r="AG139" s="450">
        <f t="shared" si="245"/>
        <v>-6.21986565365601E-2</v>
      </c>
      <c r="AH139" s="450">
        <f t="shared" si="246"/>
        <v>-3.1775158871242284E-2</v>
      </c>
      <c r="AI139" s="450">
        <f t="shared" si="247"/>
        <v>-2.0522431729123269E-3</v>
      </c>
      <c r="AJ139" s="451">
        <f t="shared" si="248"/>
        <v>-2.0522431729123269E-3</v>
      </c>
      <c r="AK139" s="446">
        <f t="shared" si="251"/>
        <v>-3.3659306359096759E-2</v>
      </c>
    </row>
    <row r="140" spans="1:37" x14ac:dyDescent="0.35">
      <c r="O140" s="446">
        <f>SUM(O131:O139)</f>
        <v>0.69490837712615705</v>
      </c>
      <c r="P140" s="446">
        <f t="shared" ref="P140:X140" si="259">SUM(P131:P139)</f>
        <v>0.69400438980158008</v>
      </c>
      <c r="Q140" s="446">
        <f t="shared" si="259"/>
        <v>0.69400438980158008</v>
      </c>
      <c r="R140" s="446">
        <f t="shared" si="259"/>
        <v>1.0576411227005491</v>
      </c>
      <c r="S140" s="446">
        <f t="shared" si="259"/>
        <v>1.2765017232512685</v>
      </c>
      <c r="T140" s="446">
        <f t="shared" si="259"/>
        <v>1.3934994941745058</v>
      </c>
      <c r="U140" s="446">
        <f t="shared" si="259"/>
        <v>1.3934994941745058</v>
      </c>
      <c r="V140" s="446">
        <f t="shared" si="259"/>
        <v>1.4021543016437379</v>
      </c>
      <c r="W140" s="446">
        <f t="shared" si="259"/>
        <v>0.66716042941546527</v>
      </c>
      <c r="X140" s="446">
        <f t="shared" si="259"/>
        <v>0.66716042941546527</v>
      </c>
      <c r="AA140" s="446">
        <f>SUM(AA131:AA139)</f>
        <v>1.4193589118230987E-2</v>
      </c>
      <c r="AB140" s="446">
        <f t="shared" ref="AB140:AJ140" si="260">SUM(AB131:AB139)</f>
        <v>1.3974500365285691E-2</v>
      </c>
      <c r="AC140" s="446">
        <f t="shared" si="260"/>
        <v>1.3974500365285691E-2</v>
      </c>
      <c r="AD140" s="446">
        <f t="shared" si="260"/>
        <v>1.3370927687798351E-2</v>
      </c>
      <c r="AE140" s="446">
        <f t="shared" si="260"/>
        <v>7.1420688777899116E-3</v>
      </c>
      <c r="AF140" s="446">
        <f t="shared" si="260"/>
        <v>-1.640652256115295E-3</v>
      </c>
      <c r="AG140" s="446">
        <f t="shared" si="260"/>
        <v>-1.6406522561154338E-3</v>
      </c>
      <c r="AH140" s="446">
        <f t="shared" si="260"/>
        <v>-1.1072031948911279E-2</v>
      </c>
      <c r="AI140" s="446">
        <f t="shared" si="260"/>
        <v>-2.9029073059203415E-2</v>
      </c>
      <c r="AJ140" s="446">
        <f t="shared" si="260"/>
        <v>-2.9029073059203415E-2</v>
      </c>
      <c r="AK140" s="446">
        <f>SUMSQ(AK131:AK139)</f>
        <v>4.165100587130606E-3</v>
      </c>
    </row>
    <row r="141" spans="1:37" x14ac:dyDescent="0.35">
      <c r="A141" t="s">
        <v>822</v>
      </c>
      <c r="B141" s="471">
        <f t="shared" ref="B141:K141" si="261">B124-AA140/O140</f>
        <v>-2.4568989542851534</v>
      </c>
      <c r="C141" s="472">
        <f t="shared" si="261"/>
        <v>-2.4593902788157971</v>
      </c>
      <c r="D141" s="472">
        <f t="shared" si="261"/>
        <v>-2.4593902788157971</v>
      </c>
      <c r="E141" s="472">
        <f t="shared" si="261"/>
        <v>-1.3142396364204711</v>
      </c>
      <c r="F141" s="472">
        <f t="shared" si="261"/>
        <v>-0.46001239965852841</v>
      </c>
      <c r="G141" s="472">
        <f t="shared" si="261"/>
        <v>0.28523671955248758</v>
      </c>
      <c r="H141" s="472">
        <f t="shared" si="261"/>
        <v>0.28523671955248764</v>
      </c>
      <c r="I141" s="472">
        <f t="shared" si="261"/>
        <v>0.99553058009557327</v>
      </c>
      <c r="J141" s="472">
        <f t="shared" si="261"/>
        <v>3.8011335041420033</v>
      </c>
      <c r="K141" s="473">
        <f t="shared" si="261"/>
        <v>3.8011335041420033</v>
      </c>
      <c r="L141" s="446">
        <f>AVERAGE(B141:K141)</f>
        <v>1.8339479488806987E-3</v>
      </c>
    </row>
    <row r="142" spans="1:37" x14ac:dyDescent="0.35">
      <c r="A142" t="s">
        <v>906</v>
      </c>
      <c r="B142" s="89">
        <f>B141-L141</f>
        <v>-2.4587329022340341</v>
      </c>
      <c r="C142" s="159">
        <f>C141-L141</f>
        <v>-2.4612242267646778</v>
      </c>
      <c r="D142" s="159">
        <f>D141-L141</f>
        <v>-2.4612242267646778</v>
      </c>
      <c r="E142" s="159">
        <f>E141-L141</f>
        <v>-1.3160735843693518</v>
      </c>
      <c r="F142" s="159">
        <f>F141-L141</f>
        <v>-0.46184634760740911</v>
      </c>
      <c r="G142" s="159">
        <f>G141-L141</f>
        <v>0.28340277160360688</v>
      </c>
      <c r="H142" s="159">
        <f>H141-L141</f>
        <v>0.28340277160360694</v>
      </c>
      <c r="I142" s="159">
        <f>I141-L141</f>
        <v>0.99369663214669257</v>
      </c>
      <c r="J142" s="159">
        <f>J141-L141</f>
        <v>3.7992995561931227</v>
      </c>
      <c r="K142" s="93">
        <f>K141-L141</f>
        <v>3.7992995561931227</v>
      </c>
      <c r="L142" s="446">
        <f>AVERAGE(B142:K142)</f>
        <v>0</v>
      </c>
    </row>
    <row r="143" spans="1:37" x14ac:dyDescent="0.35">
      <c r="L143" s="446"/>
    </row>
    <row r="144" spans="1:37" x14ac:dyDescent="0.35">
      <c r="A144" t="s">
        <v>907</v>
      </c>
      <c r="B144" s="461">
        <f>B126+1</f>
        <v>8</v>
      </c>
    </row>
    <row r="145" spans="1:37" x14ac:dyDescent="0.35">
      <c r="B145" s="461"/>
    </row>
    <row r="146" spans="1:37" x14ac:dyDescent="0.35">
      <c r="B146" t="s">
        <v>860</v>
      </c>
      <c r="O146" t="s">
        <v>908</v>
      </c>
      <c r="AA146" t="s">
        <v>909</v>
      </c>
    </row>
    <row r="148" spans="1:37" x14ac:dyDescent="0.35">
      <c r="B148">
        <v>1</v>
      </c>
      <c r="C148">
        <v>2</v>
      </c>
      <c r="D148">
        <v>3</v>
      </c>
      <c r="E148">
        <v>4</v>
      </c>
      <c r="F148">
        <v>5</v>
      </c>
      <c r="G148">
        <v>6</v>
      </c>
      <c r="H148">
        <v>7</v>
      </c>
      <c r="I148">
        <v>8</v>
      </c>
      <c r="J148">
        <v>9</v>
      </c>
      <c r="K148">
        <v>10</v>
      </c>
      <c r="M148" t="s">
        <v>904</v>
      </c>
      <c r="O148">
        <v>1</v>
      </c>
      <c r="P148">
        <v>2</v>
      </c>
      <c r="Q148">
        <v>3</v>
      </c>
      <c r="R148">
        <v>4</v>
      </c>
      <c r="S148">
        <v>5</v>
      </c>
      <c r="T148">
        <v>6</v>
      </c>
      <c r="U148">
        <v>7</v>
      </c>
      <c r="V148">
        <v>8</v>
      </c>
      <c r="W148">
        <v>9</v>
      </c>
      <c r="X148">
        <v>10</v>
      </c>
      <c r="AA148">
        <v>1</v>
      </c>
      <c r="AB148">
        <v>2</v>
      </c>
      <c r="AC148">
        <v>3</v>
      </c>
      <c r="AD148">
        <v>4</v>
      </c>
      <c r="AE148">
        <v>5</v>
      </c>
      <c r="AF148">
        <v>6</v>
      </c>
      <c r="AG148">
        <v>7</v>
      </c>
      <c r="AH148">
        <v>8</v>
      </c>
      <c r="AI148">
        <v>9</v>
      </c>
      <c r="AJ148">
        <v>10</v>
      </c>
    </row>
    <row r="149" spans="1:37" x14ac:dyDescent="0.35">
      <c r="A149" t="s">
        <v>218</v>
      </c>
      <c r="B149" s="464">
        <f t="shared" ref="B149:K149" si="262">EXP($M131-B$142)/(1+EXP($M131-B$142))</f>
        <v>0.99841767217058663</v>
      </c>
      <c r="C149" s="467">
        <f t="shared" si="262"/>
        <v>0.99842160314184203</v>
      </c>
      <c r="D149" s="467">
        <f t="shared" si="262"/>
        <v>0.99842160314184203</v>
      </c>
      <c r="E149" s="467">
        <f t="shared" si="262"/>
        <v>0.99505595577653161</v>
      </c>
      <c r="F149" s="467">
        <f t="shared" si="262"/>
        <v>0.98846067475628052</v>
      </c>
      <c r="G149" s="467">
        <f t="shared" si="262"/>
        <v>0.97599367928788949</v>
      </c>
      <c r="H149" s="467">
        <f t="shared" si="262"/>
        <v>0.97599367928788949</v>
      </c>
      <c r="I149" s="467">
        <f t="shared" si="262"/>
        <v>0.95234070119394354</v>
      </c>
      <c r="J149" s="467">
        <f t="shared" si="262"/>
        <v>0.54716985278491526</v>
      </c>
      <c r="K149" s="465">
        <f t="shared" si="262"/>
        <v>0.54716985278491526</v>
      </c>
      <c r="M149" s="468">
        <f t="shared" ref="M149:M157" si="263">M131+AK149/Y149</f>
        <v>4.0229873401929064</v>
      </c>
      <c r="O149" s="464">
        <f t="shared" ref="O149:O157" si="264">B149*(1-B149)</f>
        <v>1.5798240680536299E-3</v>
      </c>
      <c r="P149" s="467">
        <f t="shared" ref="P149:P157" si="265">C149*(1-C149)</f>
        <v>1.5759055215161281E-3</v>
      </c>
      <c r="Q149" s="467">
        <f t="shared" ref="Q149:Q157" si="266">D149*(1-D149)</f>
        <v>1.5759055215161281E-3</v>
      </c>
      <c r="R149" s="467">
        <f t="shared" ref="R149:R157" si="267">E149*(1-E149)</f>
        <v>4.9196006501847798E-3</v>
      </c>
      <c r="S149" s="467">
        <f t="shared" ref="S149:S157" si="268">F149*(1-F149)</f>
        <v>1.1406169216639136E-2</v>
      </c>
      <c r="T149" s="467">
        <f t="shared" ref="T149:T157" si="269">G149*(1-G149)</f>
        <v>2.3430017277977801E-2</v>
      </c>
      <c r="U149" s="467">
        <f t="shared" ref="U149:U157" si="270">H149*(1-H149)</f>
        <v>2.3430017277977801E-2</v>
      </c>
      <c r="V149" s="467">
        <f t="shared" ref="V149:V157" si="271">I149*(1-I149)</f>
        <v>4.5387890043371487E-2</v>
      </c>
      <c r="W149" s="467">
        <f t="shared" ref="W149:W157" si="272">J149*(1-J149)</f>
        <v>0.24777500498824942</v>
      </c>
      <c r="X149" s="465">
        <f t="shared" ref="X149:X157" si="273">K149*(1-K149)</f>
        <v>0.24777500498824942</v>
      </c>
      <c r="Y149" s="446">
        <f>SUM(O149:X149)</f>
        <v>0.60885533955373572</v>
      </c>
      <c r="AA149" s="464" t="str">
        <f t="shared" ref="AA149:AA157" si="274">IF(ISNUMBER(B5),B5-B149,"")</f>
        <v/>
      </c>
      <c r="AB149" s="467">
        <f t="shared" ref="AB149:AB157" si="275">IF(ISNUMBER(C5),C5-C149,"")</f>
        <v>1.578396858157971E-3</v>
      </c>
      <c r="AC149" s="467">
        <f t="shared" ref="AC149:AC157" si="276">IF(ISNUMBER(D5),D5-D149,"")</f>
        <v>1.578396858157971E-3</v>
      </c>
      <c r="AD149" s="467">
        <f t="shared" ref="AD149:AD157" si="277">IF(ISNUMBER(E5),E5-E149,"")</f>
        <v>4.9440442234683912E-3</v>
      </c>
      <c r="AE149" s="467">
        <f t="shared" ref="AE149:AE157" si="278">IF(ISNUMBER(F5),F5-F149,"")</f>
        <v>1.1539325243719478E-2</v>
      </c>
      <c r="AF149" s="467">
        <f t="shared" ref="AF149:AF157" si="279">IF(ISNUMBER(G5),G5-G149,"")</f>
        <v>2.4006320712110507E-2</v>
      </c>
      <c r="AG149" s="467">
        <f t="shared" ref="AG149:AG157" si="280">IF(ISNUMBER(H5),H5-H149,"")</f>
        <v>2.4006320712110507E-2</v>
      </c>
      <c r="AH149" s="467">
        <f t="shared" ref="AH149:AH157" si="281">IF(ISNUMBER(I5),I5-I149,"")</f>
        <v>4.765929880605646E-2</v>
      </c>
      <c r="AI149" s="467">
        <f t="shared" ref="AI149:AI157" si="282">IF(ISNUMBER(J5),J5-J149,"")</f>
        <v>-0.54716985278491526</v>
      </c>
      <c r="AJ149" s="465">
        <f t="shared" ref="AJ149:AJ157" si="283">IF(ISNUMBER(K5),K5-K149,"")</f>
        <v>0.45283014721508474</v>
      </c>
      <c r="AK149" s="446">
        <f>SUM(AA149:AJ149)</f>
        <v>2.0972397843950774E-2</v>
      </c>
    </row>
    <row r="150" spans="1:37" x14ac:dyDescent="0.35">
      <c r="A150" t="s">
        <v>98</v>
      </c>
      <c r="B150" s="466">
        <f t="shared" ref="B150:K150" si="284">EXP($M132-B$142)/(1+EXP($M132-B$142))</f>
        <v>0.99327088318407986</v>
      </c>
      <c r="C150" s="447">
        <f t="shared" si="284"/>
        <v>0.99328751434157847</v>
      </c>
      <c r="D150" s="447">
        <f t="shared" si="284"/>
        <v>0.99328751434157847</v>
      </c>
      <c r="E150" s="447">
        <f t="shared" si="284"/>
        <v>0.97920238839771279</v>
      </c>
      <c r="F150" s="447">
        <f t="shared" si="284"/>
        <v>0.95246888817998776</v>
      </c>
      <c r="G150" s="447">
        <f t="shared" si="284"/>
        <v>0.90485940573164503</v>
      </c>
      <c r="H150" s="447">
        <f t="shared" si="284"/>
        <v>0.90485940573164503</v>
      </c>
      <c r="I150" s="447">
        <f t="shared" si="284"/>
        <v>0.82377414848485464</v>
      </c>
      <c r="J150" s="447">
        <f t="shared" si="284"/>
        <v>0.22037662380529516</v>
      </c>
      <c r="K150" s="448">
        <f t="shared" si="284"/>
        <v>0.22037662380529516</v>
      </c>
      <c r="M150" s="469">
        <f t="shared" si="263"/>
        <v>2.5548945518229669</v>
      </c>
      <c r="O150" s="466">
        <f t="shared" si="264"/>
        <v>6.6838358027978446E-3</v>
      </c>
      <c r="P150" s="447">
        <f t="shared" si="265"/>
        <v>6.6674281947070148E-3</v>
      </c>
      <c r="Q150" s="447">
        <f t="shared" si="266"/>
        <v>6.6674281947070148E-3</v>
      </c>
      <c r="R150" s="447">
        <f t="shared" si="267"/>
        <v>2.0365070953927623E-2</v>
      </c>
      <c r="S150" s="447">
        <f t="shared" si="268"/>
        <v>4.5271905229165729E-2</v>
      </c>
      <c r="T150" s="447">
        <f t="shared" si="269"/>
        <v>8.6088861590619237E-2</v>
      </c>
      <c r="U150" s="447">
        <f t="shared" si="270"/>
        <v>8.6088861590619237E-2</v>
      </c>
      <c r="V150" s="447">
        <f t="shared" si="271"/>
        <v>0.1451703007729073</v>
      </c>
      <c r="W150" s="447">
        <f t="shared" si="272"/>
        <v>0.17181076748547458</v>
      </c>
      <c r="X150" s="448">
        <f t="shared" si="273"/>
        <v>0.17181076748547458</v>
      </c>
      <c r="Y150" s="446">
        <f t="shared" ref="Y150:Y157" si="285">SUM(O150:X150)</f>
        <v>0.74662522730040015</v>
      </c>
      <c r="AA150" s="466">
        <f t="shared" si="274"/>
        <v>6.7291168159201442E-3</v>
      </c>
      <c r="AB150" s="447">
        <f t="shared" si="275"/>
        <v>6.7124856584215298E-3</v>
      </c>
      <c r="AC150" s="447">
        <f t="shared" si="276"/>
        <v>6.7124856584215298E-3</v>
      </c>
      <c r="AD150" s="447">
        <f t="shared" si="277"/>
        <v>-0.97920238839771279</v>
      </c>
      <c r="AE150" s="447">
        <f t="shared" si="278"/>
        <v>4.753111182001224E-2</v>
      </c>
      <c r="AF150" s="447">
        <f t="shared" si="279"/>
        <v>9.5140594268354972E-2</v>
      </c>
      <c r="AG150" s="447">
        <f t="shared" si="280"/>
        <v>9.5140594268354972E-2</v>
      </c>
      <c r="AH150" s="447">
        <f t="shared" si="281"/>
        <v>0.17622585151514536</v>
      </c>
      <c r="AI150" s="447">
        <f t="shared" si="282"/>
        <v>0.7796233761947049</v>
      </c>
      <c r="AJ150" s="448">
        <f t="shared" si="283"/>
        <v>-0.22037662380529516</v>
      </c>
      <c r="AK150" s="446">
        <f t="shared" ref="AK150:AK157" si="286">SUM(AA150:AJ150)</f>
        <v>1.4236603996327701E-2</v>
      </c>
    </row>
    <row r="151" spans="1:37" x14ac:dyDescent="0.35">
      <c r="A151" t="s">
        <v>99</v>
      </c>
      <c r="B151" s="466">
        <f t="shared" ref="B151:K151" si="287">EXP($M133-B$142)/(1+EXP($M133-B$142))</f>
        <v>0.9789449061297546</v>
      </c>
      <c r="C151" s="447">
        <f t="shared" si="287"/>
        <v>0.97899619552973749</v>
      </c>
      <c r="D151" s="447">
        <f t="shared" si="287"/>
        <v>0.97899619552973749</v>
      </c>
      <c r="E151" s="447">
        <f t="shared" si="287"/>
        <v>0.93683007082089109</v>
      </c>
      <c r="F151" s="447">
        <f t="shared" si="287"/>
        <v>0.86323776911677241</v>
      </c>
      <c r="G151" s="447">
        <f t="shared" si="287"/>
        <v>0.74973457167433</v>
      </c>
      <c r="H151" s="447">
        <f t="shared" si="287"/>
        <v>0.74973457167433</v>
      </c>
      <c r="I151" s="447">
        <f t="shared" si="287"/>
        <v>0.59553701271911763</v>
      </c>
      <c r="J151" s="447">
        <f t="shared" si="287"/>
        <v>8.1757826958641852E-2</v>
      </c>
      <c r="K151" s="448">
        <f t="shared" si="287"/>
        <v>8.1757826958641852E-2</v>
      </c>
      <c r="M151" s="469">
        <f t="shared" si="263"/>
        <v>1.3850495916766361</v>
      </c>
      <c r="O151" s="466">
        <f t="shared" si="264"/>
        <v>2.0611776892360555E-2</v>
      </c>
      <c r="P151" s="447">
        <f t="shared" si="265"/>
        <v>2.0562644668037491E-2</v>
      </c>
      <c r="Q151" s="447">
        <f t="shared" si="266"/>
        <v>2.0562644668037491E-2</v>
      </c>
      <c r="R151" s="447">
        <f t="shared" si="267"/>
        <v>5.917948922661527E-2</v>
      </c>
      <c r="S151" s="447">
        <f t="shared" si="268"/>
        <v>0.11805832308707034</v>
      </c>
      <c r="T151" s="447">
        <f t="shared" si="269"/>
        <v>0.18763264371063892</v>
      </c>
      <c r="U151" s="447">
        <f t="shared" si="270"/>
        <v>0.18763264371063892</v>
      </c>
      <c r="V151" s="447">
        <f t="shared" si="271"/>
        <v>0.24087267920070715</v>
      </c>
      <c r="W151" s="447">
        <f t="shared" si="272"/>
        <v>7.5073484689642631E-2</v>
      </c>
      <c r="X151" s="448">
        <f t="shared" si="273"/>
        <v>7.5073484689642631E-2</v>
      </c>
      <c r="Y151" s="446">
        <f t="shared" si="285"/>
        <v>1.0052598145433913</v>
      </c>
      <c r="AA151" s="466">
        <f t="shared" si="274"/>
        <v>2.10550938702454E-2</v>
      </c>
      <c r="AB151" s="447">
        <f t="shared" si="275"/>
        <v>2.100380447026251E-2</v>
      </c>
      <c r="AC151" s="447">
        <f t="shared" si="276"/>
        <v>2.100380447026251E-2</v>
      </c>
      <c r="AD151" s="447">
        <f t="shared" si="277"/>
        <v>6.3169929179108908E-2</v>
      </c>
      <c r="AE151" s="447">
        <f t="shared" si="278"/>
        <v>0.13676223088322759</v>
      </c>
      <c r="AF151" s="447">
        <f t="shared" si="279"/>
        <v>0.25026542832567</v>
      </c>
      <c r="AG151" s="447">
        <f t="shared" si="280"/>
        <v>-0.74973457167433</v>
      </c>
      <c r="AH151" s="447">
        <f t="shared" si="281"/>
        <v>0.40446298728088237</v>
      </c>
      <c r="AI151" s="447">
        <f t="shared" si="282"/>
        <v>-8.1757826958641852E-2</v>
      </c>
      <c r="AJ151" s="448">
        <f t="shared" si="283"/>
        <v>-8.1757826958641852E-2</v>
      </c>
      <c r="AK151" s="446">
        <f t="shared" si="286"/>
        <v>4.4730528880455867E-3</v>
      </c>
    </row>
    <row r="152" spans="1:37" x14ac:dyDescent="0.35">
      <c r="A152" t="s">
        <v>100</v>
      </c>
      <c r="B152" s="466">
        <f t="shared" ref="B152:K152" si="288">EXP($M134-B$142)/(1+EXP($M134-B$142))</f>
        <v>0.9789449061297546</v>
      </c>
      <c r="C152" s="447">
        <f t="shared" si="288"/>
        <v>0.97899619552973749</v>
      </c>
      <c r="D152" s="447">
        <f t="shared" si="288"/>
        <v>0.97899619552973749</v>
      </c>
      <c r="E152" s="447">
        <f t="shared" si="288"/>
        <v>0.93683007082089109</v>
      </c>
      <c r="F152" s="447">
        <f t="shared" si="288"/>
        <v>0.86323776911677241</v>
      </c>
      <c r="G152" s="447">
        <f t="shared" si="288"/>
        <v>0.74973457167433</v>
      </c>
      <c r="H152" s="447">
        <f t="shared" si="288"/>
        <v>0.74973457167433</v>
      </c>
      <c r="I152" s="447">
        <f t="shared" si="288"/>
        <v>0.59553701271911763</v>
      </c>
      <c r="J152" s="447">
        <f t="shared" si="288"/>
        <v>8.1757826958641852E-2</v>
      </c>
      <c r="K152" s="448">
        <f t="shared" si="288"/>
        <v>8.1757826958641852E-2</v>
      </c>
      <c r="M152" s="469">
        <f t="shared" si="263"/>
        <v>1.3850495916766361</v>
      </c>
      <c r="O152" s="466">
        <f t="shared" si="264"/>
        <v>2.0611776892360555E-2</v>
      </c>
      <c r="P152" s="447">
        <f t="shared" si="265"/>
        <v>2.0562644668037491E-2</v>
      </c>
      <c r="Q152" s="447">
        <f t="shared" si="266"/>
        <v>2.0562644668037491E-2</v>
      </c>
      <c r="R152" s="447">
        <f t="shared" si="267"/>
        <v>5.917948922661527E-2</v>
      </c>
      <c r="S152" s="447">
        <f t="shared" si="268"/>
        <v>0.11805832308707034</v>
      </c>
      <c r="T152" s="447">
        <f t="shared" si="269"/>
        <v>0.18763264371063892</v>
      </c>
      <c r="U152" s="447">
        <f t="shared" si="270"/>
        <v>0.18763264371063892</v>
      </c>
      <c r="V152" s="447">
        <f t="shared" si="271"/>
        <v>0.24087267920070715</v>
      </c>
      <c r="W152" s="447">
        <f t="shared" si="272"/>
        <v>7.5073484689642631E-2</v>
      </c>
      <c r="X152" s="448">
        <f t="shared" si="273"/>
        <v>7.5073484689642631E-2</v>
      </c>
      <c r="Y152" s="446">
        <f t="shared" si="285"/>
        <v>1.0052598145433913</v>
      </c>
      <c r="AA152" s="466">
        <f t="shared" si="274"/>
        <v>2.10550938702454E-2</v>
      </c>
      <c r="AB152" s="447">
        <f t="shared" si="275"/>
        <v>2.100380447026251E-2</v>
      </c>
      <c r="AC152" s="447">
        <f t="shared" si="276"/>
        <v>2.100380447026251E-2</v>
      </c>
      <c r="AD152" s="447">
        <f t="shared" si="277"/>
        <v>6.3169929179108908E-2</v>
      </c>
      <c r="AE152" s="447">
        <f t="shared" si="278"/>
        <v>0.13676223088322759</v>
      </c>
      <c r="AF152" s="447">
        <f t="shared" si="279"/>
        <v>0.25026542832567</v>
      </c>
      <c r="AG152" s="447">
        <f t="shared" si="280"/>
        <v>-0.74973457167433</v>
      </c>
      <c r="AH152" s="447">
        <f t="shared" si="281"/>
        <v>0.40446298728088237</v>
      </c>
      <c r="AI152" s="447">
        <f t="shared" si="282"/>
        <v>-8.1757826958641852E-2</v>
      </c>
      <c r="AJ152" s="448">
        <f t="shared" si="283"/>
        <v>-8.1757826958641852E-2</v>
      </c>
      <c r="AK152" s="446">
        <f t="shared" si="286"/>
        <v>4.4730528880455867E-3</v>
      </c>
    </row>
    <row r="153" spans="1:37" x14ac:dyDescent="0.35">
      <c r="A153" t="s">
        <v>536</v>
      </c>
      <c r="B153" s="466">
        <f t="shared" ref="B153:K153" si="289">EXP($M135-B$142)/(1+EXP($M135-B$142))</f>
        <v>0.95098535181043398</v>
      </c>
      <c r="C153" s="447">
        <f t="shared" si="289"/>
        <v>0.95110134757161002</v>
      </c>
      <c r="D153" s="447">
        <f t="shared" si="289"/>
        <v>0.95110134757161002</v>
      </c>
      <c r="E153" s="447">
        <f t="shared" si="289"/>
        <v>0.86089220291427104</v>
      </c>
      <c r="F153" s="447">
        <f t="shared" si="289"/>
        <v>0.72481900064849947</v>
      </c>
      <c r="G153" s="447">
        <f t="shared" si="289"/>
        <v>0.55558030560566585</v>
      </c>
      <c r="H153" s="447">
        <f t="shared" si="289"/>
        <v>0.55558030560566585</v>
      </c>
      <c r="I153" s="447">
        <f t="shared" si="289"/>
        <v>0.38058874135093912</v>
      </c>
      <c r="J153" s="447">
        <f t="shared" si="289"/>
        <v>3.5824096565044164E-2</v>
      </c>
      <c r="K153" s="448">
        <f t="shared" si="289"/>
        <v>3.5824096565044164E-2</v>
      </c>
      <c r="M153" s="469">
        <f t="shared" si="263"/>
        <v>0.50482006081055564</v>
      </c>
      <c r="O153" s="466">
        <f t="shared" si="264"/>
        <v>4.6612212452419095E-2</v>
      </c>
      <c r="P153" s="447">
        <f t="shared" si="265"/>
        <v>4.6507574219077488E-2</v>
      </c>
      <c r="Q153" s="447">
        <f t="shared" si="266"/>
        <v>4.6507574219077488E-2</v>
      </c>
      <c r="R153" s="447">
        <f t="shared" si="267"/>
        <v>0.11975681787568461</v>
      </c>
      <c r="S153" s="447">
        <f t="shared" si="268"/>
        <v>0.19945641694741001</v>
      </c>
      <c r="T153" s="447">
        <f t="shared" si="269"/>
        <v>0.24691082962878078</v>
      </c>
      <c r="U153" s="447">
        <f t="shared" si="270"/>
        <v>0.24691082962878078</v>
      </c>
      <c r="V153" s="447">
        <f t="shared" si="271"/>
        <v>0.23574095130784709</v>
      </c>
      <c r="W153" s="447">
        <f t="shared" si="272"/>
        <v>3.4540730670342558E-2</v>
      </c>
      <c r="X153" s="448">
        <f t="shared" si="273"/>
        <v>3.4540730670342558E-2</v>
      </c>
      <c r="Y153" s="446">
        <f t="shared" si="285"/>
        <v>1.2574846676197622</v>
      </c>
      <c r="AA153" s="466">
        <f t="shared" si="274"/>
        <v>4.9014648189566024E-2</v>
      </c>
      <c r="AB153" s="447">
        <f t="shared" si="275"/>
        <v>4.8898652428389977E-2</v>
      </c>
      <c r="AC153" s="447">
        <f t="shared" si="276"/>
        <v>4.8898652428389977E-2</v>
      </c>
      <c r="AD153" s="447">
        <f t="shared" si="277"/>
        <v>0.13910779708572896</v>
      </c>
      <c r="AE153" s="447">
        <f t="shared" si="278"/>
        <v>-0.72481900064849947</v>
      </c>
      <c r="AF153" s="447">
        <f t="shared" si="279"/>
        <v>0.44441969439433415</v>
      </c>
      <c r="AG153" s="447">
        <f t="shared" si="280"/>
        <v>0.44441969439433415</v>
      </c>
      <c r="AH153" s="447">
        <f t="shared" si="281"/>
        <v>-0.38058874135093912</v>
      </c>
      <c r="AI153" s="447">
        <f t="shared" si="282"/>
        <v>-3.5824096565044164E-2</v>
      </c>
      <c r="AJ153" s="448">
        <f t="shared" si="283"/>
        <v>-3.5824096565044164E-2</v>
      </c>
      <c r="AK153" s="446">
        <f t="shared" si="286"/>
        <v>-2.2967962087836746E-3</v>
      </c>
    </row>
    <row r="154" spans="1:37" x14ac:dyDescent="0.35">
      <c r="A154" t="s">
        <v>101</v>
      </c>
      <c r="B154" s="466">
        <f t="shared" ref="B154:K154" si="290">EXP($M136-B$142)/(1+EXP($M136-B$142))</f>
        <v>0.95098535181043398</v>
      </c>
      <c r="C154" s="447">
        <f t="shared" si="290"/>
        <v>0.95110134757161002</v>
      </c>
      <c r="D154" s="447">
        <f t="shared" si="290"/>
        <v>0.95110134757161002</v>
      </c>
      <c r="E154" s="447">
        <f t="shared" si="290"/>
        <v>0.86089220291427104</v>
      </c>
      <c r="F154" s="447">
        <f t="shared" si="290"/>
        <v>0.72481900064849947</v>
      </c>
      <c r="G154" s="447">
        <f t="shared" si="290"/>
        <v>0.55558030560566585</v>
      </c>
      <c r="H154" s="447">
        <f t="shared" si="290"/>
        <v>0.55558030560566585</v>
      </c>
      <c r="I154" s="447">
        <f t="shared" si="290"/>
        <v>0.38058874135093912</v>
      </c>
      <c r="J154" s="447">
        <f t="shared" si="290"/>
        <v>3.5824096565044164E-2</v>
      </c>
      <c r="K154" s="448">
        <f t="shared" si="290"/>
        <v>3.5824096565044164E-2</v>
      </c>
      <c r="M154" s="469">
        <f t="shared" si="263"/>
        <v>0.50482006081055564</v>
      </c>
      <c r="O154" s="466">
        <f t="shared" si="264"/>
        <v>4.6612212452419095E-2</v>
      </c>
      <c r="P154" s="447">
        <f t="shared" si="265"/>
        <v>4.6507574219077488E-2</v>
      </c>
      <c r="Q154" s="447">
        <f t="shared" si="266"/>
        <v>4.6507574219077488E-2</v>
      </c>
      <c r="R154" s="447">
        <f t="shared" si="267"/>
        <v>0.11975681787568461</v>
      </c>
      <c r="S154" s="447">
        <f t="shared" si="268"/>
        <v>0.19945641694741001</v>
      </c>
      <c r="T154" s="447">
        <f t="shared" si="269"/>
        <v>0.24691082962878078</v>
      </c>
      <c r="U154" s="447">
        <f t="shared" si="270"/>
        <v>0.24691082962878078</v>
      </c>
      <c r="V154" s="447">
        <f t="shared" si="271"/>
        <v>0.23574095130784709</v>
      </c>
      <c r="W154" s="447">
        <f t="shared" si="272"/>
        <v>3.4540730670342558E-2</v>
      </c>
      <c r="X154" s="448">
        <f t="shared" si="273"/>
        <v>3.4540730670342558E-2</v>
      </c>
      <c r="Y154" s="446">
        <f t="shared" si="285"/>
        <v>1.2574846676197622</v>
      </c>
      <c r="AA154" s="466">
        <f t="shared" si="274"/>
        <v>4.9014648189566024E-2</v>
      </c>
      <c r="AB154" s="447">
        <f t="shared" si="275"/>
        <v>4.8898652428389977E-2</v>
      </c>
      <c r="AC154" s="447">
        <f t="shared" si="276"/>
        <v>4.8898652428389977E-2</v>
      </c>
      <c r="AD154" s="447">
        <f t="shared" si="277"/>
        <v>0.13910779708572896</v>
      </c>
      <c r="AE154" s="447">
        <f t="shared" si="278"/>
        <v>0.27518099935150053</v>
      </c>
      <c r="AF154" s="447">
        <f t="shared" si="279"/>
        <v>-0.55558030560566585</v>
      </c>
      <c r="AG154" s="447">
        <f t="shared" si="280"/>
        <v>0.44441969439433415</v>
      </c>
      <c r="AH154" s="447">
        <f t="shared" si="281"/>
        <v>-0.38058874135093912</v>
      </c>
      <c r="AI154" s="447">
        <f t="shared" si="282"/>
        <v>-3.5824096565044164E-2</v>
      </c>
      <c r="AJ154" s="448">
        <f t="shared" si="283"/>
        <v>-3.5824096565044164E-2</v>
      </c>
      <c r="AK154" s="446">
        <f t="shared" si="286"/>
        <v>-2.2967962087836746E-3</v>
      </c>
    </row>
    <row r="155" spans="1:37" x14ac:dyDescent="0.35">
      <c r="A155" t="s">
        <v>281</v>
      </c>
      <c r="B155" s="466">
        <f t="shared" ref="B155:K155" si="291">EXP($M137-B$142)/(1+EXP($M137-B$142))</f>
        <v>0.81804822579084768</v>
      </c>
      <c r="C155" s="447">
        <f t="shared" si="291"/>
        <v>0.8184187540190685</v>
      </c>
      <c r="D155" s="447">
        <f t="shared" si="291"/>
        <v>0.8184187540190685</v>
      </c>
      <c r="E155" s="447">
        <f t="shared" si="291"/>
        <v>0.58916637760880453</v>
      </c>
      <c r="F155" s="447">
        <f t="shared" si="291"/>
        <v>0.37902069715698689</v>
      </c>
      <c r="G155" s="447">
        <f t="shared" si="291"/>
        <v>0.22461775116116567</v>
      </c>
      <c r="H155" s="447">
        <f t="shared" si="291"/>
        <v>0.22461775116116567</v>
      </c>
      <c r="I155" s="447">
        <f t="shared" si="291"/>
        <v>0.1246351699335015</v>
      </c>
      <c r="J155" s="447">
        <f t="shared" si="291"/>
        <v>8.5363155264025024E-3</v>
      </c>
      <c r="K155" s="448">
        <f t="shared" si="291"/>
        <v>8.5363155264025024E-3</v>
      </c>
      <c r="M155" s="469">
        <f t="shared" si="263"/>
        <v>-0.96558030087619739</v>
      </c>
      <c r="O155" s="466">
        <f t="shared" si="264"/>
        <v>0.14884532607129397</v>
      </c>
      <c r="P155" s="447">
        <f t="shared" si="265"/>
        <v>0.14860949708894394</v>
      </c>
      <c r="Q155" s="447">
        <f t="shared" si="266"/>
        <v>0.14860949708894394</v>
      </c>
      <c r="R155" s="447">
        <f t="shared" si="267"/>
        <v>0.24204935710412409</v>
      </c>
      <c r="S155" s="447">
        <f t="shared" si="268"/>
        <v>0.2353640082836185</v>
      </c>
      <c r="T155" s="447">
        <f t="shared" si="269"/>
        <v>0.17416461702446634</v>
      </c>
      <c r="U155" s="447">
        <f t="shared" si="270"/>
        <v>0.17416461702446634</v>
      </c>
      <c r="V155" s="447">
        <f t="shared" si="271"/>
        <v>0.1091012443491487</v>
      </c>
      <c r="W155" s="447">
        <f t="shared" si="272"/>
        <v>8.463446843636202E-3</v>
      </c>
      <c r="X155" s="448">
        <f t="shared" si="273"/>
        <v>8.463446843636202E-3</v>
      </c>
      <c r="Y155" s="446">
        <f t="shared" si="285"/>
        <v>1.3978350577222782</v>
      </c>
      <c r="AA155" s="466">
        <f t="shared" si="274"/>
        <v>0.18195177420915232</v>
      </c>
      <c r="AB155" s="447">
        <f t="shared" si="275"/>
        <v>0.1815812459809315</v>
      </c>
      <c r="AC155" s="447">
        <f t="shared" si="276"/>
        <v>0.1815812459809315</v>
      </c>
      <c r="AD155" s="447">
        <f t="shared" si="277"/>
        <v>0.41083362239119547</v>
      </c>
      <c r="AE155" s="447">
        <f t="shared" si="278"/>
        <v>-0.37902069715698689</v>
      </c>
      <c r="AF155" s="447">
        <f t="shared" si="279"/>
        <v>-0.22461775116116567</v>
      </c>
      <c r="AG155" s="447">
        <f t="shared" si="280"/>
        <v>-0.22461775116116567</v>
      </c>
      <c r="AH155" s="447">
        <f t="shared" si="281"/>
        <v>-0.1246351699335015</v>
      </c>
      <c r="AI155" s="447">
        <f t="shared" si="282"/>
        <v>-8.5363155264025024E-3</v>
      </c>
      <c r="AJ155" s="448">
        <f t="shared" si="283"/>
        <v>-8.5363155264025024E-3</v>
      </c>
      <c r="AK155" s="446">
        <f t="shared" si="286"/>
        <v>-1.4016111903413984E-2</v>
      </c>
    </row>
    <row r="156" spans="1:37" x14ac:dyDescent="0.35">
      <c r="A156" t="s">
        <v>537</v>
      </c>
      <c r="B156" s="466">
        <f t="shared" ref="B156:K156" si="292">EXP($M138-B$142)/(1+EXP($M138-B$142))</f>
        <v>0.81804822579084768</v>
      </c>
      <c r="C156" s="447">
        <f t="shared" si="292"/>
        <v>0.8184187540190685</v>
      </c>
      <c r="D156" s="447">
        <f t="shared" si="292"/>
        <v>0.8184187540190685</v>
      </c>
      <c r="E156" s="447">
        <f t="shared" si="292"/>
        <v>0.58916637760880453</v>
      </c>
      <c r="F156" s="447">
        <f t="shared" si="292"/>
        <v>0.37902069715698683</v>
      </c>
      <c r="G156" s="447">
        <f t="shared" si="292"/>
        <v>0.22461775116116561</v>
      </c>
      <c r="H156" s="447">
        <f t="shared" si="292"/>
        <v>0.22461775116116561</v>
      </c>
      <c r="I156" s="447">
        <f t="shared" si="292"/>
        <v>0.1246351699335015</v>
      </c>
      <c r="J156" s="447">
        <f t="shared" si="292"/>
        <v>8.5363155264025024E-3</v>
      </c>
      <c r="K156" s="448">
        <f t="shared" si="292"/>
        <v>8.5363155264025024E-3</v>
      </c>
      <c r="M156" s="469">
        <f t="shared" si="263"/>
        <v>-0.96558030087619739</v>
      </c>
      <c r="O156" s="466">
        <f t="shared" si="264"/>
        <v>0.14884532607129397</v>
      </c>
      <c r="P156" s="447">
        <f t="shared" si="265"/>
        <v>0.14860949708894394</v>
      </c>
      <c r="Q156" s="447">
        <f t="shared" si="266"/>
        <v>0.14860949708894394</v>
      </c>
      <c r="R156" s="447">
        <f t="shared" si="267"/>
        <v>0.24204935710412409</v>
      </c>
      <c r="S156" s="447">
        <f t="shared" si="268"/>
        <v>0.2353640082836185</v>
      </c>
      <c r="T156" s="447">
        <f t="shared" si="269"/>
        <v>0.17416461702446631</v>
      </c>
      <c r="U156" s="447">
        <f t="shared" si="270"/>
        <v>0.17416461702446631</v>
      </c>
      <c r="V156" s="447">
        <f t="shared" si="271"/>
        <v>0.1091012443491487</v>
      </c>
      <c r="W156" s="447">
        <f t="shared" si="272"/>
        <v>8.463446843636202E-3</v>
      </c>
      <c r="X156" s="448">
        <f t="shared" si="273"/>
        <v>8.463446843636202E-3</v>
      </c>
      <c r="Y156" s="446">
        <f t="shared" si="285"/>
        <v>1.3978350577222782</v>
      </c>
      <c r="AA156" s="466">
        <f t="shared" si="274"/>
        <v>0.18195177420915232</v>
      </c>
      <c r="AB156" s="447">
        <f t="shared" si="275"/>
        <v>-0.8184187540190685</v>
      </c>
      <c r="AC156" s="447">
        <f t="shared" si="276"/>
        <v>0.1815812459809315</v>
      </c>
      <c r="AD156" s="447">
        <f t="shared" si="277"/>
        <v>-0.58916637760880453</v>
      </c>
      <c r="AE156" s="447">
        <f t="shared" si="278"/>
        <v>0.62097930284301317</v>
      </c>
      <c r="AF156" s="447">
        <f t="shared" si="279"/>
        <v>-0.22461775116116561</v>
      </c>
      <c r="AG156" s="447">
        <f t="shared" si="280"/>
        <v>0.77538224883883444</v>
      </c>
      <c r="AH156" s="447">
        <f t="shared" si="281"/>
        <v>-0.1246351699335015</v>
      </c>
      <c r="AI156" s="447">
        <f t="shared" si="282"/>
        <v>-8.5363155264025024E-3</v>
      </c>
      <c r="AJ156" s="448">
        <f t="shared" si="283"/>
        <v>-8.5363155264025024E-3</v>
      </c>
      <c r="AK156" s="446">
        <f t="shared" si="286"/>
        <v>-1.4016111903413762E-2</v>
      </c>
    </row>
    <row r="157" spans="1:37" x14ac:dyDescent="0.35">
      <c r="A157" t="s">
        <v>905</v>
      </c>
      <c r="B157" s="449">
        <f t="shared" ref="B157:K157" si="293">EXP($M139-B$142)/(1+EXP($M139-B$142))</f>
        <v>0.50034521234242912</v>
      </c>
      <c r="C157" s="450">
        <f t="shared" si="293"/>
        <v>0.50096804232039582</v>
      </c>
      <c r="D157" s="450">
        <f t="shared" si="293"/>
        <v>0.50096804232039582</v>
      </c>
      <c r="E157" s="450">
        <f t="shared" si="293"/>
        <v>0.24208571001634777</v>
      </c>
      <c r="F157" s="450">
        <f t="shared" si="293"/>
        <v>0.11967560232032896</v>
      </c>
      <c r="G157" s="450">
        <f t="shared" si="293"/>
        <v>6.0610911457953325E-2</v>
      </c>
      <c r="H157" s="450">
        <f t="shared" si="293"/>
        <v>6.0610911457953325E-2</v>
      </c>
      <c r="I157" s="450">
        <f t="shared" si="293"/>
        <v>3.0737600720464973E-2</v>
      </c>
      <c r="J157" s="450">
        <f t="shared" si="293"/>
        <v>1.9139857548156282E-3</v>
      </c>
      <c r="K157" s="451">
        <f t="shared" si="293"/>
        <v>1.9139857548156282E-3</v>
      </c>
      <c r="M157" s="470">
        <f t="shared" si="263"/>
        <v>-2.4740676210710468</v>
      </c>
      <c r="O157" s="449">
        <f t="shared" si="264"/>
        <v>0.24999988082843863</v>
      </c>
      <c r="P157" s="450">
        <f t="shared" si="265"/>
        <v>0.24999906289406593</v>
      </c>
      <c r="Q157" s="450">
        <f t="shared" si="266"/>
        <v>0.24999906289406593</v>
      </c>
      <c r="R157" s="450">
        <f t="shared" si="267"/>
        <v>0.18348021902222852</v>
      </c>
      <c r="S157" s="450">
        <f t="shared" si="268"/>
        <v>0.10535335252959545</v>
      </c>
      <c r="T157" s="450">
        <f t="shared" si="269"/>
        <v>5.6937228870189469E-2</v>
      </c>
      <c r="U157" s="450">
        <f t="shared" si="270"/>
        <v>5.6937228870189469E-2</v>
      </c>
      <c r="V157" s="450">
        <f t="shared" si="271"/>
        <v>2.9792800622414246E-2</v>
      </c>
      <c r="W157" s="450">
        <f t="shared" si="272"/>
        <v>1.910322413345991E-3</v>
      </c>
      <c r="X157" s="451">
        <f t="shared" si="273"/>
        <v>1.910322413345991E-3</v>
      </c>
      <c r="Y157" s="446">
        <f t="shared" si="285"/>
        <v>1.1863194813578799</v>
      </c>
      <c r="AA157" s="449">
        <f t="shared" si="274"/>
        <v>-0.50034521234242912</v>
      </c>
      <c r="AB157" s="450">
        <f t="shared" si="275"/>
        <v>0.49903195767960418</v>
      </c>
      <c r="AC157" s="450">
        <f t="shared" si="276"/>
        <v>-0.50096804232039582</v>
      </c>
      <c r="AD157" s="450">
        <f t="shared" si="277"/>
        <v>0.75791428998365218</v>
      </c>
      <c r="AE157" s="450">
        <f t="shared" si="278"/>
        <v>-0.11967560232032896</v>
      </c>
      <c r="AF157" s="450">
        <f t="shared" si="279"/>
        <v>-6.0610911457953325E-2</v>
      </c>
      <c r="AG157" s="450">
        <f t="shared" si="280"/>
        <v>-6.0610911457953325E-2</v>
      </c>
      <c r="AH157" s="450">
        <f t="shared" si="281"/>
        <v>-3.0737600720464973E-2</v>
      </c>
      <c r="AI157" s="450">
        <f t="shared" si="282"/>
        <v>-1.9139857548156282E-3</v>
      </c>
      <c r="AJ157" s="451">
        <f t="shared" si="283"/>
        <v>-1.9139857548156282E-3</v>
      </c>
      <c r="AK157" s="446">
        <f t="shared" si="286"/>
        <v>-1.9830004465900452E-2</v>
      </c>
    </row>
    <row r="158" spans="1:37" x14ac:dyDescent="0.35">
      <c r="O158" s="446">
        <f>SUM(O149:O157)</f>
        <v>0.69040217153143735</v>
      </c>
      <c r="P158" s="446">
        <f t="shared" ref="P158:X158" si="294">SUM(P149:P157)</f>
        <v>0.68960182856240693</v>
      </c>
      <c r="Q158" s="446">
        <f t="shared" si="294"/>
        <v>0.68960182856240693</v>
      </c>
      <c r="R158" s="446">
        <f t="shared" si="294"/>
        <v>1.0507362190391889</v>
      </c>
      <c r="S158" s="446">
        <f t="shared" si="294"/>
        <v>1.267788923611598</v>
      </c>
      <c r="T158" s="446">
        <f t="shared" si="294"/>
        <v>1.3838722884665586</v>
      </c>
      <c r="U158" s="446">
        <f t="shared" si="294"/>
        <v>1.3838722884665586</v>
      </c>
      <c r="V158" s="446">
        <f t="shared" si="294"/>
        <v>1.3917807411540988</v>
      </c>
      <c r="W158" s="446">
        <f t="shared" si="294"/>
        <v>0.65765141929431281</v>
      </c>
      <c r="X158" s="446">
        <f t="shared" si="294"/>
        <v>0.65765141929431281</v>
      </c>
      <c r="AA158" s="446">
        <f>SUM(AA149:AA157)</f>
        <v>1.0426937011418502E-2</v>
      </c>
      <c r="AB158" s="446">
        <f t="shared" ref="AB158:AJ158" si="295">SUM(AB149:AB157)</f>
        <v>1.0290245955351662E-2</v>
      </c>
      <c r="AC158" s="446">
        <f t="shared" si="295"/>
        <v>1.0290245955351662E-2</v>
      </c>
      <c r="AD158" s="446">
        <f t="shared" si="295"/>
        <v>9.8786431214744619E-3</v>
      </c>
      <c r="AE158" s="446">
        <f t="shared" si="295"/>
        <v>5.2399008988852774E-3</v>
      </c>
      <c r="AF158" s="446">
        <f t="shared" si="295"/>
        <v>-1.3292533598107045E-3</v>
      </c>
      <c r="AG158" s="446">
        <f t="shared" si="295"/>
        <v>-1.3292533598108711E-3</v>
      </c>
      <c r="AH158" s="446">
        <f t="shared" si="295"/>
        <v>-8.374298406379644E-3</v>
      </c>
      <c r="AI158" s="446">
        <f t="shared" si="295"/>
        <v>-2.1696940445203036E-2</v>
      </c>
      <c r="AJ158" s="446">
        <f t="shared" si="295"/>
        <v>-2.1696940445203091E-2</v>
      </c>
      <c r="AK158" s="446">
        <f>SUMSQ(AK149:AK157)</f>
        <v>1.4792211774967493E-3</v>
      </c>
    </row>
    <row r="159" spans="1:37" x14ac:dyDescent="0.35">
      <c r="A159" t="s">
        <v>822</v>
      </c>
      <c r="B159" s="471">
        <f t="shared" ref="B159:K159" si="296">B142-AA158/O158</f>
        <v>-2.4738356024301962</v>
      </c>
      <c r="C159" s="472">
        <f t="shared" si="296"/>
        <v>-2.4761462375963537</v>
      </c>
      <c r="D159" s="472">
        <f t="shared" si="296"/>
        <v>-2.4761462375963537</v>
      </c>
      <c r="E159" s="472">
        <f t="shared" si="296"/>
        <v>-1.3254752238507697</v>
      </c>
      <c r="F159" s="472">
        <f t="shared" si="296"/>
        <v>-0.46597944957832566</v>
      </c>
      <c r="G159" s="472">
        <f t="shared" si="296"/>
        <v>0.28436330341776989</v>
      </c>
      <c r="H159" s="472">
        <f t="shared" si="296"/>
        <v>0.28436330341777005</v>
      </c>
      <c r="I159" s="472">
        <f t="shared" si="296"/>
        <v>0.99971359887051392</v>
      </c>
      <c r="J159" s="472">
        <f t="shared" si="296"/>
        <v>3.8322911073532868</v>
      </c>
      <c r="K159" s="473">
        <f t="shared" si="296"/>
        <v>3.8322911073532873</v>
      </c>
      <c r="L159" s="446">
        <f>AVERAGE(B159:K159)</f>
        <v>1.5439669360628461E-3</v>
      </c>
    </row>
    <row r="160" spans="1:37" x14ac:dyDescent="0.35">
      <c r="A160" t="s">
        <v>906</v>
      </c>
      <c r="B160" s="89">
        <f>B159-L159</f>
        <v>-2.4753795693662592</v>
      </c>
      <c r="C160" s="159">
        <f>C159-L159</f>
        <v>-2.4776902045324167</v>
      </c>
      <c r="D160" s="159">
        <f>D159-L159</f>
        <v>-2.4776902045324167</v>
      </c>
      <c r="E160" s="159">
        <f>E159-L159</f>
        <v>-1.3270191907868325</v>
      </c>
      <c r="F160" s="159">
        <f>F159-L159</f>
        <v>-0.4675234165143885</v>
      </c>
      <c r="G160" s="159">
        <f>G159-L159</f>
        <v>0.28281933648170704</v>
      </c>
      <c r="H160" s="159">
        <f>H159-L159</f>
        <v>0.28281933648170721</v>
      </c>
      <c r="I160" s="159">
        <f>I159-L159</f>
        <v>0.99816963193445107</v>
      </c>
      <c r="J160" s="159">
        <f>J159-L159</f>
        <v>3.8307471404172242</v>
      </c>
      <c r="K160" s="93">
        <f>K159-L159</f>
        <v>3.8307471404172242</v>
      </c>
      <c r="L160" s="446">
        <f>AVERAGE(B160:K160)</f>
        <v>0</v>
      </c>
    </row>
    <row r="161" spans="1:37" x14ac:dyDescent="0.35">
      <c r="L161" s="446"/>
    </row>
    <row r="162" spans="1:37" x14ac:dyDescent="0.35">
      <c r="A162" t="s">
        <v>907</v>
      </c>
      <c r="B162" s="461">
        <f>B144+1</f>
        <v>9</v>
      </c>
    </row>
    <row r="163" spans="1:37" x14ac:dyDescent="0.35">
      <c r="B163" s="461"/>
    </row>
    <row r="164" spans="1:37" x14ac:dyDescent="0.35">
      <c r="B164" t="s">
        <v>860</v>
      </c>
      <c r="O164" t="s">
        <v>908</v>
      </c>
      <c r="AA164" t="s">
        <v>909</v>
      </c>
    </row>
    <row r="166" spans="1:37" x14ac:dyDescent="0.35">
      <c r="B166">
        <v>1</v>
      </c>
      <c r="C166">
        <v>2</v>
      </c>
      <c r="D166">
        <v>3</v>
      </c>
      <c r="E166">
        <v>4</v>
      </c>
      <c r="F166">
        <v>5</v>
      </c>
      <c r="G166">
        <v>6</v>
      </c>
      <c r="H166">
        <v>7</v>
      </c>
      <c r="I166">
        <v>8</v>
      </c>
      <c r="J166">
        <v>9</v>
      </c>
      <c r="K166">
        <v>10</v>
      </c>
      <c r="M166" t="s">
        <v>904</v>
      </c>
      <c r="O166">
        <v>1</v>
      </c>
      <c r="P166">
        <v>2</v>
      </c>
      <c r="Q166">
        <v>3</v>
      </c>
      <c r="R166">
        <v>4</v>
      </c>
      <c r="S166">
        <v>5</v>
      </c>
      <c r="T166">
        <v>6</v>
      </c>
      <c r="U166">
        <v>7</v>
      </c>
      <c r="V166">
        <v>8</v>
      </c>
      <c r="W166">
        <v>9</v>
      </c>
      <c r="X166">
        <v>10</v>
      </c>
      <c r="AA166">
        <v>1</v>
      </c>
      <c r="AB166">
        <v>2</v>
      </c>
      <c r="AC166">
        <v>3</v>
      </c>
      <c r="AD166">
        <v>4</v>
      </c>
      <c r="AE166">
        <v>5</v>
      </c>
      <c r="AF166">
        <v>6</v>
      </c>
      <c r="AG166">
        <v>7</v>
      </c>
      <c r="AH166">
        <v>8</v>
      </c>
      <c r="AI166">
        <v>9</v>
      </c>
      <c r="AJ166">
        <v>10</v>
      </c>
    </row>
    <row r="167" spans="1:37" x14ac:dyDescent="0.35">
      <c r="A167" t="s">
        <v>218</v>
      </c>
      <c r="B167" s="464">
        <f t="shared" ref="B167:K167" si="297">EXP($M149-B$160)/(1+EXP($M149-B$160))</f>
        <v>0.99849636786323026</v>
      </c>
      <c r="C167" s="467">
        <f t="shared" si="297"/>
        <v>0.99849983299155887</v>
      </c>
      <c r="D167" s="467">
        <f t="shared" si="297"/>
        <v>0.99849983299155887</v>
      </c>
      <c r="E167" s="467">
        <f t="shared" si="297"/>
        <v>0.99527431811518619</v>
      </c>
      <c r="F167" s="467">
        <f t="shared" si="297"/>
        <v>0.98890946514361133</v>
      </c>
      <c r="G167" s="467">
        <f t="shared" si="297"/>
        <v>0.97680086927985443</v>
      </c>
      <c r="H167" s="467">
        <f t="shared" si="297"/>
        <v>0.97680086927985443</v>
      </c>
      <c r="I167" s="467">
        <f t="shared" si="297"/>
        <v>0.95368279864150385</v>
      </c>
      <c r="J167" s="467">
        <f t="shared" si="297"/>
        <v>0.54791258478361859</v>
      </c>
      <c r="K167" s="465">
        <f t="shared" si="297"/>
        <v>0.54791258478361859</v>
      </c>
      <c r="M167" s="468">
        <f t="shared" ref="M167:M175" si="298">M149+AK167/Y167</f>
        <v>4.0489460349479156</v>
      </c>
      <c r="O167" s="464">
        <f t="shared" ref="O167:O175" si="299">B167*(1-B167)</f>
        <v>1.5013712271670125E-3</v>
      </c>
      <c r="P167" s="467">
        <f t="shared" ref="P167:P175" si="300">C167*(1-C167)</f>
        <v>1.4979165073879181E-3</v>
      </c>
      <c r="Q167" s="467">
        <f t="shared" ref="Q167:Q175" si="301">D167*(1-D167)</f>
        <v>1.4979165073879181E-3</v>
      </c>
      <c r="R167" s="467">
        <f t="shared" ref="R167:R175" si="302">E167*(1-E167)</f>
        <v>4.7033498155373572E-3</v>
      </c>
      <c r="S167" s="467">
        <f t="shared" ref="S167:S175" si="303">F167*(1-F167)</f>
        <v>1.0967534892987895E-2</v>
      </c>
      <c r="T167" s="467">
        <f t="shared" ref="T167:T175" si="304">G167*(1-G167)</f>
        <v>2.2660931053975163E-2</v>
      </c>
      <c r="U167" s="467">
        <f t="shared" ref="U167:U175" si="305">H167*(1-H167)</f>
        <v>2.2660931053975163E-2</v>
      </c>
      <c r="V167" s="467">
        <f t="shared" ref="V167:V175" si="306">I167*(1-I167)</f>
        <v>4.4171918216812676E-2</v>
      </c>
      <c r="W167" s="467">
        <f t="shared" ref="W167:W175" si="307">J167*(1-J167)</f>
        <v>0.24770438421935256</v>
      </c>
      <c r="X167" s="465">
        <f t="shared" ref="X167:X175" si="308">K167*(1-K167)</f>
        <v>0.24770438421935256</v>
      </c>
      <c r="Y167" s="446">
        <f>SUM(O167:X167)</f>
        <v>0.60507063771393621</v>
      </c>
      <c r="AA167" s="464" t="str">
        <f t="shared" ref="AA167:AA175" si="309">IF(ISNUMBER(B5),B5-B167,"")</f>
        <v/>
      </c>
      <c r="AB167" s="467">
        <f t="shared" ref="AB167:AB175" si="310">IF(ISNUMBER(C5),C5-C167,"")</f>
        <v>1.5001670084411334E-3</v>
      </c>
      <c r="AC167" s="467">
        <f t="shared" ref="AC167:AC175" si="311">IF(ISNUMBER(D5),D5-D167,"")</f>
        <v>1.5001670084411334E-3</v>
      </c>
      <c r="AD167" s="467">
        <f t="shared" ref="AD167:AD175" si="312">IF(ISNUMBER(E5),E5-E167,"")</f>
        <v>4.7256818848138149E-3</v>
      </c>
      <c r="AE167" s="467">
        <f t="shared" ref="AE167:AE175" si="313">IF(ISNUMBER(F5),F5-F167,"")</f>
        <v>1.1090534856388667E-2</v>
      </c>
      <c r="AF167" s="467">
        <f t="shared" ref="AF167:AF175" si="314">IF(ISNUMBER(G5),G5-G167,"")</f>
        <v>2.3199130720145567E-2</v>
      </c>
      <c r="AG167" s="467">
        <f t="shared" ref="AG167:AG175" si="315">IF(ISNUMBER(H5),H5-H167,"")</f>
        <v>2.3199130720145567E-2</v>
      </c>
      <c r="AH167" s="467">
        <f t="shared" ref="AH167:AH175" si="316">IF(ISNUMBER(I5),I5-I167,"")</f>
        <v>4.6317201358496152E-2</v>
      </c>
      <c r="AI167" s="467">
        <f t="shared" ref="AI167:AI175" si="317">IF(ISNUMBER(J5),J5-J167,"")</f>
        <v>-0.54791258478361859</v>
      </c>
      <c r="AJ167" s="465">
        <f t="shared" ref="AJ167:AJ175" si="318">IF(ISNUMBER(K5),K5-K167,"")</f>
        <v>0.45208741521638141</v>
      </c>
      <c r="AK167" s="446">
        <f>SUM(AA167:AJ167)</f>
        <v>1.5706843989634844E-2</v>
      </c>
    </row>
    <row r="168" spans="1:37" x14ac:dyDescent="0.35">
      <c r="A168" t="s">
        <v>98</v>
      </c>
      <c r="B168" s="466">
        <f t="shared" ref="B168:K168" si="319">EXP($M150-B$160)/(1+EXP($M150-B$160))</f>
        <v>0.99350543669012159</v>
      </c>
      <c r="C168" s="447">
        <f t="shared" si="319"/>
        <v>0.99352032880712804</v>
      </c>
      <c r="D168" s="447">
        <f t="shared" si="319"/>
        <v>0.99352032880712804</v>
      </c>
      <c r="E168" s="447">
        <f t="shared" si="319"/>
        <v>0.97980490540431597</v>
      </c>
      <c r="F168" s="447">
        <f t="shared" si="319"/>
        <v>0.95357668204555524</v>
      </c>
      <c r="G168" s="447">
        <f t="shared" si="319"/>
        <v>0.90653776302947731</v>
      </c>
      <c r="H168" s="447">
        <f t="shared" si="319"/>
        <v>0.90653776302947719</v>
      </c>
      <c r="I168" s="447">
        <f t="shared" si="319"/>
        <v>0.82588289789146274</v>
      </c>
      <c r="J168" s="447">
        <f t="shared" si="319"/>
        <v>0.21825703172158661</v>
      </c>
      <c r="K168" s="448">
        <f t="shared" si="319"/>
        <v>0.21825703172158661</v>
      </c>
      <c r="M168" s="469">
        <f t="shared" si="298"/>
        <v>2.5692598131415472</v>
      </c>
      <c r="O168" s="466">
        <f t="shared" si="299"/>
        <v>6.4523839572923911E-3</v>
      </c>
      <c r="P168" s="447">
        <f t="shared" si="300"/>
        <v>6.4376850541042257E-3</v>
      </c>
      <c r="Q168" s="447">
        <f t="shared" si="301"/>
        <v>6.4376850541042257E-3</v>
      </c>
      <c r="R168" s="447">
        <f t="shared" si="302"/>
        <v>1.9787252749955402E-2</v>
      </c>
      <c r="S168" s="447">
        <f t="shared" si="303"/>
        <v>4.4268193504545292E-2</v>
      </c>
      <c r="T168" s="447">
        <f t="shared" si="304"/>
        <v>8.4727047230988561E-2</v>
      </c>
      <c r="U168" s="447">
        <f t="shared" si="305"/>
        <v>8.4727047230988645E-2</v>
      </c>
      <c r="V168" s="447">
        <f t="shared" si="306"/>
        <v>0.14380033686186247</v>
      </c>
      <c r="W168" s="447">
        <f t="shared" si="307"/>
        <v>0.17062089982566894</v>
      </c>
      <c r="X168" s="448">
        <f t="shared" si="308"/>
        <v>0.17062089982566894</v>
      </c>
      <c r="Y168" s="446">
        <f t="shared" ref="Y168:Y175" si="320">SUM(O168:X168)</f>
        <v>0.73787943129517919</v>
      </c>
      <c r="AA168" s="466">
        <f t="shared" si="309"/>
        <v>6.4945633098784095E-3</v>
      </c>
      <c r="AB168" s="447">
        <f t="shared" si="310"/>
        <v>6.4796711928719608E-3</v>
      </c>
      <c r="AC168" s="447">
        <f t="shared" si="311"/>
        <v>6.4796711928719608E-3</v>
      </c>
      <c r="AD168" s="447">
        <f t="shared" si="312"/>
        <v>-0.97980490540431597</v>
      </c>
      <c r="AE168" s="447">
        <f t="shared" si="313"/>
        <v>4.6423317954444765E-2</v>
      </c>
      <c r="AF168" s="447">
        <f t="shared" si="314"/>
        <v>9.3462236970522694E-2</v>
      </c>
      <c r="AG168" s="447">
        <f t="shared" si="315"/>
        <v>9.3462236970522805E-2</v>
      </c>
      <c r="AH168" s="447">
        <f t="shared" si="316"/>
        <v>0.17411710210853726</v>
      </c>
      <c r="AI168" s="447">
        <f t="shared" si="317"/>
        <v>0.78174296827841339</v>
      </c>
      <c r="AJ168" s="448">
        <f t="shared" si="318"/>
        <v>-0.21825703172158661</v>
      </c>
      <c r="AK168" s="446">
        <f t="shared" ref="AK168:AK175" si="321">SUM(AA168:AJ168)</f>
        <v>1.0599830852160652E-2</v>
      </c>
    </row>
    <row r="169" spans="1:37" x14ac:dyDescent="0.35">
      <c r="A169" t="s">
        <v>99</v>
      </c>
      <c r="B169" s="466">
        <f t="shared" ref="B169:K169" si="322">EXP($M151-B$160)/(1+EXP($M151-B$160))</f>
        <v>0.97937537328857205</v>
      </c>
      <c r="C169" s="447">
        <f t="shared" si="322"/>
        <v>0.9794219947278614</v>
      </c>
      <c r="D169" s="447">
        <f t="shared" si="322"/>
        <v>0.9794219947278614</v>
      </c>
      <c r="E169" s="447">
        <f t="shared" si="322"/>
        <v>0.93773505018668657</v>
      </c>
      <c r="F169" s="447">
        <f t="shared" si="322"/>
        <v>0.86442892068073884</v>
      </c>
      <c r="G169" s="447">
        <f t="shared" si="322"/>
        <v>0.7506777549607887</v>
      </c>
      <c r="H169" s="447">
        <f t="shared" si="322"/>
        <v>0.75067775496078859</v>
      </c>
      <c r="I169" s="447">
        <f t="shared" si="322"/>
        <v>0.59553138803421701</v>
      </c>
      <c r="J169" s="447">
        <f t="shared" si="322"/>
        <v>7.9753748974521213E-2</v>
      </c>
      <c r="K169" s="448">
        <f t="shared" si="322"/>
        <v>7.9753748974521213E-2</v>
      </c>
      <c r="M169" s="469">
        <f t="shared" si="298"/>
        <v>1.3882780957613503</v>
      </c>
      <c r="O169" s="466">
        <f t="shared" si="299"/>
        <v>2.0199251484442203E-2</v>
      </c>
      <c r="P169" s="447">
        <f t="shared" si="300"/>
        <v>2.0154550971158435E-2</v>
      </c>
      <c r="Q169" s="447">
        <f t="shared" si="301"/>
        <v>2.0154550971158435E-2</v>
      </c>
      <c r="R169" s="447">
        <f t="shared" si="302"/>
        <v>5.8388025838058993E-2</v>
      </c>
      <c r="S169" s="447">
        <f t="shared" si="303"/>
        <v>0.11719156177147176</v>
      </c>
      <c r="T169" s="447">
        <f t="shared" si="304"/>
        <v>0.18716066316781876</v>
      </c>
      <c r="U169" s="447">
        <f t="shared" si="305"/>
        <v>0.18716066316781882</v>
      </c>
      <c r="V169" s="447">
        <f t="shared" si="306"/>
        <v>0.24087375390025587</v>
      </c>
      <c r="W169" s="447">
        <f t="shared" si="307"/>
        <v>7.3393088499030271E-2</v>
      </c>
      <c r="X169" s="448">
        <f t="shared" si="308"/>
        <v>7.3393088499030271E-2</v>
      </c>
      <c r="Y169" s="446">
        <f t="shared" si="320"/>
        <v>0.99806919827024387</v>
      </c>
      <c r="AA169" s="466">
        <f t="shared" si="309"/>
        <v>2.0624626711427951E-2</v>
      </c>
      <c r="AB169" s="447">
        <f t="shared" si="310"/>
        <v>2.05780052721386E-2</v>
      </c>
      <c r="AC169" s="447">
        <f t="shared" si="311"/>
        <v>2.05780052721386E-2</v>
      </c>
      <c r="AD169" s="447">
        <f t="shared" si="312"/>
        <v>6.226494981331343E-2</v>
      </c>
      <c r="AE169" s="447">
        <f t="shared" si="313"/>
        <v>0.13557107931926116</v>
      </c>
      <c r="AF169" s="447">
        <f t="shared" si="314"/>
        <v>0.2493222450392113</v>
      </c>
      <c r="AG169" s="447">
        <f t="shared" si="315"/>
        <v>-0.75067775496078859</v>
      </c>
      <c r="AH169" s="447">
        <f t="shared" si="316"/>
        <v>0.40446861196578299</v>
      </c>
      <c r="AI169" s="447">
        <f t="shared" si="317"/>
        <v>-7.9753748974521213E-2</v>
      </c>
      <c r="AJ169" s="448">
        <f t="shared" si="318"/>
        <v>-7.9753748974521213E-2</v>
      </c>
      <c r="AK169" s="446">
        <f t="shared" si="321"/>
        <v>3.2222704834430071E-3</v>
      </c>
    </row>
    <row r="170" spans="1:37" x14ac:dyDescent="0.35">
      <c r="A170" t="s">
        <v>100</v>
      </c>
      <c r="B170" s="466">
        <f t="shared" ref="B170:K170" si="323">EXP($M152-B$160)/(1+EXP($M152-B$160))</f>
        <v>0.97937537328857205</v>
      </c>
      <c r="C170" s="447">
        <f t="shared" si="323"/>
        <v>0.9794219947278614</v>
      </c>
      <c r="D170" s="447">
        <f t="shared" si="323"/>
        <v>0.9794219947278614</v>
      </c>
      <c r="E170" s="447">
        <f t="shared" si="323"/>
        <v>0.93773505018668657</v>
      </c>
      <c r="F170" s="447">
        <f t="shared" si="323"/>
        <v>0.86442892068073884</v>
      </c>
      <c r="G170" s="447">
        <f t="shared" si="323"/>
        <v>0.7506777549607887</v>
      </c>
      <c r="H170" s="447">
        <f t="shared" si="323"/>
        <v>0.75067775496078859</v>
      </c>
      <c r="I170" s="447">
        <f t="shared" si="323"/>
        <v>0.59553138803421701</v>
      </c>
      <c r="J170" s="447">
        <f t="shared" si="323"/>
        <v>7.9753748974521213E-2</v>
      </c>
      <c r="K170" s="448">
        <f t="shared" si="323"/>
        <v>7.9753748974521213E-2</v>
      </c>
      <c r="M170" s="469">
        <f t="shared" si="298"/>
        <v>1.3882780957613503</v>
      </c>
      <c r="O170" s="466">
        <f t="shared" si="299"/>
        <v>2.0199251484442203E-2</v>
      </c>
      <c r="P170" s="447">
        <f t="shared" si="300"/>
        <v>2.0154550971158435E-2</v>
      </c>
      <c r="Q170" s="447">
        <f t="shared" si="301"/>
        <v>2.0154550971158435E-2</v>
      </c>
      <c r="R170" s="447">
        <f t="shared" si="302"/>
        <v>5.8388025838058993E-2</v>
      </c>
      <c r="S170" s="447">
        <f t="shared" si="303"/>
        <v>0.11719156177147176</v>
      </c>
      <c r="T170" s="447">
        <f t="shared" si="304"/>
        <v>0.18716066316781876</v>
      </c>
      <c r="U170" s="447">
        <f t="shared" si="305"/>
        <v>0.18716066316781882</v>
      </c>
      <c r="V170" s="447">
        <f t="shared" si="306"/>
        <v>0.24087375390025587</v>
      </c>
      <c r="W170" s="447">
        <f t="shared" si="307"/>
        <v>7.3393088499030271E-2</v>
      </c>
      <c r="X170" s="448">
        <f t="shared" si="308"/>
        <v>7.3393088499030271E-2</v>
      </c>
      <c r="Y170" s="446">
        <f t="shared" si="320"/>
        <v>0.99806919827024387</v>
      </c>
      <c r="AA170" s="466">
        <f t="shared" si="309"/>
        <v>2.0624626711427951E-2</v>
      </c>
      <c r="AB170" s="447">
        <f t="shared" si="310"/>
        <v>2.05780052721386E-2</v>
      </c>
      <c r="AC170" s="447">
        <f t="shared" si="311"/>
        <v>2.05780052721386E-2</v>
      </c>
      <c r="AD170" s="447">
        <f t="shared" si="312"/>
        <v>6.226494981331343E-2</v>
      </c>
      <c r="AE170" s="447">
        <f t="shared" si="313"/>
        <v>0.13557107931926116</v>
      </c>
      <c r="AF170" s="447">
        <f t="shared" si="314"/>
        <v>0.2493222450392113</v>
      </c>
      <c r="AG170" s="447">
        <f t="shared" si="315"/>
        <v>-0.75067775496078859</v>
      </c>
      <c r="AH170" s="447">
        <f t="shared" si="316"/>
        <v>0.40446861196578299</v>
      </c>
      <c r="AI170" s="447">
        <f t="shared" si="317"/>
        <v>-7.9753748974521213E-2</v>
      </c>
      <c r="AJ170" s="448">
        <f t="shared" si="318"/>
        <v>-7.9753748974521213E-2</v>
      </c>
      <c r="AK170" s="446">
        <f t="shared" si="321"/>
        <v>3.2222704834430071E-3</v>
      </c>
    </row>
    <row r="171" spans="1:37" x14ac:dyDescent="0.35">
      <c r="A171" t="s">
        <v>536</v>
      </c>
      <c r="B171" s="466">
        <f t="shared" ref="B171:K171" si="324">EXP($M153-B$160)/(1+EXP($M153-B$160))</f>
        <v>0.95167155366033074</v>
      </c>
      <c r="C171" s="447">
        <f t="shared" si="324"/>
        <v>0.95177771541623779</v>
      </c>
      <c r="D171" s="447">
        <f t="shared" si="324"/>
        <v>0.95177771541623779</v>
      </c>
      <c r="E171" s="447">
        <f t="shared" si="324"/>
        <v>0.86198068827270025</v>
      </c>
      <c r="F171" s="447">
        <f t="shared" si="324"/>
        <v>0.7255863560193303</v>
      </c>
      <c r="G171" s="447">
        <f t="shared" si="324"/>
        <v>0.55527335816688927</v>
      </c>
      <c r="H171" s="447">
        <f t="shared" si="324"/>
        <v>0.55527335816688927</v>
      </c>
      <c r="I171" s="447">
        <f t="shared" si="324"/>
        <v>0.37910481235640459</v>
      </c>
      <c r="J171" s="447">
        <f t="shared" si="324"/>
        <v>3.4692369345184174E-2</v>
      </c>
      <c r="K171" s="448">
        <f t="shared" si="324"/>
        <v>3.4692369345184174E-2</v>
      </c>
      <c r="M171" s="469">
        <f t="shared" si="298"/>
        <v>0.50335830192170761</v>
      </c>
      <c r="O171" s="466">
        <f t="shared" si="299"/>
        <v>4.5992807614062971E-2</v>
      </c>
      <c r="P171" s="447">
        <f t="shared" si="300"/>
        <v>4.5896895853284859E-2</v>
      </c>
      <c r="Q171" s="447">
        <f t="shared" si="301"/>
        <v>4.5896895853284859E-2</v>
      </c>
      <c r="R171" s="447">
        <f t="shared" si="302"/>
        <v>0.11896998131762221</v>
      </c>
      <c r="S171" s="447">
        <f t="shared" si="303"/>
        <v>0.19911079597791995</v>
      </c>
      <c r="T171" s="447">
        <f t="shared" si="304"/>
        <v>0.24694485587695478</v>
      </c>
      <c r="U171" s="447">
        <f t="shared" si="305"/>
        <v>0.24694485587695478</v>
      </c>
      <c r="V171" s="447">
        <f t="shared" si="306"/>
        <v>0.23538435360461984</v>
      </c>
      <c r="W171" s="447">
        <f t="shared" si="307"/>
        <v>3.3488808854401503E-2</v>
      </c>
      <c r="X171" s="448">
        <f t="shared" si="308"/>
        <v>3.3488808854401503E-2</v>
      </c>
      <c r="Y171" s="446">
        <f t="shared" si="320"/>
        <v>1.252119059683507</v>
      </c>
      <c r="AA171" s="466">
        <f t="shared" si="309"/>
        <v>4.8328446339669262E-2</v>
      </c>
      <c r="AB171" s="447">
        <f t="shared" si="310"/>
        <v>4.8222284583762209E-2</v>
      </c>
      <c r="AC171" s="447">
        <f t="shared" si="311"/>
        <v>4.8222284583762209E-2</v>
      </c>
      <c r="AD171" s="447">
        <f t="shared" si="312"/>
        <v>0.13801931172729975</v>
      </c>
      <c r="AE171" s="447">
        <f t="shared" si="313"/>
        <v>-0.7255863560193303</v>
      </c>
      <c r="AF171" s="447">
        <f t="shared" si="314"/>
        <v>0.44472664183311073</v>
      </c>
      <c r="AG171" s="447">
        <f t="shared" si="315"/>
        <v>0.44472664183311073</v>
      </c>
      <c r="AH171" s="447">
        <f t="shared" si="316"/>
        <v>-0.37910481235640459</v>
      </c>
      <c r="AI171" s="447">
        <f t="shared" si="317"/>
        <v>-3.4692369345184174E-2</v>
      </c>
      <c r="AJ171" s="448">
        <f t="shared" si="318"/>
        <v>-3.4692369345184174E-2</v>
      </c>
      <c r="AK171" s="446">
        <f t="shared" si="321"/>
        <v>-1.8302961653883509E-3</v>
      </c>
    </row>
    <row r="172" spans="1:37" x14ac:dyDescent="0.35">
      <c r="A172" t="s">
        <v>101</v>
      </c>
      <c r="B172" s="466">
        <f t="shared" ref="B172:K172" si="325">EXP($M154-B$160)/(1+EXP($M154-B$160))</f>
        <v>0.95167155366033074</v>
      </c>
      <c r="C172" s="447">
        <f t="shared" si="325"/>
        <v>0.95177771541623779</v>
      </c>
      <c r="D172" s="447">
        <f t="shared" si="325"/>
        <v>0.95177771541623779</v>
      </c>
      <c r="E172" s="447">
        <f t="shared" si="325"/>
        <v>0.86198068827270025</v>
      </c>
      <c r="F172" s="447">
        <f t="shared" si="325"/>
        <v>0.7255863560193303</v>
      </c>
      <c r="G172" s="447">
        <f t="shared" si="325"/>
        <v>0.55527335816688927</v>
      </c>
      <c r="H172" s="447">
        <f t="shared" si="325"/>
        <v>0.55527335816688927</v>
      </c>
      <c r="I172" s="447">
        <f t="shared" si="325"/>
        <v>0.37910481235640459</v>
      </c>
      <c r="J172" s="447">
        <f t="shared" si="325"/>
        <v>3.4692369345184174E-2</v>
      </c>
      <c r="K172" s="448">
        <f t="shared" si="325"/>
        <v>3.4692369345184174E-2</v>
      </c>
      <c r="M172" s="469">
        <f t="shared" si="298"/>
        <v>0.50335830192170761</v>
      </c>
      <c r="O172" s="466">
        <f t="shared" si="299"/>
        <v>4.5992807614062971E-2</v>
      </c>
      <c r="P172" s="447">
        <f t="shared" si="300"/>
        <v>4.5896895853284859E-2</v>
      </c>
      <c r="Q172" s="447">
        <f t="shared" si="301"/>
        <v>4.5896895853284859E-2</v>
      </c>
      <c r="R172" s="447">
        <f t="shared" si="302"/>
        <v>0.11896998131762221</v>
      </c>
      <c r="S172" s="447">
        <f t="shared" si="303"/>
        <v>0.19911079597791995</v>
      </c>
      <c r="T172" s="447">
        <f t="shared" si="304"/>
        <v>0.24694485587695478</v>
      </c>
      <c r="U172" s="447">
        <f t="shared" si="305"/>
        <v>0.24694485587695478</v>
      </c>
      <c r="V172" s="447">
        <f t="shared" si="306"/>
        <v>0.23538435360461984</v>
      </c>
      <c r="W172" s="447">
        <f t="shared" si="307"/>
        <v>3.3488808854401503E-2</v>
      </c>
      <c r="X172" s="448">
        <f t="shared" si="308"/>
        <v>3.3488808854401503E-2</v>
      </c>
      <c r="Y172" s="446">
        <f t="shared" si="320"/>
        <v>1.252119059683507</v>
      </c>
      <c r="AA172" s="466">
        <f t="shared" si="309"/>
        <v>4.8328446339669262E-2</v>
      </c>
      <c r="AB172" s="447">
        <f t="shared" si="310"/>
        <v>4.8222284583762209E-2</v>
      </c>
      <c r="AC172" s="447">
        <f t="shared" si="311"/>
        <v>4.8222284583762209E-2</v>
      </c>
      <c r="AD172" s="447">
        <f t="shared" si="312"/>
        <v>0.13801931172729975</v>
      </c>
      <c r="AE172" s="447">
        <f t="shared" si="313"/>
        <v>0.2744136439806697</v>
      </c>
      <c r="AF172" s="447">
        <f t="shared" si="314"/>
        <v>-0.55527335816688927</v>
      </c>
      <c r="AG172" s="447">
        <f t="shared" si="315"/>
        <v>0.44472664183311073</v>
      </c>
      <c r="AH172" s="447">
        <f t="shared" si="316"/>
        <v>-0.37910481235640459</v>
      </c>
      <c r="AI172" s="447">
        <f t="shared" si="317"/>
        <v>-3.4692369345184174E-2</v>
      </c>
      <c r="AJ172" s="448">
        <f t="shared" si="318"/>
        <v>-3.4692369345184174E-2</v>
      </c>
      <c r="AK172" s="446">
        <f t="shared" si="321"/>
        <v>-1.8302961653883509E-3</v>
      </c>
    </row>
    <row r="173" spans="1:37" x14ac:dyDescent="0.35">
      <c r="A173" t="s">
        <v>281</v>
      </c>
      <c r="B173" s="466">
        <f t="shared" ref="B173:K173" si="326">EXP($M155-B$160)/(1+EXP($M155-B$160))</f>
        <v>0.81903145654359011</v>
      </c>
      <c r="C173" s="447">
        <f t="shared" si="326"/>
        <v>0.81937368398446897</v>
      </c>
      <c r="D173" s="447">
        <f t="shared" si="326"/>
        <v>0.81937368398446897</v>
      </c>
      <c r="E173" s="447">
        <f t="shared" si="326"/>
        <v>0.58938870405069643</v>
      </c>
      <c r="F173" s="447">
        <f t="shared" si="326"/>
        <v>0.37799741672702164</v>
      </c>
      <c r="G173" s="447">
        <f t="shared" si="326"/>
        <v>0.22297729219564322</v>
      </c>
      <c r="H173" s="447">
        <f t="shared" si="326"/>
        <v>0.22297729219564316</v>
      </c>
      <c r="I173" s="447">
        <f t="shared" si="326"/>
        <v>0.12306179151326879</v>
      </c>
      <c r="J173" s="447">
        <f t="shared" si="326"/>
        <v>8.1923577513697155E-3</v>
      </c>
      <c r="K173" s="448">
        <f t="shared" si="326"/>
        <v>8.1923577513697155E-3</v>
      </c>
      <c r="M173" s="469">
        <f t="shared" si="298"/>
        <v>-0.97317068214523073</v>
      </c>
      <c r="O173" s="466">
        <f t="shared" si="299"/>
        <v>0.14821892973567538</v>
      </c>
      <c r="P173" s="447">
        <f t="shared" si="300"/>
        <v>0.14800044997818854</v>
      </c>
      <c r="Q173" s="447">
        <f t="shared" si="301"/>
        <v>0.14800044997818854</v>
      </c>
      <c r="R173" s="447">
        <f t="shared" si="302"/>
        <v>0.242009659588137</v>
      </c>
      <c r="S173" s="447">
        <f t="shared" si="303"/>
        <v>0.23511536967471997</v>
      </c>
      <c r="T173" s="447">
        <f t="shared" si="304"/>
        <v>0.17325841936074196</v>
      </c>
      <c r="U173" s="447">
        <f t="shared" si="305"/>
        <v>0.17325841936074193</v>
      </c>
      <c r="V173" s="447">
        <f t="shared" si="306"/>
        <v>0.10791758698281356</v>
      </c>
      <c r="W173" s="447">
        <f t="shared" si="307"/>
        <v>8.1252430258432883E-3</v>
      </c>
      <c r="X173" s="448">
        <f t="shared" si="308"/>
        <v>8.1252430258432883E-3</v>
      </c>
      <c r="Y173" s="446">
        <f t="shared" si="320"/>
        <v>1.3920297707108937</v>
      </c>
      <c r="AA173" s="466">
        <f t="shared" si="309"/>
        <v>0.18096854345640989</v>
      </c>
      <c r="AB173" s="447">
        <f t="shared" si="310"/>
        <v>0.18062631601553103</v>
      </c>
      <c r="AC173" s="447">
        <f t="shared" si="311"/>
        <v>0.18062631601553103</v>
      </c>
      <c r="AD173" s="447">
        <f t="shared" si="312"/>
        <v>0.41061129594930357</v>
      </c>
      <c r="AE173" s="447">
        <f t="shared" si="313"/>
        <v>-0.37799741672702164</v>
      </c>
      <c r="AF173" s="447">
        <f t="shared" si="314"/>
        <v>-0.22297729219564322</v>
      </c>
      <c r="AG173" s="447">
        <f t="shared" si="315"/>
        <v>-0.22297729219564316</v>
      </c>
      <c r="AH173" s="447">
        <f t="shared" si="316"/>
        <v>-0.12306179151326879</v>
      </c>
      <c r="AI173" s="447">
        <f t="shared" si="317"/>
        <v>-8.1923577513697155E-3</v>
      </c>
      <c r="AJ173" s="448">
        <f t="shared" si="318"/>
        <v>-8.1923577513697155E-3</v>
      </c>
      <c r="AK173" s="446">
        <f t="shared" si="321"/>
        <v>-1.0566036697540779E-2</v>
      </c>
    </row>
    <row r="174" spans="1:37" x14ac:dyDescent="0.35">
      <c r="A174" t="s">
        <v>537</v>
      </c>
      <c r="B174" s="466">
        <f t="shared" ref="B174:K174" si="327">EXP($M156-B$160)/(1+EXP($M156-B$160))</f>
        <v>0.81903145654359011</v>
      </c>
      <c r="C174" s="447">
        <f t="shared" si="327"/>
        <v>0.81937368398446897</v>
      </c>
      <c r="D174" s="447">
        <f t="shared" si="327"/>
        <v>0.81937368398446897</v>
      </c>
      <c r="E174" s="447">
        <f t="shared" si="327"/>
        <v>0.58938870405069643</v>
      </c>
      <c r="F174" s="447">
        <f t="shared" si="327"/>
        <v>0.37799741672702164</v>
      </c>
      <c r="G174" s="447">
        <f t="shared" si="327"/>
        <v>0.22297729219564322</v>
      </c>
      <c r="H174" s="447">
        <f t="shared" si="327"/>
        <v>0.22297729219564316</v>
      </c>
      <c r="I174" s="447">
        <f t="shared" si="327"/>
        <v>0.12306179151326879</v>
      </c>
      <c r="J174" s="447">
        <f t="shared" si="327"/>
        <v>8.1923577513697155E-3</v>
      </c>
      <c r="K174" s="448">
        <f t="shared" si="327"/>
        <v>8.1923577513697155E-3</v>
      </c>
      <c r="M174" s="469">
        <f t="shared" si="298"/>
        <v>-0.97317068214523084</v>
      </c>
      <c r="O174" s="466">
        <f t="shared" si="299"/>
        <v>0.14821892973567538</v>
      </c>
      <c r="P174" s="447">
        <f t="shared" si="300"/>
        <v>0.14800044997818854</v>
      </c>
      <c r="Q174" s="447">
        <f t="shared" si="301"/>
        <v>0.14800044997818854</v>
      </c>
      <c r="R174" s="447">
        <f t="shared" si="302"/>
        <v>0.242009659588137</v>
      </c>
      <c r="S174" s="447">
        <f t="shared" si="303"/>
        <v>0.23511536967471997</v>
      </c>
      <c r="T174" s="447">
        <f t="shared" si="304"/>
        <v>0.17325841936074196</v>
      </c>
      <c r="U174" s="447">
        <f t="shared" si="305"/>
        <v>0.17325841936074193</v>
      </c>
      <c r="V174" s="447">
        <f t="shared" si="306"/>
        <v>0.10791758698281356</v>
      </c>
      <c r="W174" s="447">
        <f t="shared" si="307"/>
        <v>8.1252430258432883E-3</v>
      </c>
      <c r="X174" s="448">
        <f t="shared" si="308"/>
        <v>8.1252430258432883E-3</v>
      </c>
      <c r="Y174" s="446">
        <f t="shared" si="320"/>
        <v>1.3920297707108937</v>
      </c>
      <c r="AA174" s="466">
        <f t="shared" si="309"/>
        <v>0.18096854345640989</v>
      </c>
      <c r="AB174" s="447">
        <f t="shared" si="310"/>
        <v>-0.81937368398446897</v>
      </c>
      <c r="AC174" s="447">
        <f t="shared" si="311"/>
        <v>0.18062631601553103</v>
      </c>
      <c r="AD174" s="447">
        <f t="shared" si="312"/>
        <v>-0.58938870405069643</v>
      </c>
      <c r="AE174" s="447">
        <f t="shared" si="313"/>
        <v>0.6220025832729783</v>
      </c>
      <c r="AF174" s="447">
        <f t="shared" si="314"/>
        <v>-0.22297729219564322</v>
      </c>
      <c r="AG174" s="447">
        <f t="shared" si="315"/>
        <v>0.77702270780435678</v>
      </c>
      <c r="AH174" s="447">
        <f t="shared" si="316"/>
        <v>-0.12306179151326879</v>
      </c>
      <c r="AI174" s="447">
        <f t="shared" si="317"/>
        <v>-8.1923577513697155E-3</v>
      </c>
      <c r="AJ174" s="448">
        <f t="shared" si="318"/>
        <v>-8.1923577513697155E-3</v>
      </c>
      <c r="AK174" s="446">
        <f t="shared" si="321"/>
        <v>-1.0566036697540835E-2</v>
      </c>
    </row>
    <row r="175" spans="1:37" x14ac:dyDescent="0.35">
      <c r="A175" t="s">
        <v>905</v>
      </c>
      <c r="B175" s="449">
        <f t="shared" ref="B175:K175" si="328">EXP($M157-B$160)/(1+EXP($M157-B$160))</f>
        <v>0.50032798702675862</v>
      </c>
      <c r="C175" s="450">
        <f t="shared" si="328"/>
        <v>0.50090564487493616</v>
      </c>
      <c r="D175" s="450">
        <f t="shared" si="328"/>
        <v>0.50090564487493616</v>
      </c>
      <c r="E175" s="450">
        <f t="shared" si="328"/>
        <v>0.24102861218214935</v>
      </c>
      <c r="F175" s="450">
        <f t="shared" si="328"/>
        <v>0.11851753296727417</v>
      </c>
      <c r="G175" s="450">
        <f t="shared" si="328"/>
        <v>5.9698877029633134E-2</v>
      </c>
      <c r="H175" s="450">
        <f t="shared" si="328"/>
        <v>5.9698877029633106E-2</v>
      </c>
      <c r="I175" s="450">
        <f t="shared" si="328"/>
        <v>3.0112571975969081E-2</v>
      </c>
      <c r="J175" s="450">
        <f t="shared" si="328"/>
        <v>1.8241510498741616E-3</v>
      </c>
      <c r="K175" s="451">
        <f t="shared" si="328"/>
        <v>1.8241510498741616E-3</v>
      </c>
      <c r="M175" s="470">
        <f t="shared" si="298"/>
        <v>-2.4866205113906914</v>
      </c>
      <c r="O175" s="449">
        <f t="shared" si="299"/>
        <v>0.24999989242451029</v>
      </c>
      <c r="P175" s="450">
        <f t="shared" si="300"/>
        <v>0.2499991798073605</v>
      </c>
      <c r="Q175" s="450">
        <f t="shared" si="301"/>
        <v>0.2499991798073605</v>
      </c>
      <c r="R175" s="450">
        <f t="shared" si="302"/>
        <v>0.18293382029169641</v>
      </c>
      <c r="S175" s="450">
        <f t="shared" si="303"/>
        <v>0.10447112734662525</v>
      </c>
      <c r="T175" s="450">
        <f t="shared" si="304"/>
        <v>5.6134921111033874E-2</v>
      </c>
      <c r="U175" s="450">
        <f t="shared" si="305"/>
        <v>5.6134921111033853E-2</v>
      </c>
      <c r="V175" s="450">
        <f t="shared" si="306"/>
        <v>2.9205804984961163E-2</v>
      </c>
      <c r="W175" s="450">
        <f t="shared" si="307"/>
        <v>1.8208235228214045E-3</v>
      </c>
      <c r="X175" s="451">
        <f t="shared" si="308"/>
        <v>1.8208235228214045E-3</v>
      </c>
      <c r="Y175" s="446">
        <f t="shared" si="320"/>
        <v>1.1825204939302245</v>
      </c>
      <c r="AA175" s="449">
        <f t="shared" si="309"/>
        <v>-0.50032798702675862</v>
      </c>
      <c r="AB175" s="450">
        <f t="shared" si="310"/>
        <v>0.49909435512506384</v>
      </c>
      <c r="AC175" s="450">
        <f t="shared" si="311"/>
        <v>-0.50090564487493616</v>
      </c>
      <c r="AD175" s="450">
        <f t="shared" si="312"/>
        <v>0.75897138781785067</v>
      </c>
      <c r="AE175" s="450">
        <f t="shared" si="313"/>
        <v>-0.11851753296727417</v>
      </c>
      <c r="AF175" s="450">
        <f t="shared" si="314"/>
        <v>-5.9698877029633134E-2</v>
      </c>
      <c r="AG175" s="450">
        <f t="shared" si="315"/>
        <v>-5.9698877029633106E-2</v>
      </c>
      <c r="AH175" s="450">
        <f t="shared" si="316"/>
        <v>-3.0112571975969081E-2</v>
      </c>
      <c r="AI175" s="450">
        <f t="shared" si="317"/>
        <v>-1.8241510498741616E-3</v>
      </c>
      <c r="AJ175" s="451">
        <f t="shared" si="318"/>
        <v>-1.8241510498741616E-3</v>
      </c>
      <c r="AK175" s="446">
        <f t="shared" si="321"/>
        <v>-1.4844050061038113E-2</v>
      </c>
    </row>
    <row r="176" spans="1:37" x14ac:dyDescent="0.35">
      <c r="O176" s="446">
        <f>SUM(O167:O175)</f>
        <v>0.68677562527733083</v>
      </c>
      <c r="P176" s="446">
        <f t="shared" ref="P176:X176" si="329">SUM(P167:P175)</f>
        <v>0.68603857497411636</v>
      </c>
      <c r="Q176" s="446">
        <f t="shared" si="329"/>
        <v>0.68603857497411636</v>
      </c>
      <c r="R176" s="446">
        <f t="shared" si="329"/>
        <v>1.0461597563448255</v>
      </c>
      <c r="S176" s="446">
        <f t="shared" si="329"/>
        <v>1.2625423105923816</v>
      </c>
      <c r="T176" s="446">
        <f t="shared" si="329"/>
        <v>1.3782507762070286</v>
      </c>
      <c r="U176" s="446">
        <f t="shared" si="329"/>
        <v>1.3782507762070288</v>
      </c>
      <c r="V176" s="446">
        <f t="shared" si="329"/>
        <v>1.3855294490390146</v>
      </c>
      <c r="W176" s="446">
        <f t="shared" si="329"/>
        <v>0.65016038832639311</v>
      </c>
      <c r="X176" s="446">
        <f t="shared" si="329"/>
        <v>0.65016038832639311</v>
      </c>
      <c r="AA176" s="446">
        <f>SUM(AA167:AA175)</f>
        <v>6.0098092981339946E-3</v>
      </c>
      <c r="AB176" s="446">
        <f t="shared" ref="AB176:AJ176" si="330">SUM(AB167:AB175)</f>
        <v>5.9274050692406099E-3</v>
      </c>
      <c r="AC176" s="446">
        <f t="shared" si="330"/>
        <v>5.9274050692406099E-3</v>
      </c>
      <c r="AD176" s="446">
        <f t="shared" si="330"/>
        <v>5.6832792781820185E-3</v>
      </c>
      <c r="AE176" s="446">
        <f t="shared" si="330"/>
        <v>2.9709329893775754E-3</v>
      </c>
      <c r="AF176" s="446">
        <f t="shared" si="330"/>
        <v>-8.9431998560737108E-4</v>
      </c>
      <c r="AG176" s="446">
        <f t="shared" si="330"/>
        <v>-8.9431998560701026E-4</v>
      </c>
      <c r="AH176" s="446">
        <f t="shared" si="330"/>
        <v>-5.074252316716564E-3</v>
      </c>
      <c r="AI176" s="446">
        <f t="shared" si="330"/>
        <v>-1.3270719697229561E-2</v>
      </c>
      <c r="AJ176" s="446">
        <f t="shared" si="330"/>
        <v>-1.3270719697229561E-2</v>
      </c>
      <c r="AK176" s="446">
        <f>SUMSQ(AK167:AK175)</f>
        <v>8.3015546965431529E-4</v>
      </c>
    </row>
    <row r="177" spans="1:37" x14ac:dyDescent="0.35">
      <c r="A177" t="s">
        <v>822</v>
      </c>
      <c r="B177" s="471">
        <f t="shared" ref="B177:K177" si="331">B160-AA176/O176</f>
        <v>-2.4841303302799234</v>
      </c>
      <c r="C177" s="472">
        <f t="shared" si="331"/>
        <v>-2.4863302508584768</v>
      </c>
      <c r="D177" s="472">
        <f t="shared" si="331"/>
        <v>-2.4863302508584768</v>
      </c>
      <c r="E177" s="472">
        <f t="shared" si="331"/>
        <v>-1.3324517064649721</v>
      </c>
      <c r="F177" s="472">
        <f t="shared" si="331"/>
        <v>-0.46987655190197297</v>
      </c>
      <c r="G177" s="472">
        <f t="shared" si="331"/>
        <v>0.28346821693296176</v>
      </c>
      <c r="H177" s="472">
        <f t="shared" si="331"/>
        <v>0.28346821693296165</v>
      </c>
      <c r="I177" s="472">
        <f t="shared" si="331"/>
        <v>1.0018319520101708</v>
      </c>
      <c r="J177" s="472">
        <f t="shared" si="331"/>
        <v>3.8511585957065724</v>
      </c>
      <c r="K177" s="473">
        <f t="shared" si="331"/>
        <v>3.8511585957065724</v>
      </c>
      <c r="L177" s="446">
        <f>AVERAGE(B177:K177)</f>
        <v>1.1966486925417464E-3</v>
      </c>
    </row>
    <row r="178" spans="1:37" x14ac:dyDescent="0.35">
      <c r="A178" t="s">
        <v>906</v>
      </c>
      <c r="B178" s="89">
        <f>B177-L177</f>
        <v>-2.485326978972465</v>
      </c>
      <c r="C178" s="159">
        <f>C177-L177</f>
        <v>-2.4875268995510185</v>
      </c>
      <c r="D178" s="159">
        <f>D177-L177</f>
        <v>-2.4875268995510185</v>
      </c>
      <c r="E178" s="159">
        <f>E177-L177</f>
        <v>-1.3336483551575138</v>
      </c>
      <c r="F178" s="159">
        <f>F177-L177</f>
        <v>-0.47107320059451474</v>
      </c>
      <c r="G178" s="159">
        <f>G177-L177</f>
        <v>0.28227156824041999</v>
      </c>
      <c r="H178" s="159">
        <f>H177-L177</f>
        <v>0.28227156824041988</v>
      </c>
      <c r="I178" s="159">
        <f>I177-L177</f>
        <v>1.0006353033176292</v>
      </c>
      <c r="J178" s="159">
        <f>J177-L177</f>
        <v>3.8499619470140307</v>
      </c>
      <c r="K178" s="93">
        <f>K177-L177</f>
        <v>3.8499619470140307</v>
      </c>
      <c r="L178" s="446">
        <f>AVERAGE(B178:K178)</f>
        <v>0</v>
      </c>
    </row>
    <row r="179" spans="1:37" x14ac:dyDescent="0.35">
      <c r="L179" s="446"/>
    </row>
    <row r="180" spans="1:37" x14ac:dyDescent="0.35">
      <c r="A180" t="s">
        <v>907</v>
      </c>
      <c r="B180" s="461">
        <f>B162+1</f>
        <v>10</v>
      </c>
    </row>
    <row r="181" spans="1:37" x14ac:dyDescent="0.35">
      <c r="B181" s="461"/>
    </row>
    <row r="182" spans="1:37" x14ac:dyDescent="0.35">
      <c r="B182" t="s">
        <v>860</v>
      </c>
      <c r="O182" t="s">
        <v>908</v>
      </c>
      <c r="AA182" t="s">
        <v>909</v>
      </c>
    </row>
    <row r="184" spans="1:37" x14ac:dyDescent="0.35">
      <c r="B184">
        <v>1</v>
      </c>
      <c r="C184">
        <v>2</v>
      </c>
      <c r="D184">
        <v>3</v>
      </c>
      <c r="E184">
        <v>4</v>
      </c>
      <c r="F184">
        <v>5</v>
      </c>
      <c r="G184">
        <v>6</v>
      </c>
      <c r="H184">
        <v>7</v>
      </c>
      <c r="I184">
        <v>8</v>
      </c>
      <c r="J184">
        <v>9</v>
      </c>
      <c r="K184">
        <v>10</v>
      </c>
      <c r="M184" t="s">
        <v>904</v>
      </c>
      <c r="O184">
        <v>1</v>
      </c>
      <c r="P184">
        <v>2</v>
      </c>
      <c r="Q184">
        <v>3</v>
      </c>
      <c r="R184">
        <v>4</v>
      </c>
      <c r="S184">
        <v>5</v>
      </c>
      <c r="T184">
        <v>6</v>
      </c>
      <c r="U184">
        <v>7</v>
      </c>
      <c r="V184">
        <v>8</v>
      </c>
      <c r="W184">
        <v>9</v>
      </c>
      <c r="X184">
        <v>10</v>
      </c>
      <c r="AA184">
        <v>1</v>
      </c>
      <c r="AB184">
        <v>2</v>
      </c>
      <c r="AC184">
        <v>3</v>
      </c>
      <c r="AD184">
        <v>4</v>
      </c>
      <c r="AE184">
        <v>5</v>
      </c>
      <c r="AF184">
        <v>6</v>
      </c>
      <c r="AG184">
        <v>7</v>
      </c>
      <c r="AH184">
        <v>8</v>
      </c>
      <c r="AI184">
        <v>9</v>
      </c>
      <c r="AJ184">
        <v>10</v>
      </c>
    </row>
    <row r="185" spans="1:37" x14ac:dyDescent="0.35">
      <c r="A185" t="s">
        <v>218</v>
      </c>
      <c r="B185" s="464">
        <f t="shared" ref="B185:K185" si="332">EXP($M167-B$178)/(1+EXP($M167-B$178))</f>
        <v>0.99854932272362795</v>
      </c>
      <c r="C185" s="467">
        <f t="shared" si="332"/>
        <v>0.99855250597618994</v>
      </c>
      <c r="D185" s="467">
        <f t="shared" si="332"/>
        <v>0.99855250597618994</v>
      </c>
      <c r="E185" s="467">
        <f t="shared" si="332"/>
        <v>0.99542514257291481</v>
      </c>
      <c r="F185" s="467">
        <f t="shared" si="332"/>
        <v>0.98922847492109667</v>
      </c>
      <c r="G185" s="467">
        <f t="shared" si="332"/>
        <v>0.97739399952262151</v>
      </c>
      <c r="H185" s="467">
        <f t="shared" si="332"/>
        <v>0.97739399952262151</v>
      </c>
      <c r="I185" s="467">
        <f t="shared" si="332"/>
        <v>0.95470953992616525</v>
      </c>
      <c r="J185" s="467">
        <f t="shared" si="332"/>
        <v>0.54958252953027509</v>
      </c>
      <c r="K185" s="465">
        <f t="shared" si="332"/>
        <v>0.54958252953027509</v>
      </c>
      <c r="M185" s="468">
        <f t="shared" ref="M185:M193" si="333">M167+AK185/Y185</f>
        <v>4.0648560020023199</v>
      </c>
      <c r="O185" s="464">
        <f t="shared" ref="O185:O193" si="334">B185*(1-B185)</f>
        <v>1.4485728118118655E-3</v>
      </c>
      <c r="P185" s="467">
        <f t="shared" ref="P185:P193" si="335">C185*(1-C185)</f>
        <v>1.4453987848610929E-3</v>
      </c>
      <c r="Q185" s="467">
        <f t="shared" ref="Q185:Q193" si="336">D185*(1-D185)</f>
        <v>1.4453987848610929E-3</v>
      </c>
      <c r="R185" s="467">
        <f t="shared" ref="R185:R193" si="337">E185*(1-E185)</f>
        <v>4.5539281066070319E-3</v>
      </c>
      <c r="S185" s="467">
        <f t="shared" ref="S185:S193" si="338">F185*(1-F185)</f>
        <v>1.0655499326377889E-2</v>
      </c>
      <c r="T185" s="467">
        <f t="shared" ref="T185:T193" si="339">G185*(1-G185)</f>
        <v>2.209496921979525E-2</v>
      </c>
      <c r="U185" s="467">
        <f t="shared" ref="U185:U193" si="340">H185*(1-H185)</f>
        <v>2.209496921979525E-2</v>
      </c>
      <c r="V185" s="467">
        <f t="shared" ref="V185:V193" si="341">I185*(1-I185)</f>
        <v>4.3239234300135126E-2</v>
      </c>
      <c r="W185" s="467">
        <f t="shared" ref="W185:W193" si="342">J185*(1-J185)</f>
        <v>0.24754157276537939</v>
      </c>
      <c r="X185" s="465">
        <f t="shared" ref="X185:X193" si="343">K185*(1-K185)</f>
        <v>0.24754157276537939</v>
      </c>
      <c r="Y185" s="446">
        <f>SUM(O185:X185)</f>
        <v>0.60206111608500334</v>
      </c>
      <c r="AA185" s="464" t="str">
        <f t="shared" ref="AA185:AA193" si="344">IF(ISNUMBER(B5),B5-B185,"")</f>
        <v/>
      </c>
      <c r="AB185" s="467">
        <f t="shared" ref="AB185:AB193" si="345">IF(ISNUMBER(C5),C5-C185,"")</f>
        <v>1.4474940238100586E-3</v>
      </c>
      <c r="AC185" s="467">
        <f t="shared" ref="AC185:AC193" si="346">IF(ISNUMBER(D5),D5-D185,"")</f>
        <v>1.4474940238100586E-3</v>
      </c>
      <c r="AD185" s="467">
        <f t="shared" ref="AD185:AD193" si="347">IF(ISNUMBER(E5),E5-E185,"")</f>
        <v>4.5748574270851883E-3</v>
      </c>
      <c r="AE185" s="467">
        <f t="shared" ref="AE185:AE193" si="348">IF(ISNUMBER(F5),F5-F185,"")</f>
        <v>1.0771525078903332E-2</v>
      </c>
      <c r="AF185" s="467">
        <f t="shared" ref="AF185:AF193" si="349">IF(ISNUMBER(G5),G5-G185,"")</f>
        <v>2.2606000477378485E-2</v>
      </c>
      <c r="AG185" s="467">
        <f t="shared" ref="AG185:AG193" si="350">IF(ISNUMBER(H5),H5-H185,"")</f>
        <v>2.2606000477378485E-2</v>
      </c>
      <c r="AH185" s="467">
        <f t="shared" ref="AH185:AH193" si="351">IF(ISNUMBER(I5),I5-I185,"")</f>
        <v>4.5290460073834748E-2</v>
      </c>
      <c r="AI185" s="467">
        <f t="shared" ref="AI185:AI193" si="352">IF(ISNUMBER(J5),J5-J185,"")</f>
        <v>-0.54958252953027509</v>
      </c>
      <c r="AJ185" s="465">
        <f t="shared" ref="AJ185:AJ193" si="353">IF(ISNUMBER(K5),K5-K185,"")</f>
        <v>0.45041747046972491</v>
      </c>
      <c r="AK185" s="446">
        <f>SUM(AA185:AJ185)</f>
        <v>9.5787725216501807E-3</v>
      </c>
    </row>
    <row r="186" spans="1:37" x14ac:dyDescent="0.35">
      <c r="A186" t="s">
        <v>98</v>
      </c>
      <c r="B186" s="466">
        <f t="shared" ref="B186:K186" si="354">EXP($M168-B$178)/(1+EXP($M168-B$178))</f>
        <v>0.99366044389859787</v>
      </c>
      <c r="C186" s="447">
        <f t="shared" si="354"/>
        <v>0.99367428696443572</v>
      </c>
      <c r="D186" s="447">
        <f t="shared" si="354"/>
        <v>0.99367428696443572</v>
      </c>
      <c r="E186" s="447">
        <f t="shared" si="354"/>
        <v>0.98021616954827806</v>
      </c>
      <c r="F186" s="447">
        <f t="shared" si="354"/>
        <v>0.95436333547708496</v>
      </c>
      <c r="G186" s="447">
        <f t="shared" si="354"/>
        <v>0.90779366255936356</v>
      </c>
      <c r="H186" s="447">
        <f t="shared" si="354"/>
        <v>0.90779366255936356</v>
      </c>
      <c r="I186" s="447">
        <f t="shared" si="354"/>
        <v>0.8275874328493541</v>
      </c>
      <c r="J186" s="447">
        <f t="shared" si="354"/>
        <v>0.2174307285607911</v>
      </c>
      <c r="K186" s="448">
        <f t="shared" si="354"/>
        <v>0.2174307285607911</v>
      </c>
      <c r="M186" s="469">
        <f t="shared" si="333"/>
        <v>2.5779665529411298</v>
      </c>
      <c r="O186" s="466">
        <f t="shared" si="334"/>
        <v>6.2993661298393075E-3</v>
      </c>
      <c r="P186" s="447">
        <f t="shared" si="335"/>
        <v>6.2856983901559763E-3</v>
      </c>
      <c r="Q186" s="447">
        <f t="shared" si="336"/>
        <v>6.2856983901559763E-3</v>
      </c>
      <c r="R186" s="447">
        <f t="shared" si="337"/>
        <v>1.9392430504379461E-2</v>
      </c>
      <c r="S186" s="447">
        <f t="shared" si="338"/>
        <v>4.3553959374137946E-2</v>
      </c>
      <c r="T186" s="447">
        <f t="shared" si="339"/>
        <v>8.3704328776419923E-2</v>
      </c>
      <c r="U186" s="447">
        <f t="shared" si="340"/>
        <v>8.3704328776419923E-2</v>
      </c>
      <c r="V186" s="447">
        <f t="shared" si="341"/>
        <v>0.14268647383916991</v>
      </c>
      <c r="W186" s="447">
        <f t="shared" si="342"/>
        <v>0.17015460683831468</v>
      </c>
      <c r="X186" s="448">
        <f t="shared" si="343"/>
        <v>0.17015460683831468</v>
      </c>
      <c r="Y186" s="446">
        <f t="shared" ref="Y186:Y193" si="355">SUM(O186:X186)</f>
        <v>0.73222149785730783</v>
      </c>
      <c r="AA186" s="466">
        <f t="shared" si="344"/>
        <v>6.3395561014021329E-3</v>
      </c>
      <c r="AB186" s="447">
        <f t="shared" si="345"/>
        <v>6.3257130355642843E-3</v>
      </c>
      <c r="AC186" s="447">
        <f t="shared" si="346"/>
        <v>6.3257130355642843E-3</v>
      </c>
      <c r="AD186" s="447">
        <f t="shared" si="347"/>
        <v>-0.98021616954827806</v>
      </c>
      <c r="AE186" s="447">
        <f t="shared" si="348"/>
        <v>4.5636664522915038E-2</v>
      </c>
      <c r="AF186" s="447">
        <f t="shared" si="349"/>
        <v>9.2206337440636443E-2</v>
      </c>
      <c r="AG186" s="447">
        <f t="shared" si="350"/>
        <v>9.2206337440636443E-2</v>
      </c>
      <c r="AH186" s="447">
        <f t="shared" si="351"/>
        <v>0.1724125671506459</v>
      </c>
      <c r="AI186" s="447">
        <f t="shared" si="352"/>
        <v>0.78256927143920896</v>
      </c>
      <c r="AJ186" s="448">
        <f t="shared" si="353"/>
        <v>-0.2174307285607911</v>
      </c>
      <c r="AK186" s="446">
        <f t="shared" ref="AK186:AK193" si="356">SUM(AA186:AJ186)</f>
        <v>6.3752620575043273E-3</v>
      </c>
    </row>
    <row r="187" spans="1:37" x14ac:dyDescent="0.35">
      <c r="A187" t="s">
        <v>99</v>
      </c>
      <c r="B187" s="466">
        <f t="shared" ref="B187:K187" si="357">EXP($M169-B$178)/(1+EXP($M169-B$178))</f>
        <v>0.97963984261326187</v>
      </c>
      <c r="C187" s="447">
        <f t="shared" si="357"/>
        <v>0.97968367512777033</v>
      </c>
      <c r="D187" s="447">
        <f t="shared" si="357"/>
        <v>0.97968367512777033</v>
      </c>
      <c r="E187" s="447">
        <f t="shared" si="357"/>
        <v>0.93830814242643579</v>
      </c>
      <c r="F187" s="447">
        <f t="shared" si="357"/>
        <v>0.86522131843870898</v>
      </c>
      <c r="G187" s="447">
        <f t="shared" si="357"/>
        <v>0.751383855340514</v>
      </c>
      <c r="H187" s="447">
        <f t="shared" si="357"/>
        <v>0.751383855340514</v>
      </c>
      <c r="I187" s="447">
        <f t="shared" si="357"/>
        <v>0.59571512101228141</v>
      </c>
      <c r="J187" s="447">
        <f t="shared" si="357"/>
        <v>7.858831925029798E-2</v>
      </c>
      <c r="K187" s="448">
        <f t="shared" si="357"/>
        <v>7.858831925029798E-2</v>
      </c>
      <c r="M187" s="469">
        <f t="shared" si="333"/>
        <v>1.3900937235814019</v>
      </c>
      <c r="O187" s="466">
        <f t="shared" si="334"/>
        <v>1.9945621377925386E-2</v>
      </c>
      <c r="P187" s="447">
        <f t="shared" si="335"/>
        <v>1.9903571815915694E-2</v>
      </c>
      <c r="Q187" s="447">
        <f t="shared" si="336"/>
        <v>1.9903571815915694E-2</v>
      </c>
      <c r="R187" s="447">
        <f t="shared" si="337"/>
        <v>5.7885972282687277E-2</v>
      </c>
      <c r="S187" s="447">
        <f t="shared" si="338"/>
        <v>0.11661338855789113</v>
      </c>
      <c r="T187" s="447">
        <f t="shared" si="339"/>
        <v>0.18680615727413954</v>
      </c>
      <c r="U187" s="447">
        <f t="shared" si="340"/>
        <v>0.18680615727413954</v>
      </c>
      <c r="V187" s="447">
        <f t="shared" si="341"/>
        <v>0.24083861560960432</v>
      </c>
      <c r="W187" s="447">
        <f t="shared" si="342"/>
        <v>7.2412195327711232E-2</v>
      </c>
      <c r="X187" s="448">
        <f t="shared" si="343"/>
        <v>7.2412195327711232E-2</v>
      </c>
      <c r="Y187" s="446">
        <f t="shared" si="355"/>
        <v>0.99352744666364112</v>
      </c>
      <c r="AA187" s="466">
        <f t="shared" si="344"/>
        <v>2.0360157386738131E-2</v>
      </c>
      <c r="AB187" s="447">
        <f t="shared" si="345"/>
        <v>2.0316324872229674E-2</v>
      </c>
      <c r="AC187" s="447">
        <f t="shared" si="346"/>
        <v>2.0316324872229674E-2</v>
      </c>
      <c r="AD187" s="447">
        <f t="shared" si="347"/>
        <v>6.1691857573564213E-2</v>
      </c>
      <c r="AE187" s="447">
        <f t="shared" si="348"/>
        <v>0.13477868156129102</v>
      </c>
      <c r="AF187" s="447">
        <f t="shared" si="349"/>
        <v>0.248616144659486</v>
      </c>
      <c r="AG187" s="447">
        <f t="shared" si="350"/>
        <v>-0.751383855340514</v>
      </c>
      <c r="AH187" s="447">
        <f t="shared" si="351"/>
        <v>0.40428487898771859</v>
      </c>
      <c r="AI187" s="447">
        <f t="shared" si="352"/>
        <v>-7.858831925029798E-2</v>
      </c>
      <c r="AJ187" s="448">
        <f t="shared" si="353"/>
        <v>-7.858831925029798E-2</v>
      </c>
      <c r="AK187" s="446">
        <f t="shared" si="356"/>
        <v>1.8038760721473535E-3</v>
      </c>
    </row>
    <row r="188" spans="1:37" x14ac:dyDescent="0.35">
      <c r="A188" t="s">
        <v>100</v>
      </c>
      <c r="B188" s="466">
        <f t="shared" ref="B188:K188" si="358">EXP($M170-B$178)/(1+EXP($M170-B$178))</f>
        <v>0.97963984261326187</v>
      </c>
      <c r="C188" s="447">
        <f t="shared" si="358"/>
        <v>0.97968367512777033</v>
      </c>
      <c r="D188" s="447">
        <f t="shared" si="358"/>
        <v>0.97968367512777033</v>
      </c>
      <c r="E188" s="447">
        <f t="shared" si="358"/>
        <v>0.93830814242643579</v>
      </c>
      <c r="F188" s="447">
        <f t="shared" si="358"/>
        <v>0.86522131843870898</v>
      </c>
      <c r="G188" s="447">
        <f t="shared" si="358"/>
        <v>0.751383855340514</v>
      </c>
      <c r="H188" s="447">
        <f t="shared" si="358"/>
        <v>0.751383855340514</v>
      </c>
      <c r="I188" s="447">
        <f t="shared" si="358"/>
        <v>0.59571512101228141</v>
      </c>
      <c r="J188" s="447">
        <f t="shared" si="358"/>
        <v>7.858831925029798E-2</v>
      </c>
      <c r="K188" s="448">
        <f t="shared" si="358"/>
        <v>7.858831925029798E-2</v>
      </c>
      <c r="M188" s="469">
        <f t="shared" si="333"/>
        <v>1.3900937235814019</v>
      </c>
      <c r="O188" s="466">
        <f t="shared" si="334"/>
        <v>1.9945621377925386E-2</v>
      </c>
      <c r="P188" s="447">
        <f t="shared" si="335"/>
        <v>1.9903571815915694E-2</v>
      </c>
      <c r="Q188" s="447">
        <f t="shared" si="336"/>
        <v>1.9903571815915694E-2</v>
      </c>
      <c r="R188" s="447">
        <f t="shared" si="337"/>
        <v>5.7885972282687277E-2</v>
      </c>
      <c r="S188" s="447">
        <f t="shared" si="338"/>
        <v>0.11661338855789113</v>
      </c>
      <c r="T188" s="447">
        <f t="shared" si="339"/>
        <v>0.18680615727413954</v>
      </c>
      <c r="U188" s="447">
        <f t="shared" si="340"/>
        <v>0.18680615727413954</v>
      </c>
      <c r="V188" s="447">
        <f t="shared" si="341"/>
        <v>0.24083861560960432</v>
      </c>
      <c r="W188" s="447">
        <f t="shared" si="342"/>
        <v>7.2412195327711232E-2</v>
      </c>
      <c r="X188" s="448">
        <f t="shared" si="343"/>
        <v>7.2412195327711232E-2</v>
      </c>
      <c r="Y188" s="446">
        <f t="shared" si="355"/>
        <v>0.99352744666364112</v>
      </c>
      <c r="AA188" s="466">
        <f t="shared" si="344"/>
        <v>2.0360157386738131E-2</v>
      </c>
      <c r="AB188" s="447">
        <f t="shared" si="345"/>
        <v>2.0316324872229674E-2</v>
      </c>
      <c r="AC188" s="447">
        <f t="shared" si="346"/>
        <v>2.0316324872229674E-2</v>
      </c>
      <c r="AD188" s="447">
        <f t="shared" si="347"/>
        <v>6.1691857573564213E-2</v>
      </c>
      <c r="AE188" s="447">
        <f t="shared" si="348"/>
        <v>0.13477868156129102</v>
      </c>
      <c r="AF188" s="447">
        <f t="shared" si="349"/>
        <v>0.248616144659486</v>
      </c>
      <c r="AG188" s="447">
        <f t="shared" si="350"/>
        <v>-0.751383855340514</v>
      </c>
      <c r="AH188" s="447">
        <f t="shared" si="351"/>
        <v>0.40428487898771859</v>
      </c>
      <c r="AI188" s="447">
        <f t="shared" si="352"/>
        <v>-7.858831925029798E-2</v>
      </c>
      <c r="AJ188" s="448">
        <f t="shared" si="353"/>
        <v>-7.858831925029798E-2</v>
      </c>
      <c r="AK188" s="446">
        <f t="shared" si="356"/>
        <v>1.8038760721473535E-3</v>
      </c>
    </row>
    <row r="189" spans="1:37" x14ac:dyDescent="0.35">
      <c r="A189" t="s">
        <v>536</v>
      </c>
      <c r="B189" s="466">
        <f t="shared" ref="B189:K189" si="359">EXP($M171-B$178)/(1+EXP($M171-B$178))</f>
        <v>0.95206034011597263</v>
      </c>
      <c r="C189" s="447">
        <f t="shared" si="359"/>
        <v>0.95216064788241828</v>
      </c>
      <c r="D189" s="447">
        <f t="shared" si="359"/>
        <v>0.95216064788241828</v>
      </c>
      <c r="E189" s="447">
        <f t="shared" si="359"/>
        <v>0.8625943052697288</v>
      </c>
      <c r="F189" s="447">
        <f t="shared" si="359"/>
        <v>0.72600190848853163</v>
      </c>
      <c r="G189" s="447">
        <f t="shared" si="359"/>
        <v>0.55504764149081187</v>
      </c>
      <c r="H189" s="447">
        <f t="shared" si="359"/>
        <v>0.55504764149081187</v>
      </c>
      <c r="I189" s="447">
        <f t="shared" si="359"/>
        <v>0.37818079663773813</v>
      </c>
      <c r="J189" s="447">
        <f t="shared" si="359"/>
        <v>3.4006558391165398E-2</v>
      </c>
      <c r="K189" s="448">
        <f t="shared" si="359"/>
        <v>3.4006558391165398E-2</v>
      </c>
      <c r="M189" s="469">
        <f t="shared" si="333"/>
        <v>0.50234384644286811</v>
      </c>
      <c r="O189" s="466">
        <f t="shared" si="334"/>
        <v>4.5641448894231149E-2</v>
      </c>
      <c r="P189" s="447">
        <f t="shared" si="335"/>
        <v>4.5550748506551754E-2</v>
      </c>
      <c r="Q189" s="447">
        <f t="shared" si="336"/>
        <v>4.5550748506551754E-2</v>
      </c>
      <c r="R189" s="447">
        <f t="shared" si="337"/>
        <v>0.11852536978596272</v>
      </c>
      <c r="S189" s="447">
        <f t="shared" si="338"/>
        <v>0.19892313735954137</v>
      </c>
      <c r="T189" s="447">
        <f t="shared" si="339"/>
        <v>0.24696975716629904</v>
      </c>
      <c r="U189" s="447">
        <f t="shared" si="340"/>
        <v>0.24696975716629904</v>
      </c>
      <c r="V189" s="447">
        <f t="shared" si="341"/>
        <v>0.23516008169218386</v>
      </c>
      <c r="W189" s="447">
        <f t="shared" si="342"/>
        <v>3.2850112377553656E-2</v>
      </c>
      <c r="X189" s="448">
        <f t="shared" si="343"/>
        <v>3.2850112377553656E-2</v>
      </c>
      <c r="Y189" s="446">
        <f t="shared" si="355"/>
        <v>1.2489912738327282</v>
      </c>
      <c r="AA189" s="466">
        <f t="shared" si="344"/>
        <v>4.7939659884027375E-2</v>
      </c>
      <c r="AB189" s="447">
        <f t="shared" si="345"/>
        <v>4.7839352117581724E-2</v>
      </c>
      <c r="AC189" s="447">
        <f t="shared" si="346"/>
        <v>4.7839352117581724E-2</v>
      </c>
      <c r="AD189" s="447">
        <f t="shared" si="347"/>
        <v>0.1374056947302712</v>
      </c>
      <c r="AE189" s="447">
        <f t="shared" si="348"/>
        <v>-0.72600190848853163</v>
      </c>
      <c r="AF189" s="447">
        <f t="shared" si="349"/>
        <v>0.44495235850918813</v>
      </c>
      <c r="AG189" s="447">
        <f t="shared" si="350"/>
        <v>0.44495235850918813</v>
      </c>
      <c r="AH189" s="447">
        <f t="shared" si="351"/>
        <v>-0.37818079663773813</v>
      </c>
      <c r="AI189" s="447">
        <f t="shared" si="352"/>
        <v>-3.4006558391165398E-2</v>
      </c>
      <c r="AJ189" s="448">
        <f t="shared" si="353"/>
        <v>-3.4006558391165398E-2</v>
      </c>
      <c r="AK189" s="446">
        <f t="shared" si="356"/>
        <v>-1.2670460407622763E-3</v>
      </c>
    </row>
    <row r="190" spans="1:37" x14ac:dyDescent="0.35">
      <c r="A190" t="s">
        <v>101</v>
      </c>
      <c r="B190" s="466">
        <f t="shared" ref="B190:K190" si="360">EXP($M172-B$178)/(1+EXP($M172-B$178))</f>
        <v>0.95206034011597263</v>
      </c>
      <c r="C190" s="447">
        <f t="shared" si="360"/>
        <v>0.95216064788241828</v>
      </c>
      <c r="D190" s="447">
        <f t="shared" si="360"/>
        <v>0.95216064788241828</v>
      </c>
      <c r="E190" s="447">
        <f t="shared" si="360"/>
        <v>0.8625943052697288</v>
      </c>
      <c r="F190" s="447">
        <f t="shared" si="360"/>
        <v>0.72600190848853163</v>
      </c>
      <c r="G190" s="447">
        <f t="shared" si="360"/>
        <v>0.55504764149081187</v>
      </c>
      <c r="H190" s="447">
        <f t="shared" si="360"/>
        <v>0.55504764149081187</v>
      </c>
      <c r="I190" s="447">
        <f t="shared" si="360"/>
        <v>0.37818079663773813</v>
      </c>
      <c r="J190" s="447">
        <f t="shared" si="360"/>
        <v>3.4006558391165398E-2</v>
      </c>
      <c r="K190" s="448">
        <f t="shared" si="360"/>
        <v>3.4006558391165398E-2</v>
      </c>
      <c r="M190" s="469">
        <f t="shared" si="333"/>
        <v>0.50234384644286811</v>
      </c>
      <c r="O190" s="466">
        <f t="shared" si="334"/>
        <v>4.5641448894231149E-2</v>
      </c>
      <c r="P190" s="447">
        <f t="shared" si="335"/>
        <v>4.5550748506551754E-2</v>
      </c>
      <c r="Q190" s="447">
        <f t="shared" si="336"/>
        <v>4.5550748506551754E-2</v>
      </c>
      <c r="R190" s="447">
        <f t="shared" si="337"/>
        <v>0.11852536978596272</v>
      </c>
      <c r="S190" s="447">
        <f t="shared" si="338"/>
        <v>0.19892313735954137</v>
      </c>
      <c r="T190" s="447">
        <f t="shared" si="339"/>
        <v>0.24696975716629904</v>
      </c>
      <c r="U190" s="447">
        <f t="shared" si="340"/>
        <v>0.24696975716629904</v>
      </c>
      <c r="V190" s="447">
        <f t="shared" si="341"/>
        <v>0.23516008169218386</v>
      </c>
      <c r="W190" s="447">
        <f t="shared" si="342"/>
        <v>3.2850112377553656E-2</v>
      </c>
      <c r="X190" s="448">
        <f t="shared" si="343"/>
        <v>3.2850112377553656E-2</v>
      </c>
      <c r="Y190" s="446">
        <f t="shared" si="355"/>
        <v>1.2489912738327282</v>
      </c>
      <c r="AA190" s="466">
        <f t="shared" si="344"/>
        <v>4.7939659884027375E-2</v>
      </c>
      <c r="AB190" s="447">
        <f t="shared" si="345"/>
        <v>4.7839352117581724E-2</v>
      </c>
      <c r="AC190" s="447">
        <f t="shared" si="346"/>
        <v>4.7839352117581724E-2</v>
      </c>
      <c r="AD190" s="447">
        <f t="shared" si="347"/>
        <v>0.1374056947302712</v>
      </c>
      <c r="AE190" s="447">
        <f t="shared" si="348"/>
        <v>0.27399809151146837</v>
      </c>
      <c r="AF190" s="447">
        <f t="shared" si="349"/>
        <v>-0.55504764149081187</v>
      </c>
      <c r="AG190" s="447">
        <f t="shared" si="350"/>
        <v>0.44495235850918813</v>
      </c>
      <c r="AH190" s="447">
        <f t="shared" si="351"/>
        <v>-0.37818079663773813</v>
      </c>
      <c r="AI190" s="447">
        <f t="shared" si="352"/>
        <v>-3.4006558391165398E-2</v>
      </c>
      <c r="AJ190" s="448">
        <f t="shared" si="353"/>
        <v>-3.4006558391165398E-2</v>
      </c>
      <c r="AK190" s="446">
        <f t="shared" si="356"/>
        <v>-1.2670460407622763E-3</v>
      </c>
    </row>
    <row r="191" spans="1:37" x14ac:dyDescent="0.35">
      <c r="A191" t="s">
        <v>281</v>
      </c>
      <c r="B191" s="466">
        <f t="shared" ref="B191:K191" si="361">EXP($M173-B$178)/(1+EXP($M173-B$178))</f>
        <v>0.81938055009292043</v>
      </c>
      <c r="C191" s="447">
        <f t="shared" si="361"/>
        <v>0.81970590095356433</v>
      </c>
      <c r="D191" s="447">
        <f t="shared" si="361"/>
        <v>0.81970590095356433</v>
      </c>
      <c r="E191" s="447">
        <f t="shared" si="361"/>
        <v>0.58915606030504797</v>
      </c>
      <c r="F191" s="447">
        <f t="shared" si="361"/>
        <v>0.37704787960407249</v>
      </c>
      <c r="G191" s="447">
        <f t="shared" si="361"/>
        <v>0.22175948113295332</v>
      </c>
      <c r="H191" s="447">
        <f t="shared" si="361"/>
        <v>0.22175948113295335</v>
      </c>
      <c r="I191" s="447">
        <f t="shared" si="361"/>
        <v>0.12198067367553674</v>
      </c>
      <c r="J191" s="447">
        <f t="shared" si="361"/>
        <v>7.9774056685331125E-3</v>
      </c>
      <c r="K191" s="448">
        <f t="shared" si="361"/>
        <v>7.9774056685331125E-3</v>
      </c>
      <c r="M191" s="469">
        <f t="shared" si="333"/>
        <v>-0.97781618175950646</v>
      </c>
      <c r="O191" s="466">
        <f t="shared" si="334"/>
        <v>0.14799606422234354</v>
      </c>
      <c r="P191" s="447">
        <f t="shared" si="335"/>
        <v>0.14778813689546971</v>
      </c>
      <c r="Q191" s="447">
        <f t="shared" si="336"/>
        <v>0.14778813689546971</v>
      </c>
      <c r="R191" s="447">
        <f t="shared" si="337"/>
        <v>0.24205119691088264</v>
      </c>
      <c r="S191" s="447">
        <f t="shared" si="338"/>
        <v>0.23488277609014535</v>
      </c>
      <c r="T191" s="447">
        <f t="shared" si="339"/>
        <v>0.17258221366059665</v>
      </c>
      <c r="U191" s="447">
        <f t="shared" si="340"/>
        <v>0.17258221366059667</v>
      </c>
      <c r="V191" s="447">
        <f t="shared" si="341"/>
        <v>0.10710138892519895</v>
      </c>
      <c r="W191" s="447">
        <f t="shared" si="342"/>
        <v>7.9137666673327681E-3</v>
      </c>
      <c r="X191" s="448">
        <f t="shared" si="343"/>
        <v>7.9137666673327681E-3</v>
      </c>
      <c r="Y191" s="446">
        <f t="shared" si="355"/>
        <v>1.388599660595369</v>
      </c>
      <c r="AA191" s="466">
        <f t="shared" si="344"/>
        <v>0.18061944990707957</v>
      </c>
      <c r="AB191" s="447">
        <f t="shared" si="345"/>
        <v>0.18029409904643567</v>
      </c>
      <c r="AC191" s="447">
        <f t="shared" si="346"/>
        <v>0.18029409904643567</v>
      </c>
      <c r="AD191" s="447">
        <f t="shared" si="347"/>
        <v>0.41084393969495203</v>
      </c>
      <c r="AE191" s="447">
        <f t="shared" si="348"/>
        <v>-0.37704787960407249</v>
      </c>
      <c r="AF191" s="447">
        <f t="shared" si="349"/>
        <v>-0.22175948113295332</v>
      </c>
      <c r="AG191" s="447">
        <f t="shared" si="350"/>
        <v>-0.22175948113295335</v>
      </c>
      <c r="AH191" s="447">
        <f t="shared" si="351"/>
        <v>-0.12198067367553674</v>
      </c>
      <c r="AI191" s="447">
        <f t="shared" si="352"/>
        <v>-7.9774056685331125E-3</v>
      </c>
      <c r="AJ191" s="448">
        <f t="shared" si="353"/>
        <v>-7.9774056685331125E-3</v>
      </c>
      <c r="AK191" s="446">
        <f t="shared" si="356"/>
        <v>-6.4507391876791505E-3</v>
      </c>
    </row>
    <row r="192" spans="1:37" x14ac:dyDescent="0.35">
      <c r="A192" t="s">
        <v>537</v>
      </c>
      <c r="B192" s="466">
        <f t="shared" ref="B192:K192" si="362">EXP($M174-B$178)/(1+EXP($M174-B$178))</f>
        <v>0.81938055009292032</v>
      </c>
      <c r="C192" s="447">
        <f t="shared" si="362"/>
        <v>0.81970590095356433</v>
      </c>
      <c r="D192" s="447">
        <f t="shared" si="362"/>
        <v>0.81970590095356433</v>
      </c>
      <c r="E192" s="447">
        <f t="shared" si="362"/>
        <v>0.58915606030504786</v>
      </c>
      <c r="F192" s="447">
        <f t="shared" si="362"/>
        <v>0.37704787960407249</v>
      </c>
      <c r="G192" s="447">
        <f t="shared" si="362"/>
        <v>0.22175948113295332</v>
      </c>
      <c r="H192" s="447">
        <f t="shared" si="362"/>
        <v>0.22175948113295332</v>
      </c>
      <c r="I192" s="447">
        <f t="shared" si="362"/>
        <v>0.12198067367553672</v>
      </c>
      <c r="J192" s="447">
        <f t="shared" si="362"/>
        <v>7.9774056685331125E-3</v>
      </c>
      <c r="K192" s="448">
        <f t="shared" si="362"/>
        <v>7.9774056685331125E-3</v>
      </c>
      <c r="M192" s="469">
        <f t="shared" si="333"/>
        <v>-0.97781618175950635</v>
      </c>
      <c r="O192" s="466">
        <f t="shared" si="334"/>
        <v>0.1479960642223436</v>
      </c>
      <c r="P192" s="447">
        <f t="shared" si="335"/>
        <v>0.14778813689546971</v>
      </c>
      <c r="Q192" s="447">
        <f t="shared" si="336"/>
        <v>0.14778813689546971</v>
      </c>
      <c r="R192" s="447">
        <f t="shared" si="337"/>
        <v>0.24205119691088267</v>
      </c>
      <c r="S192" s="447">
        <f t="shared" si="338"/>
        <v>0.23488277609014535</v>
      </c>
      <c r="T192" s="447">
        <f t="shared" si="339"/>
        <v>0.17258221366059665</v>
      </c>
      <c r="U192" s="447">
        <f t="shared" si="340"/>
        <v>0.17258221366059665</v>
      </c>
      <c r="V192" s="447">
        <f t="shared" si="341"/>
        <v>0.10710138892519895</v>
      </c>
      <c r="W192" s="447">
        <f t="shared" si="342"/>
        <v>7.9137666673327681E-3</v>
      </c>
      <c r="X192" s="448">
        <f t="shared" si="343"/>
        <v>7.9137666673327681E-3</v>
      </c>
      <c r="Y192" s="446">
        <f t="shared" si="355"/>
        <v>1.3885996605953688</v>
      </c>
      <c r="AA192" s="466">
        <f t="shared" si="344"/>
        <v>0.18061944990707968</v>
      </c>
      <c r="AB192" s="447">
        <f t="shared" si="345"/>
        <v>-0.81970590095356433</v>
      </c>
      <c r="AC192" s="447">
        <f t="shared" si="346"/>
        <v>0.18029409904643567</v>
      </c>
      <c r="AD192" s="447">
        <f t="shared" si="347"/>
        <v>-0.58915606030504786</v>
      </c>
      <c r="AE192" s="447">
        <f t="shared" si="348"/>
        <v>0.62295212039592751</v>
      </c>
      <c r="AF192" s="447">
        <f t="shared" si="349"/>
        <v>-0.22175948113295332</v>
      </c>
      <c r="AG192" s="447">
        <f t="shared" si="350"/>
        <v>0.7782405188670467</v>
      </c>
      <c r="AH192" s="447">
        <f t="shared" si="351"/>
        <v>-0.12198067367553672</v>
      </c>
      <c r="AI192" s="447">
        <f t="shared" si="352"/>
        <v>-7.9774056685331125E-3</v>
      </c>
      <c r="AJ192" s="448">
        <f t="shared" si="353"/>
        <v>-7.9774056685331125E-3</v>
      </c>
      <c r="AK192" s="446">
        <f t="shared" si="356"/>
        <v>-6.450739187678859E-3</v>
      </c>
    </row>
    <row r="193" spans="1:37" x14ac:dyDescent="0.35">
      <c r="A193" t="s">
        <v>905</v>
      </c>
      <c r="B193" s="449">
        <f t="shared" ref="B193:K193" si="363">EXP($M175-B$178)/(1+EXP($M175-B$178))</f>
        <v>0.4996766169405345</v>
      </c>
      <c r="C193" s="450">
        <f t="shared" si="363"/>
        <v>0.50022659702456862</v>
      </c>
      <c r="D193" s="450">
        <f t="shared" si="363"/>
        <v>0.50022659702456862</v>
      </c>
      <c r="E193" s="450">
        <f t="shared" si="363"/>
        <v>0.2399466253773811</v>
      </c>
      <c r="F193" s="450">
        <f t="shared" si="363"/>
        <v>0.11758019395651673</v>
      </c>
      <c r="G193" s="450">
        <f t="shared" si="363"/>
        <v>5.9028521909118191E-2</v>
      </c>
      <c r="H193" s="450">
        <f t="shared" si="363"/>
        <v>5.9028521909118219E-2</v>
      </c>
      <c r="I193" s="450">
        <f t="shared" si="363"/>
        <v>2.9677024650420863E-2</v>
      </c>
      <c r="J193" s="450">
        <f t="shared" si="363"/>
        <v>1.7672135554200488E-3</v>
      </c>
      <c r="K193" s="451">
        <f t="shared" si="363"/>
        <v>1.7672135554200488E-3</v>
      </c>
      <c r="M193" s="470">
        <f t="shared" si="333"/>
        <v>-2.494187127634385</v>
      </c>
      <c r="O193" s="449">
        <f t="shared" si="334"/>
        <v>0.24999989542339687</v>
      </c>
      <c r="P193" s="450">
        <f t="shared" si="335"/>
        <v>0.24999994865378847</v>
      </c>
      <c r="Q193" s="450">
        <f t="shared" si="336"/>
        <v>0.24999994865378847</v>
      </c>
      <c r="R193" s="450">
        <f t="shared" si="337"/>
        <v>0.18237224234738783</v>
      </c>
      <c r="S193" s="450">
        <f t="shared" si="338"/>
        <v>0.10375509194566464</v>
      </c>
      <c r="T193" s="450">
        <f t="shared" si="339"/>
        <v>5.5544155510342939E-2</v>
      </c>
      <c r="U193" s="450">
        <f t="shared" si="340"/>
        <v>5.5544155510342967E-2</v>
      </c>
      <c r="V193" s="450">
        <f t="shared" si="341"/>
        <v>2.8796298858319174E-2</v>
      </c>
      <c r="W193" s="450">
        <f t="shared" si="342"/>
        <v>1.7640905116695885E-3</v>
      </c>
      <c r="X193" s="451">
        <f t="shared" si="343"/>
        <v>1.7640905116695885E-3</v>
      </c>
      <c r="Y193" s="446">
        <f t="shared" si="355"/>
        <v>1.1795399179263704</v>
      </c>
      <c r="AA193" s="449">
        <f t="shared" si="344"/>
        <v>-0.4996766169405345</v>
      </c>
      <c r="AB193" s="450">
        <f t="shared" si="345"/>
        <v>0.49977340297543138</v>
      </c>
      <c r="AC193" s="450">
        <f t="shared" si="346"/>
        <v>-0.50022659702456862</v>
      </c>
      <c r="AD193" s="450">
        <f t="shared" si="347"/>
        <v>0.7600533746226189</v>
      </c>
      <c r="AE193" s="450">
        <f t="shared" si="348"/>
        <v>-0.11758019395651673</v>
      </c>
      <c r="AF193" s="450">
        <f t="shared" si="349"/>
        <v>-5.9028521909118191E-2</v>
      </c>
      <c r="AG193" s="450">
        <f t="shared" si="350"/>
        <v>-5.9028521909118219E-2</v>
      </c>
      <c r="AH193" s="450">
        <f t="shared" si="351"/>
        <v>-2.9677024650420863E-2</v>
      </c>
      <c r="AI193" s="450">
        <f t="shared" si="352"/>
        <v>-1.7672135554200488E-3</v>
      </c>
      <c r="AJ193" s="451">
        <f t="shared" si="353"/>
        <v>-1.7672135554200488E-3</v>
      </c>
      <c r="AK193" s="446">
        <f t="shared" si="356"/>
        <v>-8.9251259030668842E-3</v>
      </c>
    </row>
    <row r="194" spans="1:37" x14ac:dyDescent="0.35">
      <c r="O194" s="446">
        <f>SUM(O185:O193)</f>
        <v>0.68491410335404823</v>
      </c>
      <c r="P194" s="446">
        <f t="shared" ref="P194:X194" si="364">SUM(P185:P193)</f>
        <v>0.68421596026467979</v>
      </c>
      <c r="Q194" s="446">
        <f t="shared" si="364"/>
        <v>0.68421596026467979</v>
      </c>
      <c r="R194" s="446">
        <f t="shared" si="364"/>
        <v>1.0432436789174397</v>
      </c>
      <c r="S194" s="446">
        <f t="shared" si="364"/>
        <v>1.2588031546613361</v>
      </c>
      <c r="T194" s="446">
        <f t="shared" si="364"/>
        <v>1.3740597097086282</v>
      </c>
      <c r="U194" s="446">
        <f t="shared" si="364"/>
        <v>1.3740597097086285</v>
      </c>
      <c r="V194" s="446">
        <f t="shared" si="364"/>
        <v>1.3809221794515987</v>
      </c>
      <c r="W194" s="446">
        <f t="shared" si="364"/>
        <v>0.64581241886055907</v>
      </c>
      <c r="X194" s="446">
        <f t="shared" si="364"/>
        <v>0.64581241886055907</v>
      </c>
      <c r="AA194" s="446">
        <f>SUM(AA185:AA193)</f>
        <v>4.5014735165578856E-3</v>
      </c>
      <c r="AB194" s="446">
        <f t="shared" ref="AB194:AJ194" si="365">SUM(AB185:AB193)</f>
        <v>4.4461621072998669E-3</v>
      </c>
      <c r="AC194" s="446">
        <f t="shared" si="365"/>
        <v>4.4461621072998669E-3</v>
      </c>
      <c r="AD194" s="446">
        <f t="shared" si="365"/>
        <v>4.2950464990010317E-3</v>
      </c>
      <c r="AE194" s="446">
        <f t="shared" si="365"/>
        <v>2.2857825826754496E-3</v>
      </c>
      <c r="AF194" s="446">
        <f t="shared" si="365"/>
        <v>-5.981399196615042E-4</v>
      </c>
      <c r="AG194" s="446">
        <f t="shared" si="365"/>
        <v>-5.9813991966172625E-4</v>
      </c>
      <c r="AH194" s="446">
        <f t="shared" si="365"/>
        <v>-3.7271800770527878E-3</v>
      </c>
      <c r="AI194" s="446">
        <f t="shared" si="365"/>
        <v>-9.9250382664791467E-3</v>
      </c>
      <c r="AJ194" s="446">
        <f t="shared" si="365"/>
        <v>-9.9250382664792022E-3</v>
      </c>
      <c r="AK194" s="446">
        <f>SUMSQ(AK185:AK193)</f>
        <v>3.0499754295003974E-4</v>
      </c>
    </row>
    <row r="195" spans="1:37" x14ac:dyDescent="0.35">
      <c r="A195" t="s">
        <v>822</v>
      </c>
      <c r="B195" s="471">
        <f t="shared" ref="B195:K195" si="366">B178-AA194/O194</f>
        <v>-2.4918992973033536</v>
      </c>
      <c r="C195" s="472">
        <f t="shared" si="366"/>
        <v>-2.4940250848689698</v>
      </c>
      <c r="D195" s="472">
        <f t="shared" si="366"/>
        <v>-2.4940250848689698</v>
      </c>
      <c r="E195" s="472">
        <f t="shared" si="366"/>
        <v>-1.3377653669216856</v>
      </c>
      <c r="F195" s="472">
        <f t="shared" si="366"/>
        <v>-0.47288903857856429</v>
      </c>
      <c r="G195" s="472">
        <f t="shared" si="366"/>
        <v>0.28270687677572981</v>
      </c>
      <c r="H195" s="472">
        <f t="shared" si="366"/>
        <v>0.28270687677572987</v>
      </c>
      <c r="I195" s="472">
        <f t="shared" si="366"/>
        <v>1.0033343548156166</v>
      </c>
      <c r="J195" s="472">
        <f t="shared" si="366"/>
        <v>3.8653302458832139</v>
      </c>
      <c r="K195" s="473">
        <f t="shared" si="366"/>
        <v>3.8653302458832139</v>
      </c>
      <c r="L195" s="446">
        <f>AVERAGE(B195:K195)</f>
        <v>8.8047275919631571E-4</v>
      </c>
    </row>
    <row r="196" spans="1:37" x14ac:dyDescent="0.35">
      <c r="A196" t="s">
        <v>906</v>
      </c>
      <c r="B196" s="89">
        <f>B195-L195</f>
        <v>-2.4927797700625498</v>
      </c>
      <c r="C196" s="159">
        <f>C195-L195</f>
        <v>-2.494905557628166</v>
      </c>
      <c r="D196" s="159">
        <f>D195-L195</f>
        <v>-2.494905557628166</v>
      </c>
      <c r="E196" s="159">
        <f>E195-L195</f>
        <v>-1.3386458396808818</v>
      </c>
      <c r="F196" s="159">
        <f>F195-L195</f>
        <v>-0.47376951133776063</v>
      </c>
      <c r="G196" s="159">
        <f>G195-L195</f>
        <v>0.28182640401653347</v>
      </c>
      <c r="H196" s="159">
        <f>H195-L195</f>
        <v>0.28182640401653353</v>
      </c>
      <c r="I196" s="159">
        <f>I195-L195</f>
        <v>1.0024538820564204</v>
      </c>
      <c r="J196" s="159">
        <f>J195-L195</f>
        <v>3.8644497731240177</v>
      </c>
      <c r="K196" s="93">
        <f>K195-L195</f>
        <v>3.8644497731240177</v>
      </c>
      <c r="L196" s="446">
        <f>AVERAGE(B196:K196)</f>
        <v>-3.5527136788005011E-16</v>
      </c>
    </row>
    <row r="197" spans="1:37" x14ac:dyDescent="0.35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46"/>
    </row>
    <row r="198" spans="1:37" x14ac:dyDescent="0.35">
      <c r="A198" t="s">
        <v>907</v>
      </c>
      <c r="B198" s="461">
        <f>B180+1</f>
        <v>11</v>
      </c>
    </row>
    <row r="199" spans="1:37" x14ac:dyDescent="0.35">
      <c r="B199" s="461"/>
    </row>
    <row r="200" spans="1:37" x14ac:dyDescent="0.35">
      <c r="B200" t="s">
        <v>860</v>
      </c>
      <c r="O200" t="s">
        <v>908</v>
      </c>
      <c r="AA200" t="s">
        <v>909</v>
      </c>
    </row>
    <row r="202" spans="1:37" x14ac:dyDescent="0.3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J202">
        <v>9</v>
      </c>
      <c r="K202">
        <v>10</v>
      </c>
      <c r="M202" t="s">
        <v>904</v>
      </c>
      <c r="O202">
        <v>1</v>
      </c>
      <c r="P202">
        <v>2</v>
      </c>
      <c r="Q202">
        <v>3</v>
      </c>
      <c r="R202">
        <v>4</v>
      </c>
      <c r="S202">
        <v>5</v>
      </c>
      <c r="T202">
        <v>6</v>
      </c>
      <c r="U202">
        <v>7</v>
      </c>
      <c r="V202">
        <v>8</v>
      </c>
      <c r="W202">
        <v>9</v>
      </c>
      <c r="X202">
        <v>10</v>
      </c>
      <c r="AA202">
        <v>1</v>
      </c>
      <c r="AB202">
        <v>2</v>
      </c>
      <c r="AC202">
        <v>3</v>
      </c>
      <c r="AD202">
        <v>4</v>
      </c>
      <c r="AE202">
        <v>5</v>
      </c>
      <c r="AF202">
        <v>6</v>
      </c>
      <c r="AG202">
        <v>7</v>
      </c>
      <c r="AH202">
        <v>8</v>
      </c>
      <c r="AI202">
        <v>9</v>
      </c>
      <c r="AJ202">
        <v>10</v>
      </c>
    </row>
    <row r="203" spans="1:37" x14ac:dyDescent="0.35">
      <c r="A203" t="s">
        <v>218</v>
      </c>
      <c r="B203" s="464">
        <f t="shared" ref="B203:K203" si="367">EXP($M185-B$196)/(1+EXP($M185-B$196))</f>
        <v>0.99858277423233999</v>
      </c>
      <c r="C203" s="467">
        <f t="shared" si="367"/>
        <v>0.99858577949719385</v>
      </c>
      <c r="D203" s="467">
        <f t="shared" si="367"/>
        <v>0.99858577949719385</v>
      </c>
      <c r="E203" s="467">
        <f t="shared" si="367"/>
        <v>0.99551937411418723</v>
      </c>
      <c r="F203" s="467">
        <f t="shared" si="367"/>
        <v>0.98942494006636827</v>
      </c>
      <c r="G203" s="467">
        <f t="shared" si="367"/>
        <v>0.97775255808383155</v>
      </c>
      <c r="H203" s="467">
        <f t="shared" si="367"/>
        <v>0.97775255808383155</v>
      </c>
      <c r="I203" s="467">
        <f t="shared" si="367"/>
        <v>0.95531495158094648</v>
      </c>
      <c r="J203" s="467">
        <f t="shared" si="367"/>
        <v>0.54993454365532812</v>
      </c>
      <c r="K203" s="465">
        <f t="shared" si="367"/>
        <v>0.54993454365532812</v>
      </c>
      <c r="M203" s="468">
        <f t="shared" ref="M203:M211" si="368">M185+AK203/Y203</f>
        <v>4.076840235325923</v>
      </c>
      <c r="O203" s="464">
        <f t="shared" ref="O203:O211" si="369">B203*(1-B203)</f>
        <v>1.4152172387834935E-3</v>
      </c>
      <c r="P203" s="467">
        <f t="shared" ref="P203:P211" si="370">C203*(1-C203)</f>
        <v>1.4122204831755944E-3</v>
      </c>
      <c r="Q203" s="467">
        <f t="shared" ref="Q203:Q211" si="371">D203*(1-D203)</f>
        <v>1.4122204831755944E-3</v>
      </c>
      <c r="R203" s="467">
        <f t="shared" ref="R203:R211" si="372">E203*(1-E203)</f>
        <v>4.4605498774841568E-3</v>
      </c>
      <c r="S203" s="467">
        <f t="shared" ref="S203:S211" si="373">F203*(1-F203)</f>
        <v>1.0463228041031822E-2</v>
      </c>
      <c r="T203" s="467">
        <f t="shared" ref="T203:T211" si="374">G203*(1-G203)</f>
        <v>2.1752493244355166E-2</v>
      </c>
      <c r="U203" s="467">
        <f t="shared" ref="U203:U211" si="375">H203*(1-H203)</f>
        <v>2.1752493244355166E-2</v>
      </c>
      <c r="V203" s="467">
        <f t="shared" ref="V203:V211" si="376">I203*(1-I203)</f>
        <v>4.2688294866840365E-2</v>
      </c>
      <c r="W203" s="467">
        <f t="shared" ref="W203:W211" si="377">J203*(1-J203)</f>
        <v>0.24750654134993413</v>
      </c>
      <c r="X203" s="465">
        <f t="shared" ref="X203:X211" si="378">K203*(1-K203)</f>
        <v>0.24750654134993413</v>
      </c>
      <c r="Y203" s="446">
        <f>SUM(O203:X203)</f>
        <v>0.6003698001790696</v>
      </c>
      <c r="AA203" s="464" t="str">
        <f t="shared" ref="AA203:AA211" si="379">IF(ISNUMBER(B5),B5-B203,"")</f>
        <v/>
      </c>
      <c r="AB203" s="467">
        <f t="shared" ref="AB203:AB211" si="380">IF(ISNUMBER(C5),C5-C203,"")</f>
        <v>1.4142205028061516E-3</v>
      </c>
      <c r="AC203" s="467">
        <f t="shared" ref="AC203:AC211" si="381">IF(ISNUMBER(D5),D5-D203,"")</f>
        <v>1.4142205028061516E-3</v>
      </c>
      <c r="AD203" s="467">
        <f t="shared" ref="AD203:AD211" si="382">IF(ISNUMBER(E5),E5-E203,"")</f>
        <v>4.4806258858127723E-3</v>
      </c>
      <c r="AE203" s="467">
        <f t="shared" ref="AE203:AE211" si="383">IF(ISNUMBER(F5),F5-F203,"")</f>
        <v>1.0575059933631725E-2</v>
      </c>
      <c r="AF203" s="467">
        <f t="shared" ref="AF203:AF211" si="384">IF(ISNUMBER(G5),G5-G203,"")</f>
        <v>2.2247441916168453E-2</v>
      </c>
      <c r="AG203" s="467">
        <f t="shared" ref="AG203:AG211" si="385">IF(ISNUMBER(H5),H5-H203,"")</f>
        <v>2.2247441916168453E-2</v>
      </c>
      <c r="AH203" s="467">
        <f t="shared" ref="AH203:AH211" si="386">IF(ISNUMBER(I5),I5-I203,"")</f>
        <v>4.4685048419053519E-2</v>
      </c>
      <c r="AI203" s="467">
        <f t="shared" ref="AI203:AI211" si="387">IF(ISNUMBER(J5),J5-J203,"")</f>
        <v>-0.54993454365532812</v>
      </c>
      <c r="AJ203" s="465">
        <f t="shared" ref="AJ203:AJ211" si="388">IF(ISNUMBER(K5),K5-K203,"")</f>
        <v>0.45006545634467188</v>
      </c>
      <c r="AK203" s="446">
        <f>SUM(AA203:AJ203)</f>
        <v>7.1949717657909806E-3</v>
      </c>
    </row>
    <row r="204" spans="1:37" x14ac:dyDescent="0.35">
      <c r="A204" t="s">
        <v>98</v>
      </c>
      <c r="B204" s="466">
        <f t="shared" ref="B204:K204" si="389">EXP($M186-B$196)/(1+EXP($M186-B$196))</f>
        <v>0.9937614308968814</v>
      </c>
      <c r="C204" s="447">
        <f t="shared" si="389"/>
        <v>0.99377459621070796</v>
      </c>
      <c r="D204" s="447">
        <f t="shared" si="389"/>
        <v>0.99377459621070796</v>
      </c>
      <c r="E204" s="447">
        <f t="shared" si="389"/>
        <v>0.98048018614350141</v>
      </c>
      <c r="F204" s="447">
        <f t="shared" si="389"/>
        <v>0.95485741821744041</v>
      </c>
      <c r="G204" s="447">
        <f t="shared" si="389"/>
        <v>0.90855686288458493</v>
      </c>
      <c r="H204" s="447">
        <f t="shared" si="389"/>
        <v>0.90855686288458481</v>
      </c>
      <c r="I204" s="447">
        <f t="shared" si="389"/>
        <v>0.82856806361623614</v>
      </c>
      <c r="J204" s="447">
        <f t="shared" si="389"/>
        <v>0.21644865709774547</v>
      </c>
      <c r="K204" s="448">
        <f t="shared" si="389"/>
        <v>0.21644865709774547</v>
      </c>
      <c r="M204" s="469">
        <f t="shared" si="368"/>
        <v>2.584520441925354</v>
      </c>
      <c r="O204" s="466">
        <f t="shared" si="369"/>
        <v>6.1996493586642101E-3</v>
      </c>
      <c r="P204" s="447">
        <f t="shared" si="370"/>
        <v>6.1866481369523075E-3</v>
      </c>
      <c r="Q204" s="447">
        <f t="shared" si="371"/>
        <v>6.1866481369523075E-3</v>
      </c>
      <c r="R204" s="447">
        <f t="shared" si="372"/>
        <v>1.9138790723506237E-2</v>
      </c>
      <c r="S204" s="447">
        <f t="shared" si="373"/>
        <v>4.3104729092564506E-2</v>
      </c>
      <c r="T204" s="447">
        <f t="shared" si="374"/>
        <v>8.3081289789906476E-2</v>
      </c>
      <c r="U204" s="447">
        <f t="shared" si="375"/>
        <v>8.3081289789906559E-2</v>
      </c>
      <c r="V204" s="447">
        <f t="shared" si="376"/>
        <v>0.14204302757147699</v>
      </c>
      <c r="W204" s="447">
        <f t="shared" si="377"/>
        <v>0.16959863593832805</v>
      </c>
      <c r="X204" s="448">
        <f t="shared" si="378"/>
        <v>0.16959863593832805</v>
      </c>
      <c r="Y204" s="446">
        <f t="shared" ref="Y204:Y211" si="390">SUM(O204:X204)</f>
        <v>0.72821934447658565</v>
      </c>
      <c r="AA204" s="466">
        <f t="shared" si="379"/>
        <v>6.2385691031185964E-3</v>
      </c>
      <c r="AB204" s="447">
        <f t="shared" si="380"/>
        <v>6.2254037892920389E-3</v>
      </c>
      <c r="AC204" s="447">
        <f t="shared" si="381"/>
        <v>6.2254037892920389E-3</v>
      </c>
      <c r="AD204" s="447">
        <f t="shared" si="382"/>
        <v>-0.98048018614350141</v>
      </c>
      <c r="AE204" s="447">
        <f t="shared" si="383"/>
        <v>4.5142581782559588E-2</v>
      </c>
      <c r="AF204" s="447">
        <f t="shared" si="384"/>
        <v>9.1443137115415074E-2</v>
      </c>
      <c r="AG204" s="447">
        <f t="shared" si="385"/>
        <v>9.1443137115415185E-2</v>
      </c>
      <c r="AH204" s="447">
        <f t="shared" si="386"/>
        <v>0.17143193638376386</v>
      </c>
      <c r="AI204" s="447">
        <f t="shared" si="387"/>
        <v>0.78355134290225448</v>
      </c>
      <c r="AJ204" s="448">
        <f t="shared" si="388"/>
        <v>-0.21644865709774547</v>
      </c>
      <c r="AK204" s="446">
        <f t="shared" ref="AK204:AK211" si="391">SUM(AA204:AJ204)</f>
        <v>4.7726687398639833E-3</v>
      </c>
    </row>
    <row r="205" spans="1:37" x14ac:dyDescent="0.35">
      <c r="A205" t="s">
        <v>99</v>
      </c>
      <c r="B205" s="466">
        <f t="shared" ref="B205:K205" si="392">EXP($M187-B$196)/(1+EXP($M187-B$196))</f>
        <v>0.97982388749802263</v>
      </c>
      <c r="C205" s="447">
        <f t="shared" si="392"/>
        <v>0.97986586943349518</v>
      </c>
      <c r="D205" s="447">
        <f t="shared" si="392"/>
        <v>0.97986586943349518</v>
      </c>
      <c r="E205" s="447">
        <f t="shared" si="392"/>
        <v>0.93870135032351798</v>
      </c>
      <c r="F205" s="447">
        <f t="shared" si="392"/>
        <v>0.86574660439671391</v>
      </c>
      <c r="G205" s="447">
        <f t="shared" si="392"/>
        <v>0.751805945149982</v>
      </c>
      <c r="H205" s="447">
        <f t="shared" si="392"/>
        <v>0.751805945149982</v>
      </c>
      <c r="I205" s="447">
        <f t="shared" si="392"/>
        <v>0.59571441031689665</v>
      </c>
      <c r="J205" s="447">
        <f t="shared" si="392"/>
        <v>7.7675583966992673E-2</v>
      </c>
      <c r="K205" s="448">
        <f t="shared" si="392"/>
        <v>7.7675583966992673E-2</v>
      </c>
      <c r="M205" s="469">
        <f t="shared" si="368"/>
        <v>1.3914255829426712</v>
      </c>
      <c r="O205" s="466">
        <f t="shared" si="369"/>
        <v>1.9769036986284926E-2</v>
      </c>
      <c r="P205" s="447">
        <f t="shared" si="370"/>
        <v>1.9728747352835752E-2</v>
      </c>
      <c r="Q205" s="447">
        <f t="shared" si="371"/>
        <v>1.9728747352835752E-2</v>
      </c>
      <c r="R205" s="447">
        <f t="shared" si="372"/>
        <v>5.7541125224321948E-2</v>
      </c>
      <c r="S205" s="447">
        <f t="shared" si="373"/>
        <v>0.11622942137227366</v>
      </c>
      <c r="T205" s="447">
        <f t="shared" si="374"/>
        <v>0.18659376598712427</v>
      </c>
      <c r="U205" s="447">
        <f t="shared" si="375"/>
        <v>0.18659376598712427</v>
      </c>
      <c r="V205" s="447">
        <f t="shared" si="376"/>
        <v>0.24083875165768875</v>
      </c>
      <c r="W205" s="447">
        <f t="shared" si="377"/>
        <v>7.1642087622379336E-2</v>
      </c>
      <c r="X205" s="448">
        <f t="shared" si="378"/>
        <v>7.1642087622379336E-2</v>
      </c>
      <c r="Y205" s="446">
        <f t="shared" si="390"/>
        <v>0.990307537165248</v>
      </c>
      <c r="AA205" s="466">
        <f t="shared" si="379"/>
        <v>2.0176112501977372E-2</v>
      </c>
      <c r="AB205" s="447">
        <f t="shared" si="380"/>
        <v>2.0134130566504815E-2</v>
      </c>
      <c r="AC205" s="447">
        <f t="shared" si="381"/>
        <v>2.0134130566504815E-2</v>
      </c>
      <c r="AD205" s="447">
        <f t="shared" si="382"/>
        <v>6.129864967648202E-2</v>
      </c>
      <c r="AE205" s="447">
        <f t="shared" si="383"/>
        <v>0.13425339560328609</v>
      </c>
      <c r="AF205" s="447">
        <f t="shared" si="384"/>
        <v>0.248194054850018</v>
      </c>
      <c r="AG205" s="447">
        <f t="shared" si="385"/>
        <v>-0.751805945149982</v>
      </c>
      <c r="AH205" s="447">
        <f t="shared" si="386"/>
        <v>0.40428558968310335</v>
      </c>
      <c r="AI205" s="447">
        <f t="shared" si="387"/>
        <v>-7.7675583966992673E-2</v>
      </c>
      <c r="AJ205" s="448">
        <f t="shared" si="388"/>
        <v>-7.7675583966992673E-2</v>
      </c>
      <c r="AK205" s="446">
        <f t="shared" si="391"/>
        <v>1.3189503639091105E-3</v>
      </c>
    </row>
    <row r="206" spans="1:37" x14ac:dyDescent="0.35">
      <c r="A206" t="s">
        <v>100</v>
      </c>
      <c r="B206" s="466">
        <f t="shared" ref="B206:K206" si="393">EXP($M188-B$196)/(1+EXP($M188-B$196))</f>
        <v>0.97982388749802263</v>
      </c>
      <c r="C206" s="447">
        <f t="shared" si="393"/>
        <v>0.97986586943349518</v>
      </c>
      <c r="D206" s="447">
        <f t="shared" si="393"/>
        <v>0.97986586943349518</v>
      </c>
      <c r="E206" s="447">
        <f t="shared" si="393"/>
        <v>0.93870135032351798</v>
      </c>
      <c r="F206" s="447">
        <f t="shared" si="393"/>
        <v>0.86574660439671391</v>
      </c>
      <c r="G206" s="447">
        <f t="shared" si="393"/>
        <v>0.751805945149982</v>
      </c>
      <c r="H206" s="447">
        <f t="shared" si="393"/>
        <v>0.751805945149982</v>
      </c>
      <c r="I206" s="447">
        <f t="shared" si="393"/>
        <v>0.59571441031689665</v>
      </c>
      <c r="J206" s="447">
        <f t="shared" si="393"/>
        <v>7.7675583966992673E-2</v>
      </c>
      <c r="K206" s="448">
        <f t="shared" si="393"/>
        <v>7.7675583966992673E-2</v>
      </c>
      <c r="M206" s="469">
        <f t="shared" si="368"/>
        <v>1.3914255829426712</v>
      </c>
      <c r="O206" s="466">
        <f t="shared" si="369"/>
        <v>1.9769036986284926E-2</v>
      </c>
      <c r="P206" s="447">
        <f t="shared" si="370"/>
        <v>1.9728747352835752E-2</v>
      </c>
      <c r="Q206" s="447">
        <f t="shared" si="371"/>
        <v>1.9728747352835752E-2</v>
      </c>
      <c r="R206" s="447">
        <f t="shared" si="372"/>
        <v>5.7541125224321948E-2</v>
      </c>
      <c r="S206" s="447">
        <f t="shared" si="373"/>
        <v>0.11622942137227366</v>
      </c>
      <c r="T206" s="447">
        <f t="shared" si="374"/>
        <v>0.18659376598712427</v>
      </c>
      <c r="U206" s="447">
        <f t="shared" si="375"/>
        <v>0.18659376598712427</v>
      </c>
      <c r="V206" s="447">
        <f t="shared" si="376"/>
        <v>0.24083875165768875</v>
      </c>
      <c r="W206" s="447">
        <f t="shared" si="377"/>
        <v>7.1642087622379336E-2</v>
      </c>
      <c r="X206" s="448">
        <f t="shared" si="378"/>
        <v>7.1642087622379336E-2</v>
      </c>
      <c r="Y206" s="446">
        <f t="shared" si="390"/>
        <v>0.990307537165248</v>
      </c>
      <c r="AA206" s="466">
        <f t="shared" si="379"/>
        <v>2.0176112501977372E-2</v>
      </c>
      <c r="AB206" s="447">
        <f t="shared" si="380"/>
        <v>2.0134130566504815E-2</v>
      </c>
      <c r="AC206" s="447">
        <f t="shared" si="381"/>
        <v>2.0134130566504815E-2</v>
      </c>
      <c r="AD206" s="447">
        <f t="shared" si="382"/>
        <v>6.129864967648202E-2</v>
      </c>
      <c r="AE206" s="447">
        <f t="shared" si="383"/>
        <v>0.13425339560328609</v>
      </c>
      <c r="AF206" s="447">
        <f t="shared" si="384"/>
        <v>0.248194054850018</v>
      </c>
      <c r="AG206" s="447">
        <f t="shared" si="385"/>
        <v>-0.751805945149982</v>
      </c>
      <c r="AH206" s="447">
        <f t="shared" si="386"/>
        <v>0.40428558968310335</v>
      </c>
      <c r="AI206" s="447">
        <f t="shared" si="387"/>
        <v>-7.7675583966992673E-2</v>
      </c>
      <c r="AJ206" s="448">
        <f t="shared" si="388"/>
        <v>-7.7675583966992673E-2</v>
      </c>
      <c r="AK206" s="446">
        <f t="shared" si="391"/>
        <v>1.3189503639091105E-3</v>
      </c>
    </row>
    <row r="207" spans="1:37" x14ac:dyDescent="0.35">
      <c r="A207" t="s">
        <v>536</v>
      </c>
      <c r="B207" s="466">
        <f t="shared" ref="B207:K207" si="394">EXP($M189-B$196)/(1+EXP($M189-B$196))</f>
        <v>0.95235334128496518</v>
      </c>
      <c r="C207" s="447">
        <f t="shared" si="394"/>
        <v>0.95244970928354311</v>
      </c>
      <c r="D207" s="447">
        <f t="shared" si="394"/>
        <v>0.95244970928354311</v>
      </c>
      <c r="E207" s="447">
        <f t="shared" si="394"/>
        <v>0.86306571381750419</v>
      </c>
      <c r="F207" s="447">
        <f t="shared" si="394"/>
        <v>0.72633634121676371</v>
      </c>
      <c r="G207" s="447">
        <f t="shared" si="394"/>
        <v>0.55490703936540742</v>
      </c>
      <c r="H207" s="447">
        <f t="shared" si="394"/>
        <v>0.55490703936540742</v>
      </c>
      <c r="I207" s="447">
        <f t="shared" si="394"/>
        <v>0.37751481036895179</v>
      </c>
      <c r="J207" s="447">
        <f t="shared" si="394"/>
        <v>3.3500969181134474E-2</v>
      </c>
      <c r="K207" s="448">
        <f t="shared" si="394"/>
        <v>3.3500969181134474E-2</v>
      </c>
      <c r="M207" s="469">
        <f t="shared" si="368"/>
        <v>0.50155320431035799</v>
      </c>
      <c r="O207" s="466">
        <f t="shared" si="369"/>
        <v>4.5376454628327817E-2</v>
      </c>
      <c r="P207" s="447">
        <f t="shared" si="370"/>
        <v>4.5289260569237322E-2</v>
      </c>
      <c r="Q207" s="447">
        <f t="shared" si="371"/>
        <v>4.5289260569237322E-2</v>
      </c>
      <c r="R207" s="447">
        <f t="shared" si="372"/>
        <v>0.11818328745018615</v>
      </c>
      <c r="S207" s="447">
        <f t="shared" si="373"/>
        <v>0.19877186064460869</v>
      </c>
      <c r="T207" s="447">
        <f t="shared" si="374"/>
        <v>0.24698521702812559</v>
      </c>
      <c r="U207" s="447">
        <f t="shared" si="375"/>
        <v>0.24698521702812559</v>
      </c>
      <c r="V207" s="447">
        <f t="shared" si="376"/>
        <v>0.23499737832104614</v>
      </c>
      <c r="W207" s="447">
        <f t="shared" si="377"/>
        <v>3.2378654245059153E-2</v>
      </c>
      <c r="X207" s="448">
        <f t="shared" si="378"/>
        <v>3.2378654245059153E-2</v>
      </c>
      <c r="Y207" s="446">
        <f t="shared" si="390"/>
        <v>1.2466352447290132</v>
      </c>
      <c r="AA207" s="466">
        <f t="shared" si="379"/>
        <v>4.7646658715034818E-2</v>
      </c>
      <c r="AB207" s="447">
        <f t="shared" si="380"/>
        <v>4.7550290716456889E-2</v>
      </c>
      <c r="AC207" s="447">
        <f t="shared" si="381"/>
        <v>4.7550290716456889E-2</v>
      </c>
      <c r="AD207" s="447">
        <f t="shared" si="382"/>
        <v>0.13693428618249581</v>
      </c>
      <c r="AE207" s="447">
        <f t="shared" si="383"/>
        <v>-0.72633634121676371</v>
      </c>
      <c r="AF207" s="447">
        <f t="shared" si="384"/>
        <v>0.44509296063459258</v>
      </c>
      <c r="AG207" s="447">
        <f t="shared" si="385"/>
        <v>0.44509296063459258</v>
      </c>
      <c r="AH207" s="447">
        <f t="shared" si="386"/>
        <v>-0.37751481036895179</v>
      </c>
      <c r="AI207" s="447">
        <f t="shared" si="387"/>
        <v>-3.3500969181134474E-2</v>
      </c>
      <c r="AJ207" s="448">
        <f t="shared" si="388"/>
        <v>-3.3500969181134474E-2</v>
      </c>
      <c r="AK207" s="446">
        <f t="shared" si="391"/>
        <v>-9.8564234835488151E-4</v>
      </c>
    </row>
    <row r="208" spans="1:37" x14ac:dyDescent="0.35">
      <c r="A208" t="s">
        <v>101</v>
      </c>
      <c r="B208" s="466">
        <f t="shared" ref="B208:K208" si="395">EXP($M190-B$196)/(1+EXP($M190-B$196))</f>
        <v>0.95235334128496518</v>
      </c>
      <c r="C208" s="447">
        <f t="shared" si="395"/>
        <v>0.95244970928354311</v>
      </c>
      <c r="D208" s="447">
        <f t="shared" si="395"/>
        <v>0.95244970928354311</v>
      </c>
      <c r="E208" s="447">
        <f t="shared" si="395"/>
        <v>0.86306571381750419</v>
      </c>
      <c r="F208" s="447">
        <f t="shared" si="395"/>
        <v>0.72633634121676371</v>
      </c>
      <c r="G208" s="447">
        <f t="shared" si="395"/>
        <v>0.55490703936540742</v>
      </c>
      <c r="H208" s="447">
        <f t="shared" si="395"/>
        <v>0.55490703936540742</v>
      </c>
      <c r="I208" s="447">
        <f t="shared" si="395"/>
        <v>0.37751481036895179</v>
      </c>
      <c r="J208" s="447">
        <f t="shared" si="395"/>
        <v>3.3500969181134474E-2</v>
      </c>
      <c r="K208" s="448">
        <f t="shared" si="395"/>
        <v>3.3500969181134474E-2</v>
      </c>
      <c r="M208" s="469">
        <f t="shared" si="368"/>
        <v>0.50155320431035799</v>
      </c>
      <c r="O208" s="466">
        <f t="shared" si="369"/>
        <v>4.5376454628327817E-2</v>
      </c>
      <c r="P208" s="447">
        <f t="shared" si="370"/>
        <v>4.5289260569237322E-2</v>
      </c>
      <c r="Q208" s="447">
        <f t="shared" si="371"/>
        <v>4.5289260569237322E-2</v>
      </c>
      <c r="R208" s="447">
        <f t="shared" si="372"/>
        <v>0.11818328745018615</v>
      </c>
      <c r="S208" s="447">
        <f t="shared" si="373"/>
        <v>0.19877186064460869</v>
      </c>
      <c r="T208" s="447">
        <f t="shared" si="374"/>
        <v>0.24698521702812559</v>
      </c>
      <c r="U208" s="447">
        <f t="shared" si="375"/>
        <v>0.24698521702812559</v>
      </c>
      <c r="V208" s="447">
        <f t="shared" si="376"/>
        <v>0.23499737832104614</v>
      </c>
      <c r="W208" s="447">
        <f t="shared" si="377"/>
        <v>3.2378654245059153E-2</v>
      </c>
      <c r="X208" s="448">
        <f t="shared" si="378"/>
        <v>3.2378654245059153E-2</v>
      </c>
      <c r="Y208" s="446">
        <f t="shared" si="390"/>
        <v>1.2466352447290132</v>
      </c>
      <c r="AA208" s="466">
        <f t="shared" si="379"/>
        <v>4.7646658715034818E-2</v>
      </c>
      <c r="AB208" s="447">
        <f t="shared" si="380"/>
        <v>4.7550290716456889E-2</v>
      </c>
      <c r="AC208" s="447">
        <f t="shared" si="381"/>
        <v>4.7550290716456889E-2</v>
      </c>
      <c r="AD208" s="447">
        <f t="shared" si="382"/>
        <v>0.13693428618249581</v>
      </c>
      <c r="AE208" s="447">
        <f t="shared" si="383"/>
        <v>0.27366365878323629</v>
      </c>
      <c r="AF208" s="447">
        <f t="shared" si="384"/>
        <v>-0.55490703936540742</v>
      </c>
      <c r="AG208" s="447">
        <f t="shared" si="385"/>
        <v>0.44509296063459258</v>
      </c>
      <c r="AH208" s="447">
        <f t="shared" si="386"/>
        <v>-0.37751481036895179</v>
      </c>
      <c r="AI208" s="447">
        <f t="shared" si="387"/>
        <v>-3.3500969181134474E-2</v>
      </c>
      <c r="AJ208" s="448">
        <f t="shared" si="388"/>
        <v>-3.3500969181134474E-2</v>
      </c>
      <c r="AK208" s="446">
        <f t="shared" si="391"/>
        <v>-9.8564234835488151E-4</v>
      </c>
    </row>
    <row r="209" spans="1:37" x14ac:dyDescent="0.35">
      <c r="A209" t="s">
        <v>281</v>
      </c>
      <c r="B209" s="466">
        <f t="shared" ref="B209:K209" si="396">EXP($M191-B$196)/(1+EXP($M191-B$196))</f>
        <v>0.81979564573746788</v>
      </c>
      <c r="C209" s="447">
        <f t="shared" si="396"/>
        <v>0.82010947645235033</v>
      </c>
      <c r="D209" s="447">
        <f t="shared" si="396"/>
        <v>0.82010947645235033</v>
      </c>
      <c r="E209" s="447">
        <f t="shared" si="396"/>
        <v>0.58924125599913257</v>
      </c>
      <c r="F209" s="447">
        <f t="shared" si="396"/>
        <v>0.37659015855185135</v>
      </c>
      <c r="G209" s="447">
        <f t="shared" si="396"/>
        <v>0.22103542522436828</v>
      </c>
      <c r="H209" s="447">
        <f t="shared" si="396"/>
        <v>0.22103542522436828</v>
      </c>
      <c r="I209" s="447">
        <f t="shared" si="396"/>
        <v>0.12129005187707224</v>
      </c>
      <c r="J209" s="447">
        <f t="shared" si="396"/>
        <v>7.8274056734430018E-3</v>
      </c>
      <c r="K209" s="448">
        <f t="shared" si="396"/>
        <v>7.8274056734430018E-3</v>
      </c>
      <c r="M209" s="469">
        <f t="shared" si="368"/>
        <v>-0.98132375624266099</v>
      </c>
      <c r="O209" s="466">
        <f t="shared" si="369"/>
        <v>0.14773074496735594</v>
      </c>
      <c r="P209" s="447">
        <f t="shared" si="370"/>
        <v>0.14752992308540216</v>
      </c>
      <c r="Q209" s="447">
        <f t="shared" si="371"/>
        <v>0.14752992308540216</v>
      </c>
      <c r="R209" s="447">
        <f t="shared" si="372"/>
        <v>0.24203599822769728</v>
      </c>
      <c r="S209" s="447">
        <f t="shared" si="373"/>
        <v>0.23477001103374279</v>
      </c>
      <c r="T209" s="447">
        <f t="shared" si="374"/>
        <v>0.17217876602025098</v>
      </c>
      <c r="U209" s="447">
        <f t="shared" si="375"/>
        <v>0.17217876602025098</v>
      </c>
      <c r="V209" s="447">
        <f t="shared" si="376"/>
        <v>0.10657877519272937</v>
      </c>
      <c r="W209" s="447">
        <f t="shared" si="377"/>
        <v>7.7661373938663547E-3</v>
      </c>
      <c r="X209" s="448">
        <f t="shared" si="378"/>
        <v>7.7661373938663547E-3</v>
      </c>
      <c r="Y209" s="446">
        <f t="shared" si="390"/>
        <v>1.3860651824205645</v>
      </c>
      <c r="AA209" s="466">
        <f t="shared" si="379"/>
        <v>0.18020435426253212</v>
      </c>
      <c r="AB209" s="447">
        <f t="shared" si="380"/>
        <v>0.17989052354764967</v>
      </c>
      <c r="AC209" s="447">
        <f t="shared" si="381"/>
        <v>0.17989052354764967</v>
      </c>
      <c r="AD209" s="447">
        <f t="shared" si="382"/>
        <v>0.41075874400086743</v>
      </c>
      <c r="AE209" s="447">
        <f t="shared" si="383"/>
        <v>-0.37659015855185135</v>
      </c>
      <c r="AF209" s="447">
        <f t="shared" si="384"/>
        <v>-0.22103542522436828</v>
      </c>
      <c r="AG209" s="447">
        <f t="shared" si="385"/>
        <v>-0.22103542522436828</v>
      </c>
      <c r="AH209" s="447">
        <f t="shared" si="386"/>
        <v>-0.12129005187707224</v>
      </c>
      <c r="AI209" s="447">
        <f t="shared" si="387"/>
        <v>-7.8274056734430018E-3</v>
      </c>
      <c r="AJ209" s="448">
        <f t="shared" si="388"/>
        <v>-7.8274056734430018E-3</v>
      </c>
      <c r="AK209" s="446">
        <f t="shared" si="391"/>
        <v>-4.8617268658473003E-3</v>
      </c>
    </row>
    <row r="210" spans="1:37" x14ac:dyDescent="0.35">
      <c r="A210" t="s">
        <v>537</v>
      </c>
      <c r="B210" s="466">
        <f t="shared" ref="B210:K210" si="397">EXP($M192-B$196)/(1+EXP($M192-B$196))</f>
        <v>0.81979564573746788</v>
      </c>
      <c r="C210" s="447">
        <f t="shared" si="397"/>
        <v>0.82010947645235033</v>
      </c>
      <c r="D210" s="447">
        <f t="shared" si="397"/>
        <v>0.82010947645235033</v>
      </c>
      <c r="E210" s="447">
        <f t="shared" si="397"/>
        <v>0.58924125599913257</v>
      </c>
      <c r="F210" s="447">
        <f t="shared" si="397"/>
        <v>0.37659015855185141</v>
      </c>
      <c r="G210" s="447">
        <f t="shared" si="397"/>
        <v>0.22103542522436831</v>
      </c>
      <c r="H210" s="447">
        <f t="shared" si="397"/>
        <v>0.22103542522436831</v>
      </c>
      <c r="I210" s="447">
        <f t="shared" si="397"/>
        <v>0.12129005187707224</v>
      </c>
      <c r="J210" s="447">
        <f t="shared" si="397"/>
        <v>7.8274056734430018E-3</v>
      </c>
      <c r="K210" s="448">
        <f t="shared" si="397"/>
        <v>7.8274056734430018E-3</v>
      </c>
      <c r="M210" s="469">
        <f t="shared" si="368"/>
        <v>-0.98132375624266088</v>
      </c>
      <c r="O210" s="466">
        <f t="shared" si="369"/>
        <v>0.14773074496735594</v>
      </c>
      <c r="P210" s="447">
        <f t="shared" si="370"/>
        <v>0.14752992308540216</v>
      </c>
      <c r="Q210" s="447">
        <f t="shared" si="371"/>
        <v>0.14752992308540216</v>
      </c>
      <c r="R210" s="447">
        <f t="shared" si="372"/>
        <v>0.24203599822769728</v>
      </c>
      <c r="S210" s="447">
        <f t="shared" si="373"/>
        <v>0.23477001103374281</v>
      </c>
      <c r="T210" s="447">
        <f t="shared" si="374"/>
        <v>0.17217876602025101</v>
      </c>
      <c r="U210" s="447">
        <f t="shared" si="375"/>
        <v>0.17217876602025101</v>
      </c>
      <c r="V210" s="447">
        <f t="shared" si="376"/>
        <v>0.10657877519272937</v>
      </c>
      <c r="W210" s="447">
        <f t="shared" si="377"/>
        <v>7.7661373938663547E-3</v>
      </c>
      <c r="X210" s="448">
        <f t="shared" si="378"/>
        <v>7.7661373938663547E-3</v>
      </c>
      <c r="Y210" s="446">
        <f t="shared" si="390"/>
        <v>1.3860651824205645</v>
      </c>
      <c r="AA210" s="466">
        <f t="shared" si="379"/>
        <v>0.18020435426253212</v>
      </c>
      <c r="AB210" s="447">
        <f t="shared" si="380"/>
        <v>-0.82010947645235033</v>
      </c>
      <c r="AC210" s="447">
        <f t="shared" si="381"/>
        <v>0.17989052354764967</v>
      </c>
      <c r="AD210" s="447">
        <f t="shared" si="382"/>
        <v>-0.58924125599913257</v>
      </c>
      <c r="AE210" s="447">
        <f t="shared" si="383"/>
        <v>0.62340984144814859</v>
      </c>
      <c r="AF210" s="447">
        <f t="shared" si="384"/>
        <v>-0.22103542522436831</v>
      </c>
      <c r="AG210" s="447">
        <f t="shared" si="385"/>
        <v>0.77896457477563175</v>
      </c>
      <c r="AH210" s="447">
        <f t="shared" si="386"/>
        <v>-0.12129005187707224</v>
      </c>
      <c r="AI210" s="447">
        <f t="shared" si="387"/>
        <v>-7.8274056734430018E-3</v>
      </c>
      <c r="AJ210" s="448">
        <f t="shared" si="388"/>
        <v>-7.8274056734430018E-3</v>
      </c>
      <c r="AK210" s="446">
        <f t="shared" si="391"/>
        <v>-4.8617268658472726E-3</v>
      </c>
    </row>
    <row r="211" spans="1:37" x14ac:dyDescent="0.35">
      <c r="A211" t="s">
        <v>905</v>
      </c>
      <c r="B211" s="449">
        <f t="shared" ref="B211:K211" si="398">EXP($M193-B$196)/(1+EXP($M193-B$196))</f>
        <v>0.49964816066511392</v>
      </c>
      <c r="C211" s="450">
        <f t="shared" si="398"/>
        <v>0.50017960749071999</v>
      </c>
      <c r="D211" s="450">
        <f t="shared" si="398"/>
        <v>0.50017960749071999</v>
      </c>
      <c r="E211" s="450">
        <f t="shared" si="398"/>
        <v>0.23947840014880115</v>
      </c>
      <c r="F211" s="450">
        <f t="shared" si="398"/>
        <v>0.11707581536427311</v>
      </c>
      <c r="G211" s="450">
        <f t="shared" si="398"/>
        <v>5.8634206827361132E-2</v>
      </c>
      <c r="H211" s="450">
        <f t="shared" si="398"/>
        <v>5.8634206827361132E-2</v>
      </c>
      <c r="I211" s="450">
        <f t="shared" si="398"/>
        <v>2.9407955436973061E-2</v>
      </c>
      <c r="J211" s="450">
        <f t="shared" si="398"/>
        <v>1.7287319282903591E-3</v>
      </c>
      <c r="K211" s="451">
        <f t="shared" si="398"/>
        <v>1.7287319282903591E-3</v>
      </c>
      <c r="M211" s="470">
        <f t="shared" si="368"/>
        <v>-2.4998714067903762</v>
      </c>
      <c r="O211" s="449">
        <f t="shared" si="369"/>
        <v>0.2499998762090824</v>
      </c>
      <c r="P211" s="450">
        <f t="shared" si="370"/>
        <v>0.24999996774114927</v>
      </c>
      <c r="Q211" s="450">
        <f t="shared" si="371"/>
        <v>0.24999996774114927</v>
      </c>
      <c r="R211" s="450">
        <f t="shared" si="372"/>
        <v>0.18212849601097181</v>
      </c>
      <c r="S211" s="450">
        <f t="shared" si="373"/>
        <v>0.10336906882106374</v>
      </c>
      <c r="T211" s="450">
        <f t="shared" si="374"/>
        <v>5.519623661708737E-2</v>
      </c>
      <c r="U211" s="450">
        <f t="shared" si="375"/>
        <v>5.519623661708737E-2</v>
      </c>
      <c r="V211" s="450">
        <f t="shared" si="376"/>
        <v>2.8543127593990067E-2</v>
      </c>
      <c r="W211" s="450">
        <f t="shared" si="377"/>
        <v>1.7257434142104685E-3</v>
      </c>
      <c r="X211" s="451">
        <f t="shared" si="378"/>
        <v>1.7257434142104685E-3</v>
      </c>
      <c r="Y211" s="446">
        <f t="shared" si="390"/>
        <v>1.1778844641800019</v>
      </c>
      <c r="AA211" s="449">
        <f t="shared" si="379"/>
        <v>-0.49964816066511392</v>
      </c>
      <c r="AB211" s="450">
        <f t="shared" si="380"/>
        <v>0.49982039250928001</v>
      </c>
      <c r="AC211" s="450">
        <f t="shared" si="381"/>
        <v>-0.50017960749071999</v>
      </c>
      <c r="AD211" s="450">
        <f t="shared" si="382"/>
        <v>0.76052159985119883</v>
      </c>
      <c r="AE211" s="450">
        <f t="shared" si="383"/>
        <v>-0.11707581536427311</v>
      </c>
      <c r="AF211" s="450">
        <f t="shared" si="384"/>
        <v>-5.8634206827361132E-2</v>
      </c>
      <c r="AG211" s="450">
        <f t="shared" si="385"/>
        <v>-5.8634206827361132E-2</v>
      </c>
      <c r="AH211" s="450">
        <f t="shared" si="386"/>
        <v>-2.9407955436973061E-2</v>
      </c>
      <c r="AI211" s="450">
        <f t="shared" si="387"/>
        <v>-1.7287319282903591E-3</v>
      </c>
      <c r="AJ211" s="451">
        <f t="shared" si="388"/>
        <v>-1.7287319282903591E-3</v>
      </c>
      <c r="AK211" s="446">
        <f t="shared" si="391"/>
        <v>-6.6954241079042829E-3</v>
      </c>
    </row>
    <row r="212" spans="1:37" x14ac:dyDescent="0.35">
      <c r="O212" s="446">
        <f>SUM(O203:O211)</f>
        <v>0.68336721597046746</v>
      </c>
      <c r="P212" s="446">
        <f t="shared" ref="P212:X212" si="399">SUM(P203:P211)</f>
        <v>0.68269469837622765</v>
      </c>
      <c r="Q212" s="446">
        <f t="shared" si="399"/>
        <v>0.68269469837622765</v>
      </c>
      <c r="R212" s="446">
        <f t="shared" si="399"/>
        <v>1.0412486584163729</v>
      </c>
      <c r="S212" s="446">
        <f t="shared" si="399"/>
        <v>1.2564796120559103</v>
      </c>
      <c r="T212" s="446">
        <f t="shared" si="399"/>
        <v>1.3715455177223506</v>
      </c>
      <c r="U212" s="446">
        <f t="shared" si="399"/>
        <v>1.3715455177223508</v>
      </c>
      <c r="V212" s="446">
        <f t="shared" si="399"/>
        <v>1.378104260375236</v>
      </c>
      <c r="W212" s="446">
        <f t="shared" si="399"/>
        <v>0.64240467922508226</v>
      </c>
      <c r="X212" s="446">
        <f t="shared" si="399"/>
        <v>0.64240467922508226</v>
      </c>
      <c r="AA212" s="446">
        <f>SUM(AA203:AA211)</f>
        <v>2.6446593970932963E-3</v>
      </c>
      <c r="AB212" s="446">
        <f t="shared" ref="AB212:AJ212" si="400">SUM(AB203:AB211)</f>
        <v>2.6099064626009527E-3</v>
      </c>
      <c r="AC212" s="446">
        <f t="shared" si="400"/>
        <v>2.6099064626009527E-3</v>
      </c>
      <c r="AD212" s="446">
        <f t="shared" si="400"/>
        <v>2.5053993132007069E-3</v>
      </c>
      <c r="AE212" s="446">
        <f t="shared" si="400"/>
        <v>1.2956180212601309E-3</v>
      </c>
      <c r="AF212" s="446">
        <f t="shared" si="400"/>
        <v>-4.4044727529311822E-4</v>
      </c>
      <c r="AG212" s="446">
        <f t="shared" si="400"/>
        <v>-4.4044727529284067E-4</v>
      </c>
      <c r="AH212" s="446">
        <f t="shared" si="400"/>
        <v>-2.3295157599972291E-3</v>
      </c>
      <c r="AI212" s="446">
        <f t="shared" si="400"/>
        <v>-6.1198503245043024E-3</v>
      </c>
      <c r="AJ212" s="446">
        <f t="shared" si="400"/>
        <v>-6.1198503245042469E-3</v>
      </c>
      <c r="AK212" s="446">
        <f>SUMSQ(AK203:AK211)</f>
        <v>1.7206970763456564E-4</v>
      </c>
    </row>
    <row r="213" spans="1:37" x14ac:dyDescent="0.35">
      <c r="A213" t="s">
        <v>822</v>
      </c>
      <c r="B213" s="471">
        <f t="shared" ref="B213:K213" si="401">B196-AA212/O212</f>
        <v>-2.4966498114331146</v>
      </c>
      <c r="C213" s="472">
        <f t="shared" si="401"/>
        <v>-2.4987285058198081</v>
      </c>
      <c r="D213" s="472">
        <f t="shared" si="401"/>
        <v>-2.4987285058198081</v>
      </c>
      <c r="E213" s="472">
        <f t="shared" si="401"/>
        <v>-1.341051988580042</v>
      </c>
      <c r="F213" s="472">
        <f t="shared" si="401"/>
        <v>-0.4748006605970313</v>
      </c>
      <c r="G213" s="472">
        <f t="shared" si="401"/>
        <v>0.28214753610409593</v>
      </c>
      <c r="H213" s="472">
        <f t="shared" si="401"/>
        <v>0.28214753610409576</v>
      </c>
      <c r="I213" s="472">
        <f t="shared" si="401"/>
        <v>1.004144259067056</v>
      </c>
      <c r="J213" s="472">
        <f t="shared" si="401"/>
        <v>3.873976245334473</v>
      </c>
      <c r="K213" s="473">
        <f t="shared" si="401"/>
        <v>3.873976245334473</v>
      </c>
      <c r="L213" s="446">
        <f>AVERAGE(B213:K213)</f>
        <v>6.4323496943901053E-4</v>
      </c>
    </row>
    <row r="214" spans="1:37" x14ac:dyDescent="0.35">
      <c r="A214" t="s">
        <v>906</v>
      </c>
      <c r="B214" s="89">
        <f>B213-L213</f>
        <v>-2.4972930464025538</v>
      </c>
      <c r="C214" s="159">
        <f>C213-L213</f>
        <v>-2.4993717407892473</v>
      </c>
      <c r="D214" s="159">
        <f>D213-L213</f>
        <v>-2.4993717407892473</v>
      </c>
      <c r="E214" s="159">
        <f>E213-L213</f>
        <v>-1.341695223549481</v>
      </c>
      <c r="F214" s="159">
        <f>F213-L213</f>
        <v>-0.47544389556647032</v>
      </c>
      <c r="G214" s="159">
        <f>G213-L213</f>
        <v>0.28150430113465691</v>
      </c>
      <c r="H214" s="159">
        <f>H213-L213</f>
        <v>0.28150430113465674</v>
      </c>
      <c r="I214" s="159">
        <f>I213-L213</f>
        <v>1.003501024097617</v>
      </c>
      <c r="J214" s="159">
        <f>J213-L213</f>
        <v>3.8733330103650339</v>
      </c>
      <c r="K214" s="93">
        <f>K213-L213</f>
        <v>3.8733330103650339</v>
      </c>
      <c r="L214" s="446">
        <f>AVERAGE(B214:K214)</f>
        <v>0</v>
      </c>
    </row>
    <row r="215" spans="1:37" x14ac:dyDescent="0.35">
      <c r="L215" s="446"/>
    </row>
    <row r="216" spans="1:37" x14ac:dyDescent="0.35">
      <c r="A216" t="s">
        <v>907</v>
      </c>
      <c r="B216" s="461">
        <f>B198+1</f>
        <v>12</v>
      </c>
    </row>
    <row r="217" spans="1:37" x14ac:dyDescent="0.35">
      <c r="B217" s="461"/>
    </row>
    <row r="218" spans="1:37" x14ac:dyDescent="0.35">
      <c r="B218" t="s">
        <v>860</v>
      </c>
      <c r="O218" t="s">
        <v>908</v>
      </c>
      <c r="AA218" t="s">
        <v>909</v>
      </c>
    </row>
    <row r="220" spans="1:37" x14ac:dyDescent="0.35">
      <c r="B220">
        <v>1</v>
      </c>
      <c r="C220">
        <v>2</v>
      </c>
      <c r="D220">
        <v>3</v>
      </c>
      <c r="E220">
        <v>4</v>
      </c>
      <c r="F220">
        <v>5</v>
      </c>
      <c r="G220">
        <v>6</v>
      </c>
      <c r="H220">
        <v>7</v>
      </c>
      <c r="I220">
        <v>8</v>
      </c>
      <c r="J220">
        <v>9</v>
      </c>
      <c r="K220">
        <v>10</v>
      </c>
      <c r="M220" t="s">
        <v>904</v>
      </c>
      <c r="O220">
        <v>1</v>
      </c>
      <c r="P220">
        <v>2</v>
      </c>
      <c r="Q220">
        <v>3</v>
      </c>
      <c r="R220">
        <v>4</v>
      </c>
      <c r="S220">
        <v>5</v>
      </c>
      <c r="T220">
        <v>6</v>
      </c>
      <c r="U220">
        <v>7</v>
      </c>
      <c r="V220">
        <v>8</v>
      </c>
      <c r="W220">
        <v>9</v>
      </c>
      <c r="X220">
        <v>10</v>
      </c>
      <c r="AA220">
        <v>1</v>
      </c>
      <c r="AB220">
        <v>2</v>
      </c>
      <c r="AC220">
        <v>3</v>
      </c>
      <c r="AD220">
        <v>4</v>
      </c>
      <c r="AE220">
        <v>5</v>
      </c>
      <c r="AF220">
        <v>6</v>
      </c>
      <c r="AG220">
        <v>7</v>
      </c>
      <c r="AH220">
        <v>8</v>
      </c>
      <c r="AI220">
        <v>9</v>
      </c>
      <c r="AJ220">
        <v>10</v>
      </c>
    </row>
    <row r="221" spans="1:37" x14ac:dyDescent="0.35">
      <c r="A221" t="s">
        <v>218</v>
      </c>
      <c r="B221" s="464">
        <f t="shared" ref="B221:K221" si="402">EXP($M203-B$214)/(1+EXP($M203-B$214))</f>
        <v>0.99860593079581117</v>
      </c>
      <c r="C221" s="467">
        <f t="shared" si="402"/>
        <v>0.99860882160262998</v>
      </c>
      <c r="D221" s="467">
        <f t="shared" si="402"/>
        <v>0.99860882160262998</v>
      </c>
      <c r="E221" s="467">
        <f t="shared" si="402"/>
        <v>0.99558593521638739</v>
      </c>
      <c r="F221" s="467">
        <f t="shared" si="402"/>
        <v>0.98956690209212539</v>
      </c>
      <c r="G221" s="467">
        <f t="shared" si="402"/>
        <v>0.97801868356657828</v>
      </c>
      <c r="H221" s="467">
        <f t="shared" si="402"/>
        <v>0.97801868356657828</v>
      </c>
      <c r="I221" s="467">
        <f t="shared" si="402"/>
        <v>0.9557795192636509</v>
      </c>
      <c r="J221" s="467">
        <f t="shared" si="402"/>
        <v>0.55070194102647063</v>
      </c>
      <c r="K221" s="465">
        <f t="shared" si="402"/>
        <v>0.55070194102647063</v>
      </c>
      <c r="M221" s="468">
        <f t="shared" ref="M221:M229" si="403">M203+AK221/Y221</f>
        <v>4.0842003055209961</v>
      </c>
      <c r="O221" s="464">
        <f t="shared" ref="O221:O229" si="404">B221*(1-B221)</f>
        <v>1.3921257752427627E-3</v>
      </c>
      <c r="P221" s="467">
        <f t="shared" ref="P221:P229" si="405">C221*(1-C221)</f>
        <v>1.3892430200367098E-3</v>
      </c>
      <c r="Q221" s="467">
        <f t="shared" ref="Q221:Q229" si="406">D221*(1-D221)</f>
        <v>1.3892430200367098E-3</v>
      </c>
      <c r="R221" s="467">
        <f t="shared" ref="R221:R229" si="407">E221*(1-E221)</f>
        <v>4.3945808156986852E-3</v>
      </c>
      <c r="S221" s="467">
        <f t="shared" ref="S221:S229" si="408">F221*(1-F221)</f>
        <v>1.0324248375919314E-2</v>
      </c>
      <c r="T221" s="467">
        <f t="shared" ref="T221:T229" si="409">G221*(1-G221)</f>
        <v>2.14981381612755E-2</v>
      </c>
      <c r="U221" s="467">
        <f t="shared" ref="U221:U229" si="410">H221*(1-H221)</f>
        <v>2.14981381612755E-2</v>
      </c>
      <c r="V221" s="467">
        <f t="shared" ref="V221:V229" si="411">I221*(1-I221)</f>
        <v>4.2265029819795276E-2</v>
      </c>
      <c r="W221" s="467">
        <f t="shared" ref="W221:W229" si="412">J221*(1-J221)</f>
        <v>0.2474293131761483</v>
      </c>
      <c r="X221" s="465">
        <f t="shared" ref="X221:X229" si="413">K221*(1-K221)</f>
        <v>0.2474293131761483</v>
      </c>
      <c r="Y221" s="446">
        <f>SUM(O221:X221)</f>
        <v>0.59900937350157712</v>
      </c>
      <c r="AA221" s="464" t="str">
        <f t="shared" ref="AA221:AA229" si="414">IF(ISNUMBER(B5),B5-B221,"")</f>
        <v/>
      </c>
      <c r="AB221" s="467">
        <f t="shared" ref="AB221:AB229" si="415">IF(ISNUMBER(C5),C5-C221,"")</f>
        <v>1.3911783973700187E-3</v>
      </c>
      <c r="AC221" s="467">
        <f t="shared" ref="AC221:AC229" si="416">IF(ISNUMBER(D5),D5-D221,"")</f>
        <v>1.3911783973700187E-3</v>
      </c>
      <c r="AD221" s="467">
        <f t="shared" ref="AD221:AD229" si="417">IF(ISNUMBER(E5),E5-E221,"")</f>
        <v>4.4140647836126146E-3</v>
      </c>
      <c r="AE221" s="467">
        <f t="shared" ref="AE221:AE229" si="418">IF(ISNUMBER(F5),F5-F221,"")</f>
        <v>1.0433097907874611E-2</v>
      </c>
      <c r="AF221" s="467">
        <f t="shared" ref="AF221:AF229" si="419">IF(ISNUMBER(G5),G5-G221,"")</f>
        <v>2.1981316433421716E-2</v>
      </c>
      <c r="AG221" s="467">
        <f t="shared" ref="AG221:AG229" si="420">IF(ISNUMBER(H5),H5-H221,"")</f>
        <v>2.1981316433421716E-2</v>
      </c>
      <c r="AH221" s="467">
        <f t="shared" ref="AH221:AH229" si="421">IF(ISNUMBER(I5),I5-I221,"")</f>
        <v>4.4220480736349099E-2</v>
      </c>
      <c r="AI221" s="467">
        <f t="shared" ref="AI221:AI229" si="422">IF(ISNUMBER(J5),J5-J221,"")</f>
        <v>-0.55070194102647063</v>
      </c>
      <c r="AJ221" s="465">
        <f t="shared" ref="AJ221:AJ229" si="423">IF(ISNUMBER(K5),K5-K221,"")</f>
        <v>0.44929805897352937</v>
      </c>
      <c r="AK221" s="446">
        <f>SUM(AA221:AJ221)</f>
        <v>4.4087510364785309E-3</v>
      </c>
    </row>
    <row r="222" spans="1:37" x14ac:dyDescent="0.35">
      <c r="A222" t="s">
        <v>98</v>
      </c>
      <c r="B222" s="466">
        <f t="shared" ref="B222:K222" si="424">EXP($M204-B$214)/(1+EXP($M204-B$214))</f>
        <v>0.99382966985033416</v>
      </c>
      <c r="C222" s="447">
        <f t="shared" si="424"/>
        <v>0.99384240386258682</v>
      </c>
      <c r="D222" s="447">
        <f t="shared" si="424"/>
        <v>0.99384240386258682</v>
      </c>
      <c r="E222" s="447">
        <f t="shared" si="424"/>
        <v>0.98066313560471363</v>
      </c>
      <c r="F222" s="447">
        <f t="shared" si="424"/>
        <v>0.95521077122041109</v>
      </c>
      <c r="G222" s="447">
        <f t="shared" si="424"/>
        <v>0.909126526594495</v>
      </c>
      <c r="H222" s="447">
        <f t="shared" si="424"/>
        <v>0.909126526594495</v>
      </c>
      <c r="I222" s="447">
        <f t="shared" si="424"/>
        <v>0.82934884395302999</v>
      </c>
      <c r="J222" s="447">
        <f t="shared" si="424"/>
        <v>0.21605386374626825</v>
      </c>
      <c r="K222" s="448">
        <f t="shared" si="424"/>
        <v>0.21605386374626825</v>
      </c>
      <c r="M222" s="469">
        <f t="shared" si="403"/>
        <v>2.5885197282091448</v>
      </c>
      <c r="O222" s="466">
        <f t="shared" si="404"/>
        <v>6.1322571755099619E-3</v>
      </c>
      <c r="P222" s="447">
        <f t="shared" si="405"/>
        <v>6.1196801472216938E-3</v>
      </c>
      <c r="Q222" s="447">
        <f t="shared" si="406"/>
        <v>6.1196801472216938E-3</v>
      </c>
      <c r="R222" s="447">
        <f t="shared" si="407"/>
        <v>1.8962950070644673E-2</v>
      </c>
      <c r="S222" s="447">
        <f t="shared" si="408"/>
        <v>4.2783153764918549E-2</v>
      </c>
      <c r="T222" s="447">
        <f t="shared" si="409"/>
        <v>8.2615485236723976E-2</v>
      </c>
      <c r="U222" s="447">
        <f t="shared" si="410"/>
        <v>8.2615485236723976E-2</v>
      </c>
      <c r="V222" s="447">
        <f t="shared" si="411"/>
        <v>0.1415293389868027</v>
      </c>
      <c r="W222" s="447">
        <f t="shared" si="412"/>
        <v>0.1693745917065772</v>
      </c>
      <c r="X222" s="448">
        <f t="shared" si="413"/>
        <v>0.1693745917065772</v>
      </c>
      <c r="Y222" s="446">
        <f t="shared" ref="Y222:Y229" si="425">SUM(O222:X222)</f>
        <v>0.72562721417892162</v>
      </c>
      <c r="AA222" s="466">
        <f t="shared" si="414"/>
        <v>6.1703301496658369E-3</v>
      </c>
      <c r="AB222" s="447">
        <f t="shared" si="415"/>
        <v>6.1575961374131793E-3</v>
      </c>
      <c r="AC222" s="447">
        <f t="shared" si="416"/>
        <v>6.1575961374131793E-3</v>
      </c>
      <c r="AD222" s="447">
        <f t="shared" si="417"/>
        <v>-0.98066313560471363</v>
      </c>
      <c r="AE222" s="447">
        <f t="shared" si="418"/>
        <v>4.4789228779588908E-2</v>
      </c>
      <c r="AF222" s="447">
        <f t="shared" si="419"/>
        <v>9.0873473405505001E-2</v>
      </c>
      <c r="AG222" s="447">
        <f t="shared" si="420"/>
        <v>9.0873473405505001E-2</v>
      </c>
      <c r="AH222" s="447">
        <f t="shared" si="421"/>
        <v>0.17065115604697001</v>
      </c>
      <c r="AI222" s="447">
        <f t="shared" si="422"/>
        <v>0.78394613625373177</v>
      </c>
      <c r="AJ222" s="448">
        <f t="shared" si="423"/>
        <v>-0.21605386374626825</v>
      </c>
      <c r="AK222" s="446">
        <f t="shared" ref="AK222:AK229" si="426">SUM(AA222:AJ222)</f>
        <v>2.901990964811002E-3</v>
      </c>
    </row>
    <row r="223" spans="1:37" x14ac:dyDescent="0.35">
      <c r="A223" t="s">
        <v>99</v>
      </c>
      <c r="B223" s="466">
        <f t="shared" ref="B223:K223" si="427">EXP($M205-B$214)/(1+EXP($M205-B$214))</f>
        <v>0.97993911669788647</v>
      </c>
      <c r="C223" s="447">
        <f t="shared" si="427"/>
        <v>0.97997993985383924</v>
      </c>
      <c r="D223" s="447">
        <f t="shared" si="427"/>
        <v>0.97997993985383924</v>
      </c>
      <c r="E223" s="447">
        <f t="shared" si="427"/>
        <v>0.93895296796283079</v>
      </c>
      <c r="F223" s="447">
        <f t="shared" si="427"/>
        <v>0.86609563432025516</v>
      </c>
      <c r="G223" s="447">
        <f t="shared" si="427"/>
        <v>0.75211443564404801</v>
      </c>
      <c r="H223" s="447">
        <f t="shared" si="427"/>
        <v>0.7521144356440479</v>
      </c>
      <c r="I223" s="447">
        <f t="shared" si="427"/>
        <v>0.59578297941176095</v>
      </c>
      <c r="J223" s="447">
        <f t="shared" si="427"/>
        <v>7.7136309869736741E-2</v>
      </c>
      <c r="K223" s="448">
        <f t="shared" si="427"/>
        <v>7.7136309869736741E-2</v>
      </c>
      <c r="M223" s="469">
        <f t="shared" si="403"/>
        <v>1.3922026316419156</v>
      </c>
      <c r="O223" s="466">
        <f t="shared" si="404"/>
        <v>1.9658444263252514E-2</v>
      </c>
      <c r="P223" s="447">
        <f t="shared" si="405"/>
        <v>1.9619257337904861E-2</v>
      </c>
      <c r="Q223" s="447">
        <f t="shared" si="406"/>
        <v>1.9619257337904861E-2</v>
      </c>
      <c r="R223" s="447">
        <f t="shared" si="407"/>
        <v>5.7320291916622051E-2</v>
      </c>
      <c r="S223" s="447">
        <f t="shared" si="408"/>
        <v>0.11597398653165002</v>
      </c>
      <c r="T223" s="447">
        <f t="shared" si="409"/>
        <v>0.18643831133988317</v>
      </c>
      <c r="U223" s="447">
        <f t="shared" si="410"/>
        <v>0.18643831133988323</v>
      </c>
      <c r="V223" s="447">
        <f t="shared" si="411"/>
        <v>0.24082562085500617</v>
      </c>
      <c r="W223" s="447">
        <f t="shared" si="412"/>
        <v>7.1186299569416689E-2</v>
      </c>
      <c r="X223" s="448">
        <f t="shared" si="413"/>
        <v>7.1186299569416689E-2</v>
      </c>
      <c r="Y223" s="446">
        <f t="shared" si="425"/>
        <v>0.98826608006094019</v>
      </c>
      <c r="AA223" s="466">
        <f t="shared" si="414"/>
        <v>2.006088330211353E-2</v>
      </c>
      <c r="AB223" s="447">
        <f t="shared" si="415"/>
        <v>2.0020060146160756E-2</v>
      </c>
      <c r="AC223" s="447">
        <f t="shared" si="416"/>
        <v>2.0020060146160756E-2</v>
      </c>
      <c r="AD223" s="447">
        <f t="shared" si="417"/>
        <v>6.1047032037169213E-2</v>
      </c>
      <c r="AE223" s="447">
        <f t="shared" si="418"/>
        <v>0.13390436567974484</v>
      </c>
      <c r="AF223" s="447">
        <f t="shared" si="419"/>
        <v>0.24788556435595199</v>
      </c>
      <c r="AG223" s="447">
        <f t="shared" si="420"/>
        <v>-0.7521144356440479</v>
      </c>
      <c r="AH223" s="447">
        <f t="shared" si="421"/>
        <v>0.40421702058823905</v>
      </c>
      <c r="AI223" s="447">
        <f t="shared" si="422"/>
        <v>-7.7136309869736741E-2</v>
      </c>
      <c r="AJ223" s="448">
        <f t="shared" si="423"/>
        <v>-7.7136309869736741E-2</v>
      </c>
      <c r="AK223" s="446">
        <f t="shared" si="426"/>
        <v>7.6793087201876276E-4</v>
      </c>
    </row>
    <row r="224" spans="1:37" x14ac:dyDescent="0.35">
      <c r="A224" t="s">
        <v>100</v>
      </c>
      <c r="B224" s="466">
        <f t="shared" ref="B224:K224" si="428">EXP($M206-B$214)/(1+EXP($M206-B$214))</f>
        <v>0.97993911669788647</v>
      </c>
      <c r="C224" s="447">
        <f t="shared" si="428"/>
        <v>0.97997993985383924</v>
      </c>
      <c r="D224" s="447">
        <f t="shared" si="428"/>
        <v>0.97997993985383924</v>
      </c>
      <c r="E224" s="447">
        <f t="shared" si="428"/>
        <v>0.93895296796283079</v>
      </c>
      <c r="F224" s="447">
        <f t="shared" si="428"/>
        <v>0.86609563432025516</v>
      </c>
      <c r="G224" s="447">
        <f t="shared" si="428"/>
        <v>0.75211443564404801</v>
      </c>
      <c r="H224" s="447">
        <f t="shared" si="428"/>
        <v>0.7521144356440479</v>
      </c>
      <c r="I224" s="447">
        <f t="shared" si="428"/>
        <v>0.59578297941176095</v>
      </c>
      <c r="J224" s="447">
        <f t="shared" si="428"/>
        <v>7.7136309869736741E-2</v>
      </c>
      <c r="K224" s="448">
        <f t="shared" si="428"/>
        <v>7.7136309869736741E-2</v>
      </c>
      <c r="M224" s="469">
        <f t="shared" si="403"/>
        <v>1.3922026316419156</v>
      </c>
      <c r="O224" s="466">
        <f t="shared" si="404"/>
        <v>1.9658444263252514E-2</v>
      </c>
      <c r="P224" s="447">
        <f t="shared" si="405"/>
        <v>1.9619257337904861E-2</v>
      </c>
      <c r="Q224" s="447">
        <f t="shared" si="406"/>
        <v>1.9619257337904861E-2</v>
      </c>
      <c r="R224" s="447">
        <f t="shared" si="407"/>
        <v>5.7320291916622051E-2</v>
      </c>
      <c r="S224" s="447">
        <f t="shared" si="408"/>
        <v>0.11597398653165002</v>
      </c>
      <c r="T224" s="447">
        <f t="shared" si="409"/>
        <v>0.18643831133988317</v>
      </c>
      <c r="U224" s="447">
        <f t="shared" si="410"/>
        <v>0.18643831133988323</v>
      </c>
      <c r="V224" s="447">
        <f t="shared" si="411"/>
        <v>0.24082562085500617</v>
      </c>
      <c r="W224" s="447">
        <f t="shared" si="412"/>
        <v>7.1186299569416689E-2</v>
      </c>
      <c r="X224" s="448">
        <f t="shared" si="413"/>
        <v>7.1186299569416689E-2</v>
      </c>
      <c r="Y224" s="446">
        <f t="shared" si="425"/>
        <v>0.98826608006094019</v>
      </c>
      <c r="AA224" s="466">
        <f t="shared" si="414"/>
        <v>2.006088330211353E-2</v>
      </c>
      <c r="AB224" s="447">
        <f t="shared" si="415"/>
        <v>2.0020060146160756E-2</v>
      </c>
      <c r="AC224" s="447">
        <f t="shared" si="416"/>
        <v>2.0020060146160756E-2</v>
      </c>
      <c r="AD224" s="447">
        <f t="shared" si="417"/>
        <v>6.1047032037169213E-2</v>
      </c>
      <c r="AE224" s="447">
        <f t="shared" si="418"/>
        <v>0.13390436567974484</v>
      </c>
      <c r="AF224" s="447">
        <f t="shared" si="419"/>
        <v>0.24788556435595199</v>
      </c>
      <c r="AG224" s="447">
        <f t="shared" si="420"/>
        <v>-0.7521144356440479</v>
      </c>
      <c r="AH224" s="447">
        <f t="shared" si="421"/>
        <v>0.40421702058823905</v>
      </c>
      <c r="AI224" s="447">
        <f t="shared" si="422"/>
        <v>-7.7136309869736741E-2</v>
      </c>
      <c r="AJ224" s="448">
        <f t="shared" si="423"/>
        <v>-7.7136309869736741E-2</v>
      </c>
      <c r="AK224" s="446">
        <f t="shared" si="426"/>
        <v>7.6793087201876276E-4</v>
      </c>
    </row>
    <row r="225" spans="1:37" x14ac:dyDescent="0.35">
      <c r="A225" t="s">
        <v>536</v>
      </c>
      <c r="B225" s="466">
        <f t="shared" ref="B225:K225" si="429">EXP($M207-B$214)/(1+EXP($M207-B$214))</f>
        <v>0.95252197705889252</v>
      </c>
      <c r="C225" s="447">
        <f t="shared" si="429"/>
        <v>0.95261589526496016</v>
      </c>
      <c r="D225" s="447">
        <f t="shared" si="429"/>
        <v>0.95261589526496016</v>
      </c>
      <c r="E225" s="447">
        <f t="shared" si="429"/>
        <v>0.86333244049298175</v>
      </c>
      <c r="F225" s="447">
        <f t="shared" si="429"/>
        <v>0.72651196913650973</v>
      </c>
      <c r="G225" s="447">
        <f t="shared" si="429"/>
        <v>0.55479131412186111</v>
      </c>
      <c r="H225" s="447">
        <f t="shared" si="429"/>
        <v>0.554791314121861</v>
      </c>
      <c r="I225" s="447">
        <f t="shared" si="429"/>
        <v>0.37708303322135212</v>
      </c>
      <c r="J225" s="447">
        <f t="shared" si="429"/>
        <v>3.3189151605063721E-2</v>
      </c>
      <c r="K225" s="448">
        <f t="shared" si="429"/>
        <v>3.3189151605063721E-2</v>
      </c>
      <c r="M225" s="469">
        <f t="shared" si="403"/>
        <v>0.50103752955459868</v>
      </c>
      <c r="O225" s="466">
        <f t="shared" si="404"/>
        <v>4.5223860278711149E-2</v>
      </c>
      <c r="P225" s="447">
        <f t="shared" si="405"/>
        <v>4.513885135349862E-2</v>
      </c>
      <c r="Q225" s="447">
        <f t="shared" si="406"/>
        <v>4.513885135349862E-2</v>
      </c>
      <c r="R225" s="447">
        <f t="shared" si="407"/>
        <v>0.11798953768541388</v>
      </c>
      <c r="S225" s="447">
        <f t="shared" si="408"/>
        <v>0.19869232783790086</v>
      </c>
      <c r="T225" s="447">
        <f t="shared" si="409"/>
        <v>0.24699791189679954</v>
      </c>
      <c r="U225" s="447">
        <f t="shared" si="410"/>
        <v>0.24699791189679957</v>
      </c>
      <c r="V225" s="447">
        <f t="shared" si="411"/>
        <v>0.23489141927793675</v>
      </c>
      <c r="W225" s="447">
        <f t="shared" si="412"/>
        <v>3.2087631820799815E-2</v>
      </c>
      <c r="X225" s="448">
        <f t="shared" si="413"/>
        <v>3.2087631820799815E-2</v>
      </c>
      <c r="Y225" s="446">
        <f t="shared" si="425"/>
        <v>1.2452459352221588</v>
      </c>
      <c r="AA225" s="466">
        <f t="shared" si="414"/>
        <v>4.7478022941107478E-2</v>
      </c>
      <c r="AB225" s="447">
        <f t="shared" si="415"/>
        <v>4.7384104735039845E-2</v>
      </c>
      <c r="AC225" s="447">
        <f t="shared" si="416"/>
        <v>4.7384104735039845E-2</v>
      </c>
      <c r="AD225" s="447">
        <f t="shared" si="417"/>
        <v>0.13666755950701825</v>
      </c>
      <c r="AE225" s="447">
        <f t="shared" si="418"/>
        <v>-0.72651196913650973</v>
      </c>
      <c r="AF225" s="447">
        <f t="shared" si="419"/>
        <v>0.44520868587813889</v>
      </c>
      <c r="AG225" s="447">
        <f t="shared" si="420"/>
        <v>0.445208685878139</v>
      </c>
      <c r="AH225" s="447">
        <f t="shared" si="421"/>
        <v>-0.37708303322135212</v>
      </c>
      <c r="AI225" s="447">
        <f t="shared" si="422"/>
        <v>-3.3189151605063721E-2</v>
      </c>
      <c r="AJ225" s="448">
        <f t="shared" si="423"/>
        <v>-3.3189151605063721E-2</v>
      </c>
      <c r="AK225" s="446">
        <f t="shared" si="426"/>
        <v>-6.4214189350597639E-4</v>
      </c>
    </row>
    <row r="226" spans="1:37" x14ac:dyDescent="0.35">
      <c r="A226" t="s">
        <v>101</v>
      </c>
      <c r="B226" s="466">
        <f t="shared" ref="B226:K226" si="430">EXP($M208-B$214)/(1+EXP($M208-B$214))</f>
        <v>0.95252197705889252</v>
      </c>
      <c r="C226" s="447">
        <f t="shared" si="430"/>
        <v>0.95261589526496016</v>
      </c>
      <c r="D226" s="447">
        <f t="shared" si="430"/>
        <v>0.95261589526496016</v>
      </c>
      <c r="E226" s="447">
        <f t="shared" si="430"/>
        <v>0.86333244049298175</v>
      </c>
      <c r="F226" s="447">
        <f t="shared" si="430"/>
        <v>0.72651196913650973</v>
      </c>
      <c r="G226" s="447">
        <f t="shared" si="430"/>
        <v>0.55479131412186111</v>
      </c>
      <c r="H226" s="447">
        <f t="shared" si="430"/>
        <v>0.554791314121861</v>
      </c>
      <c r="I226" s="447">
        <f t="shared" si="430"/>
        <v>0.37708303322135212</v>
      </c>
      <c r="J226" s="447">
        <f t="shared" si="430"/>
        <v>3.3189151605063721E-2</v>
      </c>
      <c r="K226" s="448">
        <f t="shared" si="430"/>
        <v>3.3189151605063721E-2</v>
      </c>
      <c r="M226" s="469">
        <f t="shared" si="403"/>
        <v>0.50103752955459868</v>
      </c>
      <c r="O226" s="466">
        <f t="shared" si="404"/>
        <v>4.5223860278711149E-2</v>
      </c>
      <c r="P226" s="447">
        <f t="shared" si="405"/>
        <v>4.513885135349862E-2</v>
      </c>
      <c r="Q226" s="447">
        <f t="shared" si="406"/>
        <v>4.513885135349862E-2</v>
      </c>
      <c r="R226" s="447">
        <f t="shared" si="407"/>
        <v>0.11798953768541388</v>
      </c>
      <c r="S226" s="447">
        <f t="shared" si="408"/>
        <v>0.19869232783790086</v>
      </c>
      <c r="T226" s="447">
        <f t="shared" si="409"/>
        <v>0.24699791189679954</v>
      </c>
      <c r="U226" s="447">
        <f t="shared" si="410"/>
        <v>0.24699791189679957</v>
      </c>
      <c r="V226" s="447">
        <f t="shared" si="411"/>
        <v>0.23489141927793675</v>
      </c>
      <c r="W226" s="447">
        <f t="shared" si="412"/>
        <v>3.2087631820799815E-2</v>
      </c>
      <c r="X226" s="448">
        <f t="shared" si="413"/>
        <v>3.2087631820799815E-2</v>
      </c>
      <c r="Y226" s="446">
        <f t="shared" si="425"/>
        <v>1.2452459352221588</v>
      </c>
      <c r="AA226" s="466">
        <f t="shared" si="414"/>
        <v>4.7478022941107478E-2</v>
      </c>
      <c r="AB226" s="447">
        <f t="shared" si="415"/>
        <v>4.7384104735039845E-2</v>
      </c>
      <c r="AC226" s="447">
        <f t="shared" si="416"/>
        <v>4.7384104735039845E-2</v>
      </c>
      <c r="AD226" s="447">
        <f t="shared" si="417"/>
        <v>0.13666755950701825</v>
      </c>
      <c r="AE226" s="447">
        <f t="shared" si="418"/>
        <v>0.27348803086349027</v>
      </c>
      <c r="AF226" s="447">
        <f t="shared" si="419"/>
        <v>-0.55479131412186111</v>
      </c>
      <c r="AG226" s="447">
        <f t="shared" si="420"/>
        <v>0.445208685878139</v>
      </c>
      <c r="AH226" s="447">
        <f t="shared" si="421"/>
        <v>-0.37708303322135212</v>
      </c>
      <c r="AI226" s="447">
        <f t="shared" si="422"/>
        <v>-3.3189151605063721E-2</v>
      </c>
      <c r="AJ226" s="448">
        <f t="shared" si="423"/>
        <v>-3.3189151605063721E-2</v>
      </c>
      <c r="AK226" s="446">
        <f t="shared" si="426"/>
        <v>-6.4214189350597639E-4</v>
      </c>
    </row>
    <row r="227" spans="1:37" x14ac:dyDescent="0.35">
      <c r="A227" t="s">
        <v>281</v>
      </c>
      <c r="B227" s="466">
        <f t="shared" ref="B227:K227" si="431">EXP($M209-B$214)/(1+EXP($M209-B$214))</f>
        <v>0.819944171040906</v>
      </c>
      <c r="C227" s="447">
        <f t="shared" si="431"/>
        <v>0.82025085652219842</v>
      </c>
      <c r="D227" s="447">
        <f t="shared" si="431"/>
        <v>0.82025085652219842</v>
      </c>
      <c r="E227" s="447">
        <f t="shared" si="431"/>
        <v>0.58913035284352511</v>
      </c>
      <c r="F227" s="447">
        <f t="shared" si="431"/>
        <v>0.37615987792007533</v>
      </c>
      <c r="G227" s="447">
        <f t="shared" si="431"/>
        <v>0.22048744207455434</v>
      </c>
      <c r="H227" s="447">
        <f t="shared" si="431"/>
        <v>0.22048744207455434</v>
      </c>
      <c r="I227" s="447">
        <f t="shared" si="431"/>
        <v>0.12080545249976735</v>
      </c>
      <c r="J227" s="447">
        <f t="shared" si="431"/>
        <v>7.7317614294490737E-3</v>
      </c>
      <c r="K227" s="448">
        <f t="shared" si="431"/>
        <v>7.7317614294490737E-3</v>
      </c>
      <c r="M227" s="469">
        <f t="shared" si="403"/>
        <v>-0.98347608516791341</v>
      </c>
      <c r="O227" s="466">
        <f t="shared" si="404"/>
        <v>0.1476357274169475</v>
      </c>
      <c r="P227" s="447">
        <f t="shared" si="405"/>
        <v>0.14743938889679828</v>
      </c>
      <c r="Q227" s="447">
        <f t="shared" si="406"/>
        <v>0.14743938889679828</v>
      </c>
      <c r="R227" s="447">
        <f t="shared" si="407"/>
        <v>0.24205578020198873</v>
      </c>
      <c r="S227" s="447">
        <f t="shared" si="408"/>
        <v>0.23466362416322936</v>
      </c>
      <c r="T227" s="447">
        <f t="shared" si="409"/>
        <v>0.17187272996197436</v>
      </c>
      <c r="U227" s="447">
        <f t="shared" si="410"/>
        <v>0.17187272996197436</v>
      </c>
      <c r="V227" s="447">
        <f t="shared" si="411"/>
        <v>0.10621149514609379</v>
      </c>
      <c r="W227" s="447">
        <f t="shared" si="412"/>
        <v>7.671981294647157E-3</v>
      </c>
      <c r="X227" s="448">
        <f t="shared" si="413"/>
        <v>7.671981294647157E-3</v>
      </c>
      <c r="Y227" s="446">
        <f t="shared" si="425"/>
        <v>1.3845348272350988</v>
      </c>
      <c r="AA227" s="466">
        <f t="shared" si="414"/>
        <v>0.180055828959094</v>
      </c>
      <c r="AB227" s="447">
        <f t="shared" si="415"/>
        <v>0.17974914347780158</v>
      </c>
      <c r="AC227" s="447">
        <f t="shared" si="416"/>
        <v>0.17974914347780158</v>
      </c>
      <c r="AD227" s="447">
        <f t="shared" si="417"/>
        <v>0.41086964715647489</v>
      </c>
      <c r="AE227" s="447">
        <f t="shared" si="418"/>
        <v>-0.37615987792007533</v>
      </c>
      <c r="AF227" s="447">
        <f t="shared" si="419"/>
        <v>-0.22048744207455434</v>
      </c>
      <c r="AG227" s="447">
        <f t="shared" si="420"/>
        <v>-0.22048744207455434</v>
      </c>
      <c r="AH227" s="447">
        <f t="shared" si="421"/>
        <v>-0.12080545249976735</v>
      </c>
      <c r="AI227" s="447">
        <f t="shared" si="422"/>
        <v>-7.7317614294490737E-3</v>
      </c>
      <c r="AJ227" s="448">
        <f t="shared" si="423"/>
        <v>-7.7317614294490737E-3</v>
      </c>
      <c r="AK227" s="446">
        <f t="shared" si="426"/>
        <v>-2.9799743566774547E-3</v>
      </c>
    </row>
    <row r="228" spans="1:37" x14ac:dyDescent="0.35">
      <c r="A228" t="s">
        <v>537</v>
      </c>
      <c r="B228" s="466">
        <f t="shared" ref="B228:K228" si="432">EXP($M210-B$214)/(1+EXP($M210-B$214))</f>
        <v>0.819944171040906</v>
      </c>
      <c r="C228" s="447">
        <f t="shared" si="432"/>
        <v>0.82025085652219842</v>
      </c>
      <c r="D228" s="447">
        <f t="shared" si="432"/>
        <v>0.82025085652219842</v>
      </c>
      <c r="E228" s="447">
        <f t="shared" si="432"/>
        <v>0.58913035284352511</v>
      </c>
      <c r="F228" s="447">
        <f t="shared" si="432"/>
        <v>0.37615987792007544</v>
      </c>
      <c r="G228" s="447">
        <f t="shared" si="432"/>
        <v>0.22048744207455434</v>
      </c>
      <c r="H228" s="447">
        <f t="shared" si="432"/>
        <v>0.22048744207455434</v>
      </c>
      <c r="I228" s="447">
        <f t="shared" si="432"/>
        <v>0.12080545249976735</v>
      </c>
      <c r="J228" s="447">
        <f t="shared" si="432"/>
        <v>7.7317614294490737E-3</v>
      </c>
      <c r="K228" s="448">
        <f t="shared" si="432"/>
        <v>7.7317614294490737E-3</v>
      </c>
      <c r="M228" s="469">
        <f t="shared" si="403"/>
        <v>-0.98347608516791341</v>
      </c>
      <c r="O228" s="466">
        <f t="shared" si="404"/>
        <v>0.1476357274169475</v>
      </c>
      <c r="P228" s="447">
        <f t="shared" si="405"/>
        <v>0.14743938889679828</v>
      </c>
      <c r="Q228" s="447">
        <f t="shared" si="406"/>
        <v>0.14743938889679828</v>
      </c>
      <c r="R228" s="447">
        <f t="shared" si="407"/>
        <v>0.24205578020198873</v>
      </c>
      <c r="S228" s="447">
        <f t="shared" si="408"/>
        <v>0.23466362416322939</v>
      </c>
      <c r="T228" s="447">
        <f t="shared" si="409"/>
        <v>0.17187272996197436</v>
      </c>
      <c r="U228" s="447">
        <f t="shared" si="410"/>
        <v>0.17187272996197436</v>
      </c>
      <c r="V228" s="447">
        <f t="shared" si="411"/>
        <v>0.10621149514609379</v>
      </c>
      <c r="W228" s="447">
        <f t="shared" si="412"/>
        <v>7.671981294647157E-3</v>
      </c>
      <c r="X228" s="448">
        <f t="shared" si="413"/>
        <v>7.671981294647157E-3</v>
      </c>
      <c r="Y228" s="446">
        <f t="shared" si="425"/>
        <v>1.3845348272350988</v>
      </c>
      <c r="AA228" s="466">
        <f t="shared" si="414"/>
        <v>0.180055828959094</v>
      </c>
      <c r="AB228" s="447">
        <f t="shared" si="415"/>
        <v>-0.82025085652219842</v>
      </c>
      <c r="AC228" s="447">
        <f t="shared" si="416"/>
        <v>0.17974914347780158</v>
      </c>
      <c r="AD228" s="447">
        <f t="shared" si="417"/>
        <v>-0.58913035284352511</v>
      </c>
      <c r="AE228" s="447">
        <f t="shared" si="418"/>
        <v>0.62384012207992456</v>
      </c>
      <c r="AF228" s="447">
        <f t="shared" si="419"/>
        <v>-0.22048744207455434</v>
      </c>
      <c r="AG228" s="447">
        <f t="shared" si="420"/>
        <v>0.7795125579254456</v>
      </c>
      <c r="AH228" s="447">
        <f t="shared" si="421"/>
        <v>-0.12080545249976735</v>
      </c>
      <c r="AI228" s="447">
        <f t="shared" si="422"/>
        <v>-7.7317614294490737E-3</v>
      </c>
      <c r="AJ228" s="448">
        <f t="shared" si="423"/>
        <v>-7.7317614294490737E-3</v>
      </c>
      <c r="AK228" s="446">
        <f t="shared" si="426"/>
        <v>-2.9799743566776768E-3</v>
      </c>
    </row>
    <row r="229" spans="1:37" x14ac:dyDescent="0.35">
      <c r="A229" t="s">
        <v>905</v>
      </c>
      <c r="B229" s="449">
        <f t="shared" ref="B229:K229" si="433">EXP($M211-B$214)/(1+EXP($M211-B$214))</f>
        <v>0.49935541026014396</v>
      </c>
      <c r="C229" s="450">
        <f t="shared" si="433"/>
        <v>0.49987508350231674</v>
      </c>
      <c r="D229" s="450">
        <f t="shared" si="433"/>
        <v>0.49987508350231674</v>
      </c>
      <c r="E229" s="450">
        <f t="shared" si="433"/>
        <v>0.23899884010303421</v>
      </c>
      <c r="F229" s="450">
        <f t="shared" si="433"/>
        <v>0.11666195229496398</v>
      </c>
      <c r="G229" s="450">
        <f t="shared" si="433"/>
        <v>5.8338934400145724E-2</v>
      </c>
      <c r="H229" s="450">
        <f t="shared" si="433"/>
        <v>5.8338934400145724E-2</v>
      </c>
      <c r="I229" s="450">
        <f t="shared" si="433"/>
        <v>2.9216427060703012E-2</v>
      </c>
      <c r="J229" s="450">
        <f t="shared" si="433"/>
        <v>1.703773735089293E-3</v>
      </c>
      <c r="K229" s="451">
        <f t="shared" si="433"/>
        <v>1.703773735089293E-3</v>
      </c>
      <c r="M229" s="470">
        <f t="shared" si="403"/>
        <v>-2.5033291089894227</v>
      </c>
      <c r="O229" s="449">
        <f t="shared" si="404"/>
        <v>0.24999958450406728</v>
      </c>
      <c r="P229" s="450">
        <f t="shared" si="405"/>
        <v>0.24999998439586862</v>
      </c>
      <c r="Q229" s="450">
        <f t="shared" si="406"/>
        <v>0.24999998439586862</v>
      </c>
      <c r="R229" s="450">
        <f t="shared" si="407"/>
        <v>0.18187839453243851</v>
      </c>
      <c r="S229" s="450">
        <f t="shared" si="408"/>
        <v>0.10305194118169153</v>
      </c>
      <c r="T229" s="450">
        <f t="shared" si="409"/>
        <v>5.4935503133201218E-2</v>
      </c>
      <c r="U229" s="450">
        <f t="shared" si="410"/>
        <v>5.4935503133201218E-2</v>
      </c>
      <c r="V229" s="450">
        <f t="shared" si="411"/>
        <v>2.8362827450509633E-2</v>
      </c>
      <c r="W229" s="450">
        <f t="shared" si="412"/>
        <v>1.7008708901489129E-3</v>
      </c>
      <c r="X229" s="451">
        <f t="shared" si="413"/>
        <v>1.7008708901489129E-3</v>
      </c>
      <c r="Y229" s="446">
        <f t="shared" si="425"/>
        <v>1.1765654645071446</v>
      </c>
      <c r="AA229" s="449">
        <f t="shared" si="414"/>
        <v>-0.49935541026014396</v>
      </c>
      <c r="AB229" s="450">
        <f t="shared" si="415"/>
        <v>0.50012491649768331</v>
      </c>
      <c r="AC229" s="450">
        <f t="shared" si="416"/>
        <v>-0.49987508350231674</v>
      </c>
      <c r="AD229" s="450">
        <f t="shared" si="417"/>
        <v>0.76100115989696582</v>
      </c>
      <c r="AE229" s="450">
        <f t="shared" si="418"/>
        <v>-0.11666195229496398</v>
      </c>
      <c r="AF229" s="450">
        <f t="shared" si="419"/>
        <v>-5.8338934400145724E-2</v>
      </c>
      <c r="AG229" s="450">
        <f t="shared" si="420"/>
        <v>-5.8338934400145724E-2</v>
      </c>
      <c r="AH229" s="450">
        <f t="shared" si="421"/>
        <v>-2.9216427060703012E-2</v>
      </c>
      <c r="AI229" s="450">
        <f t="shared" si="422"/>
        <v>-1.703773735089293E-3</v>
      </c>
      <c r="AJ229" s="451">
        <f t="shared" si="423"/>
        <v>-1.703773735089293E-3</v>
      </c>
      <c r="AK229" s="446">
        <f t="shared" si="426"/>
        <v>-4.0682129939486073E-3</v>
      </c>
    </row>
    <row r="230" spans="1:37" x14ac:dyDescent="0.35">
      <c r="O230" s="446">
        <f>SUM(O221:O229)</f>
        <v>0.68256003137264232</v>
      </c>
      <c r="P230" s="446">
        <f t="shared" ref="P230:X230" si="434">SUM(P221:P229)</f>
        <v>0.68190390273953061</v>
      </c>
      <c r="Q230" s="446">
        <f t="shared" si="434"/>
        <v>0.68190390273953061</v>
      </c>
      <c r="R230" s="446">
        <f t="shared" si="434"/>
        <v>1.0399671450268311</v>
      </c>
      <c r="S230" s="446">
        <f t="shared" si="434"/>
        <v>1.2548192203880899</v>
      </c>
      <c r="T230" s="446">
        <f t="shared" si="434"/>
        <v>1.369667032928515</v>
      </c>
      <c r="U230" s="446">
        <f t="shared" si="434"/>
        <v>1.3696670329285152</v>
      </c>
      <c r="V230" s="446">
        <f t="shared" si="434"/>
        <v>1.3760142668151809</v>
      </c>
      <c r="W230" s="446">
        <f t="shared" si="434"/>
        <v>0.64039660114260166</v>
      </c>
      <c r="X230" s="446">
        <f t="shared" si="434"/>
        <v>0.64039660114260166</v>
      </c>
      <c r="AA230" s="446">
        <f>SUM(AA221:AA229)</f>
        <v>2.0043902941518921E-3</v>
      </c>
      <c r="AB230" s="446">
        <f t="shared" ref="AB230:AJ230" si="435">SUM(AB221:AB229)</f>
        <v>1.9803077504708666E-3</v>
      </c>
      <c r="AC230" s="446">
        <f t="shared" si="435"/>
        <v>1.9803077504708111E-3</v>
      </c>
      <c r="AD230" s="446">
        <f t="shared" si="435"/>
        <v>1.9205664771895226E-3</v>
      </c>
      <c r="AE230" s="446">
        <f t="shared" si="435"/>
        <v>1.0254116388190015E-3</v>
      </c>
      <c r="AF230" s="446">
        <f t="shared" si="435"/>
        <v>-2.7052824214581633E-4</v>
      </c>
      <c r="AG230" s="446">
        <f t="shared" si="435"/>
        <v>-2.7052824214559429E-4</v>
      </c>
      <c r="AH230" s="446">
        <f t="shared" si="435"/>
        <v>-1.6877205431446683E-3</v>
      </c>
      <c r="AI230" s="446">
        <f t="shared" si="435"/>
        <v>-4.5740243163272234E-3</v>
      </c>
      <c r="AJ230" s="446">
        <f t="shared" si="435"/>
        <v>-4.5740243163272512E-3</v>
      </c>
      <c r="AK230" s="446">
        <f>SUMSQ(AK221:AK229)</f>
        <v>6.4173616629729127E-5</v>
      </c>
    </row>
    <row r="231" spans="1:37" x14ac:dyDescent="0.35">
      <c r="A231" t="s">
        <v>822</v>
      </c>
      <c r="B231" s="471">
        <f t="shared" ref="B231:K231" si="436">B214-AA230/O230</f>
        <v>-2.5002296237027526</v>
      </c>
      <c r="C231" s="472">
        <f t="shared" si="436"/>
        <v>-2.5022758270432122</v>
      </c>
      <c r="D231" s="472">
        <f t="shared" si="436"/>
        <v>-2.5022758270432122</v>
      </c>
      <c r="E231" s="472">
        <f t="shared" si="436"/>
        <v>-1.3435419804267283</v>
      </c>
      <c r="F231" s="472">
        <f t="shared" si="436"/>
        <v>-0.47626107434581821</v>
      </c>
      <c r="G231" s="472">
        <f t="shared" si="436"/>
        <v>0.28170181500893582</v>
      </c>
      <c r="H231" s="472">
        <f t="shared" si="436"/>
        <v>0.28170181500893549</v>
      </c>
      <c r="I231" s="472">
        <f t="shared" si="436"/>
        <v>1.0047275524729737</v>
      </c>
      <c r="J231" s="472">
        <f t="shared" si="436"/>
        <v>3.8804754972367101</v>
      </c>
      <c r="K231" s="473">
        <f t="shared" si="436"/>
        <v>3.8804754972367101</v>
      </c>
      <c r="L231" s="446">
        <f>AVERAGE(B231:K231)</f>
        <v>4.4978444025423059E-4</v>
      </c>
      <c r="M231" s="446"/>
    </row>
    <row r="232" spans="1:37" x14ac:dyDescent="0.35">
      <c r="A232" t="s">
        <v>906</v>
      </c>
      <c r="B232" s="89">
        <f>B231-L231</f>
        <v>-2.5006794081430068</v>
      </c>
      <c r="C232" s="159">
        <f>C231-L231</f>
        <v>-2.5027256114834664</v>
      </c>
      <c r="D232" s="159">
        <f>D231-L231</f>
        <v>-2.5027256114834664</v>
      </c>
      <c r="E232" s="159">
        <f>E231-L231</f>
        <v>-1.3439917648669826</v>
      </c>
      <c r="F232" s="159">
        <f>F231-L231</f>
        <v>-0.47671085878607244</v>
      </c>
      <c r="G232" s="159">
        <f>G231-L231</f>
        <v>0.28125203056868159</v>
      </c>
      <c r="H232" s="159">
        <f>H231-L231</f>
        <v>0.28125203056868125</v>
      </c>
      <c r="I232" s="159">
        <f>I231-L231</f>
        <v>1.0042777680327195</v>
      </c>
      <c r="J232" s="159">
        <f>J231-L231</f>
        <v>3.8800257127964559</v>
      </c>
      <c r="K232" s="93">
        <f>K231-L231</f>
        <v>3.8800257127964559</v>
      </c>
      <c r="L232" s="446">
        <f>AVERAGE(B232:K232)</f>
        <v>0</v>
      </c>
    </row>
    <row r="233" spans="1:37" x14ac:dyDescent="0.35">
      <c r="L233" s="446"/>
    </row>
    <row r="234" spans="1:37" x14ac:dyDescent="0.35">
      <c r="A234" t="s">
        <v>907</v>
      </c>
      <c r="B234" s="461">
        <f>B216+1</f>
        <v>13</v>
      </c>
    </row>
    <row r="235" spans="1:37" x14ac:dyDescent="0.35">
      <c r="B235" s="461"/>
    </row>
    <row r="236" spans="1:37" x14ac:dyDescent="0.35">
      <c r="B236" t="s">
        <v>860</v>
      </c>
      <c r="O236" t="s">
        <v>908</v>
      </c>
      <c r="AA236" t="s">
        <v>909</v>
      </c>
    </row>
    <row r="238" spans="1:37" x14ac:dyDescent="0.35">
      <c r="B238">
        <v>1</v>
      </c>
      <c r="C238">
        <v>2</v>
      </c>
      <c r="D238">
        <v>3</v>
      </c>
      <c r="E238">
        <v>4</v>
      </c>
      <c r="F238">
        <v>5</v>
      </c>
      <c r="G238">
        <v>6</v>
      </c>
      <c r="H238">
        <v>7</v>
      </c>
      <c r="I238">
        <v>8</v>
      </c>
      <c r="J238">
        <v>9</v>
      </c>
      <c r="K238">
        <v>10</v>
      </c>
      <c r="M238" t="s">
        <v>904</v>
      </c>
      <c r="O238">
        <v>1</v>
      </c>
      <c r="P238">
        <v>2</v>
      </c>
      <c r="Q238">
        <v>3</v>
      </c>
      <c r="R238">
        <v>4</v>
      </c>
      <c r="S238">
        <v>5</v>
      </c>
      <c r="T238">
        <v>6</v>
      </c>
      <c r="U238">
        <v>7</v>
      </c>
      <c r="V238">
        <v>8</v>
      </c>
      <c r="W238">
        <v>9</v>
      </c>
      <c r="X238">
        <v>10</v>
      </c>
      <c r="AA238">
        <v>1</v>
      </c>
      <c r="AB238">
        <v>2</v>
      </c>
      <c r="AC238">
        <v>3</v>
      </c>
      <c r="AD238">
        <v>4</v>
      </c>
      <c r="AE238">
        <v>5</v>
      </c>
      <c r="AF238">
        <v>6</v>
      </c>
      <c r="AG238">
        <v>7</v>
      </c>
      <c r="AH238">
        <v>8</v>
      </c>
      <c r="AI238">
        <v>9</v>
      </c>
      <c r="AJ238">
        <v>10</v>
      </c>
    </row>
    <row r="239" spans="1:37" x14ac:dyDescent="0.35">
      <c r="A239" t="s">
        <v>218</v>
      </c>
      <c r="B239" s="464">
        <f t="shared" ref="B239:K239" si="437">EXP($M221-B$232)/(1+EXP($M221-B$232))</f>
        <v>0.99862081130423686</v>
      </c>
      <c r="C239" s="467">
        <f t="shared" si="437"/>
        <v>0.99862362663913318</v>
      </c>
      <c r="D239" s="467">
        <f t="shared" si="437"/>
        <v>0.99862362663913318</v>
      </c>
      <c r="E239" s="467">
        <f t="shared" si="437"/>
        <v>0.99562816952795352</v>
      </c>
      <c r="F239" s="467">
        <f t="shared" si="437"/>
        <v>0.9896555945841341</v>
      </c>
      <c r="G239" s="467">
        <f t="shared" si="437"/>
        <v>0.97818174059397744</v>
      </c>
      <c r="H239" s="467">
        <f t="shared" si="437"/>
        <v>0.97818174059397756</v>
      </c>
      <c r="I239" s="467">
        <f t="shared" si="437"/>
        <v>0.95605693035787331</v>
      </c>
      <c r="J239" s="467">
        <f t="shared" si="437"/>
        <v>0.55086706178057365</v>
      </c>
      <c r="K239" s="465">
        <f t="shared" si="437"/>
        <v>0.55086706178057365</v>
      </c>
      <c r="M239" s="468">
        <f t="shared" ref="M239:M247" si="438">M221+AK239/Y239</f>
        <v>4.0897406551572928</v>
      </c>
      <c r="O239" s="464">
        <f t="shared" ref="O239:O247" si="439">B239*(1-B239)</f>
        <v>1.3772865343046241E-3</v>
      </c>
      <c r="P239" s="467">
        <f t="shared" ref="P239:P247" si="440">C239*(1-C239)</f>
        <v>1.3744789572383189E-3</v>
      </c>
      <c r="Q239" s="467">
        <f t="shared" ref="Q239:Q247" si="441">D239*(1-D239)</f>
        <v>1.3744789572383189E-3</v>
      </c>
      <c r="R239" s="467">
        <f t="shared" ref="R239:R247" si="442">E239*(1-E239)</f>
        <v>4.3527175703701642E-3</v>
      </c>
      <c r="S239" s="467">
        <f t="shared" ref="S239:S247" si="443">F239*(1-F239)</f>
        <v>1.0237398692458103E-2</v>
      </c>
      <c r="T239" s="467">
        <f t="shared" ref="T239:T247" si="444">G239*(1-G239)</f>
        <v>2.1342222962514062E-2</v>
      </c>
      <c r="U239" s="467">
        <f t="shared" ref="U239:U247" si="445">H239*(1-H239)</f>
        <v>2.1342222962513958E-2</v>
      </c>
      <c r="V239" s="467">
        <f t="shared" ref="V239:V247" si="446">I239*(1-I239)</f>
        <v>4.2012076272553892E-2</v>
      </c>
      <c r="W239" s="467">
        <f t="shared" ref="W239:W247" si="447">J239*(1-J239)</f>
        <v>0.24741254202581131</v>
      </c>
      <c r="X239" s="465">
        <f t="shared" ref="X239:X247" si="448">K239*(1-K239)</f>
        <v>0.24741254202581131</v>
      </c>
      <c r="Y239" s="446">
        <f>SUM(O239:X239)</f>
        <v>0.59823796696081399</v>
      </c>
      <c r="AA239" s="464" t="str">
        <f t="shared" ref="AA239:AA247" si="449">IF(ISNUMBER(B5),B5-B239,"")</f>
        <v/>
      </c>
      <c r="AB239" s="467">
        <f t="shared" ref="AB239:AB247" si="450">IF(ISNUMBER(C5),C5-C239,"")</f>
        <v>1.3763733608668227E-3</v>
      </c>
      <c r="AC239" s="467">
        <f t="shared" ref="AC239:AC247" si="451">IF(ISNUMBER(D5),D5-D239,"")</f>
        <v>1.3763733608668227E-3</v>
      </c>
      <c r="AD239" s="467">
        <f t="shared" ref="AD239:AD247" si="452">IF(ISNUMBER(E5),E5-E239,"")</f>
        <v>4.3718304720464785E-3</v>
      </c>
      <c r="AE239" s="467">
        <f t="shared" ref="AE239:AE247" si="453">IF(ISNUMBER(F5),F5-F239,"")</f>
        <v>1.0344405415865898E-2</v>
      </c>
      <c r="AF239" s="467">
        <f t="shared" ref="AF239:AF247" si="454">IF(ISNUMBER(G5),G5-G239,"")</f>
        <v>2.1818259406022555E-2</v>
      </c>
      <c r="AG239" s="467">
        <f t="shared" ref="AG239:AG247" si="455">IF(ISNUMBER(H5),H5-H239,"")</f>
        <v>2.1818259406022444E-2</v>
      </c>
      <c r="AH239" s="467">
        <f t="shared" ref="AH239:AH247" si="456">IF(ISNUMBER(I5),I5-I239,"")</f>
        <v>4.3943069642126686E-2</v>
      </c>
      <c r="AI239" s="467">
        <f t="shared" ref="AI239:AI247" si="457">IF(ISNUMBER(J5),J5-J239,"")</f>
        <v>-0.55086706178057365</v>
      </c>
      <c r="AJ239" s="465">
        <f t="shared" ref="AJ239:AJ247" si="458">IF(ISNUMBER(K5),K5-K239,"")</f>
        <v>0.44913293821942635</v>
      </c>
      <c r="AK239" s="446">
        <f>SUM(AA239:AJ239)</f>
        <v>3.3144475026704034E-3</v>
      </c>
    </row>
    <row r="240" spans="1:37" x14ac:dyDescent="0.35">
      <c r="A240" t="s">
        <v>98</v>
      </c>
      <c r="B240" s="466">
        <f t="shared" ref="B240:K240" si="459">EXP($M222-B$232)/(1+EXP($M222-B$232))</f>
        <v>0.99387479575275672</v>
      </c>
      <c r="C240" s="447">
        <f t="shared" si="459"/>
        <v>0.99388723981651383</v>
      </c>
      <c r="D240" s="447">
        <f t="shared" si="459"/>
        <v>0.99388723981651383</v>
      </c>
      <c r="E240" s="447">
        <f t="shared" si="459"/>
        <v>0.98078216248018457</v>
      </c>
      <c r="F240" s="447">
        <f t="shared" si="459"/>
        <v>0.9554355386387362</v>
      </c>
      <c r="G240" s="447">
        <f t="shared" si="459"/>
        <v>0.90947716059704609</v>
      </c>
      <c r="H240" s="447">
        <f t="shared" si="459"/>
        <v>0.90947716059704609</v>
      </c>
      <c r="I240" s="447">
        <f t="shared" si="459"/>
        <v>0.82980444430007672</v>
      </c>
      <c r="J240" s="447">
        <f t="shared" si="459"/>
        <v>0.21559801638681786</v>
      </c>
      <c r="K240" s="448">
        <f t="shared" si="459"/>
        <v>0.21559801638681786</v>
      </c>
      <c r="M240" s="469">
        <f t="shared" si="438"/>
        <v>2.5915292310240177</v>
      </c>
      <c r="O240" s="466">
        <f t="shared" si="439"/>
        <v>6.0876861201728293E-3</v>
      </c>
      <c r="P240" s="447">
        <f t="shared" si="440"/>
        <v>6.0753943464253515E-3</v>
      </c>
      <c r="Q240" s="447">
        <f t="shared" si="441"/>
        <v>6.0753943464253515E-3</v>
      </c>
      <c r="R240" s="447">
        <f t="shared" si="442"/>
        <v>1.8848512240877403E-2</v>
      </c>
      <c r="S240" s="447">
        <f t="shared" si="443"/>
        <v>4.257847014484422E-2</v>
      </c>
      <c r="T240" s="447">
        <f t="shared" si="444"/>
        <v>8.232845494938093E-2</v>
      </c>
      <c r="U240" s="447">
        <f t="shared" si="445"/>
        <v>8.232845494938093E-2</v>
      </c>
      <c r="V240" s="447">
        <f t="shared" si="446"/>
        <v>0.14122902851991759</v>
      </c>
      <c r="W240" s="447">
        <f t="shared" si="447"/>
        <v>0.16911551171688727</v>
      </c>
      <c r="X240" s="448">
        <f t="shared" si="448"/>
        <v>0.16911551171688727</v>
      </c>
      <c r="Y240" s="446">
        <f t="shared" ref="Y240:Y247" si="460">SUM(O240:X240)</f>
        <v>0.723782419051199</v>
      </c>
      <c r="AA240" s="466">
        <f t="shared" si="449"/>
        <v>6.1252042472432766E-3</v>
      </c>
      <c r="AB240" s="447">
        <f t="shared" si="450"/>
        <v>6.1127601834861656E-3</v>
      </c>
      <c r="AC240" s="447">
        <f t="shared" si="451"/>
        <v>6.1127601834861656E-3</v>
      </c>
      <c r="AD240" s="447">
        <f t="shared" si="452"/>
        <v>-0.98078216248018457</v>
      </c>
      <c r="AE240" s="447">
        <f t="shared" si="453"/>
        <v>4.4564461361263796E-2</v>
      </c>
      <c r="AF240" s="447">
        <f t="shared" si="454"/>
        <v>9.0522839402953914E-2</v>
      </c>
      <c r="AG240" s="447">
        <f t="shared" si="455"/>
        <v>9.0522839402953914E-2</v>
      </c>
      <c r="AH240" s="447">
        <f t="shared" si="456"/>
        <v>0.17019555569992328</v>
      </c>
      <c r="AI240" s="447">
        <f t="shared" si="457"/>
        <v>0.78440198361318214</v>
      </c>
      <c r="AJ240" s="448">
        <f t="shared" si="458"/>
        <v>-0.21559801638681786</v>
      </c>
      <c r="AK240" s="446">
        <f t="shared" ref="AK240:AK247" si="461">SUM(AA240:AJ240)</f>
        <v>2.178225227490227E-3</v>
      </c>
    </row>
    <row r="241" spans="1:37" x14ac:dyDescent="0.35">
      <c r="A241" t="s">
        <v>99</v>
      </c>
      <c r="B241" s="466">
        <f t="shared" ref="B241:K241" si="462">EXP($M223-B$232)/(1+EXP($M223-B$232))</f>
        <v>0.98002079953467058</v>
      </c>
      <c r="C241" s="447">
        <f t="shared" si="462"/>
        <v>0.98006082493386459</v>
      </c>
      <c r="D241" s="447">
        <f t="shared" si="462"/>
        <v>0.98006082493386459</v>
      </c>
      <c r="E241" s="447">
        <f t="shared" si="462"/>
        <v>0.93912890952773487</v>
      </c>
      <c r="F241" s="447">
        <f t="shared" si="462"/>
        <v>0.86633250919415261</v>
      </c>
      <c r="G241" s="447">
        <f t="shared" si="462"/>
        <v>0.75230629038524244</v>
      </c>
      <c r="H241" s="447">
        <f t="shared" si="462"/>
        <v>0.75230629038524244</v>
      </c>
      <c r="I241" s="447">
        <f t="shared" si="462"/>
        <v>0.59578305280677235</v>
      </c>
      <c r="J241" s="447">
        <f t="shared" si="462"/>
        <v>7.6716248386183225E-2</v>
      </c>
      <c r="K241" s="448">
        <f t="shared" si="462"/>
        <v>7.6716248386183225E-2</v>
      </c>
      <c r="M241" s="469">
        <f t="shared" si="438"/>
        <v>1.3927782311132806</v>
      </c>
      <c r="O241" s="466">
        <f t="shared" si="439"/>
        <v>1.9580032014095597E-2</v>
      </c>
      <c r="P241" s="447">
        <f t="shared" si="440"/>
        <v>1.9541604363817411E-2</v>
      </c>
      <c r="Q241" s="447">
        <f t="shared" si="441"/>
        <v>1.9541604363817411E-2</v>
      </c>
      <c r="R241" s="447">
        <f t="shared" si="442"/>
        <v>5.7165800816982443E-2</v>
      </c>
      <c r="S241" s="447">
        <f t="shared" si="443"/>
        <v>0.11580049270751609</v>
      </c>
      <c r="T241" s="447">
        <f t="shared" si="444"/>
        <v>0.18634153583203772</v>
      </c>
      <c r="U241" s="447">
        <f t="shared" si="445"/>
        <v>0.18634153583203772</v>
      </c>
      <c r="V241" s="447">
        <f t="shared" si="446"/>
        <v>0.24082560679501505</v>
      </c>
      <c r="W241" s="447">
        <f t="shared" si="447"/>
        <v>7.0830865619732675E-2</v>
      </c>
      <c r="X241" s="448">
        <f t="shared" si="448"/>
        <v>7.0830865619732675E-2</v>
      </c>
      <c r="Y241" s="446">
        <f t="shared" si="460"/>
        <v>0.98679994396478476</v>
      </c>
      <c r="AA241" s="466">
        <f t="shared" si="449"/>
        <v>1.9979200465329416E-2</v>
      </c>
      <c r="AB241" s="447">
        <f t="shared" si="450"/>
        <v>1.9939175066135406E-2</v>
      </c>
      <c r="AC241" s="447">
        <f t="shared" si="451"/>
        <v>1.9939175066135406E-2</v>
      </c>
      <c r="AD241" s="447">
        <f t="shared" si="452"/>
        <v>6.0871090472265132E-2</v>
      </c>
      <c r="AE241" s="447">
        <f t="shared" si="453"/>
        <v>0.13366749080584739</v>
      </c>
      <c r="AF241" s="447">
        <f t="shared" si="454"/>
        <v>0.24769370961475756</v>
      </c>
      <c r="AG241" s="447">
        <f t="shared" si="455"/>
        <v>-0.75230629038524244</v>
      </c>
      <c r="AH241" s="447">
        <f t="shared" si="456"/>
        <v>0.40421694719322765</v>
      </c>
      <c r="AI241" s="447">
        <f t="shared" si="457"/>
        <v>-7.6716248386183225E-2</v>
      </c>
      <c r="AJ241" s="448">
        <f t="shared" si="458"/>
        <v>-7.6716248386183225E-2</v>
      </c>
      <c r="AK241" s="446">
        <f t="shared" si="461"/>
        <v>5.6800152608907362E-4</v>
      </c>
    </row>
    <row r="242" spans="1:37" x14ac:dyDescent="0.35">
      <c r="A242" t="s">
        <v>100</v>
      </c>
      <c r="B242" s="466">
        <f t="shared" ref="B242:K242" si="463">EXP($M224-B$232)/(1+EXP($M224-B$232))</f>
        <v>0.98002079953467058</v>
      </c>
      <c r="C242" s="447">
        <f t="shared" si="463"/>
        <v>0.98006082493386459</v>
      </c>
      <c r="D242" s="447">
        <f t="shared" si="463"/>
        <v>0.98006082493386459</v>
      </c>
      <c r="E242" s="447">
        <f t="shared" si="463"/>
        <v>0.93912890952773487</v>
      </c>
      <c r="F242" s="447">
        <f t="shared" si="463"/>
        <v>0.86633250919415261</v>
      </c>
      <c r="G242" s="447">
        <f t="shared" si="463"/>
        <v>0.75230629038524244</v>
      </c>
      <c r="H242" s="447">
        <f t="shared" si="463"/>
        <v>0.75230629038524244</v>
      </c>
      <c r="I242" s="447">
        <f t="shared" si="463"/>
        <v>0.59578305280677235</v>
      </c>
      <c r="J242" s="447">
        <f t="shared" si="463"/>
        <v>7.6716248386183225E-2</v>
      </c>
      <c r="K242" s="448">
        <f t="shared" si="463"/>
        <v>7.6716248386183225E-2</v>
      </c>
      <c r="M242" s="469">
        <f t="shared" si="438"/>
        <v>1.3927782311132806</v>
      </c>
      <c r="O242" s="466">
        <f t="shared" si="439"/>
        <v>1.9580032014095597E-2</v>
      </c>
      <c r="P242" s="447">
        <f t="shared" si="440"/>
        <v>1.9541604363817411E-2</v>
      </c>
      <c r="Q242" s="447">
        <f t="shared" si="441"/>
        <v>1.9541604363817411E-2</v>
      </c>
      <c r="R242" s="447">
        <f t="shared" si="442"/>
        <v>5.7165800816982443E-2</v>
      </c>
      <c r="S242" s="447">
        <f t="shared" si="443"/>
        <v>0.11580049270751609</v>
      </c>
      <c r="T242" s="447">
        <f t="shared" si="444"/>
        <v>0.18634153583203772</v>
      </c>
      <c r="U242" s="447">
        <f t="shared" si="445"/>
        <v>0.18634153583203772</v>
      </c>
      <c r="V242" s="447">
        <f t="shared" si="446"/>
        <v>0.24082560679501505</v>
      </c>
      <c r="W242" s="447">
        <f t="shared" si="447"/>
        <v>7.0830865619732675E-2</v>
      </c>
      <c r="X242" s="448">
        <f t="shared" si="448"/>
        <v>7.0830865619732675E-2</v>
      </c>
      <c r="Y242" s="446">
        <f t="shared" si="460"/>
        <v>0.98679994396478476</v>
      </c>
      <c r="AA242" s="466">
        <f t="shared" si="449"/>
        <v>1.9979200465329416E-2</v>
      </c>
      <c r="AB242" s="447">
        <f t="shared" si="450"/>
        <v>1.9939175066135406E-2</v>
      </c>
      <c r="AC242" s="447">
        <f t="shared" si="451"/>
        <v>1.9939175066135406E-2</v>
      </c>
      <c r="AD242" s="447">
        <f t="shared" si="452"/>
        <v>6.0871090472265132E-2</v>
      </c>
      <c r="AE242" s="447">
        <f t="shared" si="453"/>
        <v>0.13366749080584739</v>
      </c>
      <c r="AF242" s="447">
        <f t="shared" si="454"/>
        <v>0.24769370961475756</v>
      </c>
      <c r="AG242" s="447">
        <f t="shared" si="455"/>
        <v>-0.75230629038524244</v>
      </c>
      <c r="AH242" s="447">
        <f t="shared" si="456"/>
        <v>0.40421694719322765</v>
      </c>
      <c r="AI242" s="447">
        <f t="shared" si="457"/>
        <v>-7.6716248386183225E-2</v>
      </c>
      <c r="AJ242" s="448">
        <f t="shared" si="458"/>
        <v>-7.6716248386183225E-2</v>
      </c>
      <c r="AK242" s="446">
        <f t="shared" si="461"/>
        <v>5.6800152608907362E-4</v>
      </c>
    </row>
    <row r="243" spans="1:37" x14ac:dyDescent="0.35">
      <c r="A243" t="s">
        <v>536</v>
      </c>
      <c r="B243" s="466">
        <f t="shared" ref="B243:K243" si="464">EXP($M225-B$232)/(1+EXP($M225-B$232))</f>
        <v>0.95265163208872294</v>
      </c>
      <c r="C243" s="447">
        <f t="shared" si="464"/>
        <v>0.95274384371945298</v>
      </c>
      <c r="D243" s="447">
        <f t="shared" si="464"/>
        <v>0.95274384371945298</v>
      </c>
      <c r="E243" s="447">
        <f t="shared" si="464"/>
        <v>0.86354242818796056</v>
      </c>
      <c r="F243" s="447">
        <f t="shared" si="464"/>
        <v>0.72666121898453162</v>
      </c>
      <c r="G243" s="447">
        <f t="shared" si="464"/>
        <v>0.55472625289839517</v>
      </c>
      <c r="H243" s="447">
        <f t="shared" si="464"/>
        <v>0.55472625289839517</v>
      </c>
      <c r="I243" s="447">
        <f t="shared" si="464"/>
        <v>0.37677950342180438</v>
      </c>
      <c r="J243" s="447">
        <f t="shared" si="464"/>
        <v>3.2958628548286822E-2</v>
      </c>
      <c r="K243" s="448">
        <f t="shared" si="464"/>
        <v>3.2958628548286822E-2</v>
      </c>
      <c r="M243" s="469">
        <f t="shared" si="438"/>
        <v>0.50064190288238408</v>
      </c>
      <c r="O243" s="466">
        <f t="shared" si="439"/>
        <v>4.5106499967415406E-2</v>
      </c>
      <c r="P243" s="447">
        <f t="shared" si="440"/>
        <v>4.5023011974135538E-2</v>
      </c>
      <c r="Q243" s="447">
        <f t="shared" si="441"/>
        <v>4.5023011974135538E-2</v>
      </c>
      <c r="R243" s="447">
        <f t="shared" si="442"/>
        <v>0.11783690290720153</v>
      </c>
      <c r="S243" s="447">
        <f t="shared" si="443"/>
        <v>0.19862469180844619</v>
      </c>
      <c r="T243" s="447">
        <f t="shared" si="444"/>
        <v>0.2470050372437009</v>
      </c>
      <c r="U243" s="447">
        <f t="shared" si="445"/>
        <v>0.2470050372437009</v>
      </c>
      <c r="V243" s="447">
        <f t="shared" si="446"/>
        <v>0.23481670922302286</v>
      </c>
      <c r="W243" s="447">
        <f t="shared" si="447"/>
        <v>3.1872357352502878E-2</v>
      </c>
      <c r="X243" s="448">
        <f t="shared" si="448"/>
        <v>3.1872357352502878E-2</v>
      </c>
      <c r="Y243" s="446">
        <f t="shared" si="460"/>
        <v>1.2441856170467647</v>
      </c>
      <c r="AA243" s="466">
        <f t="shared" si="449"/>
        <v>4.7348367911277056E-2</v>
      </c>
      <c r="AB243" s="447">
        <f t="shared" si="450"/>
        <v>4.7256156280547024E-2</v>
      </c>
      <c r="AC243" s="447">
        <f t="shared" si="451"/>
        <v>4.7256156280547024E-2</v>
      </c>
      <c r="AD243" s="447">
        <f t="shared" si="452"/>
        <v>0.13645757181203944</v>
      </c>
      <c r="AE243" s="447">
        <f t="shared" si="453"/>
        <v>-0.72666121898453162</v>
      </c>
      <c r="AF243" s="447">
        <f t="shared" si="454"/>
        <v>0.44527374710160483</v>
      </c>
      <c r="AG243" s="447">
        <f t="shared" si="455"/>
        <v>0.44527374710160483</v>
      </c>
      <c r="AH243" s="447">
        <f t="shared" si="456"/>
        <v>-0.37677950342180438</v>
      </c>
      <c r="AI243" s="447">
        <f t="shared" si="457"/>
        <v>-3.2958628548286822E-2</v>
      </c>
      <c r="AJ243" s="448">
        <f t="shared" si="458"/>
        <v>-3.2958628548286822E-2</v>
      </c>
      <c r="AK243" s="446">
        <f t="shared" si="461"/>
        <v>-4.9223301528944496E-4</v>
      </c>
    </row>
    <row r="244" spans="1:37" x14ac:dyDescent="0.35">
      <c r="A244" t="s">
        <v>101</v>
      </c>
      <c r="B244" s="466">
        <f t="shared" ref="B244:K244" si="465">EXP($M226-B$232)/(1+EXP($M226-B$232))</f>
        <v>0.95265163208872294</v>
      </c>
      <c r="C244" s="447">
        <f t="shared" si="465"/>
        <v>0.95274384371945298</v>
      </c>
      <c r="D244" s="447">
        <f t="shared" si="465"/>
        <v>0.95274384371945298</v>
      </c>
      <c r="E244" s="447">
        <f t="shared" si="465"/>
        <v>0.86354242818796056</v>
      </c>
      <c r="F244" s="447">
        <f t="shared" si="465"/>
        <v>0.72666121898453162</v>
      </c>
      <c r="G244" s="447">
        <f t="shared" si="465"/>
        <v>0.55472625289839517</v>
      </c>
      <c r="H244" s="447">
        <f t="shared" si="465"/>
        <v>0.55472625289839517</v>
      </c>
      <c r="I244" s="447">
        <f t="shared" si="465"/>
        <v>0.37677950342180438</v>
      </c>
      <c r="J244" s="447">
        <f t="shared" si="465"/>
        <v>3.2958628548286822E-2</v>
      </c>
      <c r="K244" s="448">
        <f t="shared" si="465"/>
        <v>3.2958628548286822E-2</v>
      </c>
      <c r="M244" s="469">
        <f t="shared" si="438"/>
        <v>0.50064190288238408</v>
      </c>
      <c r="O244" s="466">
        <f t="shared" si="439"/>
        <v>4.5106499967415406E-2</v>
      </c>
      <c r="P244" s="447">
        <f t="shared" si="440"/>
        <v>4.5023011974135538E-2</v>
      </c>
      <c r="Q244" s="447">
        <f t="shared" si="441"/>
        <v>4.5023011974135538E-2</v>
      </c>
      <c r="R244" s="447">
        <f t="shared" si="442"/>
        <v>0.11783690290720153</v>
      </c>
      <c r="S244" s="447">
        <f t="shared" si="443"/>
        <v>0.19862469180844619</v>
      </c>
      <c r="T244" s="447">
        <f t="shared" si="444"/>
        <v>0.2470050372437009</v>
      </c>
      <c r="U244" s="447">
        <f t="shared" si="445"/>
        <v>0.2470050372437009</v>
      </c>
      <c r="V244" s="447">
        <f t="shared" si="446"/>
        <v>0.23481670922302286</v>
      </c>
      <c r="W244" s="447">
        <f t="shared" si="447"/>
        <v>3.1872357352502878E-2</v>
      </c>
      <c r="X244" s="448">
        <f t="shared" si="448"/>
        <v>3.1872357352502878E-2</v>
      </c>
      <c r="Y244" s="446">
        <f t="shared" si="460"/>
        <v>1.2441856170467647</v>
      </c>
      <c r="AA244" s="466">
        <f t="shared" si="449"/>
        <v>4.7348367911277056E-2</v>
      </c>
      <c r="AB244" s="447">
        <f t="shared" si="450"/>
        <v>4.7256156280547024E-2</v>
      </c>
      <c r="AC244" s="447">
        <f t="shared" si="451"/>
        <v>4.7256156280547024E-2</v>
      </c>
      <c r="AD244" s="447">
        <f t="shared" si="452"/>
        <v>0.13645757181203944</v>
      </c>
      <c r="AE244" s="447">
        <f t="shared" si="453"/>
        <v>0.27333878101546838</v>
      </c>
      <c r="AF244" s="447">
        <f t="shared" si="454"/>
        <v>-0.55472625289839517</v>
      </c>
      <c r="AG244" s="447">
        <f t="shared" si="455"/>
        <v>0.44527374710160483</v>
      </c>
      <c r="AH244" s="447">
        <f t="shared" si="456"/>
        <v>-0.37677950342180438</v>
      </c>
      <c r="AI244" s="447">
        <f t="shared" si="457"/>
        <v>-3.2958628548286822E-2</v>
      </c>
      <c r="AJ244" s="448">
        <f t="shared" si="458"/>
        <v>-3.2958628548286822E-2</v>
      </c>
      <c r="AK244" s="446">
        <f t="shared" si="461"/>
        <v>-4.9223301528944496E-4</v>
      </c>
    </row>
    <row r="245" spans="1:37" x14ac:dyDescent="0.35">
      <c r="A245" t="s">
        <v>281</v>
      </c>
      <c r="B245" s="466">
        <f t="shared" ref="B245:K245" si="466">EXP($M227-B$232)/(1+EXP($M227-B$232))</f>
        <v>0.82012628644702634</v>
      </c>
      <c r="C245" s="447">
        <f t="shared" si="466"/>
        <v>0.82042794294311328</v>
      </c>
      <c r="D245" s="447">
        <f t="shared" si="466"/>
        <v>0.82042794294311328</v>
      </c>
      <c r="E245" s="447">
        <f t="shared" si="466"/>
        <v>0.58916525983790125</v>
      </c>
      <c r="F245" s="447">
        <f t="shared" si="466"/>
        <v>0.37595213758588686</v>
      </c>
      <c r="G245" s="447">
        <f t="shared" si="466"/>
        <v>0.22016104730051148</v>
      </c>
      <c r="H245" s="447">
        <f t="shared" si="466"/>
        <v>0.22016104730051156</v>
      </c>
      <c r="I245" s="447">
        <f t="shared" si="466"/>
        <v>0.1204946966669705</v>
      </c>
      <c r="J245" s="447">
        <f t="shared" si="466"/>
        <v>7.664197138390093E-3</v>
      </c>
      <c r="K245" s="448">
        <f t="shared" si="466"/>
        <v>7.664197138390093E-3</v>
      </c>
      <c r="M245" s="469">
        <f t="shared" si="438"/>
        <v>-0.98509872202924642</v>
      </c>
      <c r="O245" s="466">
        <f t="shared" si="439"/>
        <v>0.14751916072563645</v>
      </c>
      <c r="P245" s="447">
        <f t="shared" si="440"/>
        <v>0.14732593338124494</v>
      </c>
      <c r="Q245" s="447">
        <f t="shared" si="441"/>
        <v>0.14732593338124494</v>
      </c>
      <c r="R245" s="447">
        <f t="shared" si="442"/>
        <v>0.24204955643803955</v>
      </c>
      <c r="S245" s="447">
        <f t="shared" si="443"/>
        <v>0.23461212783048926</v>
      </c>
      <c r="T245" s="447">
        <f t="shared" si="444"/>
        <v>0.17169016055205344</v>
      </c>
      <c r="U245" s="447">
        <f t="shared" si="445"/>
        <v>0.17169016055205347</v>
      </c>
      <c r="V245" s="447">
        <f t="shared" si="446"/>
        <v>0.10597572474210527</v>
      </c>
      <c r="W245" s="447">
        <f t="shared" si="447"/>
        <v>7.6054572206139866E-3</v>
      </c>
      <c r="X245" s="448">
        <f t="shared" si="448"/>
        <v>7.6054572206139866E-3</v>
      </c>
      <c r="Y245" s="446">
        <f t="shared" si="460"/>
        <v>1.3833996720440953</v>
      </c>
      <c r="AA245" s="466">
        <f t="shared" si="449"/>
        <v>0.17987371355297366</v>
      </c>
      <c r="AB245" s="447">
        <f t="shared" si="450"/>
        <v>0.17957205705688672</v>
      </c>
      <c r="AC245" s="447">
        <f t="shared" si="451"/>
        <v>0.17957205705688672</v>
      </c>
      <c r="AD245" s="447">
        <f t="shared" si="452"/>
        <v>0.41083474016209875</v>
      </c>
      <c r="AE245" s="447">
        <f t="shared" si="453"/>
        <v>-0.37595213758588686</v>
      </c>
      <c r="AF245" s="447">
        <f t="shared" si="454"/>
        <v>-0.22016104730051148</v>
      </c>
      <c r="AG245" s="447">
        <f t="shared" si="455"/>
        <v>-0.22016104730051156</v>
      </c>
      <c r="AH245" s="447">
        <f t="shared" si="456"/>
        <v>-0.1204946966669705</v>
      </c>
      <c r="AI245" s="447">
        <f t="shared" si="457"/>
        <v>-7.664197138390093E-3</v>
      </c>
      <c r="AJ245" s="448">
        <f t="shared" si="458"/>
        <v>-7.664197138390093E-3</v>
      </c>
      <c r="AK245" s="446">
        <f t="shared" si="461"/>
        <v>-2.2447553018146941E-3</v>
      </c>
    </row>
    <row r="246" spans="1:37" x14ac:dyDescent="0.35">
      <c r="A246" t="s">
        <v>537</v>
      </c>
      <c r="B246" s="466">
        <f t="shared" ref="B246:K246" si="467">EXP($M228-B$232)/(1+EXP($M228-B$232))</f>
        <v>0.82012628644702634</v>
      </c>
      <c r="C246" s="447">
        <f t="shared" si="467"/>
        <v>0.82042794294311328</v>
      </c>
      <c r="D246" s="447">
        <f t="shared" si="467"/>
        <v>0.82042794294311328</v>
      </c>
      <c r="E246" s="447">
        <f t="shared" si="467"/>
        <v>0.58916525983790125</v>
      </c>
      <c r="F246" s="447">
        <f t="shared" si="467"/>
        <v>0.37595213758588686</v>
      </c>
      <c r="G246" s="447">
        <f t="shared" si="467"/>
        <v>0.22016104730051148</v>
      </c>
      <c r="H246" s="447">
        <f t="shared" si="467"/>
        <v>0.22016104730051156</v>
      </c>
      <c r="I246" s="447">
        <f t="shared" si="467"/>
        <v>0.1204946966669705</v>
      </c>
      <c r="J246" s="447">
        <f t="shared" si="467"/>
        <v>7.664197138390093E-3</v>
      </c>
      <c r="K246" s="448">
        <f t="shared" si="467"/>
        <v>7.664197138390093E-3</v>
      </c>
      <c r="M246" s="469">
        <f t="shared" si="438"/>
        <v>-0.98509872202924642</v>
      </c>
      <c r="O246" s="466">
        <f t="shared" si="439"/>
        <v>0.14751916072563645</v>
      </c>
      <c r="P246" s="447">
        <f t="shared" si="440"/>
        <v>0.14732593338124494</v>
      </c>
      <c r="Q246" s="447">
        <f t="shared" si="441"/>
        <v>0.14732593338124494</v>
      </c>
      <c r="R246" s="447">
        <f t="shared" si="442"/>
        <v>0.24204955643803955</v>
      </c>
      <c r="S246" s="447">
        <f t="shared" si="443"/>
        <v>0.23461212783048926</v>
      </c>
      <c r="T246" s="447">
        <f t="shared" si="444"/>
        <v>0.17169016055205344</v>
      </c>
      <c r="U246" s="447">
        <f t="shared" si="445"/>
        <v>0.17169016055205347</v>
      </c>
      <c r="V246" s="447">
        <f t="shared" si="446"/>
        <v>0.10597572474210527</v>
      </c>
      <c r="W246" s="447">
        <f t="shared" si="447"/>
        <v>7.6054572206139866E-3</v>
      </c>
      <c r="X246" s="448">
        <f t="shared" si="448"/>
        <v>7.6054572206139866E-3</v>
      </c>
      <c r="Y246" s="446">
        <f t="shared" si="460"/>
        <v>1.3833996720440953</v>
      </c>
      <c r="AA246" s="466">
        <f t="shared" si="449"/>
        <v>0.17987371355297366</v>
      </c>
      <c r="AB246" s="447">
        <f t="shared" si="450"/>
        <v>-0.82042794294311328</v>
      </c>
      <c r="AC246" s="447">
        <f t="shared" si="451"/>
        <v>0.17957205705688672</v>
      </c>
      <c r="AD246" s="447">
        <f t="shared" si="452"/>
        <v>-0.58916525983790125</v>
      </c>
      <c r="AE246" s="447">
        <f t="shared" si="453"/>
        <v>0.62404786241411314</v>
      </c>
      <c r="AF246" s="447">
        <f t="shared" si="454"/>
        <v>-0.22016104730051148</v>
      </c>
      <c r="AG246" s="447">
        <f t="shared" si="455"/>
        <v>0.77983895269948844</v>
      </c>
      <c r="AH246" s="447">
        <f t="shared" si="456"/>
        <v>-0.1204946966669705</v>
      </c>
      <c r="AI246" s="447">
        <f t="shared" si="457"/>
        <v>-7.664197138390093E-3</v>
      </c>
      <c r="AJ246" s="448">
        <f t="shared" si="458"/>
        <v>-7.664197138390093E-3</v>
      </c>
      <c r="AK246" s="446">
        <f t="shared" si="461"/>
        <v>-2.2447553018146941E-3</v>
      </c>
    </row>
    <row r="247" spans="1:37" x14ac:dyDescent="0.35">
      <c r="A247" t="s">
        <v>905</v>
      </c>
      <c r="B247" s="449">
        <f t="shared" ref="B247:K247" si="468">EXP($M229-B$232)/(1+EXP($M229-B$232))</f>
        <v>0.499337575175965</v>
      </c>
      <c r="C247" s="450">
        <f t="shared" si="468"/>
        <v>0.49984912562809003</v>
      </c>
      <c r="D247" s="450">
        <f t="shared" si="468"/>
        <v>0.49984912562809003</v>
      </c>
      <c r="E247" s="450">
        <f t="shared" si="468"/>
        <v>0.23878771403460855</v>
      </c>
      <c r="F247" s="450">
        <f t="shared" si="468"/>
        <v>0.11643638191328917</v>
      </c>
      <c r="G247" s="450">
        <f t="shared" si="468"/>
        <v>5.8163091494511279E-2</v>
      </c>
      <c r="H247" s="450">
        <f t="shared" si="468"/>
        <v>5.81630914945113E-2</v>
      </c>
      <c r="I247" s="450">
        <f t="shared" si="468"/>
        <v>2.9096565320050963E-2</v>
      </c>
      <c r="J247" s="450">
        <f t="shared" si="468"/>
        <v>1.6865962370244208E-3</v>
      </c>
      <c r="K247" s="451">
        <f t="shared" si="468"/>
        <v>1.6865962370244208E-3</v>
      </c>
      <c r="M247" s="470">
        <f t="shared" si="438"/>
        <v>-2.5059280202461522</v>
      </c>
      <c r="O247" s="449">
        <f t="shared" si="439"/>
        <v>0.24999956119335251</v>
      </c>
      <c r="P247" s="450">
        <f t="shared" si="440"/>
        <v>0.24999997723692391</v>
      </c>
      <c r="Q247" s="450">
        <f t="shared" si="441"/>
        <v>0.24999997723692391</v>
      </c>
      <c r="R247" s="450">
        <f t="shared" si="442"/>
        <v>0.18176814166073457</v>
      </c>
      <c r="S247" s="450">
        <f t="shared" si="443"/>
        <v>0.10287895088023183</v>
      </c>
      <c r="T247" s="450">
        <f t="shared" si="444"/>
        <v>5.4780146282312391E-2</v>
      </c>
      <c r="U247" s="450">
        <f t="shared" si="445"/>
        <v>5.4780146282312411E-2</v>
      </c>
      <c r="V247" s="450">
        <f t="shared" si="446"/>
        <v>2.8249955206626969E-2</v>
      </c>
      <c r="W247" s="450">
        <f t="shared" si="447"/>
        <v>1.6837516301576759E-3</v>
      </c>
      <c r="X247" s="451">
        <f t="shared" si="448"/>
        <v>1.6837516301576759E-3</v>
      </c>
      <c r="Y247" s="446">
        <f t="shared" si="460"/>
        <v>1.1758243592397339</v>
      </c>
      <c r="AA247" s="449">
        <f t="shared" si="449"/>
        <v>-0.499337575175965</v>
      </c>
      <c r="AB247" s="450">
        <f t="shared" si="450"/>
        <v>0.50015087437190997</v>
      </c>
      <c r="AC247" s="450">
        <f t="shared" si="451"/>
        <v>-0.49984912562809003</v>
      </c>
      <c r="AD247" s="450">
        <f t="shared" si="452"/>
        <v>0.76121228596539148</v>
      </c>
      <c r="AE247" s="450">
        <f t="shared" si="453"/>
        <v>-0.11643638191328917</v>
      </c>
      <c r="AF247" s="450">
        <f t="shared" si="454"/>
        <v>-5.8163091494511279E-2</v>
      </c>
      <c r="AG247" s="450">
        <f t="shared" si="455"/>
        <v>-5.81630914945113E-2</v>
      </c>
      <c r="AH247" s="450">
        <f t="shared" si="456"/>
        <v>-2.9096565320050963E-2</v>
      </c>
      <c r="AI247" s="450">
        <f t="shared" si="457"/>
        <v>-1.6865962370244208E-3</v>
      </c>
      <c r="AJ247" s="451">
        <f t="shared" si="458"/>
        <v>-1.6865962370244208E-3</v>
      </c>
      <c r="AK247" s="446">
        <f t="shared" si="461"/>
        <v>-3.0558631631651357E-3</v>
      </c>
    </row>
    <row r="248" spans="1:37" x14ac:dyDescent="0.35">
      <c r="O248" s="446">
        <f>SUM(O239:O247)</f>
        <v>0.68187591926212487</v>
      </c>
      <c r="P248" s="446">
        <f t="shared" ref="P248:X248" si="469">SUM(P239:P247)</f>
        <v>0.68123094997898337</v>
      </c>
      <c r="Q248" s="446">
        <f t="shared" si="469"/>
        <v>0.68123094997898337</v>
      </c>
      <c r="R248" s="446">
        <f t="shared" si="469"/>
        <v>1.0390738917964293</v>
      </c>
      <c r="S248" s="446">
        <f t="shared" si="469"/>
        <v>1.2537694444104373</v>
      </c>
      <c r="T248" s="446">
        <f t="shared" si="469"/>
        <v>1.3685242914497915</v>
      </c>
      <c r="U248" s="446">
        <f t="shared" si="469"/>
        <v>1.3685242914497915</v>
      </c>
      <c r="V248" s="446">
        <f t="shared" si="469"/>
        <v>1.3747271415193849</v>
      </c>
      <c r="W248" s="446">
        <f t="shared" si="469"/>
        <v>0.63882916575855531</v>
      </c>
      <c r="X248" s="446">
        <f t="shared" si="469"/>
        <v>0.63882916575855531</v>
      </c>
      <c r="AA248" s="446">
        <f>SUM(AA239:AA247)</f>
        <v>1.1901929304385384E-3</v>
      </c>
      <c r="AB248" s="446">
        <f t="shared" ref="AB248:AJ248" si="470">SUM(AB239:AB247)</f>
        <v>1.1747847234012676E-3</v>
      </c>
      <c r="AC248" s="446">
        <f t="shared" si="470"/>
        <v>1.1747847234012676E-3</v>
      </c>
      <c r="AD248" s="446">
        <f t="shared" si="470"/>
        <v>1.1287588500600299E-3</v>
      </c>
      <c r="AE248" s="446">
        <f t="shared" si="470"/>
        <v>5.8075333469834178E-4</v>
      </c>
      <c r="AF248" s="446">
        <f t="shared" si="470"/>
        <v>-2.0917385383305287E-4</v>
      </c>
      <c r="AG248" s="446">
        <f t="shared" si="470"/>
        <v>-2.0917385383326798E-4</v>
      </c>
      <c r="AH248" s="446">
        <f t="shared" si="470"/>
        <v>-1.0724457690954037E-3</v>
      </c>
      <c r="AI248" s="446">
        <f t="shared" si="470"/>
        <v>-2.829822550136227E-3</v>
      </c>
      <c r="AJ248" s="446">
        <f t="shared" si="470"/>
        <v>-2.829822550136227E-3</v>
      </c>
      <c r="AK248" s="446">
        <f>SUMSQ(AK239:AK247)</f>
        <v>3.6276217941633818E-5</v>
      </c>
    </row>
    <row r="249" spans="1:37" x14ac:dyDescent="0.35">
      <c r="A249" t="s">
        <v>822</v>
      </c>
      <c r="B249" s="471">
        <f t="shared" ref="B249:K249" si="471">B232-AA248/O248</f>
        <v>-2.5024248766319461</v>
      </c>
      <c r="C249" s="472">
        <f t="shared" si="471"/>
        <v>-2.5044501143461702</v>
      </c>
      <c r="D249" s="472">
        <f t="shared" si="471"/>
        <v>-2.5044501143461702</v>
      </c>
      <c r="E249" s="472">
        <f t="shared" si="471"/>
        <v>-1.345078077263985</v>
      </c>
      <c r="F249" s="472">
        <f t="shared" si="471"/>
        <v>-0.47717406463088502</v>
      </c>
      <c r="G249" s="472">
        <f t="shared" si="471"/>
        <v>0.28140487685364701</v>
      </c>
      <c r="H249" s="472">
        <f t="shared" si="471"/>
        <v>0.28140487685364685</v>
      </c>
      <c r="I249" s="472">
        <f t="shared" si="471"/>
        <v>1.0050578834001298</v>
      </c>
      <c r="J249" s="472">
        <f t="shared" si="471"/>
        <v>3.8844554143533285</v>
      </c>
      <c r="K249" s="473">
        <f t="shared" si="471"/>
        <v>3.8844554143533285</v>
      </c>
      <c r="L249" s="446">
        <f>AVERAGE(B249:K249)</f>
        <v>3.2012185949250596E-4</v>
      </c>
    </row>
    <row r="250" spans="1:37" x14ac:dyDescent="0.35">
      <c r="A250" t="s">
        <v>906</v>
      </c>
      <c r="B250" s="89">
        <f>B249-L249</f>
        <v>-2.5027449984914387</v>
      </c>
      <c r="C250" s="159">
        <f>C249-L249</f>
        <v>-2.5047702362056627</v>
      </c>
      <c r="D250" s="159">
        <f>D249-L249</f>
        <v>-2.5047702362056627</v>
      </c>
      <c r="E250" s="159">
        <f>E249-L249</f>
        <v>-1.3453981991234776</v>
      </c>
      <c r="F250" s="159">
        <f>F249-L249</f>
        <v>-0.4774941864903775</v>
      </c>
      <c r="G250" s="159">
        <f>G249-L249</f>
        <v>0.28108475499415453</v>
      </c>
      <c r="H250" s="159">
        <f>H249-L249</f>
        <v>0.28108475499415436</v>
      </c>
      <c r="I250" s="159">
        <f>I249-L249</f>
        <v>1.0047377615406372</v>
      </c>
      <c r="J250" s="159">
        <f>J249-L249</f>
        <v>3.8841352924938359</v>
      </c>
      <c r="K250" s="93">
        <f>K249-L249</f>
        <v>3.8841352924938359</v>
      </c>
      <c r="L250" s="446">
        <f>AVERAGE(B250:K250)</f>
        <v>0</v>
      </c>
    </row>
    <row r="251" spans="1:37" x14ac:dyDescent="0.35">
      <c r="L251" s="446"/>
    </row>
    <row r="252" spans="1:37" x14ac:dyDescent="0.35">
      <c r="A252" t="s">
        <v>907</v>
      </c>
      <c r="B252" s="461">
        <f>B234+1</f>
        <v>14</v>
      </c>
    </row>
    <row r="253" spans="1:37" x14ac:dyDescent="0.35">
      <c r="B253" s="461"/>
    </row>
    <row r="254" spans="1:37" x14ac:dyDescent="0.35">
      <c r="B254" t="s">
        <v>860</v>
      </c>
      <c r="O254" t="s">
        <v>908</v>
      </c>
      <c r="AA254" t="s">
        <v>909</v>
      </c>
    </row>
    <row r="256" spans="1:37" x14ac:dyDescent="0.35">
      <c r="B256">
        <v>1</v>
      </c>
      <c r="C256">
        <v>2</v>
      </c>
      <c r="D256">
        <v>3</v>
      </c>
      <c r="E256">
        <v>4</v>
      </c>
      <c r="F256">
        <v>5</v>
      </c>
      <c r="G256">
        <v>6</v>
      </c>
      <c r="H256">
        <v>7</v>
      </c>
      <c r="I256">
        <v>8</v>
      </c>
      <c r="J256">
        <v>9</v>
      </c>
      <c r="K256">
        <v>10</v>
      </c>
      <c r="M256" t="s">
        <v>904</v>
      </c>
      <c r="O256">
        <v>1</v>
      </c>
      <c r="P256">
        <v>2</v>
      </c>
      <c r="Q256">
        <v>3</v>
      </c>
      <c r="R256">
        <v>4</v>
      </c>
      <c r="S256">
        <v>5</v>
      </c>
      <c r="T256">
        <v>6</v>
      </c>
      <c r="U256">
        <v>7</v>
      </c>
      <c r="V256">
        <v>8</v>
      </c>
      <c r="W256">
        <v>9</v>
      </c>
      <c r="X256">
        <v>10</v>
      </c>
      <c r="AA256">
        <v>1</v>
      </c>
      <c r="AB256">
        <v>2</v>
      </c>
      <c r="AC256">
        <v>3</v>
      </c>
      <c r="AD256">
        <v>4</v>
      </c>
      <c r="AE256">
        <v>5</v>
      </c>
      <c r="AF256">
        <v>6</v>
      </c>
      <c r="AG256">
        <v>7</v>
      </c>
      <c r="AH256">
        <v>8</v>
      </c>
      <c r="AI256">
        <v>9</v>
      </c>
      <c r="AJ256">
        <v>10</v>
      </c>
    </row>
    <row r="257" spans="1:37" x14ac:dyDescent="0.35">
      <c r="A257" t="s">
        <v>218</v>
      </c>
      <c r="B257" s="464">
        <f t="shared" ref="B257:K257" si="472">EXP($M239-B$250)/(1+EXP($M239-B$250))</f>
        <v>0.99863124723459173</v>
      </c>
      <c r="C257" s="467">
        <f t="shared" si="472"/>
        <v>0.99863401269642482</v>
      </c>
      <c r="D257" s="467">
        <f t="shared" si="472"/>
        <v>0.99863401269642482</v>
      </c>
      <c r="E257" s="467">
        <f t="shared" si="472"/>
        <v>0.99565830304472513</v>
      </c>
      <c r="F257" s="467">
        <f t="shared" si="472"/>
        <v>0.98972013253833613</v>
      </c>
      <c r="G257" s="467">
        <f t="shared" si="472"/>
        <v>0.97830322211666931</v>
      </c>
      <c r="H257" s="467">
        <f t="shared" si="472"/>
        <v>0.97830322211666931</v>
      </c>
      <c r="I257" s="467">
        <f t="shared" si="472"/>
        <v>0.95626987283586584</v>
      </c>
      <c r="J257" s="467">
        <f t="shared" si="472"/>
        <v>0.55122102638661941</v>
      </c>
      <c r="K257" s="465">
        <f t="shared" si="472"/>
        <v>0.55122102638661941</v>
      </c>
      <c r="M257" s="468">
        <f t="shared" ref="M257:M265" si="473">M239+AK257/Y257</f>
        <v>4.0931461415557076</v>
      </c>
      <c r="O257" s="464">
        <f t="shared" ref="O257:O265" si="474">B257*(1-B257)</f>
        <v>1.3668792812754527E-3</v>
      </c>
      <c r="P257" s="467">
        <f t="shared" ref="P257:P265" si="475">C257*(1-C257)</f>
        <v>1.3641213822616495E-3</v>
      </c>
      <c r="Q257" s="467">
        <f t="shared" ref="Q257:Q265" si="476">D257*(1-D257)</f>
        <v>1.3641213822616495E-3</v>
      </c>
      <c r="R257" s="467">
        <f t="shared" ref="R257:R265" si="477">E257*(1-E257)</f>
        <v>4.3228466228234222E-3</v>
      </c>
      <c r="S257" s="467">
        <f t="shared" ref="S257:S265" si="478">F257*(1-F257)</f>
        <v>1.0174191786634496E-2</v>
      </c>
      <c r="T257" s="467">
        <f t="shared" ref="T257:T265" si="479">G257*(1-G257)</f>
        <v>2.1226027712812099E-2</v>
      </c>
      <c r="U257" s="467">
        <f t="shared" ref="U257:U265" si="480">H257*(1-H257)</f>
        <v>2.1226027712812099E-2</v>
      </c>
      <c r="V257" s="467">
        <f t="shared" ref="V257:V265" si="481">I257*(1-I257)</f>
        <v>4.1817803142342812E-2</v>
      </c>
      <c r="W257" s="467">
        <f t="shared" ref="W257:W265" si="482">J257*(1-J257)</f>
        <v>0.24737640645590123</v>
      </c>
      <c r="X257" s="465">
        <f t="shared" ref="X257:X265" si="483">K257*(1-K257)</f>
        <v>0.24737640645590123</v>
      </c>
      <c r="Y257" s="446">
        <f>SUM(O257:X257)</f>
        <v>0.59761483193502607</v>
      </c>
      <c r="AA257" s="464" t="str">
        <f t="shared" ref="AA257:AA265" si="484">IF(ISNUMBER(B5),B5-B257,"")</f>
        <v/>
      </c>
      <c r="AB257" s="467">
        <f t="shared" ref="AB257:AB265" si="485">IF(ISNUMBER(C5),C5-C257,"")</f>
        <v>1.3659873035751779E-3</v>
      </c>
      <c r="AC257" s="467">
        <f t="shared" ref="AC257:AC265" si="486">IF(ISNUMBER(D5),D5-D257,"")</f>
        <v>1.3659873035751779E-3</v>
      </c>
      <c r="AD257" s="467">
        <f t="shared" ref="AD257:AD265" si="487">IF(ISNUMBER(E5),E5-E257,"")</f>
        <v>4.3416969552748652E-3</v>
      </c>
      <c r="AE257" s="467">
        <f t="shared" ref="AE257:AE265" si="488">IF(ISNUMBER(F5),F5-F257,"")</f>
        <v>1.0279867461663872E-2</v>
      </c>
      <c r="AF257" s="467">
        <f t="shared" ref="AF257:AF265" si="489">IF(ISNUMBER(G5),G5-G257,"")</f>
        <v>2.1696777883330687E-2</v>
      </c>
      <c r="AG257" s="467">
        <f t="shared" ref="AG257:AG265" si="490">IF(ISNUMBER(H5),H5-H257,"")</f>
        <v>2.1696777883330687E-2</v>
      </c>
      <c r="AH257" s="467">
        <f t="shared" ref="AH257:AH265" si="491">IF(ISNUMBER(I5),I5-I257,"")</f>
        <v>4.3730127164134158E-2</v>
      </c>
      <c r="AI257" s="467">
        <f t="shared" ref="AI257:AI265" si="492">IF(ISNUMBER(J5),J5-J257,"")</f>
        <v>-0.55122102638661941</v>
      </c>
      <c r="AJ257" s="465">
        <f t="shared" ref="AJ257:AJ265" si="493">IF(ISNUMBER(K5),K5-K257,"")</f>
        <v>0.44877897361338059</v>
      </c>
      <c r="AK257" s="446">
        <f>SUM(AA257:AJ257)</f>
        <v>2.0351691816458128E-3</v>
      </c>
    </row>
    <row r="258" spans="1:37" x14ac:dyDescent="0.35">
      <c r="A258" t="s">
        <v>98</v>
      </c>
      <c r="B258" s="466">
        <f t="shared" ref="B258:K258" si="494">EXP($M240-B$250)/(1+EXP($M240-B$250))</f>
        <v>0.99390561401605515</v>
      </c>
      <c r="C258" s="447">
        <f t="shared" si="494"/>
        <v>0.9939178691132744</v>
      </c>
      <c r="D258" s="447">
        <f t="shared" si="494"/>
        <v>0.9939178691132744</v>
      </c>
      <c r="E258" s="447">
        <f t="shared" si="494"/>
        <v>0.98086521984974273</v>
      </c>
      <c r="F258" s="447">
        <f t="shared" si="494"/>
        <v>0.95559675288664925</v>
      </c>
      <c r="G258" s="447">
        <f t="shared" si="494"/>
        <v>0.90973835986113993</v>
      </c>
      <c r="H258" s="447">
        <f t="shared" si="494"/>
        <v>0.90973835986113993</v>
      </c>
      <c r="I258" s="447">
        <f t="shared" si="494"/>
        <v>0.83016420632570764</v>
      </c>
      <c r="J258" s="447">
        <f t="shared" si="494"/>
        <v>0.21541203452769775</v>
      </c>
      <c r="K258" s="448">
        <f t="shared" si="494"/>
        <v>0.21541203452769775</v>
      </c>
      <c r="M258" s="469">
        <f t="shared" si="473"/>
        <v>2.5933721629415407</v>
      </c>
      <c r="O258" s="466">
        <f t="shared" si="474"/>
        <v>6.0572444434235468E-3</v>
      </c>
      <c r="P258" s="447">
        <f t="shared" si="475"/>
        <v>6.0451385706023391E-3</v>
      </c>
      <c r="Q258" s="447">
        <f t="shared" si="476"/>
        <v>6.0451385706023391E-3</v>
      </c>
      <c r="R258" s="447">
        <f t="shared" si="477"/>
        <v>1.876864033885859E-2</v>
      </c>
      <c r="S258" s="447">
        <f t="shared" si="478"/>
        <v>4.2431598759141459E-2</v>
      </c>
      <c r="T258" s="447">
        <f t="shared" si="479"/>
        <v>8.2114476458302998E-2</v>
      </c>
      <c r="U258" s="447">
        <f t="shared" si="480"/>
        <v>8.2114476458302998E-2</v>
      </c>
      <c r="V258" s="447">
        <f t="shared" si="481"/>
        <v>0.14099159686131554</v>
      </c>
      <c r="W258" s="447">
        <f t="shared" si="482"/>
        <v>0.1690096899083357</v>
      </c>
      <c r="X258" s="448">
        <f t="shared" si="483"/>
        <v>0.1690096899083357</v>
      </c>
      <c r="Y258" s="446">
        <f t="shared" ref="Y258:Y265" si="495">SUM(O258:X258)</f>
        <v>0.72258769027722125</v>
      </c>
      <c r="AA258" s="466">
        <f t="shared" si="484"/>
        <v>6.09438598394485E-3</v>
      </c>
      <c r="AB258" s="447">
        <f t="shared" si="485"/>
        <v>6.0821308867256008E-3</v>
      </c>
      <c r="AC258" s="447">
        <f t="shared" si="486"/>
        <v>6.0821308867256008E-3</v>
      </c>
      <c r="AD258" s="447">
        <f t="shared" si="487"/>
        <v>-0.98086521984974273</v>
      </c>
      <c r="AE258" s="447">
        <f t="shared" si="488"/>
        <v>4.4403247113350752E-2</v>
      </c>
      <c r="AF258" s="447">
        <f t="shared" si="489"/>
        <v>9.0261640138860066E-2</v>
      </c>
      <c r="AG258" s="447">
        <f t="shared" si="490"/>
        <v>9.0261640138860066E-2</v>
      </c>
      <c r="AH258" s="447">
        <f t="shared" si="491"/>
        <v>0.16983579367429236</v>
      </c>
      <c r="AI258" s="447">
        <f t="shared" si="492"/>
        <v>0.78458796547230225</v>
      </c>
      <c r="AJ258" s="448">
        <f t="shared" si="493"/>
        <v>-0.21541203452769775</v>
      </c>
      <c r="AK258" s="446">
        <f t="shared" ref="AK258:AK265" si="496">SUM(AA258:AJ258)</f>
        <v>1.3316799176210647E-3</v>
      </c>
    </row>
    <row r="259" spans="1:37" x14ac:dyDescent="0.35">
      <c r="A259" t="s">
        <v>99</v>
      </c>
      <c r="B259" s="466">
        <f t="shared" ref="B259:K259" si="497">EXP($M241-B$250)/(1+EXP($M241-B$250))</f>
        <v>0.98007244860383735</v>
      </c>
      <c r="C259" s="447">
        <f t="shared" si="497"/>
        <v>0.98011196396304479</v>
      </c>
      <c r="D259" s="447">
        <f t="shared" si="497"/>
        <v>0.98011196396304479</v>
      </c>
      <c r="E259" s="447">
        <f t="shared" si="497"/>
        <v>0.93924211550507852</v>
      </c>
      <c r="F259" s="447">
        <f t="shared" si="497"/>
        <v>0.86648979530639714</v>
      </c>
      <c r="G259" s="447">
        <f t="shared" si="497"/>
        <v>0.75244469291479088</v>
      </c>
      <c r="H259" s="447">
        <f t="shared" si="497"/>
        <v>0.75244469291479088</v>
      </c>
      <c r="I259" s="447">
        <f t="shared" si="497"/>
        <v>0.59581089337475657</v>
      </c>
      <c r="J259" s="447">
        <f t="shared" si="497"/>
        <v>7.6466307648270962E-2</v>
      </c>
      <c r="K259" s="448">
        <f t="shared" si="497"/>
        <v>7.6466307648270962E-2</v>
      </c>
      <c r="M259" s="469">
        <f t="shared" si="473"/>
        <v>1.3931219057051234</v>
      </c>
      <c r="O259" s="466">
        <f t="shared" si="474"/>
        <v>1.9530444091515942E-2</v>
      </c>
      <c r="P259" s="447">
        <f t="shared" si="475"/>
        <v>1.9492502059547986E-2</v>
      </c>
      <c r="Q259" s="447">
        <f t="shared" si="476"/>
        <v>1.9492502059547986E-2</v>
      </c>
      <c r="R259" s="447">
        <f t="shared" si="477"/>
        <v>5.7066363966623256E-2</v>
      </c>
      <c r="S259" s="447">
        <f t="shared" si="478"/>
        <v>0.11568522993627513</v>
      </c>
      <c r="T259" s="447">
        <f t="shared" si="479"/>
        <v>0.18627167701915692</v>
      </c>
      <c r="U259" s="447">
        <f t="shared" si="480"/>
        <v>0.18627167701915692</v>
      </c>
      <c r="V259" s="447">
        <f t="shared" si="481"/>
        <v>0.24082027271073103</v>
      </c>
      <c r="W259" s="447">
        <f t="shared" si="482"/>
        <v>7.0619211442910931E-2</v>
      </c>
      <c r="X259" s="448">
        <f t="shared" si="483"/>
        <v>7.0619211442910931E-2</v>
      </c>
      <c r="Y259" s="446">
        <f t="shared" si="495"/>
        <v>0.98586909174837711</v>
      </c>
      <c r="AA259" s="466">
        <f t="shared" si="484"/>
        <v>1.9927551396162646E-2</v>
      </c>
      <c r="AB259" s="447">
        <f t="shared" si="485"/>
        <v>1.9888036036955214E-2</v>
      </c>
      <c r="AC259" s="447">
        <f t="shared" si="486"/>
        <v>1.9888036036955214E-2</v>
      </c>
      <c r="AD259" s="447">
        <f t="shared" si="487"/>
        <v>6.0757884494921477E-2</v>
      </c>
      <c r="AE259" s="447">
        <f t="shared" si="488"/>
        <v>0.13351020469360286</v>
      </c>
      <c r="AF259" s="447">
        <f t="shared" si="489"/>
        <v>0.24755530708520912</v>
      </c>
      <c r="AG259" s="447">
        <f t="shared" si="490"/>
        <v>-0.75244469291479088</v>
      </c>
      <c r="AH259" s="447">
        <f t="shared" si="491"/>
        <v>0.40418910662524343</v>
      </c>
      <c r="AI259" s="447">
        <f t="shared" si="492"/>
        <v>-7.6466307648270962E-2</v>
      </c>
      <c r="AJ259" s="448">
        <f t="shared" si="493"/>
        <v>-7.6466307648270962E-2</v>
      </c>
      <c r="AK259" s="446">
        <f t="shared" si="496"/>
        <v>3.3881815771716339E-4</v>
      </c>
    </row>
    <row r="260" spans="1:37" x14ac:dyDescent="0.35">
      <c r="A260" t="s">
        <v>100</v>
      </c>
      <c r="B260" s="466">
        <f t="shared" ref="B260:K260" si="498">EXP($M242-B$250)/(1+EXP($M242-B$250))</f>
        <v>0.98007244860383735</v>
      </c>
      <c r="C260" s="447">
        <f t="shared" si="498"/>
        <v>0.98011196396304479</v>
      </c>
      <c r="D260" s="447">
        <f t="shared" si="498"/>
        <v>0.98011196396304479</v>
      </c>
      <c r="E260" s="447">
        <f t="shared" si="498"/>
        <v>0.93924211550507852</v>
      </c>
      <c r="F260" s="447">
        <f t="shared" si="498"/>
        <v>0.86648979530639714</v>
      </c>
      <c r="G260" s="447">
        <f t="shared" si="498"/>
        <v>0.75244469291479088</v>
      </c>
      <c r="H260" s="447">
        <f t="shared" si="498"/>
        <v>0.75244469291479088</v>
      </c>
      <c r="I260" s="447">
        <f t="shared" si="498"/>
        <v>0.59581089337475657</v>
      </c>
      <c r="J260" s="447">
        <f t="shared" si="498"/>
        <v>7.6466307648270962E-2</v>
      </c>
      <c r="K260" s="448">
        <f t="shared" si="498"/>
        <v>7.6466307648270962E-2</v>
      </c>
      <c r="M260" s="469">
        <f t="shared" si="473"/>
        <v>1.3931219057051234</v>
      </c>
      <c r="O260" s="466">
        <f t="shared" si="474"/>
        <v>1.9530444091515942E-2</v>
      </c>
      <c r="P260" s="447">
        <f t="shared" si="475"/>
        <v>1.9492502059547986E-2</v>
      </c>
      <c r="Q260" s="447">
        <f t="shared" si="476"/>
        <v>1.9492502059547986E-2</v>
      </c>
      <c r="R260" s="447">
        <f t="shared" si="477"/>
        <v>5.7066363966623256E-2</v>
      </c>
      <c r="S260" s="447">
        <f t="shared" si="478"/>
        <v>0.11568522993627513</v>
      </c>
      <c r="T260" s="447">
        <f t="shared" si="479"/>
        <v>0.18627167701915692</v>
      </c>
      <c r="U260" s="447">
        <f t="shared" si="480"/>
        <v>0.18627167701915692</v>
      </c>
      <c r="V260" s="447">
        <f t="shared" si="481"/>
        <v>0.24082027271073103</v>
      </c>
      <c r="W260" s="447">
        <f t="shared" si="482"/>
        <v>7.0619211442910931E-2</v>
      </c>
      <c r="X260" s="448">
        <f t="shared" si="483"/>
        <v>7.0619211442910931E-2</v>
      </c>
      <c r="Y260" s="446">
        <f t="shared" si="495"/>
        <v>0.98586909174837711</v>
      </c>
      <c r="AA260" s="466">
        <f t="shared" si="484"/>
        <v>1.9927551396162646E-2</v>
      </c>
      <c r="AB260" s="447">
        <f t="shared" si="485"/>
        <v>1.9888036036955214E-2</v>
      </c>
      <c r="AC260" s="447">
        <f t="shared" si="486"/>
        <v>1.9888036036955214E-2</v>
      </c>
      <c r="AD260" s="447">
        <f t="shared" si="487"/>
        <v>6.0757884494921477E-2</v>
      </c>
      <c r="AE260" s="447">
        <f t="shared" si="488"/>
        <v>0.13351020469360286</v>
      </c>
      <c r="AF260" s="447">
        <f t="shared" si="489"/>
        <v>0.24755530708520912</v>
      </c>
      <c r="AG260" s="447">
        <f t="shared" si="490"/>
        <v>-0.75244469291479088</v>
      </c>
      <c r="AH260" s="447">
        <f t="shared" si="491"/>
        <v>0.40418910662524343</v>
      </c>
      <c r="AI260" s="447">
        <f t="shared" si="492"/>
        <v>-7.6466307648270962E-2</v>
      </c>
      <c r="AJ260" s="448">
        <f t="shared" si="493"/>
        <v>-7.6466307648270962E-2</v>
      </c>
      <c r="AK260" s="446">
        <f t="shared" si="496"/>
        <v>3.3881815771716339E-4</v>
      </c>
    </row>
    <row r="261" spans="1:37" x14ac:dyDescent="0.35">
      <c r="A261" t="s">
        <v>536</v>
      </c>
      <c r="B261" s="466">
        <f t="shared" ref="B261:K261" si="499">EXP($M243-B$250)/(1+EXP($M243-B$250))</f>
        <v>0.95272690139078497</v>
      </c>
      <c r="C261" s="447">
        <f t="shared" si="499"/>
        <v>0.95281803117518737</v>
      </c>
      <c r="D261" s="447">
        <f t="shared" si="499"/>
        <v>0.95281803117518737</v>
      </c>
      <c r="E261" s="447">
        <f t="shared" si="499"/>
        <v>0.8636614948593877</v>
      </c>
      <c r="F261" s="447">
        <f t="shared" si="499"/>
        <v>0.72673821921504689</v>
      </c>
      <c r="G261" s="447">
        <f t="shared" si="499"/>
        <v>0.55466984832237454</v>
      </c>
      <c r="H261" s="447">
        <f t="shared" si="499"/>
        <v>0.55466984832237454</v>
      </c>
      <c r="I261" s="447">
        <f t="shared" si="499"/>
        <v>0.37657861069912518</v>
      </c>
      <c r="J261" s="447">
        <f t="shared" si="499"/>
        <v>3.2815338741916257E-2</v>
      </c>
      <c r="K261" s="448">
        <f t="shared" si="499"/>
        <v>3.2815338741916257E-2</v>
      </c>
      <c r="M261" s="469">
        <f t="shared" si="473"/>
        <v>0.50039128089596274</v>
      </c>
      <c r="O261" s="466">
        <f t="shared" si="474"/>
        <v>4.5038352757098457E-2</v>
      </c>
      <c r="P261" s="447">
        <f t="shared" si="475"/>
        <v>4.4955830642627037E-2</v>
      </c>
      <c r="Q261" s="447">
        <f t="shared" si="476"/>
        <v>4.4955830642627037E-2</v>
      </c>
      <c r="R261" s="447">
        <f t="shared" si="477"/>
        <v>0.11775031715663553</v>
      </c>
      <c r="S261" s="447">
        <f t="shared" si="478"/>
        <v>0.19858977994718935</v>
      </c>
      <c r="T261" s="447">
        <f t="shared" si="479"/>
        <v>0.24701120768440857</v>
      </c>
      <c r="U261" s="447">
        <f t="shared" si="480"/>
        <v>0.24701120768440857</v>
      </c>
      <c r="V261" s="447">
        <f t="shared" si="481"/>
        <v>0.23476716066304193</v>
      </c>
      <c r="W261" s="447">
        <f t="shared" si="482"/>
        <v>3.1738492285169548E-2</v>
      </c>
      <c r="X261" s="448">
        <f t="shared" si="483"/>
        <v>3.1738492285169548E-2</v>
      </c>
      <c r="Y261" s="446">
        <f t="shared" si="495"/>
        <v>1.2435566717483755</v>
      </c>
      <c r="AA261" s="466">
        <f t="shared" si="484"/>
        <v>4.7273098609215025E-2</v>
      </c>
      <c r="AB261" s="447">
        <f t="shared" si="485"/>
        <v>4.7181968824812626E-2</v>
      </c>
      <c r="AC261" s="447">
        <f t="shared" si="486"/>
        <v>4.7181968824812626E-2</v>
      </c>
      <c r="AD261" s="447">
        <f t="shared" si="487"/>
        <v>0.1363385051406123</v>
      </c>
      <c r="AE261" s="447">
        <f t="shared" si="488"/>
        <v>-0.72673821921504689</v>
      </c>
      <c r="AF261" s="447">
        <f t="shared" si="489"/>
        <v>0.44533015167762546</v>
      </c>
      <c r="AG261" s="447">
        <f t="shared" si="490"/>
        <v>0.44533015167762546</v>
      </c>
      <c r="AH261" s="447">
        <f t="shared" si="491"/>
        <v>-0.37657861069912518</v>
      </c>
      <c r="AI261" s="447">
        <f t="shared" si="492"/>
        <v>-3.2815338741916257E-2</v>
      </c>
      <c r="AJ261" s="448">
        <f t="shared" si="493"/>
        <v>-3.2815338741916257E-2</v>
      </c>
      <c r="AK261" s="446">
        <f t="shared" si="496"/>
        <v>-3.1166264330108329E-4</v>
      </c>
    </row>
    <row r="262" spans="1:37" x14ac:dyDescent="0.35">
      <c r="A262" t="s">
        <v>101</v>
      </c>
      <c r="B262" s="466">
        <f t="shared" ref="B262:K262" si="500">EXP($M244-B$250)/(1+EXP($M244-B$250))</f>
        <v>0.95272690139078497</v>
      </c>
      <c r="C262" s="447">
        <f t="shared" si="500"/>
        <v>0.95281803117518737</v>
      </c>
      <c r="D262" s="447">
        <f t="shared" si="500"/>
        <v>0.95281803117518737</v>
      </c>
      <c r="E262" s="447">
        <f t="shared" si="500"/>
        <v>0.8636614948593877</v>
      </c>
      <c r="F262" s="447">
        <f t="shared" si="500"/>
        <v>0.72673821921504689</v>
      </c>
      <c r="G262" s="447">
        <f t="shared" si="500"/>
        <v>0.55466984832237454</v>
      </c>
      <c r="H262" s="447">
        <f t="shared" si="500"/>
        <v>0.55466984832237454</v>
      </c>
      <c r="I262" s="447">
        <f t="shared" si="500"/>
        <v>0.37657861069912518</v>
      </c>
      <c r="J262" s="447">
        <f t="shared" si="500"/>
        <v>3.2815338741916257E-2</v>
      </c>
      <c r="K262" s="448">
        <f t="shared" si="500"/>
        <v>3.2815338741916257E-2</v>
      </c>
      <c r="M262" s="469">
        <f t="shared" si="473"/>
        <v>0.50039128089596274</v>
      </c>
      <c r="O262" s="466">
        <f t="shared" si="474"/>
        <v>4.5038352757098457E-2</v>
      </c>
      <c r="P262" s="447">
        <f t="shared" si="475"/>
        <v>4.4955830642627037E-2</v>
      </c>
      <c r="Q262" s="447">
        <f t="shared" si="476"/>
        <v>4.4955830642627037E-2</v>
      </c>
      <c r="R262" s="447">
        <f t="shared" si="477"/>
        <v>0.11775031715663553</v>
      </c>
      <c r="S262" s="447">
        <f t="shared" si="478"/>
        <v>0.19858977994718935</v>
      </c>
      <c r="T262" s="447">
        <f t="shared" si="479"/>
        <v>0.24701120768440857</v>
      </c>
      <c r="U262" s="447">
        <f t="shared" si="480"/>
        <v>0.24701120768440857</v>
      </c>
      <c r="V262" s="447">
        <f t="shared" si="481"/>
        <v>0.23476716066304193</v>
      </c>
      <c r="W262" s="447">
        <f t="shared" si="482"/>
        <v>3.1738492285169548E-2</v>
      </c>
      <c r="X262" s="448">
        <f t="shared" si="483"/>
        <v>3.1738492285169548E-2</v>
      </c>
      <c r="Y262" s="446">
        <f t="shared" si="495"/>
        <v>1.2435566717483755</v>
      </c>
      <c r="AA262" s="466">
        <f t="shared" si="484"/>
        <v>4.7273098609215025E-2</v>
      </c>
      <c r="AB262" s="447">
        <f t="shared" si="485"/>
        <v>4.7181968824812626E-2</v>
      </c>
      <c r="AC262" s="447">
        <f t="shared" si="486"/>
        <v>4.7181968824812626E-2</v>
      </c>
      <c r="AD262" s="447">
        <f t="shared" si="487"/>
        <v>0.1363385051406123</v>
      </c>
      <c r="AE262" s="447">
        <f t="shared" si="488"/>
        <v>0.27326178078495311</v>
      </c>
      <c r="AF262" s="447">
        <f t="shared" si="489"/>
        <v>-0.55466984832237454</v>
      </c>
      <c r="AG262" s="447">
        <f t="shared" si="490"/>
        <v>0.44533015167762546</v>
      </c>
      <c r="AH262" s="447">
        <f t="shared" si="491"/>
        <v>-0.37657861069912518</v>
      </c>
      <c r="AI262" s="447">
        <f t="shared" si="492"/>
        <v>-3.2815338741916257E-2</v>
      </c>
      <c r="AJ262" s="448">
        <f t="shared" si="493"/>
        <v>-3.2815338741916257E-2</v>
      </c>
      <c r="AK262" s="446">
        <f t="shared" si="496"/>
        <v>-3.1166264330108329E-4</v>
      </c>
    </row>
    <row r="263" spans="1:37" x14ac:dyDescent="0.35">
      <c r="A263" t="s">
        <v>281</v>
      </c>
      <c r="B263" s="466">
        <f t="shared" ref="B263:K263" si="501">EXP($M245-B$250)/(1+EXP($M245-B$250))</f>
        <v>0.82019162130806322</v>
      </c>
      <c r="C263" s="447">
        <f t="shared" si="501"/>
        <v>0.82049010429241542</v>
      </c>
      <c r="D263" s="447">
        <f t="shared" si="501"/>
        <v>0.82049010429241542</v>
      </c>
      <c r="E263" s="447">
        <f t="shared" si="501"/>
        <v>0.58911292708464491</v>
      </c>
      <c r="F263" s="447">
        <f t="shared" si="501"/>
        <v>0.37575524598947857</v>
      </c>
      <c r="G263" s="447">
        <f t="shared" si="501"/>
        <v>0.21991127785440204</v>
      </c>
      <c r="H263" s="447">
        <f t="shared" si="501"/>
        <v>0.21991127785440209</v>
      </c>
      <c r="I263" s="447">
        <f t="shared" si="501"/>
        <v>0.12027416278713189</v>
      </c>
      <c r="J263" s="447">
        <f t="shared" si="501"/>
        <v>7.6207238189462513E-3</v>
      </c>
      <c r="K263" s="448">
        <f t="shared" si="501"/>
        <v>7.6207238189462513E-3</v>
      </c>
      <c r="M263" s="469">
        <f t="shared" si="473"/>
        <v>-0.9860954409705589</v>
      </c>
      <c r="O263" s="466">
        <f t="shared" si="474"/>
        <v>0.14747732564411384</v>
      </c>
      <c r="P263" s="447">
        <f t="shared" si="475"/>
        <v>0.1472860930506367</v>
      </c>
      <c r="Q263" s="447">
        <f t="shared" si="476"/>
        <v>0.1472860930506367</v>
      </c>
      <c r="R263" s="447">
        <f t="shared" si="477"/>
        <v>0.24205888622640676</v>
      </c>
      <c r="S263" s="447">
        <f t="shared" si="478"/>
        <v>0.23456324110086499</v>
      </c>
      <c r="T263" s="447">
        <f t="shared" si="479"/>
        <v>0.17155030772684604</v>
      </c>
      <c r="U263" s="447">
        <f t="shared" si="480"/>
        <v>0.17155030772684604</v>
      </c>
      <c r="V263" s="447">
        <f t="shared" si="481"/>
        <v>0.10580828855298639</v>
      </c>
      <c r="W263" s="447">
        <f t="shared" si="482"/>
        <v>7.5626483874215965E-3</v>
      </c>
      <c r="X263" s="448">
        <f t="shared" si="483"/>
        <v>7.5626483874215965E-3</v>
      </c>
      <c r="Y263" s="446">
        <f t="shared" si="495"/>
        <v>1.3827058398541805</v>
      </c>
      <c r="AA263" s="466">
        <f t="shared" si="484"/>
        <v>0.17980837869193678</v>
      </c>
      <c r="AB263" s="447">
        <f t="shared" si="485"/>
        <v>0.17950989570758458</v>
      </c>
      <c r="AC263" s="447">
        <f t="shared" si="486"/>
        <v>0.17950989570758458</v>
      </c>
      <c r="AD263" s="447">
        <f t="shared" si="487"/>
        <v>0.41088707291535509</v>
      </c>
      <c r="AE263" s="447">
        <f t="shared" si="488"/>
        <v>-0.37575524598947857</v>
      </c>
      <c r="AF263" s="447">
        <f t="shared" si="489"/>
        <v>-0.21991127785440204</v>
      </c>
      <c r="AG263" s="447">
        <f t="shared" si="490"/>
        <v>-0.21991127785440209</v>
      </c>
      <c r="AH263" s="447">
        <f t="shared" si="491"/>
        <v>-0.12027416278713189</v>
      </c>
      <c r="AI263" s="447">
        <f t="shared" si="492"/>
        <v>-7.6207238189462513E-3</v>
      </c>
      <c r="AJ263" s="448">
        <f t="shared" si="493"/>
        <v>-7.6207238189462513E-3</v>
      </c>
      <c r="AK263" s="446">
        <f t="shared" si="496"/>
        <v>-1.3781691008459915E-3</v>
      </c>
    </row>
    <row r="264" spans="1:37" x14ac:dyDescent="0.35">
      <c r="A264" t="s">
        <v>537</v>
      </c>
      <c r="B264" s="466">
        <f t="shared" ref="B264:K264" si="502">EXP($M246-B$250)/(1+EXP($M246-B$250))</f>
        <v>0.82019162130806322</v>
      </c>
      <c r="C264" s="447">
        <f t="shared" si="502"/>
        <v>0.82049010429241542</v>
      </c>
      <c r="D264" s="447">
        <f t="shared" si="502"/>
        <v>0.82049010429241542</v>
      </c>
      <c r="E264" s="447">
        <f t="shared" si="502"/>
        <v>0.58911292708464491</v>
      </c>
      <c r="F264" s="447">
        <f t="shared" si="502"/>
        <v>0.37575524598947857</v>
      </c>
      <c r="G264" s="447">
        <f t="shared" si="502"/>
        <v>0.21991127785440204</v>
      </c>
      <c r="H264" s="447">
        <f t="shared" si="502"/>
        <v>0.21991127785440209</v>
      </c>
      <c r="I264" s="447">
        <f t="shared" si="502"/>
        <v>0.12027416278713189</v>
      </c>
      <c r="J264" s="447">
        <f t="shared" si="502"/>
        <v>7.6207238189462513E-3</v>
      </c>
      <c r="K264" s="448">
        <f t="shared" si="502"/>
        <v>7.6207238189462513E-3</v>
      </c>
      <c r="M264" s="469">
        <f t="shared" si="473"/>
        <v>-0.9860954409705589</v>
      </c>
      <c r="O264" s="466">
        <f t="shared" si="474"/>
        <v>0.14747732564411384</v>
      </c>
      <c r="P264" s="447">
        <f t="shared" si="475"/>
        <v>0.1472860930506367</v>
      </c>
      <c r="Q264" s="447">
        <f t="shared" si="476"/>
        <v>0.1472860930506367</v>
      </c>
      <c r="R264" s="447">
        <f t="shared" si="477"/>
        <v>0.24205888622640676</v>
      </c>
      <c r="S264" s="447">
        <f t="shared" si="478"/>
        <v>0.23456324110086499</v>
      </c>
      <c r="T264" s="447">
        <f t="shared" si="479"/>
        <v>0.17155030772684604</v>
      </c>
      <c r="U264" s="447">
        <f t="shared" si="480"/>
        <v>0.17155030772684604</v>
      </c>
      <c r="V264" s="447">
        <f t="shared" si="481"/>
        <v>0.10580828855298639</v>
      </c>
      <c r="W264" s="447">
        <f t="shared" si="482"/>
        <v>7.5626483874215965E-3</v>
      </c>
      <c r="X264" s="448">
        <f t="shared" si="483"/>
        <v>7.5626483874215965E-3</v>
      </c>
      <c r="Y264" s="446">
        <f t="shared" si="495"/>
        <v>1.3827058398541805</v>
      </c>
      <c r="AA264" s="466">
        <f t="shared" si="484"/>
        <v>0.17980837869193678</v>
      </c>
      <c r="AB264" s="447">
        <f t="shared" si="485"/>
        <v>-0.82049010429241542</v>
      </c>
      <c r="AC264" s="447">
        <f t="shared" si="486"/>
        <v>0.17950989570758458</v>
      </c>
      <c r="AD264" s="447">
        <f t="shared" si="487"/>
        <v>-0.58911292708464491</v>
      </c>
      <c r="AE264" s="447">
        <f t="shared" si="488"/>
        <v>0.62424475401052137</v>
      </c>
      <c r="AF264" s="447">
        <f t="shared" si="489"/>
        <v>-0.21991127785440204</v>
      </c>
      <c r="AG264" s="447">
        <f t="shared" si="490"/>
        <v>0.78008872214559788</v>
      </c>
      <c r="AH264" s="447">
        <f t="shared" si="491"/>
        <v>-0.12027416278713189</v>
      </c>
      <c r="AI264" s="447">
        <f t="shared" si="492"/>
        <v>-7.6207238189462513E-3</v>
      </c>
      <c r="AJ264" s="448">
        <f t="shared" si="493"/>
        <v>-7.6207238189462513E-3</v>
      </c>
      <c r="AK264" s="446">
        <f t="shared" si="496"/>
        <v>-1.3781691008460193E-3</v>
      </c>
    </row>
    <row r="265" spans="1:37" x14ac:dyDescent="0.35">
      <c r="A265" t="s">
        <v>905</v>
      </c>
      <c r="B265" s="449">
        <f t="shared" ref="B265:K265" si="503">EXP($M247-B$250)/(1+EXP($M247-B$250))</f>
        <v>0.49920424523317908</v>
      </c>
      <c r="C265" s="450">
        <f t="shared" si="503"/>
        <v>0.49971055402221026</v>
      </c>
      <c r="D265" s="450">
        <f t="shared" si="503"/>
        <v>0.49971055402221026</v>
      </c>
      <c r="E265" s="450">
        <f t="shared" si="503"/>
        <v>0.23857102722767631</v>
      </c>
      <c r="F265" s="450">
        <f t="shared" si="503"/>
        <v>0.11624972661866961</v>
      </c>
      <c r="G265" s="450">
        <f t="shared" si="503"/>
        <v>5.8030029162059085E-2</v>
      </c>
      <c r="H265" s="450">
        <f t="shared" si="503"/>
        <v>5.8030029162059113E-2</v>
      </c>
      <c r="I265" s="450">
        <f t="shared" si="503"/>
        <v>2.9010275760441018E-2</v>
      </c>
      <c r="J265" s="450">
        <f t="shared" si="503"/>
        <v>1.6753384805673263E-3</v>
      </c>
      <c r="K265" s="451">
        <f t="shared" si="503"/>
        <v>1.6753384805673263E-3</v>
      </c>
      <c r="M265" s="470">
        <f t="shared" si="473"/>
        <v>-2.5075167478240079</v>
      </c>
      <c r="O265" s="449">
        <f t="shared" si="474"/>
        <v>0.24999936677435108</v>
      </c>
      <c r="P265" s="450">
        <f t="shared" si="475"/>
        <v>0.24999991622102596</v>
      </c>
      <c r="Q265" s="450">
        <f t="shared" si="476"/>
        <v>0.24999991622102596</v>
      </c>
      <c r="R265" s="450">
        <f t="shared" si="477"/>
        <v>0.18165489219520764</v>
      </c>
      <c r="S265" s="450">
        <f t="shared" si="478"/>
        <v>0.1027357276797542</v>
      </c>
      <c r="T265" s="450">
        <f t="shared" si="479"/>
        <v>5.4662544877509656E-2</v>
      </c>
      <c r="U265" s="450">
        <f t="shared" si="480"/>
        <v>5.4662544877509683E-2</v>
      </c>
      <c r="V265" s="450">
        <f t="shared" si="481"/>
        <v>2.8168679660744187E-2</v>
      </c>
      <c r="W265" s="450">
        <f t="shared" si="482"/>
        <v>1.6725317215428566E-3</v>
      </c>
      <c r="X265" s="451">
        <f t="shared" si="483"/>
        <v>1.6725317215428566E-3</v>
      </c>
      <c r="Y265" s="446">
        <f t="shared" si="495"/>
        <v>1.1752286519502144</v>
      </c>
      <c r="AA265" s="449">
        <f t="shared" si="484"/>
        <v>-0.49920424523317908</v>
      </c>
      <c r="AB265" s="450">
        <f t="shared" si="485"/>
        <v>0.50028944597778979</v>
      </c>
      <c r="AC265" s="450">
        <f t="shared" si="486"/>
        <v>-0.49971055402221026</v>
      </c>
      <c r="AD265" s="450">
        <f t="shared" si="487"/>
        <v>0.76142897277232369</v>
      </c>
      <c r="AE265" s="450">
        <f t="shared" si="488"/>
        <v>-0.11624972661866961</v>
      </c>
      <c r="AF265" s="450">
        <f t="shared" si="489"/>
        <v>-5.8030029162059085E-2</v>
      </c>
      <c r="AG265" s="450">
        <f t="shared" si="490"/>
        <v>-5.8030029162059113E-2</v>
      </c>
      <c r="AH265" s="450">
        <f t="shared" si="491"/>
        <v>-2.9010275760441018E-2</v>
      </c>
      <c r="AI265" s="450">
        <f t="shared" si="492"/>
        <v>-1.6753384805673263E-3</v>
      </c>
      <c r="AJ265" s="451">
        <f t="shared" si="493"/>
        <v>-1.6753384805673263E-3</v>
      </c>
      <c r="AK265" s="446">
        <f t="shared" si="496"/>
        <v>-1.867118169639343E-3</v>
      </c>
    </row>
    <row r="266" spans="1:37" x14ac:dyDescent="0.35">
      <c r="O266" s="446">
        <f>SUM(O257:O265)</f>
        <v>0.68151573548450661</v>
      </c>
      <c r="P266" s="446">
        <f t="shared" ref="P266:X266" si="504">SUM(P257:P265)</f>
        <v>0.68087802767951344</v>
      </c>
      <c r="Q266" s="446">
        <f t="shared" si="504"/>
        <v>0.68087802767951344</v>
      </c>
      <c r="R266" s="446">
        <f t="shared" si="504"/>
        <v>1.0384975138562209</v>
      </c>
      <c r="S266" s="446">
        <f t="shared" si="504"/>
        <v>1.2530180201941892</v>
      </c>
      <c r="T266" s="446">
        <f t="shared" si="504"/>
        <v>1.3676694339094477</v>
      </c>
      <c r="U266" s="446">
        <f t="shared" si="504"/>
        <v>1.367669433909448</v>
      </c>
      <c r="V266" s="446">
        <f t="shared" si="504"/>
        <v>1.373769523517921</v>
      </c>
      <c r="W266" s="446">
        <f t="shared" si="504"/>
        <v>0.63789933231678397</v>
      </c>
      <c r="X266" s="446">
        <f t="shared" si="504"/>
        <v>0.63789933231678397</v>
      </c>
      <c r="AA266" s="446">
        <f>SUM(AA257:AA265)</f>
        <v>9.0819814539466748E-4</v>
      </c>
      <c r="AB266" s="446">
        <f t="shared" ref="AB266:AJ266" si="505">SUM(AB257:AB265)</f>
        <v>8.9736530679540571E-4</v>
      </c>
      <c r="AC266" s="446">
        <f t="shared" si="505"/>
        <v>8.973653067953502E-4</v>
      </c>
      <c r="AD266" s="446">
        <f t="shared" si="505"/>
        <v>8.7237497963355004E-4</v>
      </c>
      <c r="AE266" s="446">
        <f t="shared" si="505"/>
        <v>4.6686693449971006E-4</v>
      </c>
      <c r="AF266" s="446">
        <f t="shared" si="505"/>
        <v>-1.2324932300321334E-4</v>
      </c>
      <c r="AG266" s="446">
        <f t="shared" si="505"/>
        <v>-1.2324932300332436E-4</v>
      </c>
      <c r="AH266" s="446">
        <f t="shared" si="505"/>
        <v>-7.7168864404182635E-4</v>
      </c>
      <c r="AI266" s="446">
        <f t="shared" si="505"/>
        <v>-2.1131398131514082E-3</v>
      </c>
      <c r="AJ266" s="446">
        <f t="shared" si="505"/>
        <v>-2.1131398131514082E-3</v>
      </c>
      <c r="AK266" s="446">
        <f>SUMSQ(AK257:AK265)</f>
        <v>1.3623978095823421E-5</v>
      </c>
    </row>
    <row r="267" spans="1:37" x14ac:dyDescent="0.35">
      <c r="A267" t="s">
        <v>822</v>
      </c>
      <c r="B267" s="471">
        <f t="shared" ref="B267:K267" si="506">B250-AA266/O266</f>
        <v>-2.5040776135700167</v>
      </c>
      <c r="C267" s="472">
        <f t="shared" si="506"/>
        <v>-2.5060881893049185</v>
      </c>
      <c r="D267" s="472">
        <f t="shared" si="506"/>
        <v>-2.5060881893049185</v>
      </c>
      <c r="E267" s="472">
        <f t="shared" si="506"/>
        <v>-1.3462382348173467</v>
      </c>
      <c r="F267" s="472">
        <f t="shared" si="506"/>
        <v>-0.47786678044112318</v>
      </c>
      <c r="G267" s="472">
        <f t="shared" si="506"/>
        <v>0.28117487130438812</v>
      </c>
      <c r="H267" s="472">
        <f t="shared" si="506"/>
        <v>0.28117487130438806</v>
      </c>
      <c r="I267" s="472">
        <f t="shared" si="506"/>
        <v>1.0052994923337806</v>
      </c>
      <c r="J267" s="472">
        <f t="shared" si="506"/>
        <v>3.8874479465539626</v>
      </c>
      <c r="K267" s="473">
        <f t="shared" si="506"/>
        <v>3.8874479465539626</v>
      </c>
      <c r="L267" s="446">
        <f>AVERAGE(B267:K267)</f>
        <v>2.1861206121585042E-4</v>
      </c>
    </row>
    <row r="268" spans="1:37" x14ac:dyDescent="0.35">
      <c r="A268" t="s">
        <v>906</v>
      </c>
      <c r="B268" s="89">
        <f>B267-L267</f>
        <v>-2.5042962256312324</v>
      </c>
      <c r="C268" s="159">
        <f>C267-L267</f>
        <v>-2.5063068013661343</v>
      </c>
      <c r="D268" s="159">
        <f>D267-L267</f>
        <v>-2.5063068013661343</v>
      </c>
      <c r="E268" s="159">
        <f>E267-L267</f>
        <v>-1.3464568468785625</v>
      </c>
      <c r="F268" s="159">
        <f>F267-L267</f>
        <v>-0.47808539250233906</v>
      </c>
      <c r="G268" s="159">
        <f>G267-L267</f>
        <v>0.28095625924317225</v>
      </c>
      <c r="H268" s="159">
        <f>H267-L267</f>
        <v>0.28095625924317219</v>
      </c>
      <c r="I268" s="159">
        <f>I267-L267</f>
        <v>1.0050808802725648</v>
      </c>
      <c r="J268" s="159">
        <f>J267-L267</f>
        <v>3.8872293344927469</v>
      </c>
      <c r="K268" s="93">
        <f>K267-L267</f>
        <v>3.8872293344927469</v>
      </c>
      <c r="L268" s="446">
        <f>AVERAGE(B268:K268)</f>
        <v>0</v>
      </c>
    </row>
    <row r="269" spans="1:37" x14ac:dyDescent="0.35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46"/>
    </row>
    <row r="270" spans="1:37" x14ac:dyDescent="0.35">
      <c r="A270" t="s">
        <v>907</v>
      </c>
      <c r="B270" s="461">
        <f>B252+1</f>
        <v>15</v>
      </c>
    </row>
    <row r="271" spans="1:37" x14ac:dyDescent="0.35">
      <c r="B271" s="461"/>
    </row>
    <row r="272" spans="1:37" x14ac:dyDescent="0.35">
      <c r="B272" t="s">
        <v>860</v>
      </c>
      <c r="O272" t="s">
        <v>908</v>
      </c>
      <c r="AA272" t="s">
        <v>909</v>
      </c>
    </row>
    <row r="274" spans="1:37" x14ac:dyDescent="0.35">
      <c r="B274">
        <v>1</v>
      </c>
      <c r="C274">
        <v>2</v>
      </c>
      <c r="D274">
        <v>3</v>
      </c>
      <c r="E274">
        <v>4</v>
      </c>
      <c r="F274">
        <v>5</v>
      </c>
      <c r="G274">
        <v>6</v>
      </c>
      <c r="H274">
        <v>7</v>
      </c>
      <c r="I274">
        <v>8</v>
      </c>
      <c r="J274">
        <v>9</v>
      </c>
      <c r="K274">
        <v>10</v>
      </c>
      <c r="M274" t="s">
        <v>904</v>
      </c>
      <c r="O274">
        <v>1</v>
      </c>
      <c r="P274">
        <v>2</v>
      </c>
      <c r="Q274">
        <v>3</v>
      </c>
      <c r="R274">
        <v>4</v>
      </c>
      <c r="S274">
        <v>5</v>
      </c>
      <c r="T274">
        <v>6</v>
      </c>
      <c r="U274">
        <v>7</v>
      </c>
      <c r="V274">
        <v>8</v>
      </c>
      <c r="W274">
        <v>9</v>
      </c>
      <c r="X274">
        <v>10</v>
      </c>
      <c r="AA274">
        <v>1</v>
      </c>
      <c r="AB274">
        <v>2</v>
      </c>
      <c r="AC274">
        <v>3</v>
      </c>
      <c r="AD274">
        <v>4</v>
      </c>
      <c r="AE274">
        <v>5</v>
      </c>
      <c r="AF274">
        <v>6</v>
      </c>
      <c r="AG274">
        <v>7</v>
      </c>
      <c r="AH274">
        <v>8</v>
      </c>
      <c r="AI274">
        <v>9</v>
      </c>
      <c r="AJ274">
        <v>10</v>
      </c>
    </row>
    <row r="275" spans="1:37" x14ac:dyDescent="0.35">
      <c r="A275" t="s">
        <v>218</v>
      </c>
      <c r="B275" s="464">
        <f t="shared" ref="B275:K275" si="507">EXP($M257-B$268)/(1+EXP($M257-B$268))</f>
        <v>0.99863800574564443</v>
      </c>
      <c r="C275" s="467">
        <f t="shared" si="507"/>
        <v>0.99864073766875994</v>
      </c>
      <c r="D275" s="467">
        <f t="shared" si="507"/>
        <v>0.99864073766875994</v>
      </c>
      <c r="E275" s="467">
        <f t="shared" si="507"/>
        <v>0.99567755817445747</v>
      </c>
      <c r="F275" s="467">
        <f t="shared" si="507"/>
        <v>0.98976071616666716</v>
      </c>
      <c r="G275" s="467">
        <f t="shared" si="507"/>
        <v>0.97837810786127044</v>
      </c>
      <c r="H275" s="467">
        <f t="shared" si="507"/>
        <v>0.97837810786127044</v>
      </c>
      <c r="I275" s="467">
        <f t="shared" si="507"/>
        <v>0.95639775553798601</v>
      </c>
      <c r="J275" s="467">
        <f t="shared" si="507"/>
        <v>0.55129806915333179</v>
      </c>
      <c r="K275" s="465">
        <f t="shared" si="507"/>
        <v>0.55129806915333179</v>
      </c>
      <c r="M275" s="468">
        <f t="shared" ref="M275:M283" si="508">M257+AK275/Y275</f>
        <v>4.0957080754532385</v>
      </c>
      <c r="O275" s="464">
        <f t="shared" ref="O275:O283" si="509">B275*(1-B275)</f>
        <v>1.3601392260066722E-3</v>
      </c>
      <c r="P275" s="467">
        <f t="shared" ref="P275:P283" si="510">C275*(1-C275)</f>
        <v>1.3574147371549349E-3</v>
      </c>
      <c r="Q275" s="467">
        <f t="shared" ref="Q275:Q283" si="511">D275*(1-D275)</f>
        <v>1.3574147371549349E-3</v>
      </c>
      <c r="R275" s="467">
        <f t="shared" ref="R275:R283" si="512">E275*(1-E275)</f>
        <v>4.3037583222073341E-3</v>
      </c>
      <c r="S275" s="467">
        <f t="shared" ref="S275:S283" si="513">F275*(1-F275)</f>
        <v>1.0134440899913284E-2</v>
      </c>
      <c r="T275" s="467">
        <f t="shared" ref="T275:T283" si="514">G275*(1-G275)</f>
        <v>2.1154385919070703E-2</v>
      </c>
      <c r="U275" s="467">
        <f t="shared" ref="U275:U283" si="515">H275*(1-H275)</f>
        <v>2.1154385919070703E-2</v>
      </c>
      <c r="V275" s="467">
        <f t="shared" ref="V275:V283" si="516">I275*(1-I275)</f>
        <v>4.1701088739888766E-2</v>
      </c>
      <c r="W275" s="467">
        <f t="shared" ref="W275:W283" si="517">J275*(1-J275)</f>
        <v>0.24736850810114</v>
      </c>
      <c r="X275" s="465">
        <f t="shared" ref="X275:X283" si="518">K275*(1-K275)</f>
        <v>0.24736850810114</v>
      </c>
      <c r="Y275" s="446">
        <f>SUM(O275:X275)</f>
        <v>0.59726004470274729</v>
      </c>
      <c r="AA275" s="464" t="str">
        <f t="shared" ref="AA275:AA283" si="519">IF(ISNUMBER(B5),B5-B275,"")</f>
        <v/>
      </c>
      <c r="AB275" s="467">
        <f t="shared" ref="AB275:AB283" si="520">IF(ISNUMBER(C5),C5-C275,"")</f>
        <v>1.3592623312400631E-3</v>
      </c>
      <c r="AC275" s="467">
        <f t="shared" ref="AC275:AC283" si="521">IF(ISNUMBER(D5),D5-D275,"")</f>
        <v>1.3592623312400631E-3</v>
      </c>
      <c r="AD275" s="467">
        <f t="shared" ref="AD275:AD283" si="522">IF(ISNUMBER(E5),E5-E275,"")</f>
        <v>4.3224418255425334E-3</v>
      </c>
      <c r="AE275" s="467">
        <f t="shared" ref="AE275:AE283" si="523">IF(ISNUMBER(F5),F5-F275,"")</f>
        <v>1.0239283833332835E-2</v>
      </c>
      <c r="AF275" s="467">
        <f t="shared" ref="AF275:AF283" si="524">IF(ISNUMBER(G5),G5-G275,"")</f>
        <v>2.1621892138729559E-2</v>
      </c>
      <c r="AG275" s="467">
        <f t="shared" ref="AG275:AG283" si="525">IF(ISNUMBER(H5),H5-H275,"")</f>
        <v>2.1621892138729559E-2</v>
      </c>
      <c r="AH275" s="467">
        <f t="shared" ref="AH275:AH283" si="526">IF(ISNUMBER(I5),I5-I275,"")</f>
        <v>4.3602244462013995E-2</v>
      </c>
      <c r="AI275" s="467">
        <f t="shared" ref="AI275:AI283" si="527">IF(ISNUMBER(J5),J5-J275,"")</f>
        <v>-0.55129806915333179</v>
      </c>
      <c r="AJ275" s="465">
        <f t="shared" ref="AJ275:AJ283" si="528">IF(ISNUMBER(K5),K5-K275,"")</f>
        <v>0.44870193084666821</v>
      </c>
      <c r="AK275" s="446">
        <f>SUM(AA275:AJ275)</f>
        <v>1.5301407541650214E-3</v>
      </c>
    </row>
    <row r="276" spans="1:37" x14ac:dyDescent="0.35">
      <c r="A276" t="s">
        <v>98</v>
      </c>
      <c r="B276" s="466">
        <f t="shared" ref="B276:K276" si="529">EXP($M258-B$268)/(1+EXP($M258-B$268))</f>
        <v>0.99392613883974512</v>
      </c>
      <c r="C276" s="447">
        <f t="shared" si="529"/>
        <v>0.99393826457801127</v>
      </c>
      <c r="D276" s="447">
        <f t="shared" si="529"/>
        <v>0.99393826457801127</v>
      </c>
      <c r="E276" s="447">
        <f t="shared" si="529"/>
        <v>0.98091960263827238</v>
      </c>
      <c r="F276" s="447">
        <f t="shared" si="529"/>
        <v>0.95569992278575189</v>
      </c>
      <c r="G276" s="447">
        <f t="shared" si="529"/>
        <v>0.90990011190125586</v>
      </c>
      <c r="H276" s="447">
        <f t="shared" si="529"/>
        <v>0.90990011190125597</v>
      </c>
      <c r="I276" s="447">
        <f t="shared" si="529"/>
        <v>0.8303755626817001</v>
      </c>
      <c r="J276" s="447">
        <f t="shared" si="529"/>
        <v>0.21520066008842637</v>
      </c>
      <c r="K276" s="448">
        <f t="shared" si="529"/>
        <v>0.21520066008842637</v>
      </c>
      <c r="M276" s="469">
        <f t="shared" si="508"/>
        <v>2.5947586821917192</v>
      </c>
      <c r="O276" s="466">
        <f t="shared" si="509"/>
        <v>6.0369693708608261E-3</v>
      </c>
      <c r="P276" s="447">
        <f t="shared" si="510"/>
        <v>6.0249907856625411E-3</v>
      </c>
      <c r="Q276" s="447">
        <f t="shared" si="511"/>
        <v>6.0249907856625411E-3</v>
      </c>
      <c r="R276" s="447">
        <f t="shared" si="512"/>
        <v>1.8716335798246195E-2</v>
      </c>
      <c r="S276" s="447">
        <f t="shared" si="513"/>
        <v>4.233758037305977E-2</v>
      </c>
      <c r="T276" s="447">
        <f t="shared" si="514"/>
        <v>8.1981898263337918E-2</v>
      </c>
      <c r="U276" s="447">
        <f t="shared" si="515"/>
        <v>8.1981898263337835E-2</v>
      </c>
      <c r="V276" s="447">
        <f t="shared" si="516"/>
        <v>0.14085198758275005</v>
      </c>
      <c r="W276" s="447">
        <f t="shared" si="517"/>
        <v>0.16888933598593192</v>
      </c>
      <c r="X276" s="448">
        <f t="shared" si="518"/>
        <v>0.16888933598593192</v>
      </c>
      <c r="Y276" s="446">
        <f t="shared" ref="Y276:Y283" si="530">SUM(O276:X276)</f>
        <v>0.72173532319478151</v>
      </c>
      <c r="AA276" s="466">
        <f t="shared" si="519"/>
        <v>6.0738611602548787E-3</v>
      </c>
      <c r="AB276" s="447">
        <f t="shared" si="520"/>
        <v>6.0617354219887343E-3</v>
      </c>
      <c r="AC276" s="447">
        <f t="shared" si="521"/>
        <v>6.0617354219887343E-3</v>
      </c>
      <c r="AD276" s="447">
        <f t="shared" si="522"/>
        <v>-0.98091960263827238</v>
      </c>
      <c r="AE276" s="447">
        <f t="shared" si="523"/>
        <v>4.4300077214248113E-2</v>
      </c>
      <c r="AF276" s="447">
        <f t="shared" si="524"/>
        <v>9.0099888098744141E-2</v>
      </c>
      <c r="AG276" s="447">
        <f t="shared" si="525"/>
        <v>9.009988809874403E-2</v>
      </c>
      <c r="AH276" s="447">
        <f t="shared" si="526"/>
        <v>0.1696244373182999</v>
      </c>
      <c r="AI276" s="447">
        <f t="shared" si="527"/>
        <v>0.78479933991157358</v>
      </c>
      <c r="AJ276" s="448">
        <f t="shared" si="528"/>
        <v>-0.21520066008842637</v>
      </c>
      <c r="AK276" s="446">
        <f t="shared" ref="AK276:AK283" si="531">SUM(AA276:AJ276)</f>
        <v>1.0006999191433663E-3</v>
      </c>
    </row>
    <row r="277" spans="1:37" x14ac:dyDescent="0.35">
      <c r="A277" t="s">
        <v>99</v>
      </c>
      <c r="B277" s="466">
        <f t="shared" ref="B277:K277" si="532">EXP($M259-B$268)/(1+EXP($M259-B$268))</f>
        <v>0.98010942322965078</v>
      </c>
      <c r="C277" s="447">
        <f t="shared" si="532"/>
        <v>0.98014858147393691</v>
      </c>
      <c r="D277" s="447">
        <f t="shared" si="532"/>
        <v>0.98014858147393691</v>
      </c>
      <c r="E277" s="447">
        <f t="shared" si="532"/>
        <v>0.93932209166738101</v>
      </c>
      <c r="F277" s="447">
        <f t="shared" si="532"/>
        <v>0.86659791013338061</v>
      </c>
      <c r="G277" s="447">
        <f t="shared" si="532"/>
        <v>0.75253263439240248</v>
      </c>
      <c r="H277" s="447">
        <f t="shared" si="532"/>
        <v>0.75253263439240248</v>
      </c>
      <c r="I277" s="447">
        <f t="shared" si="532"/>
        <v>0.59581102723708579</v>
      </c>
      <c r="J277" s="447">
        <f t="shared" si="532"/>
        <v>7.627230498161966E-2</v>
      </c>
      <c r="K277" s="448">
        <f t="shared" si="532"/>
        <v>7.627230498161966E-2</v>
      </c>
      <c r="M277" s="469">
        <f t="shared" si="508"/>
        <v>1.3933782059702484</v>
      </c>
      <c r="O277" s="466">
        <f t="shared" si="509"/>
        <v>1.9494941726092067E-2</v>
      </c>
      <c r="P277" s="447">
        <f t="shared" si="510"/>
        <v>1.9457339708566172E-2</v>
      </c>
      <c r="Q277" s="447">
        <f t="shared" si="511"/>
        <v>1.9457339708566172E-2</v>
      </c>
      <c r="R277" s="447">
        <f t="shared" si="512"/>
        <v>5.6996099772997279E-2</v>
      </c>
      <c r="S277" s="447">
        <f t="shared" si="513"/>
        <v>0.1156059722858378</v>
      </c>
      <c r="T277" s="447">
        <f t="shared" si="514"/>
        <v>0.18622726856683319</v>
      </c>
      <c r="U277" s="447">
        <f t="shared" si="515"/>
        <v>0.18622726856683319</v>
      </c>
      <c r="V277" s="447">
        <f t="shared" si="516"/>
        <v>0.24082024705977439</v>
      </c>
      <c r="W277" s="447">
        <f t="shared" si="517"/>
        <v>7.045484047441046E-2</v>
      </c>
      <c r="X277" s="448">
        <f t="shared" si="518"/>
        <v>7.045484047441046E-2</v>
      </c>
      <c r="Y277" s="446">
        <f t="shared" si="530"/>
        <v>0.98519615834432117</v>
      </c>
      <c r="AA277" s="466">
        <f t="shared" si="519"/>
        <v>1.9890576770349222E-2</v>
      </c>
      <c r="AB277" s="447">
        <f t="shared" si="520"/>
        <v>1.9851418526063092E-2</v>
      </c>
      <c r="AC277" s="447">
        <f t="shared" si="521"/>
        <v>1.9851418526063092E-2</v>
      </c>
      <c r="AD277" s="447">
        <f t="shared" si="522"/>
        <v>6.0677908332618991E-2</v>
      </c>
      <c r="AE277" s="447">
        <f t="shared" si="523"/>
        <v>0.13340208986661939</v>
      </c>
      <c r="AF277" s="447">
        <f t="shared" si="524"/>
        <v>0.24746736560759752</v>
      </c>
      <c r="AG277" s="447">
        <f t="shared" si="525"/>
        <v>-0.75253263439240248</v>
      </c>
      <c r="AH277" s="447">
        <f t="shared" si="526"/>
        <v>0.40418897276291421</v>
      </c>
      <c r="AI277" s="447">
        <f t="shared" si="527"/>
        <v>-7.627230498161966E-2</v>
      </c>
      <c r="AJ277" s="448">
        <f t="shared" si="528"/>
        <v>-7.627230498161966E-2</v>
      </c>
      <c r="AK277" s="446">
        <f t="shared" si="531"/>
        <v>2.5250603658372173E-4</v>
      </c>
    </row>
    <row r="278" spans="1:37" x14ac:dyDescent="0.35">
      <c r="A278" t="s">
        <v>100</v>
      </c>
      <c r="B278" s="466">
        <f t="shared" ref="B278:K278" si="533">EXP($M260-B$268)/(1+EXP($M260-B$268))</f>
        <v>0.98010942322965078</v>
      </c>
      <c r="C278" s="447">
        <f t="shared" si="533"/>
        <v>0.98014858147393691</v>
      </c>
      <c r="D278" s="447">
        <f t="shared" si="533"/>
        <v>0.98014858147393691</v>
      </c>
      <c r="E278" s="447">
        <f t="shared" si="533"/>
        <v>0.93932209166738101</v>
      </c>
      <c r="F278" s="447">
        <f t="shared" si="533"/>
        <v>0.86659791013338061</v>
      </c>
      <c r="G278" s="447">
        <f t="shared" si="533"/>
        <v>0.75253263439240248</v>
      </c>
      <c r="H278" s="447">
        <f t="shared" si="533"/>
        <v>0.75253263439240248</v>
      </c>
      <c r="I278" s="447">
        <f t="shared" si="533"/>
        <v>0.59581102723708579</v>
      </c>
      <c r="J278" s="447">
        <f t="shared" si="533"/>
        <v>7.627230498161966E-2</v>
      </c>
      <c r="K278" s="448">
        <f t="shared" si="533"/>
        <v>7.627230498161966E-2</v>
      </c>
      <c r="M278" s="469">
        <f t="shared" si="508"/>
        <v>1.3933782059702484</v>
      </c>
      <c r="O278" s="466">
        <f t="shared" si="509"/>
        <v>1.9494941726092067E-2</v>
      </c>
      <c r="P278" s="447">
        <f t="shared" si="510"/>
        <v>1.9457339708566172E-2</v>
      </c>
      <c r="Q278" s="447">
        <f t="shared" si="511"/>
        <v>1.9457339708566172E-2</v>
      </c>
      <c r="R278" s="447">
        <f t="shared" si="512"/>
        <v>5.6996099772997279E-2</v>
      </c>
      <c r="S278" s="447">
        <f t="shared" si="513"/>
        <v>0.1156059722858378</v>
      </c>
      <c r="T278" s="447">
        <f t="shared" si="514"/>
        <v>0.18622726856683319</v>
      </c>
      <c r="U278" s="447">
        <f t="shared" si="515"/>
        <v>0.18622726856683319</v>
      </c>
      <c r="V278" s="447">
        <f t="shared" si="516"/>
        <v>0.24082024705977439</v>
      </c>
      <c r="W278" s="447">
        <f t="shared" si="517"/>
        <v>7.045484047441046E-2</v>
      </c>
      <c r="X278" s="448">
        <f t="shared" si="518"/>
        <v>7.045484047441046E-2</v>
      </c>
      <c r="Y278" s="446">
        <f t="shared" si="530"/>
        <v>0.98519615834432117</v>
      </c>
      <c r="AA278" s="466">
        <f t="shared" si="519"/>
        <v>1.9890576770349222E-2</v>
      </c>
      <c r="AB278" s="447">
        <f t="shared" si="520"/>
        <v>1.9851418526063092E-2</v>
      </c>
      <c r="AC278" s="447">
        <f t="shared" si="521"/>
        <v>1.9851418526063092E-2</v>
      </c>
      <c r="AD278" s="447">
        <f t="shared" si="522"/>
        <v>6.0677908332618991E-2</v>
      </c>
      <c r="AE278" s="447">
        <f t="shared" si="523"/>
        <v>0.13340208986661939</v>
      </c>
      <c r="AF278" s="447">
        <f t="shared" si="524"/>
        <v>0.24746736560759752</v>
      </c>
      <c r="AG278" s="447">
        <f t="shared" si="525"/>
        <v>-0.75253263439240248</v>
      </c>
      <c r="AH278" s="447">
        <f t="shared" si="526"/>
        <v>0.40418897276291421</v>
      </c>
      <c r="AI278" s="447">
        <f t="shared" si="527"/>
        <v>-7.627230498161966E-2</v>
      </c>
      <c r="AJ278" s="448">
        <f t="shared" si="528"/>
        <v>-7.627230498161966E-2</v>
      </c>
      <c r="AK278" s="446">
        <f t="shared" si="531"/>
        <v>2.5250603658372173E-4</v>
      </c>
    </row>
    <row r="279" spans="1:37" x14ac:dyDescent="0.35">
      <c r="A279" t="s">
        <v>536</v>
      </c>
      <c r="B279" s="466">
        <f t="shared" ref="B279:K279" si="534">EXP($M261-B$268)/(1+EXP($M261-B$268))</f>
        <v>0.95278544402521581</v>
      </c>
      <c r="C279" s="447">
        <f t="shared" si="534"/>
        <v>0.95287580816733231</v>
      </c>
      <c r="D279" s="447">
        <f t="shared" si="534"/>
        <v>0.95287580816733231</v>
      </c>
      <c r="E279" s="447">
        <f t="shared" si="534"/>
        <v>0.86375661219471811</v>
      </c>
      <c r="F279" s="447">
        <f t="shared" si="534"/>
        <v>0.72680585049836</v>
      </c>
      <c r="G279" s="447">
        <f t="shared" si="534"/>
        <v>0.5546396815720942</v>
      </c>
      <c r="H279" s="447">
        <f t="shared" si="534"/>
        <v>0.5546396815720942</v>
      </c>
      <c r="I279" s="447">
        <f t="shared" si="534"/>
        <v>0.37643923009445618</v>
      </c>
      <c r="J279" s="447">
        <f t="shared" si="534"/>
        <v>3.2709349864273304E-2</v>
      </c>
      <c r="K279" s="448">
        <f t="shared" si="534"/>
        <v>3.2709349864273304E-2</v>
      </c>
      <c r="M279" s="469">
        <f t="shared" si="508"/>
        <v>0.50020077239187666</v>
      </c>
      <c r="O279" s="466">
        <f t="shared" si="509"/>
        <v>4.4985341678888159E-2</v>
      </c>
      <c r="P279" s="447">
        <f t="shared" si="510"/>
        <v>4.4903502376785628E-2</v>
      </c>
      <c r="Q279" s="447">
        <f t="shared" si="511"/>
        <v>4.4903502376785628E-2</v>
      </c>
      <c r="R279" s="447">
        <f t="shared" si="512"/>
        <v>0.11768112708462146</v>
      </c>
      <c r="S279" s="447">
        <f t="shared" si="513"/>
        <v>0.19855910617971559</v>
      </c>
      <c r="T279" s="447">
        <f t="shared" si="514"/>
        <v>0.24701450519770016</v>
      </c>
      <c r="U279" s="447">
        <f t="shared" si="515"/>
        <v>0.24701450519770016</v>
      </c>
      <c r="V279" s="447">
        <f t="shared" si="516"/>
        <v>0.23473273614034929</v>
      </c>
      <c r="W279" s="447">
        <f t="shared" si="517"/>
        <v>3.1639448295729865E-2</v>
      </c>
      <c r="X279" s="448">
        <f t="shared" si="518"/>
        <v>3.1639448295729865E-2</v>
      </c>
      <c r="Y279" s="446">
        <f t="shared" si="530"/>
        <v>1.2430732228240058</v>
      </c>
      <c r="AA279" s="466">
        <f t="shared" si="519"/>
        <v>4.7214555974784189E-2</v>
      </c>
      <c r="AB279" s="447">
        <f t="shared" si="520"/>
        <v>4.7124191832667695E-2</v>
      </c>
      <c r="AC279" s="447">
        <f t="shared" si="521"/>
        <v>4.7124191832667695E-2</v>
      </c>
      <c r="AD279" s="447">
        <f t="shared" si="522"/>
        <v>0.13624338780528189</v>
      </c>
      <c r="AE279" s="447">
        <f t="shared" si="523"/>
        <v>-0.72680585049836</v>
      </c>
      <c r="AF279" s="447">
        <f t="shared" si="524"/>
        <v>0.4453603184279058</v>
      </c>
      <c r="AG279" s="447">
        <f t="shared" si="525"/>
        <v>0.4453603184279058</v>
      </c>
      <c r="AH279" s="447">
        <f t="shared" si="526"/>
        <v>-0.37643923009445618</v>
      </c>
      <c r="AI279" s="447">
        <f t="shared" si="527"/>
        <v>-3.2709349864273304E-2</v>
      </c>
      <c r="AJ279" s="448">
        <f t="shared" si="528"/>
        <v>-3.2709349864273304E-2</v>
      </c>
      <c r="AK279" s="446">
        <f t="shared" si="531"/>
        <v>-2.3681602014971603E-4</v>
      </c>
    </row>
    <row r="280" spans="1:37" x14ac:dyDescent="0.35">
      <c r="A280" t="s">
        <v>101</v>
      </c>
      <c r="B280" s="466">
        <f t="shared" ref="B280:K280" si="535">EXP($M262-B$268)/(1+EXP($M262-B$268))</f>
        <v>0.95278544402521581</v>
      </c>
      <c r="C280" s="447">
        <f t="shared" si="535"/>
        <v>0.95287580816733231</v>
      </c>
      <c r="D280" s="447">
        <f t="shared" si="535"/>
        <v>0.95287580816733231</v>
      </c>
      <c r="E280" s="447">
        <f t="shared" si="535"/>
        <v>0.86375661219471811</v>
      </c>
      <c r="F280" s="447">
        <f t="shared" si="535"/>
        <v>0.72680585049836</v>
      </c>
      <c r="G280" s="447">
        <f t="shared" si="535"/>
        <v>0.5546396815720942</v>
      </c>
      <c r="H280" s="447">
        <f t="shared" si="535"/>
        <v>0.5546396815720942</v>
      </c>
      <c r="I280" s="447">
        <f t="shared" si="535"/>
        <v>0.37643923009445618</v>
      </c>
      <c r="J280" s="447">
        <f t="shared" si="535"/>
        <v>3.2709349864273304E-2</v>
      </c>
      <c r="K280" s="448">
        <f t="shared" si="535"/>
        <v>3.2709349864273304E-2</v>
      </c>
      <c r="M280" s="469">
        <f t="shared" si="508"/>
        <v>0.50020077239187666</v>
      </c>
      <c r="O280" s="466">
        <f t="shared" si="509"/>
        <v>4.4985341678888159E-2</v>
      </c>
      <c r="P280" s="447">
        <f t="shared" si="510"/>
        <v>4.4903502376785628E-2</v>
      </c>
      <c r="Q280" s="447">
        <f t="shared" si="511"/>
        <v>4.4903502376785628E-2</v>
      </c>
      <c r="R280" s="447">
        <f t="shared" si="512"/>
        <v>0.11768112708462146</v>
      </c>
      <c r="S280" s="447">
        <f t="shared" si="513"/>
        <v>0.19855910617971559</v>
      </c>
      <c r="T280" s="447">
        <f t="shared" si="514"/>
        <v>0.24701450519770016</v>
      </c>
      <c r="U280" s="447">
        <f t="shared" si="515"/>
        <v>0.24701450519770016</v>
      </c>
      <c r="V280" s="447">
        <f t="shared" si="516"/>
        <v>0.23473273614034929</v>
      </c>
      <c r="W280" s="447">
        <f t="shared" si="517"/>
        <v>3.1639448295729865E-2</v>
      </c>
      <c r="X280" s="448">
        <f t="shared" si="518"/>
        <v>3.1639448295729865E-2</v>
      </c>
      <c r="Y280" s="446">
        <f t="shared" si="530"/>
        <v>1.2430732228240058</v>
      </c>
      <c r="AA280" s="466">
        <f t="shared" si="519"/>
        <v>4.7214555974784189E-2</v>
      </c>
      <c r="AB280" s="447">
        <f t="shared" si="520"/>
        <v>4.7124191832667695E-2</v>
      </c>
      <c r="AC280" s="447">
        <f t="shared" si="521"/>
        <v>4.7124191832667695E-2</v>
      </c>
      <c r="AD280" s="447">
        <f t="shared" si="522"/>
        <v>0.13624338780528189</v>
      </c>
      <c r="AE280" s="447">
        <f t="shared" si="523"/>
        <v>0.27319414950164</v>
      </c>
      <c r="AF280" s="447">
        <f t="shared" si="524"/>
        <v>-0.5546396815720942</v>
      </c>
      <c r="AG280" s="447">
        <f t="shared" si="525"/>
        <v>0.4453603184279058</v>
      </c>
      <c r="AH280" s="447">
        <f t="shared" si="526"/>
        <v>-0.37643923009445618</v>
      </c>
      <c r="AI280" s="447">
        <f t="shared" si="527"/>
        <v>-3.2709349864273304E-2</v>
      </c>
      <c r="AJ280" s="448">
        <f t="shared" si="528"/>
        <v>-3.2709349864273304E-2</v>
      </c>
      <c r="AK280" s="446">
        <f t="shared" si="531"/>
        <v>-2.3681602014971603E-4</v>
      </c>
    </row>
    <row r="281" spans="1:37" x14ac:dyDescent="0.35">
      <c r="A281" t="s">
        <v>281</v>
      </c>
      <c r="B281" s="466">
        <f t="shared" ref="B281:K281" si="536">EXP($M263-B$268)/(1+EXP($M263-B$268))</f>
        <v>0.82027338417522255</v>
      </c>
      <c r="C281" s="447">
        <f t="shared" si="536"/>
        <v>0.82056960237656229</v>
      </c>
      <c r="D281" s="447">
        <f t="shared" si="536"/>
        <v>0.82056960237656229</v>
      </c>
      <c r="E281" s="447">
        <f t="shared" si="536"/>
        <v>0.58912791742160064</v>
      </c>
      <c r="F281" s="447">
        <f t="shared" si="536"/>
        <v>0.37566013235586143</v>
      </c>
      <c r="G281" s="447">
        <f t="shared" si="536"/>
        <v>0.21976237011959143</v>
      </c>
      <c r="H281" s="447">
        <f t="shared" si="536"/>
        <v>0.21976237011959143</v>
      </c>
      <c r="I281" s="447">
        <f t="shared" si="536"/>
        <v>0.1201324689668886</v>
      </c>
      <c r="J281" s="447">
        <f t="shared" si="536"/>
        <v>7.5898490634889433E-3</v>
      </c>
      <c r="K281" s="448">
        <f t="shared" si="536"/>
        <v>7.5898490634889433E-3</v>
      </c>
      <c r="M281" s="469">
        <f t="shared" si="508"/>
        <v>-0.98684609471595852</v>
      </c>
      <c r="O281" s="466">
        <f t="shared" si="509"/>
        <v>0.14742495938895031</v>
      </c>
      <c r="P281" s="447">
        <f t="shared" si="510"/>
        <v>0.14723513003213276</v>
      </c>
      <c r="Q281" s="447">
        <f t="shared" si="511"/>
        <v>0.14723513003213276</v>
      </c>
      <c r="R281" s="447">
        <f t="shared" si="512"/>
        <v>0.24205621433608834</v>
      </c>
      <c r="S281" s="447">
        <f t="shared" si="513"/>
        <v>0.23453959731423807</v>
      </c>
      <c r="T281" s="447">
        <f t="shared" si="514"/>
        <v>0.17146687079901113</v>
      </c>
      <c r="U281" s="447">
        <f t="shared" si="515"/>
        <v>0.17146687079901113</v>
      </c>
      <c r="V281" s="447">
        <f t="shared" si="516"/>
        <v>0.10570065886680816</v>
      </c>
      <c r="W281" s="447">
        <f t="shared" si="517"/>
        <v>7.5322432546823994E-3</v>
      </c>
      <c r="X281" s="448">
        <f t="shared" si="518"/>
        <v>7.5322432546823994E-3</v>
      </c>
      <c r="Y281" s="446">
        <f t="shared" si="530"/>
        <v>1.3821899180777379</v>
      </c>
      <c r="AA281" s="466">
        <f t="shared" si="519"/>
        <v>0.17972661582477745</v>
      </c>
      <c r="AB281" s="447">
        <f t="shared" si="520"/>
        <v>0.17943039762343771</v>
      </c>
      <c r="AC281" s="447">
        <f t="shared" si="521"/>
        <v>0.17943039762343771</v>
      </c>
      <c r="AD281" s="447">
        <f t="shared" si="522"/>
        <v>0.41087208257839936</v>
      </c>
      <c r="AE281" s="447">
        <f t="shared" si="523"/>
        <v>-0.37566013235586143</v>
      </c>
      <c r="AF281" s="447">
        <f t="shared" si="524"/>
        <v>-0.21976237011959143</v>
      </c>
      <c r="AG281" s="447">
        <f t="shared" si="525"/>
        <v>-0.21976237011959143</v>
      </c>
      <c r="AH281" s="447">
        <f t="shared" si="526"/>
        <v>-0.1201324689668886</v>
      </c>
      <c r="AI281" s="447">
        <f t="shared" si="527"/>
        <v>-7.5898490634889433E-3</v>
      </c>
      <c r="AJ281" s="448">
        <f t="shared" si="528"/>
        <v>-7.5898490634889433E-3</v>
      </c>
      <c r="AK281" s="446">
        <f t="shared" si="531"/>
        <v>-1.0375460388586197E-3</v>
      </c>
    </row>
    <row r="282" spans="1:37" x14ac:dyDescent="0.35">
      <c r="A282" t="s">
        <v>537</v>
      </c>
      <c r="B282" s="466">
        <f t="shared" ref="B282:K282" si="537">EXP($M264-B$268)/(1+EXP($M264-B$268))</f>
        <v>0.82027338417522255</v>
      </c>
      <c r="C282" s="447">
        <f t="shared" si="537"/>
        <v>0.82056960237656229</v>
      </c>
      <c r="D282" s="447">
        <f t="shared" si="537"/>
        <v>0.82056960237656229</v>
      </c>
      <c r="E282" s="447">
        <f t="shared" si="537"/>
        <v>0.58912791742160064</v>
      </c>
      <c r="F282" s="447">
        <f t="shared" si="537"/>
        <v>0.37566013235586143</v>
      </c>
      <c r="G282" s="447">
        <f t="shared" si="537"/>
        <v>0.21976237011959143</v>
      </c>
      <c r="H282" s="447">
        <f t="shared" si="537"/>
        <v>0.21976237011959143</v>
      </c>
      <c r="I282" s="447">
        <f t="shared" si="537"/>
        <v>0.1201324689668886</v>
      </c>
      <c r="J282" s="447">
        <f t="shared" si="537"/>
        <v>7.5898490634889433E-3</v>
      </c>
      <c r="K282" s="448">
        <f t="shared" si="537"/>
        <v>7.5898490634889433E-3</v>
      </c>
      <c r="M282" s="469">
        <f t="shared" si="508"/>
        <v>-0.98684609471595852</v>
      </c>
      <c r="O282" s="466">
        <f t="shared" si="509"/>
        <v>0.14742495938895031</v>
      </c>
      <c r="P282" s="447">
        <f t="shared" si="510"/>
        <v>0.14723513003213276</v>
      </c>
      <c r="Q282" s="447">
        <f t="shared" si="511"/>
        <v>0.14723513003213276</v>
      </c>
      <c r="R282" s="447">
        <f t="shared" si="512"/>
        <v>0.24205621433608834</v>
      </c>
      <c r="S282" s="447">
        <f t="shared" si="513"/>
        <v>0.23453959731423807</v>
      </c>
      <c r="T282" s="447">
        <f t="shared" si="514"/>
        <v>0.17146687079901113</v>
      </c>
      <c r="U282" s="447">
        <f t="shared" si="515"/>
        <v>0.17146687079901113</v>
      </c>
      <c r="V282" s="447">
        <f t="shared" si="516"/>
        <v>0.10570065886680816</v>
      </c>
      <c r="W282" s="447">
        <f t="shared" si="517"/>
        <v>7.5322432546823994E-3</v>
      </c>
      <c r="X282" s="448">
        <f t="shared" si="518"/>
        <v>7.5322432546823994E-3</v>
      </c>
      <c r="Y282" s="446">
        <f t="shared" si="530"/>
        <v>1.3821899180777379</v>
      </c>
      <c r="AA282" s="466">
        <f t="shared" si="519"/>
        <v>0.17972661582477745</v>
      </c>
      <c r="AB282" s="447">
        <f t="shared" si="520"/>
        <v>-0.82056960237656229</v>
      </c>
      <c r="AC282" s="447">
        <f t="shared" si="521"/>
        <v>0.17943039762343771</v>
      </c>
      <c r="AD282" s="447">
        <f t="shared" si="522"/>
        <v>-0.58912791742160064</v>
      </c>
      <c r="AE282" s="447">
        <f t="shared" si="523"/>
        <v>0.62433986764413851</v>
      </c>
      <c r="AF282" s="447">
        <f t="shared" si="524"/>
        <v>-0.21976237011959143</v>
      </c>
      <c r="AG282" s="447">
        <f t="shared" si="525"/>
        <v>0.78023762988040857</v>
      </c>
      <c r="AH282" s="447">
        <f t="shared" si="526"/>
        <v>-0.1201324689668886</v>
      </c>
      <c r="AI282" s="447">
        <f t="shared" si="527"/>
        <v>-7.5898490634889433E-3</v>
      </c>
      <c r="AJ282" s="448">
        <f t="shared" si="528"/>
        <v>-7.5898490634889433E-3</v>
      </c>
      <c r="AK282" s="446">
        <f t="shared" si="531"/>
        <v>-1.0375460388586197E-3</v>
      </c>
    </row>
    <row r="283" spans="1:37" x14ac:dyDescent="0.35">
      <c r="A283" t="s">
        <v>905</v>
      </c>
      <c r="B283" s="449">
        <f t="shared" ref="B283:K283" si="538">EXP($M265-B$268)/(1+EXP($M265-B$268))</f>
        <v>0.49919487014769071</v>
      </c>
      <c r="C283" s="450">
        <f t="shared" si="538"/>
        <v>0.49969751342243424</v>
      </c>
      <c r="D283" s="450">
        <f t="shared" si="538"/>
        <v>0.49969751342243424</v>
      </c>
      <c r="E283" s="450">
        <f t="shared" si="538"/>
        <v>0.23847474897893911</v>
      </c>
      <c r="F283" s="450">
        <f t="shared" si="538"/>
        <v>0.11614728473788311</v>
      </c>
      <c r="G283" s="450">
        <f t="shared" si="538"/>
        <v>5.7950260669344666E-2</v>
      </c>
      <c r="H283" s="450">
        <f t="shared" si="538"/>
        <v>5.795026066934468E-2</v>
      </c>
      <c r="I283" s="450">
        <f t="shared" si="538"/>
        <v>2.8955907685906206E-2</v>
      </c>
      <c r="J283" s="450">
        <f t="shared" si="538"/>
        <v>1.6675246480714731E-3</v>
      </c>
      <c r="K283" s="451">
        <f t="shared" si="538"/>
        <v>1.6675246480714731E-3</v>
      </c>
      <c r="M283" s="470">
        <f t="shared" si="508"/>
        <v>-2.5087112484715974</v>
      </c>
      <c r="O283" s="449">
        <f t="shared" si="509"/>
        <v>0.24999935176592092</v>
      </c>
      <c r="P283" s="450">
        <f t="shared" si="510"/>
        <v>0.24999990850187043</v>
      </c>
      <c r="Q283" s="450">
        <f t="shared" si="511"/>
        <v>0.24999990850187043</v>
      </c>
      <c r="R283" s="450">
        <f t="shared" si="512"/>
        <v>0.18160454307837107</v>
      </c>
      <c r="S283" s="450">
        <f t="shared" si="513"/>
        <v>0.10265709298590021</v>
      </c>
      <c r="T283" s="450">
        <f t="shared" si="514"/>
        <v>5.4592027957699671E-2</v>
      </c>
      <c r="U283" s="450">
        <f t="shared" si="515"/>
        <v>5.4592027957699678E-2</v>
      </c>
      <c r="V283" s="450">
        <f t="shared" si="516"/>
        <v>2.8117463095991484E-2</v>
      </c>
      <c r="W283" s="450">
        <f t="shared" si="517"/>
        <v>1.664744009619547E-3</v>
      </c>
      <c r="X283" s="451">
        <f t="shared" si="518"/>
        <v>1.664744009619547E-3</v>
      </c>
      <c r="Y283" s="446">
        <f t="shared" si="530"/>
        <v>1.174891811864563</v>
      </c>
      <c r="AA283" s="449">
        <f t="shared" si="519"/>
        <v>-0.49919487014769071</v>
      </c>
      <c r="AB283" s="450">
        <f t="shared" si="520"/>
        <v>0.50030248657756582</v>
      </c>
      <c r="AC283" s="450">
        <f t="shared" si="521"/>
        <v>-0.49969751342243424</v>
      </c>
      <c r="AD283" s="450">
        <f t="shared" si="522"/>
        <v>0.76152525102106083</v>
      </c>
      <c r="AE283" s="450">
        <f t="shared" si="523"/>
        <v>-0.11614728473788311</v>
      </c>
      <c r="AF283" s="450">
        <f t="shared" si="524"/>
        <v>-5.7950260669344666E-2</v>
      </c>
      <c r="AG283" s="450">
        <f t="shared" si="525"/>
        <v>-5.795026066934468E-2</v>
      </c>
      <c r="AH283" s="450">
        <f t="shared" si="526"/>
        <v>-2.8955907685906206E-2</v>
      </c>
      <c r="AI283" s="450">
        <f t="shared" si="527"/>
        <v>-1.6675246480714731E-3</v>
      </c>
      <c r="AJ283" s="451">
        <f t="shared" si="528"/>
        <v>-1.6675246480714731E-3</v>
      </c>
      <c r="AK283" s="446">
        <f t="shared" si="531"/>
        <v>-1.4034090301198936E-3</v>
      </c>
    </row>
    <row r="284" spans="1:37" x14ac:dyDescent="0.35">
      <c r="O284" s="446">
        <f>SUM(O275:O283)</f>
        <v>0.68120694595064946</v>
      </c>
      <c r="P284" s="446">
        <f t="shared" ref="P284:X284" si="539">SUM(P275:P283)</f>
        <v>0.68057425825965701</v>
      </c>
      <c r="Q284" s="446">
        <f t="shared" si="539"/>
        <v>0.68057425825965701</v>
      </c>
      <c r="R284" s="446">
        <f t="shared" si="539"/>
        <v>1.0380915195862388</v>
      </c>
      <c r="S284" s="446">
        <f t="shared" si="539"/>
        <v>1.2525384658184564</v>
      </c>
      <c r="T284" s="446">
        <f t="shared" si="539"/>
        <v>1.3671456012671972</v>
      </c>
      <c r="U284" s="446">
        <f t="shared" si="539"/>
        <v>1.3671456012671972</v>
      </c>
      <c r="V284" s="446">
        <f t="shared" si="539"/>
        <v>1.3731778235524938</v>
      </c>
      <c r="W284" s="446">
        <f t="shared" si="539"/>
        <v>0.63717565214633687</v>
      </c>
      <c r="X284" s="446">
        <f t="shared" si="539"/>
        <v>0.63717565214633687</v>
      </c>
      <c r="AA284" s="446">
        <f>SUM(AA275:AA283)</f>
        <v>5.4248815238588932E-4</v>
      </c>
      <c r="AB284" s="446">
        <f t="shared" ref="AB284:AJ284" si="540">SUM(AB275:AB283)</f>
        <v>5.3550029513160791E-4</v>
      </c>
      <c r="AC284" s="446">
        <f t="shared" si="540"/>
        <v>5.355002951315524E-4</v>
      </c>
      <c r="AD284" s="446">
        <f t="shared" si="540"/>
        <v>5.1484764093145952E-4</v>
      </c>
      <c r="AE284" s="446">
        <f t="shared" si="540"/>
        <v>2.6429033449376638E-4</v>
      </c>
      <c r="AF284" s="446">
        <f t="shared" si="540"/>
        <v>-9.7852600047187988E-5</v>
      </c>
      <c r="AG284" s="446">
        <f t="shared" si="540"/>
        <v>-9.7852600047201865E-5</v>
      </c>
      <c r="AH284" s="446">
        <f t="shared" si="540"/>
        <v>-4.9467850245340714E-4</v>
      </c>
      <c r="AI284" s="446">
        <f t="shared" si="540"/>
        <v>-1.3092617085935013E-3</v>
      </c>
      <c r="AJ284" s="446">
        <f t="shared" si="540"/>
        <v>-1.3092617085934458E-3</v>
      </c>
      <c r="AK284" s="446">
        <f>SUMSQ(AK275:AK283)</f>
        <v>7.7049737788762661E-6</v>
      </c>
    </row>
    <row r="285" spans="1:37" x14ac:dyDescent="0.35">
      <c r="A285" t="s">
        <v>822</v>
      </c>
      <c r="B285" s="471">
        <f t="shared" ref="B285:K285" si="541">B268-AA284/O284</f>
        <v>-2.5050925888445126</v>
      </c>
      <c r="C285" s="472">
        <f t="shared" si="541"/>
        <v>-2.5070936373192025</v>
      </c>
      <c r="D285" s="472">
        <f t="shared" si="541"/>
        <v>-2.5070936373192025</v>
      </c>
      <c r="E285" s="472">
        <f t="shared" si="541"/>
        <v>-1.3469528028046225</v>
      </c>
      <c r="F285" s="472">
        <f t="shared" si="541"/>
        <v>-0.47829639626925419</v>
      </c>
      <c r="G285" s="472">
        <f t="shared" si="541"/>
        <v>0.28102783362409883</v>
      </c>
      <c r="H285" s="472">
        <f t="shared" si="541"/>
        <v>0.28102783362409878</v>
      </c>
      <c r="I285" s="472">
        <f t="shared" si="541"/>
        <v>1.0054411238578957</v>
      </c>
      <c r="J285" s="472">
        <f t="shared" si="541"/>
        <v>3.8892841237870068</v>
      </c>
      <c r="K285" s="473">
        <f t="shared" si="541"/>
        <v>3.8892841237870068</v>
      </c>
      <c r="L285" s="446">
        <f>AVERAGE(B285:K285)</f>
        <v>1.535976123313354E-4</v>
      </c>
    </row>
    <row r="286" spans="1:37" x14ac:dyDescent="0.35">
      <c r="A286" t="s">
        <v>906</v>
      </c>
      <c r="B286" s="89">
        <f>B285-L285</f>
        <v>-2.5052461864568438</v>
      </c>
      <c r="C286" s="159">
        <f>C285-L285</f>
        <v>-2.5072472349315338</v>
      </c>
      <c r="D286" s="159">
        <f>D285-L285</f>
        <v>-2.5072472349315338</v>
      </c>
      <c r="E286" s="159">
        <f>E285-L285</f>
        <v>-1.3471064004169537</v>
      </c>
      <c r="F286" s="159">
        <f>F285-L285</f>
        <v>-0.47844999388158554</v>
      </c>
      <c r="G286" s="159">
        <f>G285-L285</f>
        <v>0.28087423601176748</v>
      </c>
      <c r="H286" s="159">
        <f>H285-L285</f>
        <v>0.28087423601176742</v>
      </c>
      <c r="I286" s="159">
        <f>I285-L285</f>
        <v>1.0052875262455645</v>
      </c>
      <c r="J286" s="159">
        <f>J285-L285</f>
        <v>3.8891305261746756</v>
      </c>
      <c r="K286" s="93">
        <f>K285-L285</f>
        <v>3.8891305261746756</v>
      </c>
      <c r="L286" s="446">
        <f>AVERAGE(B286:K286)</f>
        <v>0</v>
      </c>
    </row>
    <row r="287" spans="1:37" x14ac:dyDescent="0.35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46"/>
    </row>
    <row r="288" spans="1:37" x14ac:dyDescent="0.35">
      <c r="A288" t="s">
        <v>907</v>
      </c>
      <c r="B288" s="461">
        <f>B270+1</f>
        <v>16</v>
      </c>
    </row>
    <row r="289" spans="1:37" x14ac:dyDescent="0.35">
      <c r="B289" s="461"/>
    </row>
    <row r="290" spans="1:37" x14ac:dyDescent="0.35">
      <c r="B290" t="s">
        <v>860</v>
      </c>
      <c r="O290" t="s">
        <v>908</v>
      </c>
      <c r="AA290" t="s">
        <v>909</v>
      </c>
    </row>
    <row r="292" spans="1:37" x14ac:dyDescent="0.35">
      <c r="B292">
        <v>1</v>
      </c>
      <c r="C292">
        <v>2</v>
      </c>
      <c r="D292">
        <v>3</v>
      </c>
      <c r="E292">
        <v>4</v>
      </c>
      <c r="F292">
        <v>5</v>
      </c>
      <c r="G292">
        <v>6</v>
      </c>
      <c r="H292">
        <v>7</v>
      </c>
      <c r="I292">
        <v>8</v>
      </c>
      <c r="J292">
        <v>9</v>
      </c>
      <c r="K292">
        <v>10</v>
      </c>
      <c r="M292" t="s">
        <v>904</v>
      </c>
      <c r="O292">
        <v>1</v>
      </c>
      <c r="P292">
        <v>2</v>
      </c>
      <c r="Q292">
        <v>3</v>
      </c>
      <c r="R292">
        <v>4</v>
      </c>
      <c r="S292">
        <v>5</v>
      </c>
      <c r="T292">
        <v>6</v>
      </c>
      <c r="U292">
        <v>7</v>
      </c>
      <c r="V292">
        <v>8</v>
      </c>
      <c r="W292">
        <v>9</v>
      </c>
      <c r="X292">
        <v>10</v>
      </c>
      <c r="AA292">
        <v>1</v>
      </c>
      <c r="AB292">
        <v>2</v>
      </c>
      <c r="AC292">
        <v>3</v>
      </c>
      <c r="AD292">
        <v>4</v>
      </c>
      <c r="AE292">
        <v>5</v>
      </c>
      <c r="AF292">
        <v>6</v>
      </c>
      <c r="AG292">
        <v>7</v>
      </c>
      <c r="AH292">
        <v>8</v>
      </c>
      <c r="AI292">
        <v>9</v>
      </c>
      <c r="AJ292">
        <v>10</v>
      </c>
    </row>
    <row r="293" spans="1:37" x14ac:dyDescent="0.35">
      <c r="A293" t="s">
        <v>218</v>
      </c>
      <c r="B293" s="464">
        <f t="shared" ref="B293:K293" si="542">EXP($M275-B$286)/(1+EXP($M275-B$286))</f>
        <v>0.9986427740564191</v>
      </c>
      <c r="C293" s="467">
        <f t="shared" si="542"/>
        <v>0.99864548354081717</v>
      </c>
      <c r="D293" s="467">
        <f t="shared" si="542"/>
        <v>0.99864548354081717</v>
      </c>
      <c r="E293" s="467">
        <f t="shared" si="542"/>
        <v>0.99569135766149375</v>
      </c>
      <c r="F293" s="467">
        <f t="shared" si="542"/>
        <v>0.98979033249519022</v>
      </c>
      <c r="G293" s="467">
        <f t="shared" si="542"/>
        <v>0.97843396846507047</v>
      </c>
      <c r="H293" s="467">
        <f t="shared" si="542"/>
        <v>0.97843396846507047</v>
      </c>
      <c r="I293" s="467">
        <f t="shared" si="542"/>
        <v>0.95649586809746756</v>
      </c>
      <c r="J293" s="467">
        <f t="shared" si="542"/>
        <v>0.5514615104236894</v>
      </c>
      <c r="K293" s="465">
        <f t="shared" si="542"/>
        <v>0.5514615104236894</v>
      </c>
      <c r="M293" s="468">
        <f t="shared" ref="M293:M301" si="543">M275+AK293/Y293</f>
        <v>4.0972835516666297</v>
      </c>
      <c r="O293" s="464">
        <f t="shared" ref="O293:O301" si="544">B293*(1-B293)</f>
        <v>1.3553838813189685E-3</v>
      </c>
      <c r="P293" s="467">
        <f t="shared" ref="P293:P301" si="545">C293*(1-C293)</f>
        <v>1.3526817443446336E-3</v>
      </c>
      <c r="Q293" s="467">
        <f t="shared" ref="Q293:Q301" si="546">D293*(1-D293)</f>
        <v>1.3526817443446336E-3</v>
      </c>
      <c r="R293" s="467">
        <f t="shared" ref="R293:R301" si="547">E293*(1-E293)</f>
        <v>4.2900779397050835E-3</v>
      </c>
      <c r="S293" s="467">
        <f t="shared" ref="S293:S301" si="548">F293*(1-F293)</f>
        <v>1.0105430194251015E-2</v>
      </c>
      <c r="T293" s="467">
        <f t="shared" ref="T293:T301" si="549">G293*(1-G293)</f>
        <v>2.1100937818763956E-2</v>
      </c>
      <c r="U293" s="467">
        <f t="shared" ref="U293:U301" si="550">H293*(1-H293)</f>
        <v>2.1100937818763956E-2</v>
      </c>
      <c r="V293" s="467">
        <f t="shared" ref="V293:V301" si="551">I293*(1-I293)</f>
        <v>4.1611522409939497E-2</v>
      </c>
      <c r="W293" s="467">
        <f t="shared" ref="W293:W301" si="552">J293*(1-J293)</f>
        <v>0.24735171294491251</v>
      </c>
      <c r="X293" s="465">
        <f t="shared" ref="X293:X301" si="553">K293*(1-K293)</f>
        <v>0.24735171294491251</v>
      </c>
      <c r="Y293" s="446">
        <f>SUM(O293:X293)</f>
        <v>0.59697307944125677</v>
      </c>
      <c r="AA293" s="464" t="str">
        <f t="shared" ref="AA293:AA301" si="554">IF(ISNUMBER(B5),B5-B293,"")</f>
        <v/>
      </c>
      <c r="AB293" s="467">
        <f t="shared" ref="AB293:AB301" si="555">IF(ISNUMBER(C5),C5-C293,"")</f>
        <v>1.3545164591828307E-3</v>
      </c>
      <c r="AC293" s="467">
        <f t="shared" ref="AC293:AC301" si="556">IF(ISNUMBER(D5),D5-D293,"")</f>
        <v>1.3545164591828307E-3</v>
      </c>
      <c r="AD293" s="467">
        <f t="shared" ref="AD293:AD301" si="557">IF(ISNUMBER(E5),E5-E293,"")</f>
        <v>4.3086423385062522E-3</v>
      </c>
      <c r="AE293" s="467">
        <f t="shared" ref="AE293:AE301" si="558">IF(ISNUMBER(F5),F5-F293,"")</f>
        <v>1.0209667504809783E-2</v>
      </c>
      <c r="AF293" s="467">
        <f t="shared" ref="AF293:AF301" si="559">IF(ISNUMBER(G5),G5-G293,"")</f>
        <v>2.1566031534929531E-2</v>
      </c>
      <c r="AG293" s="467">
        <f t="shared" ref="AG293:AG301" si="560">IF(ISNUMBER(H5),H5-H293,"")</f>
        <v>2.1566031534929531E-2</v>
      </c>
      <c r="AH293" s="467">
        <f t="shared" ref="AH293:AH301" si="561">IF(ISNUMBER(I5),I5-I293,"")</f>
        <v>4.3504131902532439E-2</v>
      </c>
      <c r="AI293" s="467">
        <f t="shared" ref="AI293:AI301" si="562">IF(ISNUMBER(J5),J5-J293,"")</f>
        <v>-0.5514615104236894</v>
      </c>
      <c r="AJ293" s="465">
        <f t="shared" ref="AJ293:AJ301" si="563">IF(ISNUMBER(K5),K5-K293,"")</f>
        <v>0.4485384895763106</v>
      </c>
      <c r="AK293" s="446">
        <f>SUM(AA293:AJ293)</f>
        <v>9.4051688669438693E-4</v>
      </c>
    </row>
    <row r="294" spans="1:37" x14ac:dyDescent="0.35">
      <c r="A294" t="s">
        <v>98</v>
      </c>
      <c r="B294" s="466">
        <f t="shared" ref="B294:K294" si="564">EXP($M276-B$286)/(1+EXP($M276-B$286))</f>
        <v>0.9939402278326066</v>
      </c>
      <c r="C294" s="447">
        <f t="shared" si="564"/>
        <v>0.99395226834544026</v>
      </c>
      <c r="D294" s="447">
        <f t="shared" si="564"/>
        <v>0.99395226834544026</v>
      </c>
      <c r="E294" s="447">
        <f t="shared" si="564"/>
        <v>0.9809576731689601</v>
      </c>
      <c r="F294" s="447">
        <f t="shared" si="564"/>
        <v>0.95577400186318096</v>
      </c>
      <c r="G294" s="447">
        <f t="shared" si="564"/>
        <v>0.9100204333517663</v>
      </c>
      <c r="H294" s="447">
        <f t="shared" si="564"/>
        <v>0.9100204333517663</v>
      </c>
      <c r="I294" s="447">
        <f t="shared" si="564"/>
        <v>0.83054168540376216</v>
      </c>
      <c r="J294" s="447">
        <f t="shared" si="564"/>
        <v>0.21511375014421411</v>
      </c>
      <c r="K294" s="448">
        <f t="shared" si="564"/>
        <v>0.21511375014421411</v>
      </c>
      <c r="M294" s="469">
        <f t="shared" si="543"/>
        <v>2.5956093784045224</v>
      </c>
      <c r="O294" s="466">
        <f t="shared" si="544"/>
        <v>6.02305132867268E-3</v>
      </c>
      <c r="P294" s="447">
        <f t="shared" si="545"/>
        <v>6.0111565963941764E-3</v>
      </c>
      <c r="Q294" s="447">
        <f t="shared" si="546"/>
        <v>6.0111565963941764E-3</v>
      </c>
      <c r="R294" s="447">
        <f t="shared" si="547"/>
        <v>1.8679716619899759E-2</v>
      </c>
      <c r="S294" s="447">
        <f t="shared" si="548"/>
        <v>4.2270059225621125E-2</v>
      </c>
      <c r="T294" s="447">
        <f t="shared" si="549"/>
        <v>8.1883244234029776E-2</v>
      </c>
      <c r="U294" s="447">
        <f t="shared" si="550"/>
        <v>8.1883244234029776E-2</v>
      </c>
      <c r="V294" s="447">
        <f t="shared" si="551"/>
        <v>0.14074219421044032</v>
      </c>
      <c r="W294" s="447">
        <f t="shared" si="552"/>
        <v>0.16883982464310673</v>
      </c>
      <c r="X294" s="448">
        <f t="shared" si="553"/>
        <v>0.16883982464310673</v>
      </c>
      <c r="Y294" s="446">
        <f t="shared" ref="Y294:Y301" si="565">SUM(O294:X294)</f>
        <v>0.72118347233169522</v>
      </c>
      <c r="AA294" s="466">
        <f t="shared" si="554"/>
        <v>6.0597721673933957E-3</v>
      </c>
      <c r="AB294" s="447">
        <f t="shared" si="555"/>
        <v>6.0477316545597404E-3</v>
      </c>
      <c r="AC294" s="447">
        <f t="shared" si="556"/>
        <v>6.0477316545597404E-3</v>
      </c>
      <c r="AD294" s="447">
        <f t="shared" si="557"/>
        <v>-0.9809576731689601</v>
      </c>
      <c r="AE294" s="447">
        <f t="shared" si="558"/>
        <v>4.4225998136819045E-2</v>
      </c>
      <c r="AF294" s="447">
        <f t="shared" si="559"/>
        <v>8.99795666482337E-2</v>
      </c>
      <c r="AG294" s="447">
        <f t="shared" si="560"/>
        <v>8.99795666482337E-2</v>
      </c>
      <c r="AH294" s="447">
        <f t="shared" si="561"/>
        <v>0.16945831459623784</v>
      </c>
      <c r="AI294" s="447">
        <f t="shared" si="562"/>
        <v>0.78488624985578592</v>
      </c>
      <c r="AJ294" s="448">
        <f t="shared" si="563"/>
        <v>-0.21511375014421411</v>
      </c>
      <c r="AK294" s="446">
        <f t="shared" ref="AK294:AK301" si="566">SUM(AA294:AJ294)</f>
        <v>6.1350804864887531E-4</v>
      </c>
    </row>
    <row r="295" spans="1:37" x14ac:dyDescent="0.35">
      <c r="A295" t="s">
        <v>99</v>
      </c>
      <c r="B295" s="466">
        <f t="shared" ref="B295:K295" si="567">EXP($M277-B$286)/(1+EXP($M277-B$286))</f>
        <v>0.98013292560536858</v>
      </c>
      <c r="C295" s="447">
        <f t="shared" si="567"/>
        <v>0.98017185335558366</v>
      </c>
      <c r="D295" s="447">
        <f t="shared" si="567"/>
        <v>0.98017185335558366</v>
      </c>
      <c r="E295" s="447">
        <f t="shared" si="567"/>
        <v>0.9393737012589819</v>
      </c>
      <c r="F295" s="447">
        <f t="shared" si="567"/>
        <v>0.86666967373444626</v>
      </c>
      <c r="G295" s="447">
        <f t="shared" si="567"/>
        <v>0.75259563406990315</v>
      </c>
      <c r="H295" s="447">
        <f t="shared" si="567"/>
        <v>0.75259563406990315</v>
      </c>
      <c r="I295" s="447">
        <f t="shared" si="567"/>
        <v>0.59582298493909258</v>
      </c>
      <c r="J295" s="447">
        <f t="shared" si="567"/>
        <v>7.6156495163190702E-2</v>
      </c>
      <c r="K295" s="448">
        <f t="shared" si="567"/>
        <v>7.6156495163190702E-2</v>
      </c>
      <c r="M295" s="469">
        <f t="shared" si="543"/>
        <v>1.3935333178145495</v>
      </c>
      <c r="O295" s="466">
        <f t="shared" si="544"/>
        <v>1.9472373749629603E-2</v>
      </c>
      <c r="P295" s="447">
        <f t="shared" si="545"/>
        <v>1.9434991245063864E-2</v>
      </c>
      <c r="Q295" s="447">
        <f t="shared" si="546"/>
        <v>1.9434991245063864E-2</v>
      </c>
      <c r="R295" s="447">
        <f t="shared" si="547"/>
        <v>5.6950750641982927E-2</v>
      </c>
      <c r="S295" s="447">
        <f t="shared" si="548"/>
        <v>0.11555335036347474</v>
      </c>
      <c r="T295" s="447">
        <f t="shared" si="549"/>
        <v>0.18619544564882359</v>
      </c>
      <c r="U295" s="447">
        <f t="shared" si="550"/>
        <v>0.18619544564882359</v>
      </c>
      <c r="V295" s="447">
        <f t="shared" si="551"/>
        <v>0.24081795555736243</v>
      </c>
      <c r="W295" s="447">
        <f t="shared" si="552"/>
        <v>7.0356683407649612E-2</v>
      </c>
      <c r="X295" s="448">
        <f t="shared" si="553"/>
        <v>7.0356683407649612E-2</v>
      </c>
      <c r="Y295" s="446">
        <f t="shared" si="565"/>
        <v>0.98476867091552389</v>
      </c>
      <c r="AA295" s="466">
        <f t="shared" si="554"/>
        <v>1.9867074394631423E-2</v>
      </c>
      <c r="AB295" s="447">
        <f t="shared" si="555"/>
        <v>1.9828146644416345E-2</v>
      </c>
      <c r="AC295" s="447">
        <f t="shared" si="556"/>
        <v>1.9828146644416345E-2</v>
      </c>
      <c r="AD295" s="447">
        <f t="shared" si="557"/>
        <v>6.0626298741018103E-2</v>
      </c>
      <c r="AE295" s="447">
        <f t="shared" si="558"/>
        <v>0.13333032626555374</v>
      </c>
      <c r="AF295" s="447">
        <f t="shared" si="559"/>
        <v>0.24740436593009685</v>
      </c>
      <c r="AG295" s="447">
        <f t="shared" si="560"/>
        <v>-0.75259563406990315</v>
      </c>
      <c r="AH295" s="447">
        <f t="shared" si="561"/>
        <v>0.40417701506090742</v>
      </c>
      <c r="AI295" s="447">
        <f t="shared" si="562"/>
        <v>-7.6156495163190702E-2</v>
      </c>
      <c r="AJ295" s="448">
        <f t="shared" si="563"/>
        <v>-7.6156495163190702E-2</v>
      </c>
      <c r="AK295" s="446">
        <f t="shared" si="566"/>
        <v>1.5274928475567107E-4</v>
      </c>
    </row>
    <row r="296" spans="1:37" x14ac:dyDescent="0.35">
      <c r="A296" t="s">
        <v>100</v>
      </c>
      <c r="B296" s="466">
        <f t="shared" ref="B296:K296" si="568">EXP($M278-B$286)/(1+EXP($M278-B$286))</f>
        <v>0.98013292560536858</v>
      </c>
      <c r="C296" s="447">
        <f t="shared" si="568"/>
        <v>0.98017185335558366</v>
      </c>
      <c r="D296" s="447">
        <f t="shared" si="568"/>
        <v>0.98017185335558366</v>
      </c>
      <c r="E296" s="447">
        <f t="shared" si="568"/>
        <v>0.9393737012589819</v>
      </c>
      <c r="F296" s="447">
        <f t="shared" si="568"/>
        <v>0.86666967373444626</v>
      </c>
      <c r="G296" s="447">
        <f t="shared" si="568"/>
        <v>0.75259563406990315</v>
      </c>
      <c r="H296" s="447">
        <f t="shared" si="568"/>
        <v>0.75259563406990315</v>
      </c>
      <c r="I296" s="447">
        <f t="shared" si="568"/>
        <v>0.59582298493909258</v>
      </c>
      <c r="J296" s="447">
        <f t="shared" si="568"/>
        <v>7.6156495163190702E-2</v>
      </c>
      <c r="K296" s="448">
        <f t="shared" si="568"/>
        <v>7.6156495163190702E-2</v>
      </c>
      <c r="M296" s="469">
        <f t="shared" si="543"/>
        <v>1.3935333178145495</v>
      </c>
      <c r="O296" s="466">
        <f t="shared" si="544"/>
        <v>1.9472373749629603E-2</v>
      </c>
      <c r="P296" s="447">
        <f t="shared" si="545"/>
        <v>1.9434991245063864E-2</v>
      </c>
      <c r="Q296" s="447">
        <f t="shared" si="546"/>
        <v>1.9434991245063864E-2</v>
      </c>
      <c r="R296" s="447">
        <f t="shared" si="547"/>
        <v>5.6950750641982927E-2</v>
      </c>
      <c r="S296" s="447">
        <f t="shared" si="548"/>
        <v>0.11555335036347474</v>
      </c>
      <c r="T296" s="447">
        <f t="shared" si="549"/>
        <v>0.18619544564882359</v>
      </c>
      <c r="U296" s="447">
        <f t="shared" si="550"/>
        <v>0.18619544564882359</v>
      </c>
      <c r="V296" s="447">
        <f t="shared" si="551"/>
        <v>0.24081795555736243</v>
      </c>
      <c r="W296" s="447">
        <f t="shared" si="552"/>
        <v>7.0356683407649612E-2</v>
      </c>
      <c r="X296" s="448">
        <f t="shared" si="553"/>
        <v>7.0356683407649612E-2</v>
      </c>
      <c r="Y296" s="446">
        <f t="shared" si="565"/>
        <v>0.98476867091552389</v>
      </c>
      <c r="AA296" s="466">
        <f t="shared" si="554"/>
        <v>1.9867074394631423E-2</v>
      </c>
      <c r="AB296" s="447">
        <f t="shared" si="555"/>
        <v>1.9828146644416345E-2</v>
      </c>
      <c r="AC296" s="447">
        <f t="shared" si="556"/>
        <v>1.9828146644416345E-2</v>
      </c>
      <c r="AD296" s="447">
        <f t="shared" si="557"/>
        <v>6.0626298741018103E-2</v>
      </c>
      <c r="AE296" s="447">
        <f t="shared" si="558"/>
        <v>0.13333032626555374</v>
      </c>
      <c r="AF296" s="447">
        <f t="shared" si="559"/>
        <v>0.24740436593009685</v>
      </c>
      <c r="AG296" s="447">
        <f t="shared" si="560"/>
        <v>-0.75259563406990315</v>
      </c>
      <c r="AH296" s="447">
        <f t="shared" si="561"/>
        <v>0.40417701506090742</v>
      </c>
      <c r="AI296" s="447">
        <f t="shared" si="562"/>
        <v>-7.6156495163190702E-2</v>
      </c>
      <c r="AJ296" s="448">
        <f t="shared" si="563"/>
        <v>-7.6156495163190702E-2</v>
      </c>
      <c r="AK296" s="446">
        <f t="shared" si="566"/>
        <v>1.5274928475567107E-4</v>
      </c>
    </row>
    <row r="297" spans="1:37" x14ac:dyDescent="0.35">
      <c r="A297" t="s">
        <v>536</v>
      </c>
      <c r="B297" s="466">
        <f t="shared" ref="B297:K297" si="569">EXP($M279-B$286)/(1+EXP($M279-B$286))</f>
        <v>0.9528195965017705</v>
      </c>
      <c r="C297" s="447">
        <f t="shared" si="569"/>
        <v>0.95290947099486001</v>
      </c>
      <c r="D297" s="447">
        <f t="shared" si="569"/>
        <v>0.95290947099486001</v>
      </c>
      <c r="E297" s="447">
        <f t="shared" si="569"/>
        <v>0.86381062411184328</v>
      </c>
      <c r="F297" s="447">
        <f t="shared" si="569"/>
        <v>0.72684041685909428</v>
      </c>
      <c r="G297" s="447">
        <f t="shared" si="569"/>
        <v>0.55461288397732245</v>
      </c>
      <c r="H297" s="447">
        <f t="shared" si="569"/>
        <v>0.55461288397732245</v>
      </c>
      <c r="I297" s="447">
        <f t="shared" si="569"/>
        <v>0.37634600951319158</v>
      </c>
      <c r="J297" s="447">
        <f t="shared" si="569"/>
        <v>3.2643234271985136E-2</v>
      </c>
      <c r="K297" s="448">
        <f t="shared" si="569"/>
        <v>3.2643234271985136E-2</v>
      </c>
      <c r="M297" s="469">
        <f t="shared" si="543"/>
        <v>0.50008182550374425</v>
      </c>
      <c r="O297" s="466">
        <f t="shared" si="544"/>
        <v>4.4954413023973752E-2</v>
      </c>
      <c r="P297" s="447">
        <f t="shared" si="545"/>
        <v>4.4873011083156063E-2</v>
      </c>
      <c r="Q297" s="447">
        <f t="shared" si="546"/>
        <v>4.4873011083156063E-2</v>
      </c>
      <c r="R297" s="447">
        <f t="shared" si="547"/>
        <v>0.11764182978335107</v>
      </c>
      <c r="S297" s="447">
        <f t="shared" si="548"/>
        <v>0.19854342527919233</v>
      </c>
      <c r="T297" s="447">
        <f t="shared" si="549"/>
        <v>0.24701743290367953</v>
      </c>
      <c r="U297" s="447">
        <f t="shared" si="550"/>
        <v>0.24701743290367953</v>
      </c>
      <c r="V297" s="447">
        <f t="shared" si="551"/>
        <v>0.23470969063668828</v>
      </c>
      <c r="W297" s="447">
        <f t="shared" si="552"/>
        <v>3.1577653528249434E-2</v>
      </c>
      <c r="X297" s="448">
        <f t="shared" si="553"/>
        <v>3.1577653528249434E-2</v>
      </c>
      <c r="Y297" s="446">
        <f t="shared" si="565"/>
        <v>1.2427855537533756</v>
      </c>
      <c r="AA297" s="466">
        <f t="shared" si="554"/>
        <v>4.7180403498229495E-2</v>
      </c>
      <c r="AB297" s="447">
        <f t="shared" si="555"/>
        <v>4.7090529005139992E-2</v>
      </c>
      <c r="AC297" s="447">
        <f t="shared" si="556"/>
        <v>4.7090529005139992E-2</v>
      </c>
      <c r="AD297" s="447">
        <f t="shared" si="557"/>
        <v>0.13618937588815672</v>
      </c>
      <c r="AE297" s="447">
        <f t="shared" si="558"/>
        <v>-0.72684041685909428</v>
      </c>
      <c r="AF297" s="447">
        <f t="shared" si="559"/>
        <v>0.44538711602267755</v>
      </c>
      <c r="AG297" s="447">
        <f t="shared" si="560"/>
        <v>0.44538711602267755</v>
      </c>
      <c r="AH297" s="447">
        <f t="shared" si="561"/>
        <v>-0.37634600951319158</v>
      </c>
      <c r="AI297" s="447">
        <f t="shared" si="562"/>
        <v>-3.2643234271985136E-2</v>
      </c>
      <c r="AJ297" s="448">
        <f t="shared" si="563"/>
        <v>-3.2643234271985136E-2</v>
      </c>
      <c r="AK297" s="446">
        <f t="shared" si="566"/>
        <v>-1.4782547423483616E-4</v>
      </c>
    </row>
    <row r="298" spans="1:37" x14ac:dyDescent="0.35">
      <c r="A298" t="s">
        <v>101</v>
      </c>
      <c r="B298" s="466">
        <f t="shared" ref="B298:K298" si="570">EXP($M280-B$286)/(1+EXP($M280-B$286))</f>
        <v>0.9528195965017705</v>
      </c>
      <c r="C298" s="447">
        <f t="shared" si="570"/>
        <v>0.95290947099486001</v>
      </c>
      <c r="D298" s="447">
        <f t="shared" si="570"/>
        <v>0.95290947099486001</v>
      </c>
      <c r="E298" s="447">
        <f t="shared" si="570"/>
        <v>0.86381062411184328</v>
      </c>
      <c r="F298" s="447">
        <f t="shared" si="570"/>
        <v>0.72684041685909428</v>
      </c>
      <c r="G298" s="447">
        <f t="shared" si="570"/>
        <v>0.55461288397732245</v>
      </c>
      <c r="H298" s="447">
        <f t="shared" si="570"/>
        <v>0.55461288397732245</v>
      </c>
      <c r="I298" s="447">
        <f t="shared" si="570"/>
        <v>0.37634600951319158</v>
      </c>
      <c r="J298" s="447">
        <f t="shared" si="570"/>
        <v>3.2643234271985136E-2</v>
      </c>
      <c r="K298" s="448">
        <f t="shared" si="570"/>
        <v>3.2643234271985136E-2</v>
      </c>
      <c r="M298" s="469">
        <f t="shared" si="543"/>
        <v>0.50008182550374425</v>
      </c>
      <c r="O298" s="466">
        <f t="shared" si="544"/>
        <v>4.4954413023973752E-2</v>
      </c>
      <c r="P298" s="447">
        <f t="shared" si="545"/>
        <v>4.4873011083156063E-2</v>
      </c>
      <c r="Q298" s="447">
        <f t="shared" si="546"/>
        <v>4.4873011083156063E-2</v>
      </c>
      <c r="R298" s="447">
        <f t="shared" si="547"/>
        <v>0.11764182978335107</v>
      </c>
      <c r="S298" s="447">
        <f t="shared" si="548"/>
        <v>0.19854342527919233</v>
      </c>
      <c r="T298" s="447">
        <f t="shared" si="549"/>
        <v>0.24701743290367953</v>
      </c>
      <c r="U298" s="447">
        <f t="shared" si="550"/>
        <v>0.24701743290367953</v>
      </c>
      <c r="V298" s="447">
        <f t="shared" si="551"/>
        <v>0.23470969063668828</v>
      </c>
      <c r="W298" s="447">
        <f t="shared" si="552"/>
        <v>3.1577653528249434E-2</v>
      </c>
      <c r="X298" s="448">
        <f t="shared" si="553"/>
        <v>3.1577653528249434E-2</v>
      </c>
      <c r="Y298" s="446">
        <f t="shared" si="565"/>
        <v>1.2427855537533756</v>
      </c>
      <c r="AA298" s="466">
        <f t="shared" si="554"/>
        <v>4.7180403498229495E-2</v>
      </c>
      <c r="AB298" s="447">
        <f t="shared" si="555"/>
        <v>4.7090529005139992E-2</v>
      </c>
      <c r="AC298" s="447">
        <f t="shared" si="556"/>
        <v>4.7090529005139992E-2</v>
      </c>
      <c r="AD298" s="447">
        <f t="shared" si="557"/>
        <v>0.13618937588815672</v>
      </c>
      <c r="AE298" s="447">
        <f t="shared" si="558"/>
        <v>0.27315958314090572</v>
      </c>
      <c r="AF298" s="447">
        <f t="shared" si="559"/>
        <v>-0.55461288397732245</v>
      </c>
      <c r="AG298" s="447">
        <f t="shared" si="560"/>
        <v>0.44538711602267755</v>
      </c>
      <c r="AH298" s="447">
        <f t="shared" si="561"/>
        <v>-0.37634600951319158</v>
      </c>
      <c r="AI298" s="447">
        <f t="shared" si="562"/>
        <v>-3.2643234271985136E-2</v>
      </c>
      <c r="AJ298" s="448">
        <f t="shared" si="563"/>
        <v>-3.2643234271985136E-2</v>
      </c>
      <c r="AK298" s="446">
        <f t="shared" si="566"/>
        <v>-1.4782547423483616E-4</v>
      </c>
    </row>
    <row r="299" spans="1:37" x14ac:dyDescent="0.35">
      <c r="A299" t="s">
        <v>281</v>
      </c>
      <c r="B299" s="466">
        <f t="shared" ref="B299:K299" si="571">EXP($M281-B$286)/(1+EXP($M281-B$286))</f>
        <v>0.82030276513786371</v>
      </c>
      <c r="C299" s="447">
        <f t="shared" si="571"/>
        <v>0.82059754293311604</v>
      </c>
      <c r="D299" s="447">
        <f t="shared" si="571"/>
        <v>0.82059754293311604</v>
      </c>
      <c r="E299" s="447">
        <f t="shared" si="571"/>
        <v>0.58910344526772951</v>
      </c>
      <c r="F299" s="447">
        <f t="shared" si="571"/>
        <v>0.3755695921365706</v>
      </c>
      <c r="G299" s="447">
        <f t="shared" si="571"/>
        <v>0.21964774362009615</v>
      </c>
      <c r="H299" s="447">
        <f t="shared" si="571"/>
        <v>0.21964774362009618</v>
      </c>
      <c r="I299" s="447">
        <f t="shared" si="571"/>
        <v>0.1200313185467005</v>
      </c>
      <c r="J299" s="447">
        <f t="shared" si="571"/>
        <v>7.5699007787292643E-3</v>
      </c>
      <c r="K299" s="448">
        <f t="shared" si="571"/>
        <v>7.5699007787292643E-3</v>
      </c>
      <c r="M299" s="469">
        <f t="shared" si="543"/>
        <v>-0.98730742221218515</v>
      </c>
      <c r="O299" s="466">
        <f t="shared" si="544"/>
        <v>0.14740613864503851</v>
      </c>
      <c r="P299" s="447">
        <f t="shared" si="545"/>
        <v>0.14721721546524882</v>
      </c>
      <c r="Q299" s="447">
        <f t="shared" si="546"/>
        <v>0.14721721546524882</v>
      </c>
      <c r="R299" s="447">
        <f t="shared" si="547"/>
        <v>0.24206057604142073</v>
      </c>
      <c r="S299" s="447">
        <f t="shared" si="548"/>
        <v>0.23451707359894061</v>
      </c>
      <c r="T299" s="447">
        <f t="shared" si="549"/>
        <v>0.17140261234269666</v>
      </c>
      <c r="U299" s="447">
        <f t="shared" si="550"/>
        <v>0.17140261234269666</v>
      </c>
      <c r="V299" s="447">
        <f t="shared" si="551"/>
        <v>0.10562380111464102</v>
      </c>
      <c r="W299" s="447">
        <f t="shared" si="552"/>
        <v>7.5125973809294592E-3</v>
      </c>
      <c r="X299" s="448">
        <f t="shared" si="553"/>
        <v>7.5125973809294592E-3</v>
      </c>
      <c r="Y299" s="446">
        <f t="shared" si="565"/>
        <v>1.3818724397777906</v>
      </c>
      <c r="AA299" s="466">
        <f t="shared" si="554"/>
        <v>0.17969723486213629</v>
      </c>
      <c r="AB299" s="447">
        <f t="shared" si="555"/>
        <v>0.17940245706688396</v>
      </c>
      <c r="AC299" s="447">
        <f t="shared" si="556"/>
        <v>0.17940245706688396</v>
      </c>
      <c r="AD299" s="447">
        <f t="shared" si="557"/>
        <v>0.41089655473227049</v>
      </c>
      <c r="AE299" s="447">
        <f t="shared" si="558"/>
        <v>-0.3755695921365706</v>
      </c>
      <c r="AF299" s="447">
        <f t="shared" si="559"/>
        <v>-0.21964774362009615</v>
      </c>
      <c r="AG299" s="447">
        <f t="shared" si="560"/>
        <v>-0.21964774362009618</v>
      </c>
      <c r="AH299" s="447">
        <f t="shared" si="561"/>
        <v>-0.1200313185467005</v>
      </c>
      <c r="AI299" s="447">
        <f t="shared" si="562"/>
        <v>-7.5699007787292643E-3</v>
      </c>
      <c r="AJ299" s="448">
        <f t="shared" si="563"/>
        <v>-7.5699007787292643E-3</v>
      </c>
      <c r="AK299" s="446">
        <f t="shared" si="566"/>
        <v>-6.3749575274725176E-4</v>
      </c>
    </row>
    <row r="300" spans="1:37" x14ac:dyDescent="0.35">
      <c r="A300" t="s">
        <v>537</v>
      </c>
      <c r="B300" s="466">
        <f t="shared" ref="B300:K300" si="572">EXP($M282-B$286)/(1+EXP($M282-B$286))</f>
        <v>0.82030276513786371</v>
      </c>
      <c r="C300" s="447">
        <f t="shared" si="572"/>
        <v>0.82059754293311604</v>
      </c>
      <c r="D300" s="447">
        <f t="shared" si="572"/>
        <v>0.82059754293311604</v>
      </c>
      <c r="E300" s="447">
        <f t="shared" si="572"/>
        <v>0.58910344526772951</v>
      </c>
      <c r="F300" s="447">
        <f t="shared" si="572"/>
        <v>0.3755695921365706</v>
      </c>
      <c r="G300" s="447">
        <f t="shared" si="572"/>
        <v>0.21964774362009615</v>
      </c>
      <c r="H300" s="447">
        <f t="shared" si="572"/>
        <v>0.21964774362009618</v>
      </c>
      <c r="I300" s="447">
        <f t="shared" si="572"/>
        <v>0.1200313185467005</v>
      </c>
      <c r="J300" s="447">
        <f t="shared" si="572"/>
        <v>7.5699007787292643E-3</v>
      </c>
      <c r="K300" s="448">
        <f t="shared" si="572"/>
        <v>7.5699007787292643E-3</v>
      </c>
      <c r="M300" s="469">
        <f t="shared" si="543"/>
        <v>-0.98730742221218515</v>
      </c>
      <c r="O300" s="466">
        <f t="shared" si="544"/>
        <v>0.14740613864503851</v>
      </c>
      <c r="P300" s="447">
        <f t="shared" si="545"/>
        <v>0.14721721546524882</v>
      </c>
      <c r="Q300" s="447">
        <f t="shared" si="546"/>
        <v>0.14721721546524882</v>
      </c>
      <c r="R300" s="447">
        <f t="shared" si="547"/>
        <v>0.24206057604142073</v>
      </c>
      <c r="S300" s="447">
        <f t="shared" si="548"/>
        <v>0.23451707359894061</v>
      </c>
      <c r="T300" s="447">
        <f t="shared" si="549"/>
        <v>0.17140261234269666</v>
      </c>
      <c r="U300" s="447">
        <f t="shared" si="550"/>
        <v>0.17140261234269666</v>
      </c>
      <c r="V300" s="447">
        <f t="shared" si="551"/>
        <v>0.10562380111464102</v>
      </c>
      <c r="W300" s="447">
        <f t="shared" si="552"/>
        <v>7.5125973809294592E-3</v>
      </c>
      <c r="X300" s="448">
        <f t="shared" si="553"/>
        <v>7.5125973809294592E-3</v>
      </c>
      <c r="Y300" s="446">
        <f t="shared" si="565"/>
        <v>1.3818724397777906</v>
      </c>
      <c r="AA300" s="466">
        <f t="shared" si="554"/>
        <v>0.17969723486213629</v>
      </c>
      <c r="AB300" s="447">
        <f t="shared" si="555"/>
        <v>-0.82059754293311604</v>
      </c>
      <c r="AC300" s="447">
        <f t="shared" si="556"/>
        <v>0.17940245706688396</v>
      </c>
      <c r="AD300" s="447">
        <f t="shared" si="557"/>
        <v>-0.58910344526772951</v>
      </c>
      <c r="AE300" s="447">
        <f t="shared" si="558"/>
        <v>0.6244304078634294</v>
      </c>
      <c r="AF300" s="447">
        <f t="shared" si="559"/>
        <v>-0.21964774362009615</v>
      </c>
      <c r="AG300" s="447">
        <f t="shared" si="560"/>
        <v>0.7803522563799038</v>
      </c>
      <c r="AH300" s="447">
        <f t="shared" si="561"/>
        <v>-0.1200313185467005</v>
      </c>
      <c r="AI300" s="447">
        <f t="shared" si="562"/>
        <v>-7.5699007787292643E-3</v>
      </c>
      <c r="AJ300" s="448">
        <f t="shared" si="563"/>
        <v>-7.5699007787292643E-3</v>
      </c>
      <c r="AK300" s="446">
        <f t="shared" si="566"/>
        <v>-6.37495752747224E-4</v>
      </c>
    </row>
    <row r="301" spans="1:37" x14ac:dyDescent="0.35">
      <c r="A301" t="s">
        <v>905</v>
      </c>
      <c r="B301" s="449">
        <f t="shared" ref="B301:K301" si="573">EXP($M283-B$286)/(1+EXP($M283-B$286))</f>
        <v>0.49913373536305644</v>
      </c>
      <c r="C301" s="450">
        <f t="shared" si="573"/>
        <v>0.49963399668035641</v>
      </c>
      <c r="D301" s="450">
        <f t="shared" si="573"/>
        <v>0.49963399668035641</v>
      </c>
      <c r="E301" s="450">
        <f t="shared" si="573"/>
        <v>0.23837579821282887</v>
      </c>
      <c r="F301" s="450">
        <f t="shared" si="573"/>
        <v>0.11606211682742386</v>
      </c>
      <c r="G301" s="450">
        <f t="shared" si="573"/>
        <v>5.7889558129108065E-2</v>
      </c>
      <c r="H301" s="450">
        <f t="shared" si="573"/>
        <v>5.7889558129108065E-2</v>
      </c>
      <c r="I301" s="450">
        <f t="shared" si="573"/>
        <v>2.8916536988683329E-2</v>
      </c>
      <c r="J301" s="450">
        <f t="shared" si="573"/>
        <v>1.6623790549438991E-3</v>
      </c>
      <c r="K301" s="451">
        <f t="shared" si="573"/>
        <v>1.6623790549438991E-3</v>
      </c>
      <c r="M301" s="470">
        <f t="shared" si="543"/>
        <v>-2.5094434472117357</v>
      </c>
      <c r="O301" s="449">
        <f t="shared" si="544"/>
        <v>0.24999924958557876</v>
      </c>
      <c r="P301" s="450">
        <f t="shared" si="545"/>
        <v>0.24999986604156998</v>
      </c>
      <c r="Q301" s="450">
        <f t="shared" si="546"/>
        <v>0.24999986604156998</v>
      </c>
      <c r="R301" s="450">
        <f t="shared" si="547"/>
        <v>0.18155277703922557</v>
      </c>
      <c r="S301" s="450">
        <f t="shared" si="548"/>
        <v>0.10259170186496128</v>
      </c>
      <c r="T301" s="450">
        <f t="shared" si="549"/>
        <v>5.4538357188724677E-2</v>
      </c>
      <c r="U301" s="450">
        <f t="shared" si="550"/>
        <v>5.4538357188724677E-2</v>
      </c>
      <c r="V301" s="450">
        <f t="shared" si="551"/>
        <v>2.8080370877265438E-2</v>
      </c>
      <c r="W301" s="450">
        <f t="shared" si="552"/>
        <v>1.6596155508215829E-3</v>
      </c>
      <c r="X301" s="451">
        <f t="shared" si="553"/>
        <v>1.6596155508215829E-3</v>
      </c>
      <c r="Y301" s="446">
        <f t="shared" si="565"/>
        <v>1.1746197769292632</v>
      </c>
      <c r="AA301" s="449">
        <f t="shared" si="554"/>
        <v>-0.49913373536305644</v>
      </c>
      <c r="AB301" s="450">
        <f t="shared" si="555"/>
        <v>0.50036600331964354</v>
      </c>
      <c r="AC301" s="450">
        <f t="shared" si="556"/>
        <v>-0.49963399668035641</v>
      </c>
      <c r="AD301" s="450">
        <f t="shared" si="557"/>
        <v>0.76162420178717116</v>
      </c>
      <c r="AE301" s="450">
        <f t="shared" si="558"/>
        <v>-0.11606211682742386</v>
      </c>
      <c r="AF301" s="450">
        <f t="shared" si="559"/>
        <v>-5.7889558129108065E-2</v>
      </c>
      <c r="AG301" s="450">
        <f t="shared" si="560"/>
        <v>-5.7889558129108065E-2</v>
      </c>
      <c r="AH301" s="450">
        <f t="shared" si="561"/>
        <v>-2.8916536988683329E-2</v>
      </c>
      <c r="AI301" s="450">
        <f t="shared" si="562"/>
        <v>-1.6623790549438991E-3</v>
      </c>
      <c r="AJ301" s="451">
        <f t="shared" si="563"/>
        <v>-1.6623790549438991E-3</v>
      </c>
      <c r="AK301" s="446">
        <f t="shared" si="566"/>
        <v>-8.6005512080925082E-4</v>
      </c>
    </row>
    <row r="302" spans="1:37" x14ac:dyDescent="0.35">
      <c r="O302" s="446">
        <f>SUM(O293:O301)</f>
        <v>0.68104353563285414</v>
      </c>
      <c r="P302" s="446">
        <f t="shared" ref="P302:X302" si="574">SUM(P293:P301)</f>
        <v>0.68041413996924627</v>
      </c>
      <c r="Q302" s="446">
        <f t="shared" si="574"/>
        <v>0.68041413996924627</v>
      </c>
      <c r="R302" s="446">
        <f t="shared" si="574"/>
        <v>1.0378288845323398</v>
      </c>
      <c r="S302" s="446">
        <f t="shared" si="574"/>
        <v>1.2521948897680488</v>
      </c>
      <c r="T302" s="446">
        <f t="shared" si="574"/>
        <v>1.3667535210319177</v>
      </c>
      <c r="U302" s="446">
        <f t="shared" si="574"/>
        <v>1.3667535210319177</v>
      </c>
      <c r="V302" s="446">
        <f t="shared" si="574"/>
        <v>1.3727369821150288</v>
      </c>
      <c r="W302" s="446">
        <f t="shared" si="574"/>
        <v>0.63674502177249803</v>
      </c>
      <c r="X302" s="446">
        <f t="shared" si="574"/>
        <v>0.63674502177249803</v>
      </c>
      <c r="AA302" s="446">
        <f>SUM(AA293:AA301)</f>
        <v>4.1546231433137182E-4</v>
      </c>
      <c r="AB302" s="446">
        <f t="shared" ref="AB302:AJ302" si="575">SUM(AB293:AB301)</f>
        <v>4.1051686626669692E-4</v>
      </c>
      <c r="AC302" s="446">
        <f t="shared" si="575"/>
        <v>4.1051686626675243E-4</v>
      </c>
      <c r="AD302" s="446">
        <f t="shared" si="575"/>
        <v>3.9962967960793794E-4</v>
      </c>
      <c r="AE302" s="446">
        <f t="shared" si="575"/>
        <v>2.1418335398269706E-4</v>
      </c>
      <c r="AF302" s="446">
        <f t="shared" si="575"/>
        <v>-5.648328058821539E-5</v>
      </c>
      <c r="AG302" s="446">
        <f t="shared" si="575"/>
        <v>-5.6483280588437434E-5</v>
      </c>
      <c r="AH302" s="446">
        <f t="shared" si="575"/>
        <v>-3.5471648788245463E-4</v>
      </c>
      <c r="AI302" s="446">
        <f t="shared" si="575"/>
        <v>-9.769000506575855E-4</v>
      </c>
      <c r="AJ302" s="446">
        <f t="shared" si="575"/>
        <v>-9.7690005065761325E-4</v>
      </c>
      <c r="AK302" s="446">
        <f>SUMSQ(AK293:AK301)</f>
        <v>2.9038300499382496E-6</v>
      </c>
    </row>
    <row r="303" spans="1:37" x14ac:dyDescent="0.35">
      <c r="A303" t="s">
        <v>822</v>
      </c>
      <c r="B303" s="471">
        <f t="shared" ref="B303:K303" si="576">B286-AA302/O302</f>
        <v>-2.5058562242776201</v>
      </c>
      <c r="C303" s="472">
        <f t="shared" si="576"/>
        <v>-2.5078505687574375</v>
      </c>
      <c r="D303" s="472">
        <f t="shared" si="576"/>
        <v>-2.5078505687574375</v>
      </c>
      <c r="E303" s="472">
        <f t="shared" si="576"/>
        <v>-1.3474914635863875</v>
      </c>
      <c r="F303" s="472">
        <f t="shared" si="576"/>
        <v>-0.47862104022248092</v>
      </c>
      <c r="G303" s="472">
        <f t="shared" si="576"/>
        <v>0.28091556261507894</v>
      </c>
      <c r="H303" s="472">
        <f t="shared" si="576"/>
        <v>0.28091556261507905</v>
      </c>
      <c r="I303" s="472">
        <f t="shared" si="576"/>
        <v>1.0055459271573954</v>
      </c>
      <c r="J303" s="472">
        <f t="shared" si="576"/>
        <v>3.8906647353435799</v>
      </c>
      <c r="K303" s="473">
        <f t="shared" si="576"/>
        <v>3.8906647353435799</v>
      </c>
      <c r="L303" s="446">
        <f>AVERAGE(B303:K303)</f>
        <v>1.0366574733495781E-4</v>
      </c>
    </row>
    <row r="304" spans="1:37" x14ac:dyDescent="0.35">
      <c r="A304" t="s">
        <v>906</v>
      </c>
      <c r="B304" s="89">
        <f>B303-L303</f>
        <v>-2.5059598900249549</v>
      </c>
      <c r="C304" s="159">
        <f>C303-L303</f>
        <v>-2.5079542345047723</v>
      </c>
      <c r="D304" s="159">
        <f>D303-L303</f>
        <v>-2.5079542345047723</v>
      </c>
      <c r="E304" s="159">
        <f>E303-L303</f>
        <v>-1.3475951293337225</v>
      </c>
      <c r="F304" s="159">
        <f>F303-L303</f>
        <v>-0.47872470596981587</v>
      </c>
      <c r="G304" s="159">
        <f>G303-L303</f>
        <v>0.28081189686774399</v>
      </c>
      <c r="H304" s="159">
        <f>H303-L303</f>
        <v>0.2808118968677441</v>
      </c>
      <c r="I304" s="159">
        <f>I303-L303</f>
        <v>1.0054422614100604</v>
      </c>
      <c r="J304" s="159">
        <f>J303-L303</f>
        <v>3.8905610695962451</v>
      </c>
      <c r="K304" s="93">
        <f>K303-L303</f>
        <v>3.8905610695962451</v>
      </c>
      <c r="L304" s="446">
        <f>AVERAGE(B304:K304)</f>
        <v>0</v>
      </c>
    </row>
    <row r="305" spans="1:37" x14ac:dyDescent="0.35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46"/>
    </row>
    <row r="306" spans="1:37" x14ac:dyDescent="0.35">
      <c r="A306" t="s">
        <v>907</v>
      </c>
      <c r="B306" s="461">
        <f>B288+1</f>
        <v>17</v>
      </c>
    </row>
    <row r="307" spans="1:37" x14ac:dyDescent="0.35">
      <c r="B307" s="461"/>
    </row>
    <row r="308" spans="1:37" x14ac:dyDescent="0.35">
      <c r="B308" t="s">
        <v>860</v>
      </c>
      <c r="O308" t="s">
        <v>908</v>
      </c>
      <c r="AA308" t="s">
        <v>909</v>
      </c>
    </row>
    <row r="310" spans="1:37" x14ac:dyDescent="0.35">
      <c r="B310">
        <v>1</v>
      </c>
      <c r="C310">
        <v>2</v>
      </c>
      <c r="D310">
        <v>3</v>
      </c>
      <c r="E310">
        <v>4</v>
      </c>
      <c r="F310">
        <v>5</v>
      </c>
      <c r="G310">
        <v>6</v>
      </c>
      <c r="H310">
        <v>7</v>
      </c>
      <c r="I310">
        <v>8</v>
      </c>
      <c r="J310">
        <v>9</v>
      </c>
      <c r="K310">
        <v>10</v>
      </c>
      <c r="M310" t="s">
        <v>904</v>
      </c>
      <c r="O310">
        <v>1</v>
      </c>
      <c r="P310">
        <v>2</v>
      </c>
      <c r="Q310">
        <v>3</v>
      </c>
      <c r="R310">
        <v>4</v>
      </c>
      <c r="S310">
        <v>5</v>
      </c>
      <c r="T310">
        <v>6</v>
      </c>
      <c r="U310">
        <v>7</v>
      </c>
      <c r="V310">
        <v>8</v>
      </c>
      <c r="W310">
        <v>9</v>
      </c>
      <c r="X310">
        <v>10</v>
      </c>
      <c r="AA310">
        <v>1</v>
      </c>
      <c r="AB310">
        <v>2</v>
      </c>
      <c r="AC310">
        <v>3</v>
      </c>
      <c r="AD310">
        <v>4</v>
      </c>
      <c r="AE310">
        <v>5</v>
      </c>
      <c r="AF310">
        <v>6</v>
      </c>
      <c r="AG310">
        <v>7</v>
      </c>
      <c r="AH310">
        <v>8</v>
      </c>
      <c r="AI310">
        <v>9</v>
      </c>
      <c r="AJ310">
        <v>10</v>
      </c>
    </row>
    <row r="311" spans="1:37" x14ac:dyDescent="0.35">
      <c r="A311" t="s">
        <v>218</v>
      </c>
      <c r="B311" s="464">
        <f t="shared" ref="B311:K311" si="577">EXP($M293-B$304)/(1+EXP($M293-B$304))</f>
        <v>0.99864587323478371</v>
      </c>
      <c r="C311" s="467">
        <f t="shared" si="577"/>
        <v>0.99864856749281838</v>
      </c>
      <c r="D311" s="467">
        <f t="shared" si="577"/>
        <v>0.99864856749281838</v>
      </c>
      <c r="E311" s="467">
        <f t="shared" si="577"/>
        <v>0.99570020420738226</v>
      </c>
      <c r="F311" s="467">
        <f t="shared" si="577"/>
        <v>0.98980901251067854</v>
      </c>
      <c r="G311" s="467">
        <f t="shared" si="577"/>
        <v>0.97846850083826509</v>
      </c>
      <c r="H311" s="467">
        <f t="shared" si="577"/>
        <v>0.97846850083826509</v>
      </c>
      <c r="I311" s="467">
        <f t="shared" si="577"/>
        <v>0.95655494896789228</v>
      </c>
      <c r="J311" s="467">
        <f t="shared" si="577"/>
        <v>0.55149735953056644</v>
      </c>
      <c r="K311" s="465">
        <f t="shared" si="577"/>
        <v>0.55149735953056644</v>
      </c>
      <c r="M311" s="468">
        <f t="shared" ref="M311:M319" si="578">M293+AK311/Y311</f>
        <v>4.0984681487006585</v>
      </c>
      <c r="O311" s="464">
        <f t="shared" ref="O311:O319" si="579">B311*(1-B311)</f>
        <v>1.3522931059200152E-3</v>
      </c>
      <c r="P311" s="467">
        <f t="shared" ref="P311:P319" si="580">C311*(1-C311)</f>
        <v>1.3496061373601486E-3</v>
      </c>
      <c r="Q311" s="467">
        <f t="shared" ref="Q311:Q319" si="581">D311*(1-D311)</f>
        <v>1.3496061373601486E-3</v>
      </c>
      <c r="R311" s="467">
        <f t="shared" ref="R311:R319" si="582">E311*(1-E311)</f>
        <v>4.2813075487595307E-3</v>
      </c>
      <c r="S311" s="467">
        <f t="shared" ref="S311:S319" si="583">F311*(1-F311)</f>
        <v>1.008713126331395E-2</v>
      </c>
      <c r="T311" s="467">
        <f t="shared" ref="T311:T319" si="584">G311*(1-G311)</f>
        <v>2.106789370558312E-2</v>
      </c>
      <c r="U311" s="467">
        <f t="shared" ref="U311:U319" si="585">H311*(1-H311)</f>
        <v>2.106789370558312E-2</v>
      </c>
      <c r="V311" s="467">
        <f t="shared" ref="V311:V319" si="586">I311*(1-I311)</f>
        <v>4.1557578572925274E-2</v>
      </c>
      <c r="W311" s="467">
        <f t="shared" ref="W311:W319" si="587">J311*(1-J311)</f>
        <v>0.24734802196137959</v>
      </c>
      <c r="X311" s="465">
        <f t="shared" ref="X311:X319" si="588">K311*(1-K311)</f>
        <v>0.24734802196137959</v>
      </c>
      <c r="Y311" s="446">
        <f>SUM(O311:X311)</f>
        <v>0.59680935409956448</v>
      </c>
      <c r="AA311" s="464" t="str">
        <f t="shared" ref="AA311:AA319" si="589">IF(ISNUMBER(B5),B5-B311,"")</f>
        <v/>
      </c>
      <c r="AB311" s="467">
        <f t="shared" ref="AB311:AB319" si="590">IF(ISNUMBER(C5),C5-C311,"")</f>
        <v>1.3514325071816158E-3</v>
      </c>
      <c r="AC311" s="467">
        <f t="shared" ref="AC311:AC319" si="591">IF(ISNUMBER(D5),D5-D311,"")</f>
        <v>1.3514325071816158E-3</v>
      </c>
      <c r="AD311" s="467">
        <f t="shared" ref="AD311:AD319" si="592">IF(ISNUMBER(E5),E5-E311,"")</f>
        <v>4.2997957926177444E-3</v>
      </c>
      <c r="AE311" s="467">
        <f t="shared" ref="AE311:AE319" si="593">IF(ISNUMBER(F5),F5-F311,"")</f>
        <v>1.0190987489321457E-2</v>
      </c>
      <c r="AF311" s="467">
        <f t="shared" ref="AF311:AF319" si="594">IF(ISNUMBER(G5),G5-G311,"")</f>
        <v>2.1531499161734913E-2</v>
      </c>
      <c r="AG311" s="467">
        <f t="shared" ref="AG311:AG319" si="595">IF(ISNUMBER(H5),H5-H311,"")</f>
        <v>2.1531499161734913E-2</v>
      </c>
      <c r="AH311" s="467">
        <f t="shared" ref="AH311:AH319" si="596">IF(ISNUMBER(I5),I5-I311,"")</f>
        <v>4.3445051032107718E-2</v>
      </c>
      <c r="AI311" s="467">
        <f t="shared" ref="AI311:AI319" si="597">IF(ISNUMBER(J5),J5-J311,"")</f>
        <v>-0.55149735953056644</v>
      </c>
      <c r="AJ311" s="465">
        <f t="shared" ref="AJ311:AJ319" si="598">IF(ISNUMBER(K5),K5-K311,"")</f>
        <v>0.44850264046943356</v>
      </c>
      <c r="AK311" s="446">
        <f>SUM(AA311:AJ311)</f>
        <v>7.0697859074708713E-4</v>
      </c>
    </row>
    <row r="312" spans="1:37" x14ac:dyDescent="0.35">
      <c r="A312" t="s">
        <v>98</v>
      </c>
      <c r="B312" s="466">
        <f t="shared" ref="B312:K312" si="599">EXP($M294-B$304)/(1+EXP($M294-B$304))</f>
        <v>0.99394964301556543</v>
      </c>
      <c r="C312" s="447">
        <f t="shared" si="599"/>
        <v>0.99396162469781424</v>
      </c>
      <c r="D312" s="447">
        <f t="shared" si="599"/>
        <v>0.99396162469781424</v>
      </c>
      <c r="E312" s="447">
        <f t="shared" si="599"/>
        <v>0.98098267713934828</v>
      </c>
      <c r="F312" s="447">
        <f t="shared" si="599"/>
        <v>0.95582154854549284</v>
      </c>
      <c r="G312" s="447">
        <f t="shared" si="599"/>
        <v>0.91009516766591836</v>
      </c>
      <c r="H312" s="447">
        <f t="shared" si="599"/>
        <v>0.91009516766591836</v>
      </c>
      <c r="I312" s="447">
        <f t="shared" si="599"/>
        <v>0.83063961395694363</v>
      </c>
      <c r="J312" s="447">
        <f t="shared" si="599"/>
        <v>0.21501586501560185</v>
      </c>
      <c r="K312" s="448">
        <f t="shared" si="599"/>
        <v>0.21501586501560185</v>
      </c>
      <c r="M312" s="469">
        <f t="shared" si="578"/>
        <v>2.5962492360204248</v>
      </c>
      <c r="O312" s="466">
        <f t="shared" si="579"/>
        <v>6.0137501647954724E-3</v>
      </c>
      <c r="P312" s="447">
        <f t="shared" si="580"/>
        <v>6.0019133258957143E-3</v>
      </c>
      <c r="Q312" s="447">
        <f t="shared" si="581"/>
        <v>6.0019133258957143E-3</v>
      </c>
      <c r="R312" s="447">
        <f t="shared" si="582"/>
        <v>1.8655664291865454E-2</v>
      </c>
      <c r="S312" s="447">
        <f t="shared" si="583"/>
        <v>4.2226715881588918E-2</v>
      </c>
      <c r="T312" s="447">
        <f t="shared" si="584"/>
        <v>8.1821953457062307E-2</v>
      </c>
      <c r="U312" s="447">
        <f t="shared" si="585"/>
        <v>8.1821953457062307E-2</v>
      </c>
      <c r="V312" s="447">
        <f t="shared" si="586"/>
        <v>0.14067744568240328</v>
      </c>
      <c r="W312" s="447">
        <f t="shared" si="587"/>
        <v>0.16878404280719433</v>
      </c>
      <c r="X312" s="448">
        <f t="shared" si="588"/>
        <v>0.16878404280719433</v>
      </c>
      <c r="Y312" s="446">
        <f t="shared" ref="Y312:Y319" si="600">SUM(O312:X312)</f>
        <v>0.72078939520095786</v>
      </c>
      <c r="AA312" s="466">
        <f t="shared" si="589"/>
        <v>6.0503569844345684E-3</v>
      </c>
      <c r="AB312" s="447">
        <f t="shared" si="590"/>
        <v>6.0383753021857611E-3</v>
      </c>
      <c r="AC312" s="447">
        <f t="shared" si="591"/>
        <v>6.0383753021857611E-3</v>
      </c>
      <c r="AD312" s="447">
        <f t="shared" si="592"/>
        <v>-0.98098267713934828</v>
      </c>
      <c r="AE312" s="447">
        <f t="shared" si="593"/>
        <v>4.4178451454507162E-2</v>
      </c>
      <c r="AF312" s="447">
        <f t="shared" si="594"/>
        <v>8.9904832334081641E-2</v>
      </c>
      <c r="AG312" s="447">
        <f t="shared" si="595"/>
        <v>8.9904832334081641E-2</v>
      </c>
      <c r="AH312" s="447">
        <f t="shared" si="596"/>
        <v>0.16936038604305637</v>
      </c>
      <c r="AI312" s="447">
        <f t="shared" si="597"/>
        <v>0.78498413498439812</v>
      </c>
      <c r="AJ312" s="448">
        <f t="shared" si="598"/>
        <v>-0.21501586501560185</v>
      </c>
      <c r="AK312" s="446">
        <f t="shared" ref="AK312:AK319" si="601">SUM(AA312:AJ312)</f>
        <v>4.6120258398088532E-4</v>
      </c>
    </row>
    <row r="313" spans="1:37" x14ac:dyDescent="0.35">
      <c r="A313" t="s">
        <v>99</v>
      </c>
      <c r="B313" s="466">
        <f t="shared" ref="B313:K313" si="602">EXP($M295-B$304)/(1+EXP($M295-B$304))</f>
        <v>0.98014983644842923</v>
      </c>
      <c r="C313" s="447">
        <f t="shared" si="602"/>
        <v>0.98018860154928877</v>
      </c>
      <c r="D313" s="447">
        <f t="shared" si="602"/>
        <v>0.98018860154928877</v>
      </c>
      <c r="E313" s="447">
        <f t="shared" si="602"/>
        <v>0.93941035810261897</v>
      </c>
      <c r="F313" s="447">
        <f t="shared" si="602"/>
        <v>0.86671933350260377</v>
      </c>
      <c r="G313" s="447">
        <f t="shared" si="602"/>
        <v>0.75263612022963144</v>
      </c>
      <c r="H313" s="447">
        <f t="shared" si="602"/>
        <v>0.75263612022963144</v>
      </c>
      <c r="I313" s="447">
        <f t="shared" si="602"/>
        <v>0.59582307565034986</v>
      </c>
      <c r="J313" s="447">
        <f t="shared" si="602"/>
        <v>7.606680852276676E-2</v>
      </c>
      <c r="K313" s="448">
        <f t="shared" si="602"/>
        <v>7.606680852276676E-2</v>
      </c>
      <c r="M313" s="469">
        <f t="shared" si="578"/>
        <v>1.393649458491939</v>
      </c>
      <c r="O313" s="466">
        <f t="shared" si="579"/>
        <v>1.9456134558546657E-2</v>
      </c>
      <c r="P313" s="447">
        <f t="shared" si="580"/>
        <v>1.9418906942138384E-2</v>
      </c>
      <c r="Q313" s="447">
        <f t="shared" si="581"/>
        <v>1.9418906942138384E-2</v>
      </c>
      <c r="R313" s="447">
        <f t="shared" si="582"/>
        <v>5.6918537192128159E-2</v>
      </c>
      <c r="S313" s="447">
        <f t="shared" si="583"/>
        <v>0.11551693043540608</v>
      </c>
      <c r="T313" s="447">
        <f t="shared" si="584"/>
        <v>0.18617499075531921</v>
      </c>
      <c r="U313" s="447">
        <f t="shared" si="585"/>
        <v>0.18617499075531921</v>
      </c>
      <c r="V313" s="447">
        <f t="shared" si="586"/>
        <v>0.24081793817290734</v>
      </c>
      <c r="W313" s="447">
        <f t="shared" si="587"/>
        <v>7.0280649163927497E-2</v>
      </c>
      <c r="X313" s="448">
        <f t="shared" si="588"/>
        <v>7.0280649163927497E-2</v>
      </c>
      <c r="Y313" s="446">
        <f t="shared" si="600"/>
        <v>0.98445863408175838</v>
      </c>
      <c r="AA313" s="466">
        <f t="shared" si="589"/>
        <v>1.9850163551570765E-2</v>
      </c>
      <c r="AB313" s="447">
        <f t="shared" si="590"/>
        <v>1.9811398450711226E-2</v>
      </c>
      <c r="AC313" s="447">
        <f t="shared" si="591"/>
        <v>1.9811398450711226E-2</v>
      </c>
      <c r="AD313" s="447">
        <f t="shared" si="592"/>
        <v>6.058964189738103E-2</v>
      </c>
      <c r="AE313" s="447">
        <f t="shared" si="593"/>
        <v>0.13328066649739623</v>
      </c>
      <c r="AF313" s="447">
        <f t="shared" si="594"/>
        <v>0.24736387977036856</v>
      </c>
      <c r="AG313" s="447">
        <f t="shared" si="595"/>
        <v>-0.75263612022963144</v>
      </c>
      <c r="AH313" s="447">
        <f t="shared" si="596"/>
        <v>0.40417692434965014</v>
      </c>
      <c r="AI313" s="447">
        <f t="shared" si="597"/>
        <v>-7.606680852276676E-2</v>
      </c>
      <c r="AJ313" s="448">
        <f t="shared" si="598"/>
        <v>-7.606680852276676E-2</v>
      </c>
      <c r="AK313" s="446">
        <f t="shared" si="601"/>
        <v>1.1433569262420118E-4</v>
      </c>
    </row>
    <row r="314" spans="1:37" x14ac:dyDescent="0.35">
      <c r="A314" t="s">
        <v>100</v>
      </c>
      <c r="B314" s="466">
        <f t="shared" ref="B314:K314" si="603">EXP($M296-B$304)/(1+EXP($M296-B$304))</f>
        <v>0.98014983644842923</v>
      </c>
      <c r="C314" s="447">
        <f t="shared" si="603"/>
        <v>0.98018860154928877</v>
      </c>
      <c r="D314" s="447">
        <f t="shared" si="603"/>
        <v>0.98018860154928877</v>
      </c>
      <c r="E314" s="447">
        <f t="shared" si="603"/>
        <v>0.93941035810261897</v>
      </c>
      <c r="F314" s="447">
        <f t="shared" si="603"/>
        <v>0.86671933350260377</v>
      </c>
      <c r="G314" s="447">
        <f t="shared" si="603"/>
        <v>0.75263612022963144</v>
      </c>
      <c r="H314" s="447">
        <f t="shared" si="603"/>
        <v>0.75263612022963144</v>
      </c>
      <c r="I314" s="447">
        <f t="shared" si="603"/>
        <v>0.59582307565034986</v>
      </c>
      <c r="J314" s="447">
        <f t="shared" si="603"/>
        <v>7.606680852276676E-2</v>
      </c>
      <c r="K314" s="448">
        <f t="shared" si="603"/>
        <v>7.606680852276676E-2</v>
      </c>
      <c r="M314" s="469">
        <f t="shared" si="578"/>
        <v>1.393649458491939</v>
      </c>
      <c r="O314" s="466">
        <f t="shared" si="579"/>
        <v>1.9456134558546657E-2</v>
      </c>
      <c r="P314" s="447">
        <f t="shared" si="580"/>
        <v>1.9418906942138384E-2</v>
      </c>
      <c r="Q314" s="447">
        <f t="shared" si="581"/>
        <v>1.9418906942138384E-2</v>
      </c>
      <c r="R314" s="447">
        <f t="shared" si="582"/>
        <v>5.6918537192128159E-2</v>
      </c>
      <c r="S314" s="447">
        <f t="shared" si="583"/>
        <v>0.11551693043540608</v>
      </c>
      <c r="T314" s="447">
        <f t="shared" si="584"/>
        <v>0.18617499075531921</v>
      </c>
      <c r="U314" s="447">
        <f t="shared" si="585"/>
        <v>0.18617499075531921</v>
      </c>
      <c r="V314" s="447">
        <f t="shared" si="586"/>
        <v>0.24081793817290734</v>
      </c>
      <c r="W314" s="447">
        <f t="shared" si="587"/>
        <v>7.0280649163927497E-2</v>
      </c>
      <c r="X314" s="448">
        <f t="shared" si="588"/>
        <v>7.0280649163927497E-2</v>
      </c>
      <c r="Y314" s="446">
        <f t="shared" si="600"/>
        <v>0.98445863408175838</v>
      </c>
      <c r="AA314" s="466">
        <f t="shared" si="589"/>
        <v>1.9850163551570765E-2</v>
      </c>
      <c r="AB314" s="447">
        <f t="shared" si="590"/>
        <v>1.9811398450711226E-2</v>
      </c>
      <c r="AC314" s="447">
        <f t="shared" si="591"/>
        <v>1.9811398450711226E-2</v>
      </c>
      <c r="AD314" s="447">
        <f t="shared" si="592"/>
        <v>6.058964189738103E-2</v>
      </c>
      <c r="AE314" s="447">
        <f t="shared" si="593"/>
        <v>0.13328066649739623</v>
      </c>
      <c r="AF314" s="447">
        <f t="shared" si="594"/>
        <v>0.24736387977036856</v>
      </c>
      <c r="AG314" s="447">
        <f t="shared" si="595"/>
        <v>-0.75263612022963144</v>
      </c>
      <c r="AH314" s="447">
        <f t="shared" si="596"/>
        <v>0.40417692434965014</v>
      </c>
      <c r="AI314" s="447">
        <f t="shared" si="597"/>
        <v>-7.606680852276676E-2</v>
      </c>
      <c r="AJ314" s="448">
        <f t="shared" si="598"/>
        <v>-7.606680852276676E-2</v>
      </c>
      <c r="AK314" s="446">
        <f t="shared" si="601"/>
        <v>1.1433569262420118E-4</v>
      </c>
    </row>
    <row r="315" spans="1:37" x14ac:dyDescent="0.35">
      <c r="A315" t="s">
        <v>536</v>
      </c>
      <c r="B315" s="466">
        <f t="shared" ref="B315:K315" si="604">EXP($M297-B$304)/(1+EXP($M297-B$304))</f>
        <v>0.9528463262396375</v>
      </c>
      <c r="C315" s="447">
        <f t="shared" si="604"/>
        <v>0.9529358516626707</v>
      </c>
      <c r="D315" s="447">
        <f t="shared" si="604"/>
        <v>0.9529358516626707</v>
      </c>
      <c r="E315" s="447">
        <f t="shared" si="604"/>
        <v>0.86385412009427553</v>
      </c>
      <c r="F315" s="447">
        <f t="shared" si="604"/>
        <v>0.7268713419226972</v>
      </c>
      <c r="G315" s="447">
        <f t="shared" si="604"/>
        <v>0.55459890083446484</v>
      </c>
      <c r="H315" s="447">
        <f t="shared" si="604"/>
        <v>0.55459890083446484</v>
      </c>
      <c r="I315" s="447">
        <f t="shared" si="604"/>
        <v>0.37628177585747485</v>
      </c>
      <c r="J315" s="447">
        <f t="shared" si="604"/>
        <v>3.2594340420827463E-2</v>
      </c>
      <c r="K315" s="448">
        <f t="shared" si="604"/>
        <v>3.2594340420827463E-2</v>
      </c>
      <c r="M315" s="469">
        <f t="shared" si="578"/>
        <v>0.49999189051159809</v>
      </c>
      <c r="O315" s="466">
        <f t="shared" si="579"/>
        <v>4.4930204811263801E-2</v>
      </c>
      <c r="P315" s="447">
        <f t="shared" si="580"/>
        <v>4.4849114278611164E-2</v>
      </c>
      <c r="Q315" s="447">
        <f t="shared" si="581"/>
        <v>4.4849114278611164E-2</v>
      </c>
      <c r="R315" s="447">
        <f t="shared" si="582"/>
        <v>0.11761017929042052</v>
      </c>
      <c r="S315" s="447">
        <f t="shared" si="583"/>
        <v>0.1985293942141946</v>
      </c>
      <c r="T315" s="447">
        <f t="shared" si="584"/>
        <v>0.24701896002766827</v>
      </c>
      <c r="U315" s="447">
        <f t="shared" si="585"/>
        <v>0.24701896002766827</v>
      </c>
      <c r="V315" s="447">
        <f t="shared" si="586"/>
        <v>0.23469380101501994</v>
      </c>
      <c r="W315" s="447">
        <f t="shared" si="587"/>
        <v>3.1531949393358676E-2</v>
      </c>
      <c r="X315" s="448">
        <f t="shared" si="588"/>
        <v>3.1531949393358676E-2</v>
      </c>
      <c r="Y315" s="446">
        <f t="shared" si="600"/>
        <v>1.2425636267301747</v>
      </c>
      <c r="AA315" s="466">
        <f t="shared" si="589"/>
        <v>4.7153673760362502E-2</v>
      </c>
      <c r="AB315" s="447">
        <f t="shared" si="590"/>
        <v>4.7064148337329303E-2</v>
      </c>
      <c r="AC315" s="447">
        <f t="shared" si="591"/>
        <v>4.7064148337329303E-2</v>
      </c>
      <c r="AD315" s="447">
        <f t="shared" si="592"/>
        <v>0.13614587990572447</v>
      </c>
      <c r="AE315" s="447">
        <f t="shared" si="593"/>
        <v>-0.7268713419226972</v>
      </c>
      <c r="AF315" s="447">
        <f t="shared" si="594"/>
        <v>0.44540109916553516</v>
      </c>
      <c r="AG315" s="447">
        <f t="shared" si="595"/>
        <v>0.44540109916553516</v>
      </c>
      <c r="AH315" s="447">
        <f t="shared" si="596"/>
        <v>-0.37628177585747485</v>
      </c>
      <c r="AI315" s="447">
        <f t="shared" si="597"/>
        <v>-3.2594340420827463E-2</v>
      </c>
      <c r="AJ315" s="448">
        <f t="shared" si="598"/>
        <v>-3.2594340420827463E-2</v>
      </c>
      <c r="AK315" s="446">
        <f t="shared" si="601"/>
        <v>-1.1174995001107801E-4</v>
      </c>
    </row>
    <row r="316" spans="1:37" x14ac:dyDescent="0.35">
      <c r="A316" t="s">
        <v>101</v>
      </c>
      <c r="B316" s="466">
        <f t="shared" ref="B316:K316" si="605">EXP($M298-B$304)/(1+EXP($M298-B$304))</f>
        <v>0.9528463262396375</v>
      </c>
      <c r="C316" s="447">
        <f t="shared" si="605"/>
        <v>0.9529358516626707</v>
      </c>
      <c r="D316" s="447">
        <f t="shared" si="605"/>
        <v>0.9529358516626707</v>
      </c>
      <c r="E316" s="447">
        <f t="shared" si="605"/>
        <v>0.86385412009427553</v>
      </c>
      <c r="F316" s="447">
        <f t="shared" si="605"/>
        <v>0.7268713419226972</v>
      </c>
      <c r="G316" s="447">
        <f t="shared" si="605"/>
        <v>0.55459890083446484</v>
      </c>
      <c r="H316" s="447">
        <f t="shared" si="605"/>
        <v>0.55459890083446484</v>
      </c>
      <c r="I316" s="447">
        <f t="shared" si="605"/>
        <v>0.37628177585747485</v>
      </c>
      <c r="J316" s="447">
        <f t="shared" si="605"/>
        <v>3.2594340420827463E-2</v>
      </c>
      <c r="K316" s="448">
        <f t="shared" si="605"/>
        <v>3.2594340420827463E-2</v>
      </c>
      <c r="M316" s="469">
        <f t="shared" si="578"/>
        <v>0.49999189051159809</v>
      </c>
      <c r="O316" s="466">
        <f t="shared" si="579"/>
        <v>4.4930204811263801E-2</v>
      </c>
      <c r="P316" s="447">
        <f t="shared" si="580"/>
        <v>4.4849114278611164E-2</v>
      </c>
      <c r="Q316" s="447">
        <f t="shared" si="581"/>
        <v>4.4849114278611164E-2</v>
      </c>
      <c r="R316" s="447">
        <f t="shared" si="582"/>
        <v>0.11761017929042052</v>
      </c>
      <c r="S316" s="447">
        <f t="shared" si="583"/>
        <v>0.1985293942141946</v>
      </c>
      <c r="T316" s="447">
        <f t="shared" si="584"/>
        <v>0.24701896002766827</v>
      </c>
      <c r="U316" s="447">
        <f t="shared" si="585"/>
        <v>0.24701896002766827</v>
      </c>
      <c r="V316" s="447">
        <f t="shared" si="586"/>
        <v>0.23469380101501994</v>
      </c>
      <c r="W316" s="447">
        <f t="shared" si="587"/>
        <v>3.1531949393358676E-2</v>
      </c>
      <c r="X316" s="448">
        <f t="shared" si="588"/>
        <v>3.1531949393358676E-2</v>
      </c>
      <c r="Y316" s="446">
        <f t="shared" si="600"/>
        <v>1.2425636267301747</v>
      </c>
      <c r="AA316" s="466">
        <f t="shared" si="589"/>
        <v>4.7153673760362502E-2</v>
      </c>
      <c r="AB316" s="447">
        <f t="shared" si="590"/>
        <v>4.7064148337329303E-2</v>
      </c>
      <c r="AC316" s="447">
        <f t="shared" si="591"/>
        <v>4.7064148337329303E-2</v>
      </c>
      <c r="AD316" s="447">
        <f t="shared" si="592"/>
        <v>0.13614587990572447</v>
      </c>
      <c r="AE316" s="447">
        <f t="shared" si="593"/>
        <v>0.2731286580773028</v>
      </c>
      <c r="AF316" s="447">
        <f t="shared" si="594"/>
        <v>-0.55459890083446484</v>
      </c>
      <c r="AG316" s="447">
        <f t="shared" si="595"/>
        <v>0.44540109916553516</v>
      </c>
      <c r="AH316" s="447">
        <f t="shared" si="596"/>
        <v>-0.37628177585747485</v>
      </c>
      <c r="AI316" s="447">
        <f t="shared" si="597"/>
        <v>-3.2594340420827463E-2</v>
      </c>
      <c r="AJ316" s="448">
        <f t="shared" si="598"/>
        <v>-3.2594340420827463E-2</v>
      </c>
      <c r="AK316" s="446">
        <f t="shared" si="601"/>
        <v>-1.1174995001107801E-4</v>
      </c>
    </row>
    <row r="317" spans="1:37" x14ac:dyDescent="0.35">
      <c r="A317" t="s">
        <v>281</v>
      </c>
      <c r="B317" s="466">
        <f t="shared" ref="B317:K317" si="606">EXP($M299-B$304)/(1+EXP($M299-B$304))</f>
        <v>0.82033996391288089</v>
      </c>
      <c r="C317" s="447">
        <f t="shared" si="606"/>
        <v>0.82063370724366091</v>
      </c>
      <c r="D317" s="447">
        <f t="shared" si="606"/>
        <v>0.82063370724366091</v>
      </c>
      <c r="E317" s="447">
        <f t="shared" si="606"/>
        <v>0.58911007805517546</v>
      </c>
      <c r="F317" s="447">
        <f t="shared" si="606"/>
        <v>0.3755258286535415</v>
      </c>
      <c r="G317" s="447">
        <f t="shared" si="606"/>
        <v>0.21957936362394206</v>
      </c>
      <c r="H317" s="447">
        <f t="shared" si="606"/>
        <v>0.21957936362394206</v>
      </c>
      <c r="I317" s="447">
        <f t="shared" si="606"/>
        <v>0.11996626289732799</v>
      </c>
      <c r="J317" s="447">
        <f t="shared" si="606"/>
        <v>7.5557011470407101E-3</v>
      </c>
      <c r="K317" s="448">
        <f t="shared" si="606"/>
        <v>7.5557011470407101E-3</v>
      </c>
      <c r="M317" s="469">
        <f t="shared" si="578"/>
        <v>-0.98765460304024821</v>
      </c>
      <c r="O317" s="466">
        <f t="shared" si="579"/>
        <v>0.14738230752029416</v>
      </c>
      <c r="P317" s="447">
        <f t="shared" si="580"/>
        <v>0.14719402577918633</v>
      </c>
      <c r="Q317" s="447">
        <f t="shared" si="581"/>
        <v>0.14719402577918633</v>
      </c>
      <c r="R317" s="447">
        <f t="shared" si="582"/>
        <v>0.24205939398900053</v>
      </c>
      <c r="S317" s="447">
        <f t="shared" si="583"/>
        <v>0.2345061806676125</v>
      </c>
      <c r="T317" s="447">
        <f t="shared" si="584"/>
        <v>0.17136426669444671</v>
      </c>
      <c r="U317" s="447">
        <f t="shared" si="585"/>
        <v>0.17136426669444671</v>
      </c>
      <c r="V317" s="447">
        <f t="shared" si="586"/>
        <v>0.10557435866377718</v>
      </c>
      <c r="W317" s="447">
        <f t="shared" si="587"/>
        <v>7.4986125272173175E-3</v>
      </c>
      <c r="X317" s="448">
        <f t="shared" si="588"/>
        <v>7.4986125272173175E-3</v>
      </c>
      <c r="Y317" s="446">
        <f t="shared" si="600"/>
        <v>1.3816360508423853</v>
      </c>
      <c r="AA317" s="466">
        <f t="shared" si="589"/>
        <v>0.17966003608711911</v>
      </c>
      <c r="AB317" s="447">
        <f t="shared" si="590"/>
        <v>0.17936629275633909</v>
      </c>
      <c r="AC317" s="447">
        <f t="shared" si="591"/>
        <v>0.17936629275633909</v>
      </c>
      <c r="AD317" s="447">
        <f t="shared" si="592"/>
        <v>0.41088992194482454</v>
      </c>
      <c r="AE317" s="447">
        <f t="shared" si="593"/>
        <v>-0.3755258286535415</v>
      </c>
      <c r="AF317" s="447">
        <f t="shared" si="594"/>
        <v>-0.21957936362394206</v>
      </c>
      <c r="AG317" s="447">
        <f t="shared" si="595"/>
        <v>-0.21957936362394206</v>
      </c>
      <c r="AH317" s="447">
        <f t="shared" si="596"/>
        <v>-0.11996626289732799</v>
      </c>
      <c r="AI317" s="447">
        <f t="shared" si="597"/>
        <v>-7.5557011470407101E-3</v>
      </c>
      <c r="AJ317" s="448">
        <f t="shared" si="598"/>
        <v>-7.5557011470407101E-3</v>
      </c>
      <c r="AK317" s="446">
        <f t="shared" si="601"/>
        <v>-4.7967754821324864E-4</v>
      </c>
    </row>
    <row r="318" spans="1:37" x14ac:dyDescent="0.35">
      <c r="A318" t="s">
        <v>537</v>
      </c>
      <c r="B318" s="466">
        <f t="shared" ref="B318:K318" si="607">EXP($M300-B$304)/(1+EXP($M300-B$304))</f>
        <v>0.82033996391288089</v>
      </c>
      <c r="C318" s="447">
        <f t="shared" si="607"/>
        <v>0.82063370724366091</v>
      </c>
      <c r="D318" s="447">
        <f t="shared" si="607"/>
        <v>0.82063370724366091</v>
      </c>
      <c r="E318" s="447">
        <f t="shared" si="607"/>
        <v>0.58911007805517546</v>
      </c>
      <c r="F318" s="447">
        <f t="shared" si="607"/>
        <v>0.3755258286535415</v>
      </c>
      <c r="G318" s="447">
        <f t="shared" si="607"/>
        <v>0.21957936362394206</v>
      </c>
      <c r="H318" s="447">
        <f t="shared" si="607"/>
        <v>0.21957936362394206</v>
      </c>
      <c r="I318" s="447">
        <f t="shared" si="607"/>
        <v>0.11996626289732799</v>
      </c>
      <c r="J318" s="447">
        <f t="shared" si="607"/>
        <v>7.5557011470407101E-3</v>
      </c>
      <c r="K318" s="448">
        <f t="shared" si="607"/>
        <v>7.5557011470407101E-3</v>
      </c>
      <c r="M318" s="469">
        <f t="shared" si="578"/>
        <v>-0.98765460304024799</v>
      </c>
      <c r="O318" s="466">
        <f t="shared" si="579"/>
        <v>0.14738230752029416</v>
      </c>
      <c r="P318" s="447">
        <f t="shared" si="580"/>
        <v>0.14719402577918633</v>
      </c>
      <c r="Q318" s="447">
        <f t="shared" si="581"/>
        <v>0.14719402577918633</v>
      </c>
      <c r="R318" s="447">
        <f t="shared" si="582"/>
        <v>0.24205939398900053</v>
      </c>
      <c r="S318" s="447">
        <f t="shared" si="583"/>
        <v>0.2345061806676125</v>
      </c>
      <c r="T318" s="447">
        <f t="shared" si="584"/>
        <v>0.17136426669444671</v>
      </c>
      <c r="U318" s="447">
        <f t="shared" si="585"/>
        <v>0.17136426669444671</v>
      </c>
      <c r="V318" s="447">
        <f t="shared" si="586"/>
        <v>0.10557435866377718</v>
      </c>
      <c r="W318" s="447">
        <f t="shared" si="587"/>
        <v>7.4986125272173175E-3</v>
      </c>
      <c r="X318" s="448">
        <f t="shared" si="588"/>
        <v>7.4986125272173175E-3</v>
      </c>
      <c r="Y318" s="446">
        <f t="shared" si="600"/>
        <v>1.3816360508423853</v>
      </c>
      <c r="AA318" s="466">
        <f t="shared" si="589"/>
        <v>0.17966003608711911</v>
      </c>
      <c r="AB318" s="447">
        <f t="shared" si="590"/>
        <v>-0.82063370724366091</v>
      </c>
      <c r="AC318" s="447">
        <f t="shared" si="591"/>
        <v>0.17936629275633909</v>
      </c>
      <c r="AD318" s="447">
        <f t="shared" si="592"/>
        <v>-0.58911007805517546</v>
      </c>
      <c r="AE318" s="447">
        <f t="shared" si="593"/>
        <v>0.62447417134645855</v>
      </c>
      <c r="AF318" s="447">
        <f t="shared" si="594"/>
        <v>-0.21957936362394206</v>
      </c>
      <c r="AG318" s="447">
        <f t="shared" si="595"/>
        <v>0.78042063637605796</v>
      </c>
      <c r="AH318" s="447">
        <f t="shared" si="596"/>
        <v>-0.11996626289732799</v>
      </c>
      <c r="AI318" s="447">
        <f t="shared" si="597"/>
        <v>-7.5557011470407101E-3</v>
      </c>
      <c r="AJ318" s="448">
        <f t="shared" si="598"/>
        <v>-7.5557011470407101E-3</v>
      </c>
      <c r="AK318" s="446">
        <f t="shared" si="601"/>
        <v>-4.7967754821299884E-4</v>
      </c>
    </row>
    <row r="319" spans="1:37" x14ac:dyDescent="0.35">
      <c r="A319" t="s">
        <v>905</v>
      </c>
      <c r="B319" s="449">
        <f t="shared" ref="B319:K319" si="608">EXP($M301-B$304)/(1+EXP($M301-B$304))</f>
        <v>0.49912911158400292</v>
      </c>
      <c r="C319" s="450">
        <f t="shared" si="608"/>
        <v>0.49962769689206554</v>
      </c>
      <c r="D319" s="450">
        <f t="shared" si="608"/>
        <v>0.49962769689206554</v>
      </c>
      <c r="E319" s="450">
        <f t="shared" si="608"/>
        <v>0.23833159840591076</v>
      </c>
      <c r="F319" s="450">
        <f t="shared" si="608"/>
        <v>0.11601519073644422</v>
      </c>
      <c r="G319" s="450">
        <f t="shared" si="608"/>
        <v>5.785303590468148E-2</v>
      </c>
      <c r="H319" s="450">
        <f t="shared" si="608"/>
        <v>5.785303590468148E-2</v>
      </c>
      <c r="I319" s="450">
        <f t="shared" si="608"/>
        <v>2.8891641958968251E-2</v>
      </c>
      <c r="J319" s="450">
        <f t="shared" si="608"/>
        <v>1.6587936001338458E-3</v>
      </c>
      <c r="K319" s="451">
        <f t="shared" si="608"/>
        <v>1.6587936001338458E-3</v>
      </c>
      <c r="M319" s="470">
        <f t="shared" si="578"/>
        <v>-2.5099939917218408</v>
      </c>
      <c r="O319" s="449">
        <f t="shared" si="579"/>
        <v>0.24999924155336692</v>
      </c>
      <c r="P319" s="450">
        <f t="shared" si="580"/>
        <v>0.24999986139039582</v>
      </c>
      <c r="Q319" s="450">
        <f t="shared" si="581"/>
        <v>0.24999986139039582</v>
      </c>
      <c r="R319" s="450">
        <f t="shared" si="582"/>
        <v>0.18152964760719442</v>
      </c>
      <c r="S319" s="450">
        <f t="shared" si="583"/>
        <v>0.10255566625483069</v>
      </c>
      <c r="T319" s="450">
        <f t="shared" si="584"/>
        <v>5.4506062141293117E-2</v>
      </c>
      <c r="U319" s="450">
        <f t="shared" si="585"/>
        <v>5.4506062141293117E-2</v>
      </c>
      <c r="V319" s="450">
        <f t="shared" si="586"/>
        <v>2.8056914983883036E-2</v>
      </c>
      <c r="W319" s="450">
        <f t="shared" si="587"/>
        <v>1.6560420039260007E-3</v>
      </c>
      <c r="X319" s="451">
        <f t="shared" si="588"/>
        <v>1.6560420039260007E-3</v>
      </c>
      <c r="Y319" s="446">
        <f t="shared" si="600"/>
        <v>1.1744654014705047</v>
      </c>
      <c r="AA319" s="449">
        <f t="shared" si="589"/>
        <v>-0.49912911158400292</v>
      </c>
      <c r="AB319" s="450">
        <f t="shared" si="590"/>
        <v>0.50037230310793446</v>
      </c>
      <c r="AC319" s="450">
        <f t="shared" si="591"/>
        <v>-0.49962769689206554</v>
      </c>
      <c r="AD319" s="450">
        <f t="shared" si="592"/>
        <v>0.76166840159408922</v>
      </c>
      <c r="AE319" s="450">
        <f t="shared" si="593"/>
        <v>-0.11601519073644422</v>
      </c>
      <c r="AF319" s="450">
        <f t="shared" si="594"/>
        <v>-5.785303590468148E-2</v>
      </c>
      <c r="AG319" s="450">
        <f t="shared" si="595"/>
        <v>-5.785303590468148E-2</v>
      </c>
      <c r="AH319" s="450">
        <f t="shared" si="596"/>
        <v>-2.8891641958968251E-2</v>
      </c>
      <c r="AI319" s="450">
        <f t="shared" si="597"/>
        <v>-1.6587936001338458E-3</v>
      </c>
      <c r="AJ319" s="451">
        <f t="shared" si="598"/>
        <v>-1.6587936001338458E-3</v>
      </c>
      <c r="AK319" s="446">
        <f t="shared" si="601"/>
        <v>-6.4659547908791498E-4</v>
      </c>
    </row>
    <row r="320" spans="1:37" x14ac:dyDescent="0.35">
      <c r="O320" s="446">
        <f>SUM(O311:O319)</f>
        <v>0.68090257860429171</v>
      </c>
      <c r="P320" s="446">
        <f t="shared" ref="P320:X320" si="609">SUM(P311:P319)</f>
        <v>0.68027547485352347</v>
      </c>
      <c r="Q320" s="446">
        <f t="shared" si="609"/>
        <v>0.68027547485352347</v>
      </c>
      <c r="R320" s="446">
        <f t="shared" si="609"/>
        <v>1.0376428403909179</v>
      </c>
      <c r="S320" s="446">
        <f t="shared" si="609"/>
        <v>1.2519745240341598</v>
      </c>
      <c r="T320" s="446">
        <f t="shared" si="609"/>
        <v>1.3665123442588067</v>
      </c>
      <c r="U320" s="446">
        <f t="shared" si="609"/>
        <v>1.3665123442588067</v>
      </c>
      <c r="V320" s="446">
        <f t="shared" si="609"/>
        <v>1.3724641349426203</v>
      </c>
      <c r="W320" s="446">
        <f t="shared" si="609"/>
        <v>0.63641052894150685</v>
      </c>
      <c r="X320" s="446">
        <f t="shared" si="609"/>
        <v>0.63641052894150685</v>
      </c>
      <c r="AA320" s="446">
        <f>SUM(AA311:AA319)</f>
        <v>2.4899219853641297E-4</v>
      </c>
      <c r="AB320" s="446">
        <f t="shared" ref="AB320:AJ320" si="610">SUM(AB311:AB319)</f>
        <v>2.4579000606106405E-4</v>
      </c>
      <c r="AC320" s="446">
        <f t="shared" si="610"/>
        <v>2.4579000606106405E-4</v>
      </c>
      <c r="AD320" s="446">
        <f t="shared" si="610"/>
        <v>2.3640774321875835E-4</v>
      </c>
      <c r="AE320" s="446">
        <f t="shared" si="610"/>
        <v>1.2124004969944757E-4</v>
      </c>
      <c r="AF320" s="446">
        <f t="shared" si="610"/>
        <v>-4.5473784941588158E-5</v>
      </c>
      <c r="AG320" s="446">
        <f t="shared" si="610"/>
        <v>-4.5473784941671425E-5</v>
      </c>
      <c r="AH320" s="446">
        <f t="shared" si="610"/>
        <v>-2.2843369410941242E-4</v>
      </c>
      <c r="AI320" s="446">
        <f t="shared" si="610"/>
        <v>-6.0571832757203795E-4</v>
      </c>
      <c r="AJ320" s="446">
        <f t="shared" si="610"/>
        <v>-6.057183275720102E-4</v>
      </c>
      <c r="AK320" s="446">
        <f>SUMSQ(AK311:AK319)</f>
        <v>1.641914769212489E-6</v>
      </c>
    </row>
    <row r="321" spans="1:12" x14ac:dyDescent="0.35">
      <c r="A321" t="s">
        <v>822</v>
      </c>
      <c r="B321" s="471">
        <f t="shared" ref="B321:K321" si="611">B304-AA320/O320</f>
        <v>-2.5063255696483848</v>
      </c>
      <c r="C321" s="472">
        <f t="shared" si="611"/>
        <v>-2.5083155440259102</v>
      </c>
      <c r="D321" s="472">
        <f t="shared" si="611"/>
        <v>-2.5083155440259102</v>
      </c>
      <c r="E321" s="472">
        <f t="shared" si="611"/>
        <v>-1.3478229608514822</v>
      </c>
      <c r="F321" s="472">
        <f t="shared" si="611"/>
        <v>-0.47882154504071706</v>
      </c>
      <c r="G321" s="472">
        <f t="shared" si="611"/>
        <v>0.28084517412655008</v>
      </c>
      <c r="H321" s="472">
        <f t="shared" si="611"/>
        <v>0.28084517412655025</v>
      </c>
      <c r="I321" s="472">
        <f t="shared" si="611"/>
        <v>1.0056087019663515</v>
      </c>
      <c r="J321" s="472">
        <f t="shared" si="611"/>
        <v>3.891512842547864</v>
      </c>
      <c r="K321" s="473">
        <f t="shared" si="611"/>
        <v>3.891512842547864</v>
      </c>
      <c r="L321" s="446">
        <f>AVERAGE(B321:K321)</f>
        <v>7.2357172277737186E-5</v>
      </c>
    </row>
    <row r="322" spans="1:12" x14ac:dyDescent="0.35">
      <c r="A322" t="s">
        <v>906</v>
      </c>
      <c r="B322" s="89">
        <f>B321-L321</f>
        <v>-2.5063979268206626</v>
      </c>
      <c r="C322" s="159">
        <f>C321-L321</f>
        <v>-2.508387901198188</v>
      </c>
      <c r="D322" s="159">
        <f>D321-L321</f>
        <v>-2.508387901198188</v>
      </c>
      <c r="E322" s="159">
        <f>E321-L321</f>
        <v>-1.3478953180237601</v>
      </c>
      <c r="F322" s="159">
        <f>F321-L321</f>
        <v>-0.47889390221299477</v>
      </c>
      <c r="G322" s="159">
        <f>G321-L321</f>
        <v>0.28077281695427236</v>
      </c>
      <c r="H322" s="159">
        <f>H321-L321</f>
        <v>0.28077281695427253</v>
      </c>
      <c r="I322" s="159">
        <f>I321-L321</f>
        <v>1.0055363447940737</v>
      </c>
      <c r="J322" s="159">
        <f>J321-L321</f>
        <v>3.8914404853755862</v>
      </c>
      <c r="K322" s="93">
        <f>K321-L321</f>
        <v>3.8914404853755862</v>
      </c>
      <c r="L322" s="446">
        <f>AVERAGE(B322:K322)</f>
        <v>-3.5527136788005011E-16</v>
      </c>
    </row>
  </sheetData>
  <mergeCells count="1">
    <mergeCell ref="B3:K3"/>
  </mergeCells>
  <conditionalFormatting sqref="AN19:AW29">
    <cfRule type="cellIs" dxfId="7" priority="2" operator="greaterThan">
      <formula>1.3</formula>
    </cfRule>
  </conditionalFormatting>
  <conditionalFormatting sqref="AX19:AY27">
    <cfRule type="cellIs" dxfId="6" priority="1" operator="greaterThan">
      <formula>1.3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41"/>
  <dimension ref="A2:AA43"/>
  <sheetViews>
    <sheetView workbookViewId="0"/>
  </sheetViews>
  <sheetFormatPr defaultRowHeight="14.5" x14ac:dyDescent="0.35"/>
  <cols>
    <col min="13" max="13" width="9.1796875" customWidth="1"/>
  </cols>
  <sheetData>
    <row r="2" spans="1:11" x14ac:dyDescent="0.35">
      <c r="B2" t="s">
        <v>910</v>
      </c>
    </row>
    <row r="4" spans="1:11" ht="15" thickBot="1" x14ac:dyDescent="0.4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</row>
    <row r="5" spans="1:11" x14ac:dyDescent="0.35">
      <c r="A5" t="s">
        <v>218</v>
      </c>
      <c r="B5" s="435"/>
      <c r="C5" s="436">
        <v>1</v>
      </c>
      <c r="D5" s="436">
        <v>1</v>
      </c>
      <c r="E5" s="436">
        <v>1</v>
      </c>
      <c r="F5" s="436">
        <v>1</v>
      </c>
      <c r="G5" s="436">
        <v>1</v>
      </c>
      <c r="H5" s="436">
        <v>1</v>
      </c>
      <c r="I5" s="436">
        <v>1</v>
      </c>
      <c r="J5" s="436">
        <v>0</v>
      </c>
      <c r="K5" s="437">
        <v>1</v>
      </c>
    </row>
    <row r="6" spans="1:11" x14ac:dyDescent="0.35">
      <c r="A6" t="s">
        <v>98</v>
      </c>
      <c r="B6" s="439">
        <v>1</v>
      </c>
      <c r="C6" s="440">
        <v>1</v>
      </c>
      <c r="D6" s="440">
        <v>1</v>
      </c>
      <c r="E6" s="440">
        <v>0</v>
      </c>
      <c r="F6" s="440">
        <v>1</v>
      </c>
      <c r="G6" s="440">
        <v>1</v>
      </c>
      <c r="H6" s="440">
        <v>1</v>
      </c>
      <c r="I6" s="440">
        <v>1</v>
      </c>
      <c r="J6" s="440">
        <v>1</v>
      </c>
      <c r="K6" s="441">
        <v>0</v>
      </c>
    </row>
    <row r="7" spans="1:11" x14ac:dyDescent="0.35">
      <c r="A7" t="s">
        <v>99</v>
      </c>
      <c r="B7" s="439">
        <v>1</v>
      </c>
      <c r="C7" s="440">
        <v>1</v>
      </c>
      <c r="D7" s="440">
        <v>1</v>
      </c>
      <c r="E7" s="440">
        <v>1</v>
      </c>
      <c r="F7" s="440">
        <v>1</v>
      </c>
      <c r="G7" s="440">
        <v>1</v>
      </c>
      <c r="H7" s="440">
        <v>0</v>
      </c>
      <c r="I7" s="440">
        <v>1</v>
      </c>
      <c r="J7" s="440">
        <v>0</v>
      </c>
      <c r="K7" s="441">
        <v>0</v>
      </c>
    </row>
    <row r="8" spans="1:11" x14ac:dyDescent="0.35">
      <c r="A8" t="s">
        <v>100</v>
      </c>
      <c r="B8" s="439">
        <v>1</v>
      </c>
      <c r="C8" s="440">
        <v>1</v>
      </c>
      <c r="D8" s="440">
        <v>1</v>
      </c>
      <c r="E8" s="440">
        <v>1</v>
      </c>
      <c r="F8" s="440">
        <v>1</v>
      </c>
      <c r="G8" s="440">
        <v>1</v>
      </c>
      <c r="H8" s="440">
        <v>0</v>
      </c>
      <c r="I8" s="440">
        <v>1</v>
      </c>
      <c r="J8" s="440">
        <v>0</v>
      </c>
      <c r="K8" s="441">
        <v>0</v>
      </c>
    </row>
    <row r="9" spans="1:11" x14ac:dyDescent="0.35">
      <c r="A9" t="s">
        <v>536</v>
      </c>
      <c r="B9" s="439">
        <v>1</v>
      </c>
      <c r="C9" s="440">
        <v>1</v>
      </c>
      <c r="D9" s="440">
        <v>1</v>
      </c>
      <c r="E9" s="440">
        <v>1</v>
      </c>
      <c r="F9" s="440">
        <v>0</v>
      </c>
      <c r="G9" s="440">
        <v>1</v>
      </c>
      <c r="H9" s="440">
        <v>1</v>
      </c>
      <c r="I9" s="440">
        <v>0</v>
      </c>
      <c r="J9" s="440">
        <v>0</v>
      </c>
      <c r="K9" s="441">
        <v>0</v>
      </c>
    </row>
    <row r="10" spans="1:11" x14ac:dyDescent="0.35">
      <c r="A10" t="s">
        <v>101</v>
      </c>
      <c r="B10" s="439">
        <v>1</v>
      </c>
      <c r="C10" s="440">
        <v>1</v>
      </c>
      <c r="D10" s="440">
        <v>1</v>
      </c>
      <c r="E10" s="440">
        <v>1</v>
      </c>
      <c r="F10" s="440">
        <v>1</v>
      </c>
      <c r="G10" s="440">
        <v>0</v>
      </c>
      <c r="H10" s="440">
        <v>1</v>
      </c>
      <c r="I10" s="440">
        <v>0</v>
      </c>
      <c r="J10" s="440">
        <v>0</v>
      </c>
      <c r="K10" s="441">
        <v>0</v>
      </c>
    </row>
    <row r="11" spans="1:11" x14ac:dyDescent="0.35">
      <c r="A11" t="s">
        <v>281</v>
      </c>
      <c r="B11" s="439">
        <v>1</v>
      </c>
      <c r="C11" s="440">
        <v>1</v>
      </c>
      <c r="D11" s="440">
        <v>1</v>
      </c>
      <c r="E11" s="440">
        <v>1</v>
      </c>
      <c r="F11" s="440">
        <v>0</v>
      </c>
      <c r="G11" s="440">
        <v>0</v>
      </c>
      <c r="H11" s="440">
        <v>0</v>
      </c>
      <c r="I11" s="440">
        <v>0</v>
      </c>
      <c r="J11" s="440">
        <v>0</v>
      </c>
      <c r="K11" s="441">
        <v>0</v>
      </c>
    </row>
    <row r="12" spans="1:11" x14ac:dyDescent="0.35">
      <c r="A12" t="s">
        <v>537</v>
      </c>
      <c r="B12" s="439">
        <v>1</v>
      </c>
      <c r="C12" s="440">
        <v>0</v>
      </c>
      <c r="D12" s="440">
        <v>1</v>
      </c>
      <c r="E12" s="440">
        <v>0</v>
      </c>
      <c r="F12" s="440">
        <v>1</v>
      </c>
      <c r="G12" s="440">
        <v>0</v>
      </c>
      <c r="H12" s="440">
        <v>1</v>
      </c>
      <c r="I12" s="440">
        <v>0</v>
      </c>
      <c r="J12" s="440">
        <v>0</v>
      </c>
      <c r="K12" s="441">
        <v>0</v>
      </c>
    </row>
    <row r="13" spans="1:11" ht="15" thickBot="1" x14ac:dyDescent="0.4">
      <c r="A13" t="s">
        <v>905</v>
      </c>
      <c r="B13" s="442">
        <v>0</v>
      </c>
      <c r="C13" s="443">
        <v>1</v>
      </c>
      <c r="D13" s="443">
        <v>0</v>
      </c>
      <c r="E13" s="443">
        <v>1</v>
      </c>
      <c r="F13" s="443">
        <v>0</v>
      </c>
      <c r="G13" s="443">
        <v>0</v>
      </c>
      <c r="H13" s="443">
        <v>0</v>
      </c>
      <c r="I13" s="443">
        <v>0</v>
      </c>
      <c r="J13" s="443">
        <v>0</v>
      </c>
      <c r="K13" s="444">
        <v>0</v>
      </c>
    </row>
    <row r="15" spans="1:11" x14ac:dyDescent="0.35">
      <c r="B15" t="s">
        <v>860</v>
      </c>
    </row>
    <row r="17" spans="1:27" x14ac:dyDescent="0.35">
      <c r="B17">
        <v>1</v>
      </c>
      <c r="C17">
        <v>2</v>
      </c>
      <c r="D17">
        <v>3</v>
      </c>
      <c r="E17">
        <v>4</v>
      </c>
      <c r="F17">
        <v>5</v>
      </c>
      <c r="G17">
        <v>6</v>
      </c>
      <c r="H17">
        <v>7</v>
      </c>
      <c r="I17">
        <v>8</v>
      </c>
      <c r="J17">
        <v>9</v>
      </c>
      <c r="K17">
        <v>10</v>
      </c>
      <c r="L17" s="6" t="s">
        <v>904</v>
      </c>
      <c r="M17" s="6" t="s">
        <v>265</v>
      </c>
      <c r="O17" t="e">
        <f t="array" aca="1" ref="O17:AA28" ca="1">RASCH(A4:K13,TRUE,14)</f>
        <v>#NAME?</v>
      </c>
      <c r="P17" t="e">
        <f ca="1"/>
        <v>#NAME?</v>
      </c>
      <c r="Q17" t="e">
        <f ca="1"/>
        <v>#NAME?</v>
      </c>
      <c r="R17" t="e">
        <f ca="1"/>
        <v>#NAME?</v>
      </c>
      <c r="S17" t="e">
        <f ca="1"/>
        <v>#NAME?</v>
      </c>
      <c r="T17" t="e">
        <f ca="1"/>
        <v>#NAME?</v>
      </c>
      <c r="U17" t="e">
        <f ca="1"/>
        <v>#NAME?</v>
      </c>
      <c r="V17" t="e">
        <f ca="1"/>
        <v>#NAME?</v>
      </c>
      <c r="W17" t="e">
        <f ca="1"/>
        <v>#NAME?</v>
      </c>
      <c r="X17" t="e">
        <f ca="1"/>
        <v>#NAME?</v>
      </c>
      <c r="Y17" t="e">
        <f ca="1"/>
        <v>#NAME?</v>
      </c>
      <c r="Z17" t="e">
        <f ca="1"/>
        <v>#NAME?</v>
      </c>
      <c r="AA17" t="e">
        <f ca="1"/>
        <v>#NAME?</v>
      </c>
    </row>
    <row r="18" spans="1:27" x14ac:dyDescent="0.35">
      <c r="A18" t="s">
        <v>218</v>
      </c>
      <c r="B18" s="464">
        <f>'Rasch A'!B257</f>
        <v>0.99863124723459173</v>
      </c>
      <c r="C18" s="467">
        <f>'Rasch A'!C257</f>
        <v>0.99863401269642482</v>
      </c>
      <c r="D18" s="467">
        <f>'Rasch A'!D257</f>
        <v>0.99863401269642482</v>
      </c>
      <c r="E18" s="467">
        <f>'Rasch A'!E257</f>
        <v>0.99565830304472513</v>
      </c>
      <c r="F18" s="467">
        <f>'Rasch A'!F257</f>
        <v>0.98972013253833613</v>
      </c>
      <c r="G18" s="467">
        <f>'Rasch A'!G257</f>
        <v>0.97830322211666931</v>
      </c>
      <c r="H18" s="467">
        <f>'Rasch A'!H257</f>
        <v>0.97830322211666931</v>
      </c>
      <c r="I18" s="467">
        <f>'Rasch A'!I257</f>
        <v>0.95626987283586584</v>
      </c>
      <c r="J18" s="467">
        <f>'Rasch A'!J257</f>
        <v>0.55122102638661941</v>
      </c>
      <c r="K18" s="465">
        <f>'Rasch A'!K257</f>
        <v>0.55122102638661941</v>
      </c>
      <c r="L18" s="423">
        <f>'Rasch A'!M257</f>
        <v>4.0931461415557076</v>
      </c>
      <c r="M18" s="425">
        <f>1/SQRT('Rasch A'!Y257)</f>
        <v>1.2935681569672053</v>
      </c>
      <c r="O18" t="e">
        <f ca="1"/>
        <v>#NAME?</v>
      </c>
      <c r="P18" s="423" t="e">
        <f ca="1"/>
        <v>#NAME?</v>
      </c>
      <c r="Q18" s="424" t="e">
        <f ca="1"/>
        <v>#NAME?</v>
      </c>
      <c r="R18" s="424" t="e">
        <f ca="1"/>
        <v>#NAME?</v>
      </c>
      <c r="S18" s="424" t="e">
        <f ca="1"/>
        <v>#NAME?</v>
      </c>
      <c r="T18" s="424" t="e">
        <f ca="1"/>
        <v>#NAME?</v>
      </c>
      <c r="U18" s="424" t="e">
        <f ca="1"/>
        <v>#NAME?</v>
      </c>
      <c r="V18" s="424" t="e">
        <f ca="1"/>
        <v>#NAME?</v>
      </c>
      <c r="W18" s="424" t="e">
        <f ca="1"/>
        <v>#NAME?</v>
      </c>
      <c r="X18" s="424" t="e">
        <f ca="1"/>
        <v>#NAME?</v>
      </c>
      <c r="Y18" s="425" t="e">
        <f ca="1"/>
        <v>#NAME?</v>
      </c>
      <c r="Z18" t="e">
        <f ca="1"/>
        <v>#NAME?</v>
      </c>
      <c r="AA18" t="e">
        <f ca="1"/>
        <v>#NAME?</v>
      </c>
    </row>
    <row r="19" spans="1:27" x14ac:dyDescent="0.35">
      <c r="A19" t="s">
        <v>98</v>
      </c>
      <c r="B19" s="466">
        <f>'Rasch A'!B258</f>
        <v>0.99390561401605515</v>
      </c>
      <c r="C19" s="447">
        <f>'Rasch A'!C258</f>
        <v>0.9939178691132744</v>
      </c>
      <c r="D19" s="447">
        <f>'Rasch A'!D258</f>
        <v>0.9939178691132744</v>
      </c>
      <c r="E19" s="447">
        <f>'Rasch A'!E258</f>
        <v>0.98086521984974273</v>
      </c>
      <c r="F19" s="447">
        <f>'Rasch A'!F258</f>
        <v>0.95559675288664925</v>
      </c>
      <c r="G19" s="447">
        <f>'Rasch A'!G258</f>
        <v>0.90973835986113993</v>
      </c>
      <c r="H19" s="447">
        <f>'Rasch A'!H258</f>
        <v>0.90973835986113993</v>
      </c>
      <c r="I19" s="447">
        <f>'Rasch A'!I258</f>
        <v>0.83016420632570764</v>
      </c>
      <c r="J19" s="447">
        <f>'Rasch A'!J258</f>
        <v>0.21541203452769775</v>
      </c>
      <c r="K19" s="448">
        <f>'Rasch A'!K258</f>
        <v>0.21541203452769775</v>
      </c>
      <c r="L19" s="101">
        <f>'Rasch A'!M258</f>
        <v>2.5933721629415407</v>
      </c>
      <c r="M19" s="102">
        <f>1/SQRT('Rasch A'!Y258)</f>
        <v>1.1763992002477015</v>
      </c>
      <c r="O19" t="e">
        <f ca="1"/>
        <v>#NAME?</v>
      </c>
      <c r="P19" s="101" t="e">
        <f ca="1"/>
        <v>#NAME?</v>
      </c>
      <c r="Q19" s="4" t="e">
        <f ca="1"/>
        <v>#NAME?</v>
      </c>
      <c r="R19" s="4" t="e">
        <f ca="1"/>
        <v>#NAME?</v>
      </c>
      <c r="S19" s="4" t="e">
        <f ca="1"/>
        <v>#NAME?</v>
      </c>
      <c r="T19" s="4" t="e">
        <f ca="1"/>
        <v>#NAME?</v>
      </c>
      <c r="U19" s="4" t="e">
        <f ca="1"/>
        <v>#NAME?</v>
      </c>
      <c r="V19" s="4" t="e">
        <f ca="1"/>
        <v>#NAME?</v>
      </c>
      <c r="W19" s="4" t="e">
        <f ca="1"/>
        <v>#NAME?</v>
      </c>
      <c r="X19" s="4" t="e">
        <f ca="1"/>
        <v>#NAME?</v>
      </c>
      <c r="Y19" s="102" t="e">
        <f ca="1"/>
        <v>#NAME?</v>
      </c>
      <c r="Z19" t="e">
        <f ca="1"/>
        <v>#NAME?</v>
      </c>
      <c r="AA19" t="e">
        <f ca="1"/>
        <v>#NAME?</v>
      </c>
    </row>
    <row r="20" spans="1:27" x14ac:dyDescent="0.35">
      <c r="A20" t="s">
        <v>99</v>
      </c>
      <c r="B20" s="466">
        <f>'Rasch A'!B259</f>
        <v>0.98007244860383735</v>
      </c>
      <c r="C20" s="447">
        <f>'Rasch A'!C259</f>
        <v>0.98011196396304479</v>
      </c>
      <c r="D20" s="447">
        <f>'Rasch A'!D259</f>
        <v>0.98011196396304479</v>
      </c>
      <c r="E20" s="447">
        <f>'Rasch A'!E259</f>
        <v>0.93924211550507852</v>
      </c>
      <c r="F20" s="447">
        <f>'Rasch A'!F259</f>
        <v>0.86648979530639714</v>
      </c>
      <c r="G20" s="447">
        <f>'Rasch A'!G259</f>
        <v>0.75244469291479088</v>
      </c>
      <c r="H20" s="447">
        <f>'Rasch A'!H259</f>
        <v>0.75244469291479088</v>
      </c>
      <c r="I20" s="447">
        <f>'Rasch A'!I259</f>
        <v>0.59581089337475657</v>
      </c>
      <c r="J20" s="447">
        <f>'Rasch A'!J259</f>
        <v>7.6466307648270962E-2</v>
      </c>
      <c r="K20" s="448">
        <f>'Rasch A'!K259</f>
        <v>7.6466307648270962E-2</v>
      </c>
      <c r="L20" s="101">
        <f>'Rasch A'!M259</f>
        <v>1.3931219057051234</v>
      </c>
      <c r="M20" s="102">
        <f>1/SQRT('Rasch A'!Y259)</f>
        <v>1.0071412279121208</v>
      </c>
      <c r="O20" t="e">
        <f ca="1"/>
        <v>#NAME?</v>
      </c>
      <c r="P20" s="101" t="e">
        <f ca="1"/>
        <v>#NAME?</v>
      </c>
      <c r="Q20" s="4" t="e">
        <f ca="1"/>
        <v>#NAME?</v>
      </c>
      <c r="R20" s="4" t="e">
        <f ca="1"/>
        <v>#NAME?</v>
      </c>
      <c r="S20" s="4" t="e">
        <f ca="1"/>
        <v>#NAME?</v>
      </c>
      <c r="T20" s="4" t="e">
        <f ca="1"/>
        <v>#NAME?</v>
      </c>
      <c r="U20" s="4" t="e">
        <f ca="1"/>
        <v>#NAME?</v>
      </c>
      <c r="V20" s="4" t="e">
        <f ca="1"/>
        <v>#NAME?</v>
      </c>
      <c r="W20" s="4" t="e">
        <f ca="1"/>
        <v>#NAME?</v>
      </c>
      <c r="X20" s="4" t="e">
        <f ca="1"/>
        <v>#NAME?</v>
      </c>
      <c r="Y20" s="102" t="e">
        <f ca="1"/>
        <v>#NAME?</v>
      </c>
      <c r="Z20" t="e">
        <f ca="1"/>
        <v>#NAME?</v>
      </c>
      <c r="AA20" t="e">
        <f ca="1"/>
        <v>#NAME?</v>
      </c>
    </row>
    <row r="21" spans="1:27" x14ac:dyDescent="0.35">
      <c r="A21" t="s">
        <v>100</v>
      </c>
      <c r="B21" s="466">
        <f>'Rasch A'!B260</f>
        <v>0.98007244860383735</v>
      </c>
      <c r="C21" s="447">
        <f>'Rasch A'!C260</f>
        <v>0.98011196396304479</v>
      </c>
      <c r="D21" s="447">
        <f>'Rasch A'!D260</f>
        <v>0.98011196396304479</v>
      </c>
      <c r="E21" s="447">
        <f>'Rasch A'!E260</f>
        <v>0.93924211550507852</v>
      </c>
      <c r="F21" s="447">
        <f>'Rasch A'!F260</f>
        <v>0.86648979530639714</v>
      </c>
      <c r="G21" s="447">
        <f>'Rasch A'!G260</f>
        <v>0.75244469291479088</v>
      </c>
      <c r="H21" s="447">
        <f>'Rasch A'!H260</f>
        <v>0.75244469291479088</v>
      </c>
      <c r="I21" s="447">
        <f>'Rasch A'!I260</f>
        <v>0.59581089337475657</v>
      </c>
      <c r="J21" s="447">
        <f>'Rasch A'!J260</f>
        <v>7.6466307648270962E-2</v>
      </c>
      <c r="K21" s="448">
        <f>'Rasch A'!K260</f>
        <v>7.6466307648270962E-2</v>
      </c>
      <c r="L21" s="101">
        <f>'Rasch A'!M260</f>
        <v>1.3931219057051234</v>
      </c>
      <c r="M21" s="102">
        <f>1/SQRT('Rasch A'!Y260)</f>
        <v>1.0071412279121208</v>
      </c>
      <c r="O21" t="e">
        <f ca="1"/>
        <v>#NAME?</v>
      </c>
      <c r="P21" s="101" t="e">
        <f ca="1"/>
        <v>#NAME?</v>
      </c>
      <c r="Q21" s="4" t="e">
        <f ca="1"/>
        <v>#NAME?</v>
      </c>
      <c r="R21" s="4" t="e">
        <f ca="1"/>
        <v>#NAME?</v>
      </c>
      <c r="S21" s="4" t="e">
        <f ca="1"/>
        <v>#NAME?</v>
      </c>
      <c r="T21" s="4" t="e">
        <f ca="1"/>
        <v>#NAME?</v>
      </c>
      <c r="U21" s="4" t="e">
        <f ca="1"/>
        <v>#NAME?</v>
      </c>
      <c r="V21" s="4" t="e">
        <f ca="1"/>
        <v>#NAME?</v>
      </c>
      <c r="W21" s="4" t="e">
        <f ca="1"/>
        <v>#NAME?</v>
      </c>
      <c r="X21" s="4" t="e">
        <f ca="1"/>
        <v>#NAME?</v>
      </c>
      <c r="Y21" s="102" t="e">
        <f ca="1"/>
        <v>#NAME?</v>
      </c>
      <c r="Z21" t="e">
        <f ca="1"/>
        <v>#NAME?</v>
      </c>
      <c r="AA21" t="e">
        <f ca="1"/>
        <v>#NAME?</v>
      </c>
    </row>
    <row r="22" spans="1:27" x14ac:dyDescent="0.35">
      <c r="A22" t="s">
        <v>536</v>
      </c>
      <c r="B22" s="466">
        <f>'Rasch A'!B261</f>
        <v>0.95272690139078497</v>
      </c>
      <c r="C22" s="447">
        <f>'Rasch A'!C261</f>
        <v>0.95281803117518737</v>
      </c>
      <c r="D22" s="447">
        <f>'Rasch A'!D261</f>
        <v>0.95281803117518737</v>
      </c>
      <c r="E22" s="447">
        <f>'Rasch A'!E261</f>
        <v>0.8636614948593877</v>
      </c>
      <c r="F22" s="447">
        <f>'Rasch A'!F261</f>
        <v>0.72673821921504689</v>
      </c>
      <c r="G22" s="447">
        <f>'Rasch A'!G261</f>
        <v>0.55466984832237454</v>
      </c>
      <c r="H22" s="447">
        <f>'Rasch A'!H261</f>
        <v>0.55466984832237454</v>
      </c>
      <c r="I22" s="447">
        <f>'Rasch A'!I261</f>
        <v>0.37657861069912518</v>
      </c>
      <c r="J22" s="447">
        <f>'Rasch A'!J261</f>
        <v>3.2815338741916257E-2</v>
      </c>
      <c r="K22" s="448">
        <f>'Rasch A'!K261</f>
        <v>3.2815338741916257E-2</v>
      </c>
      <c r="L22" s="101">
        <f>'Rasch A'!M261</f>
        <v>0.50039128089596274</v>
      </c>
      <c r="M22" s="102">
        <f>1/SQRT('Rasch A'!Y261)</f>
        <v>0.8967413766832385</v>
      </c>
      <c r="O22" t="e">
        <f ca="1"/>
        <v>#NAME?</v>
      </c>
      <c r="P22" s="101" t="e">
        <f ca="1"/>
        <v>#NAME?</v>
      </c>
      <c r="Q22" s="4" t="e">
        <f ca="1"/>
        <v>#NAME?</v>
      </c>
      <c r="R22" s="4" t="e">
        <f ca="1"/>
        <v>#NAME?</v>
      </c>
      <c r="S22" s="4" t="e">
        <f ca="1"/>
        <v>#NAME?</v>
      </c>
      <c r="T22" s="4" t="e">
        <f ca="1"/>
        <v>#NAME?</v>
      </c>
      <c r="U22" s="4" t="e">
        <f ca="1"/>
        <v>#NAME?</v>
      </c>
      <c r="V22" s="4" t="e">
        <f ca="1"/>
        <v>#NAME?</v>
      </c>
      <c r="W22" s="4" t="e">
        <f ca="1"/>
        <v>#NAME?</v>
      </c>
      <c r="X22" s="4" t="e">
        <f ca="1"/>
        <v>#NAME?</v>
      </c>
      <c r="Y22" s="102" t="e">
        <f ca="1"/>
        <v>#NAME?</v>
      </c>
      <c r="Z22" t="e">
        <f ca="1"/>
        <v>#NAME?</v>
      </c>
      <c r="AA22" t="e">
        <f ca="1"/>
        <v>#NAME?</v>
      </c>
    </row>
    <row r="23" spans="1:27" x14ac:dyDescent="0.35">
      <c r="A23" t="s">
        <v>101</v>
      </c>
      <c r="B23" s="466">
        <f>'Rasch A'!B262</f>
        <v>0.95272690139078497</v>
      </c>
      <c r="C23" s="447">
        <f>'Rasch A'!C262</f>
        <v>0.95281803117518737</v>
      </c>
      <c r="D23" s="447">
        <f>'Rasch A'!D262</f>
        <v>0.95281803117518737</v>
      </c>
      <c r="E23" s="447">
        <f>'Rasch A'!E262</f>
        <v>0.8636614948593877</v>
      </c>
      <c r="F23" s="447">
        <f>'Rasch A'!F262</f>
        <v>0.72673821921504689</v>
      </c>
      <c r="G23" s="447">
        <f>'Rasch A'!G262</f>
        <v>0.55466984832237454</v>
      </c>
      <c r="H23" s="447">
        <f>'Rasch A'!H262</f>
        <v>0.55466984832237454</v>
      </c>
      <c r="I23" s="447">
        <f>'Rasch A'!I262</f>
        <v>0.37657861069912518</v>
      </c>
      <c r="J23" s="447">
        <f>'Rasch A'!J262</f>
        <v>3.2815338741916257E-2</v>
      </c>
      <c r="K23" s="448">
        <f>'Rasch A'!K262</f>
        <v>3.2815338741916257E-2</v>
      </c>
      <c r="L23" s="101">
        <f>'Rasch A'!M262</f>
        <v>0.50039128089596274</v>
      </c>
      <c r="M23" s="102">
        <f>1/SQRT('Rasch A'!Y262)</f>
        <v>0.8967413766832385</v>
      </c>
      <c r="O23" t="e">
        <f ca="1"/>
        <v>#NAME?</v>
      </c>
      <c r="P23" s="101" t="e">
        <f ca="1"/>
        <v>#NAME?</v>
      </c>
      <c r="Q23" s="4" t="e">
        <f ca="1"/>
        <v>#NAME?</v>
      </c>
      <c r="R23" s="4" t="e">
        <f ca="1"/>
        <v>#NAME?</v>
      </c>
      <c r="S23" s="4" t="e">
        <f ca="1"/>
        <v>#NAME?</v>
      </c>
      <c r="T23" s="4" t="e">
        <f ca="1"/>
        <v>#NAME?</v>
      </c>
      <c r="U23" s="4" t="e">
        <f ca="1"/>
        <v>#NAME?</v>
      </c>
      <c r="V23" s="4" t="e">
        <f ca="1"/>
        <v>#NAME?</v>
      </c>
      <c r="W23" s="4" t="e">
        <f ca="1"/>
        <v>#NAME?</v>
      </c>
      <c r="X23" s="4" t="e">
        <f ca="1"/>
        <v>#NAME?</v>
      </c>
      <c r="Y23" s="102" t="e">
        <f ca="1"/>
        <v>#NAME?</v>
      </c>
      <c r="Z23" t="e">
        <f ca="1"/>
        <v>#NAME?</v>
      </c>
      <c r="AA23" t="e">
        <f ca="1"/>
        <v>#NAME?</v>
      </c>
    </row>
    <row r="24" spans="1:27" x14ac:dyDescent="0.35">
      <c r="A24" t="s">
        <v>281</v>
      </c>
      <c r="B24" s="466">
        <f>'Rasch A'!B263</f>
        <v>0.82019162130806322</v>
      </c>
      <c r="C24" s="447">
        <f>'Rasch A'!C263</f>
        <v>0.82049010429241542</v>
      </c>
      <c r="D24" s="447">
        <f>'Rasch A'!D263</f>
        <v>0.82049010429241542</v>
      </c>
      <c r="E24" s="447">
        <f>'Rasch A'!E263</f>
        <v>0.58911292708464491</v>
      </c>
      <c r="F24" s="447">
        <f>'Rasch A'!F263</f>
        <v>0.37575524598947857</v>
      </c>
      <c r="G24" s="447">
        <f>'Rasch A'!G263</f>
        <v>0.21991127785440204</v>
      </c>
      <c r="H24" s="447">
        <f>'Rasch A'!H263</f>
        <v>0.21991127785440209</v>
      </c>
      <c r="I24" s="447">
        <f>'Rasch A'!I263</f>
        <v>0.12027416278713189</v>
      </c>
      <c r="J24" s="447">
        <f>'Rasch A'!J263</f>
        <v>7.6207238189462513E-3</v>
      </c>
      <c r="K24" s="448">
        <f>'Rasch A'!K263</f>
        <v>7.6207238189462513E-3</v>
      </c>
      <c r="L24" s="101">
        <f>'Rasch A'!M263</f>
        <v>-0.9860954409705589</v>
      </c>
      <c r="M24" s="102">
        <f>1/SQRT('Rasch A'!Y263)</f>
        <v>0.85042320390163428</v>
      </c>
      <c r="O24" t="e">
        <f ca="1"/>
        <v>#NAME?</v>
      </c>
      <c r="P24" s="101" t="e">
        <f ca="1"/>
        <v>#NAME?</v>
      </c>
      <c r="Q24" s="4" t="e">
        <f ca="1"/>
        <v>#NAME?</v>
      </c>
      <c r="R24" s="4" t="e">
        <f ca="1"/>
        <v>#NAME?</v>
      </c>
      <c r="S24" s="4" t="e">
        <f ca="1"/>
        <v>#NAME?</v>
      </c>
      <c r="T24" s="4" t="e">
        <f ca="1"/>
        <v>#NAME?</v>
      </c>
      <c r="U24" s="4" t="e">
        <f ca="1"/>
        <v>#NAME?</v>
      </c>
      <c r="V24" s="4" t="e">
        <f ca="1"/>
        <v>#NAME?</v>
      </c>
      <c r="W24" s="4" t="e">
        <f ca="1"/>
        <v>#NAME?</v>
      </c>
      <c r="X24" s="4" t="e">
        <f ca="1"/>
        <v>#NAME?</v>
      </c>
      <c r="Y24" s="102" t="e">
        <f ca="1"/>
        <v>#NAME?</v>
      </c>
      <c r="Z24" t="e">
        <f ca="1"/>
        <v>#NAME?</v>
      </c>
      <c r="AA24" t="e">
        <f ca="1"/>
        <v>#NAME?</v>
      </c>
    </row>
    <row r="25" spans="1:27" x14ac:dyDescent="0.35">
      <c r="A25" t="s">
        <v>537</v>
      </c>
      <c r="B25" s="466">
        <f>'Rasch A'!B264</f>
        <v>0.82019162130806322</v>
      </c>
      <c r="C25" s="447">
        <f>'Rasch A'!C264</f>
        <v>0.82049010429241542</v>
      </c>
      <c r="D25" s="447">
        <f>'Rasch A'!D264</f>
        <v>0.82049010429241542</v>
      </c>
      <c r="E25" s="447">
        <f>'Rasch A'!E264</f>
        <v>0.58911292708464491</v>
      </c>
      <c r="F25" s="447">
        <f>'Rasch A'!F264</f>
        <v>0.37575524598947857</v>
      </c>
      <c r="G25" s="447">
        <f>'Rasch A'!G264</f>
        <v>0.21991127785440204</v>
      </c>
      <c r="H25" s="447">
        <f>'Rasch A'!H264</f>
        <v>0.21991127785440209</v>
      </c>
      <c r="I25" s="447">
        <f>'Rasch A'!I264</f>
        <v>0.12027416278713189</v>
      </c>
      <c r="J25" s="447">
        <f>'Rasch A'!J264</f>
        <v>7.6207238189462513E-3</v>
      </c>
      <c r="K25" s="448">
        <f>'Rasch A'!K264</f>
        <v>7.6207238189462513E-3</v>
      </c>
      <c r="L25" s="101">
        <f>'Rasch A'!M264</f>
        <v>-0.9860954409705589</v>
      </c>
      <c r="M25" s="102">
        <f>1/SQRT('Rasch A'!Y264)</f>
        <v>0.85042320390163428</v>
      </c>
      <c r="O25" t="e">
        <f ca="1"/>
        <v>#NAME?</v>
      </c>
      <c r="P25" s="101" t="e">
        <f ca="1"/>
        <v>#NAME?</v>
      </c>
      <c r="Q25" s="4" t="e">
        <f ca="1"/>
        <v>#NAME?</v>
      </c>
      <c r="R25" s="4" t="e">
        <f ca="1"/>
        <v>#NAME?</v>
      </c>
      <c r="S25" s="4" t="e">
        <f ca="1"/>
        <v>#NAME?</v>
      </c>
      <c r="T25" s="4" t="e">
        <f ca="1"/>
        <v>#NAME?</v>
      </c>
      <c r="U25" s="4" t="e">
        <f ca="1"/>
        <v>#NAME?</v>
      </c>
      <c r="V25" s="4" t="e">
        <f ca="1"/>
        <v>#NAME?</v>
      </c>
      <c r="W25" s="4" t="e">
        <f ca="1"/>
        <v>#NAME?</v>
      </c>
      <c r="X25" s="4" t="e">
        <f ca="1"/>
        <v>#NAME?</v>
      </c>
      <c r="Y25" s="102" t="e">
        <f ca="1"/>
        <v>#NAME?</v>
      </c>
      <c r="Z25" t="e">
        <f ca="1"/>
        <v>#NAME?</v>
      </c>
      <c r="AA25" t="e">
        <f ca="1"/>
        <v>#NAME?</v>
      </c>
    </row>
    <row r="26" spans="1:27" x14ac:dyDescent="0.35">
      <c r="A26" t="s">
        <v>905</v>
      </c>
      <c r="B26" s="449">
        <f>'Rasch A'!B265</f>
        <v>0.49920424523317908</v>
      </c>
      <c r="C26" s="450">
        <f>'Rasch A'!C265</f>
        <v>0.49971055402221026</v>
      </c>
      <c r="D26" s="450">
        <f>'Rasch A'!D265</f>
        <v>0.49971055402221026</v>
      </c>
      <c r="E26" s="450">
        <f>'Rasch A'!E265</f>
        <v>0.23857102722767631</v>
      </c>
      <c r="F26" s="450">
        <f>'Rasch A'!F265</f>
        <v>0.11624972661866961</v>
      </c>
      <c r="G26" s="450">
        <f>'Rasch A'!G265</f>
        <v>5.8030029162059085E-2</v>
      </c>
      <c r="H26" s="450">
        <f>'Rasch A'!H265</f>
        <v>5.8030029162059113E-2</v>
      </c>
      <c r="I26" s="450">
        <f>'Rasch A'!I265</f>
        <v>2.9010275760441018E-2</v>
      </c>
      <c r="J26" s="450">
        <f>'Rasch A'!J265</f>
        <v>1.6753384805673263E-3</v>
      </c>
      <c r="K26" s="451">
        <f>'Rasch A'!K265</f>
        <v>1.6753384805673263E-3</v>
      </c>
      <c r="L26" s="89">
        <f>'Rasch A'!M265</f>
        <v>-2.5075167478240079</v>
      </c>
      <c r="M26" s="93">
        <f>1/SQRT('Rasch A'!Y265)</f>
        <v>0.92244146003791971</v>
      </c>
      <c r="O26" t="e">
        <f ca="1"/>
        <v>#NAME?</v>
      </c>
      <c r="P26" s="89" t="e">
        <f ca="1"/>
        <v>#NAME?</v>
      </c>
      <c r="Q26" s="159" t="e">
        <f ca="1"/>
        <v>#NAME?</v>
      </c>
      <c r="R26" s="159" t="e">
        <f ca="1"/>
        <v>#NAME?</v>
      </c>
      <c r="S26" s="159" t="e">
        <f ca="1"/>
        <v>#NAME?</v>
      </c>
      <c r="T26" s="159" t="e">
        <f ca="1"/>
        <v>#NAME?</v>
      </c>
      <c r="U26" s="159" t="e">
        <f ca="1"/>
        <v>#NAME?</v>
      </c>
      <c r="V26" s="159" t="e">
        <f ca="1"/>
        <v>#NAME?</v>
      </c>
      <c r="W26" s="159" t="e">
        <f ca="1"/>
        <v>#NAME?</v>
      </c>
      <c r="X26" s="159" t="e">
        <f ca="1"/>
        <v>#NAME?</v>
      </c>
      <c r="Y26" s="93" t="e">
        <f ca="1"/>
        <v>#NAME?</v>
      </c>
      <c r="Z26" t="e">
        <f ca="1"/>
        <v>#NAME?</v>
      </c>
      <c r="AA26" t="e">
        <f ca="1"/>
        <v>#NAME?</v>
      </c>
    </row>
    <row r="27" spans="1:27" x14ac:dyDescent="0.35">
      <c r="A27" t="s">
        <v>927</v>
      </c>
      <c r="B27" s="423">
        <f>'Rasch A'!B268</f>
        <v>-2.5042962256312324</v>
      </c>
      <c r="C27" s="424">
        <f>'Rasch A'!C268</f>
        <v>-2.5063068013661343</v>
      </c>
      <c r="D27" s="424">
        <f>'Rasch A'!D268</f>
        <v>-2.5063068013661343</v>
      </c>
      <c r="E27" s="424">
        <f>'Rasch A'!E268</f>
        <v>-1.3464568468785625</v>
      </c>
      <c r="F27" s="424">
        <f>'Rasch A'!F268</f>
        <v>-0.47808539250233906</v>
      </c>
      <c r="G27" s="424">
        <f>'Rasch A'!G268</f>
        <v>0.28095625924317225</v>
      </c>
      <c r="H27" s="424">
        <f>'Rasch A'!H268</f>
        <v>0.28095625924317219</v>
      </c>
      <c r="I27" s="424">
        <f>'Rasch A'!I268</f>
        <v>1.0050808802725648</v>
      </c>
      <c r="J27" s="424">
        <f>'Rasch A'!J268</f>
        <v>3.8872293344927469</v>
      </c>
      <c r="K27" s="425">
        <f>'Rasch A'!K268</f>
        <v>3.8872293344927469</v>
      </c>
      <c r="O27" t="e">
        <f ca="1"/>
        <v>#NAME?</v>
      </c>
      <c r="P27" t="e">
        <f ca="1"/>
        <v>#NAME?</v>
      </c>
      <c r="Q27" t="e">
        <f ca="1"/>
        <v>#NAME?</v>
      </c>
      <c r="R27" t="e">
        <f ca="1"/>
        <v>#NAME?</v>
      </c>
      <c r="S27" t="e">
        <f ca="1"/>
        <v>#NAME?</v>
      </c>
      <c r="T27" t="e">
        <f ca="1"/>
        <v>#NAME?</v>
      </c>
      <c r="U27" t="e">
        <f ca="1"/>
        <v>#NAME?</v>
      </c>
      <c r="V27" t="e">
        <f ca="1"/>
        <v>#NAME?</v>
      </c>
      <c r="W27" t="e">
        <f ca="1"/>
        <v>#NAME?</v>
      </c>
      <c r="X27" t="e">
        <f ca="1"/>
        <v>#NAME?</v>
      </c>
      <c r="Y27" t="e">
        <f ca="1"/>
        <v>#NAME?</v>
      </c>
      <c r="Z27" t="e">
        <f ca="1"/>
        <v>#NAME?</v>
      </c>
      <c r="AA27" t="e">
        <f ca="1"/>
        <v>#NAME?</v>
      </c>
    </row>
    <row r="28" spans="1:27" x14ac:dyDescent="0.35">
      <c r="A28" t="s">
        <v>265</v>
      </c>
      <c r="B28" s="89">
        <f>1/SQRT('Rasch A'!O266)</f>
        <v>1.2113288368812276</v>
      </c>
      <c r="C28" s="159">
        <f>1/SQRT('Rasch A'!P266)</f>
        <v>1.211895967140189</v>
      </c>
      <c r="D28" s="159">
        <f>1/SQRT('Rasch A'!Q266)</f>
        <v>1.211895967140189</v>
      </c>
      <c r="E28" s="159">
        <f>1/SQRT('Rasch A'!R266)</f>
        <v>0.98128976567526338</v>
      </c>
      <c r="F28" s="159">
        <f>1/SQRT('Rasch A'!S266)</f>
        <v>0.89334938258636942</v>
      </c>
      <c r="G28" s="159">
        <f>1/SQRT('Rasch A'!T266)</f>
        <v>0.85508527851958327</v>
      </c>
      <c r="H28" s="159">
        <f>1/SQRT('Rasch A'!U266)</f>
        <v>0.85508527851958327</v>
      </c>
      <c r="I28" s="159">
        <f>1/SQRT('Rasch A'!V266)</f>
        <v>0.8531847049457737</v>
      </c>
      <c r="J28" s="159">
        <f>1/SQRT('Rasch A'!W266)</f>
        <v>1.2520564971915362</v>
      </c>
      <c r="K28" s="93">
        <f>1/SQRT('Rasch A'!X266)</f>
        <v>1.2520564971915362</v>
      </c>
      <c r="O28" t="e">
        <f ca="1"/>
        <v>#NAME?</v>
      </c>
      <c r="P28" t="e">
        <f ca="1"/>
        <v>#NAME?</v>
      </c>
      <c r="Q28" t="e">
        <f ca="1"/>
        <v>#NAME?</v>
      </c>
      <c r="R28" t="e">
        <f ca="1"/>
        <v>#NAME?</v>
      </c>
      <c r="S28" t="e">
        <f ca="1"/>
        <v>#NAME?</v>
      </c>
      <c r="T28" t="e">
        <f ca="1"/>
        <v>#NAME?</v>
      </c>
      <c r="U28" t="e">
        <f ca="1"/>
        <v>#NAME?</v>
      </c>
      <c r="V28" t="e">
        <f ca="1"/>
        <v>#NAME?</v>
      </c>
      <c r="W28" t="e">
        <f ca="1"/>
        <v>#NAME?</v>
      </c>
      <c r="X28" t="e">
        <f ca="1"/>
        <v>#NAME?</v>
      </c>
      <c r="Y28" t="e">
        <f ca="1"/>
        <v>#NAME?</v>
      </c>
      <c r="Z28" t="e">
        <f ca="1"/>
        <v>#NAME?</v>
      </c>
      <c r="AA28" t="e">
        <f ca="1"/>
        <v>#NAME?</v>
      </c>
    </row>
    <row r="30" spans="1:27" x14ac:dyDescent="0.35">
      <c r="B30" t="s">
        <v>911</v>
      </c>
    </row>
    <row r="32" spans="1:27" x14ac:dyDescent="0.35"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  <c r="L32" s="6" t="s">
        <v>912</v>
      </c>
      <c r="M32" s="6" t="s">
        <v>913</v>
      </c>
      <c r="O32" t="e">
        <f t="array" aca="1" ref="O32:AA43" ca="1">RASCHFIT(A4:K13,TRUE,14)</f>
        <v>#NAME?</v>
      </c>
      <c r="P32" t="e">
        <f ca="1"/>
        <v>#NAME?</v>
      </c>
      <c r="Q32" t="e">
        <f ca="1"/>
        <v>#NAME?</v>
      </c>
      <c r="R32" t="e">
        <f ca="1"/>
        <v>#NAME?</v>
      </c>
      <c r="S32" t="e">
        <f ca="1"/>
        <v>#NAME?</v>
      </c>
      <c r="T32" t="e">
        <f ca="1"/>
        <v>#NAME?</v>
      </c>
      <c r="U32" t="e">
        <f ca="1"/>
        <v>#NAME?</v>
      </c>
      <c r="V32" t="e">
        <f ca="1"/>
        <v>#NAME?</v>
      </c>
      <c r="W32" t="e">
        <f ca="1"/>
        <v>#NAME?</v>
      </c>
      <c r="X32" t="e">
        <f ca="1"/>
        <v>#NAME?</v>
      </c>
      <c r="Y32" t="e">
        <f ca="1"/>
        <v>#NAME?</v>
      </c>
      <c r="Z32" t="e">
        <f ca="1"/>
        <v>#NAME?</v>
      </c>
      <c r="AA32" t="e">
        <f ca="1"/>
        <v>#NAME?</v>
      </c>
    </row>
    <row r="33" spans="1:27" x14ac:dyDescent="0.35">
      <c r="A33" t="s">
        <v>218</v>
      </c>
      <c r="B33" s="464" t="str">
        <f>IF(ISNUMBER(B5),(B5-B18)^2/'Rasch A'!O167,"")</f>
        <v/>
      </c>
      <c r="C33" s="467">
        <f>IF(ISNUMBER(C5),(C5-C18)^2/'Rasch A'!P167,"")</f>
        <v>1.2456777826571907E-3</v>
      </c>
      <c r="D33" s="467">
        <f>IF(ISNUMBER(D5),(D5-D18)^2/'Rasch A'!Q167,"")</f>
        <v>1.2456777826571907E-3</v>
      </c>
      <c r="E33" s="467">
        <f>IF(ISNUMBER(E5),(E5-E18)^2/'Rasch A'!R167,"")</f>
        <v>4.0078525286746901E-3</v>
      </c>
      <c r="F33" s="467">
        <f>IF(ISNUMBER(F5),(F5-F18)^2/'Rasch A'!S167,"")</f>
        <v>9.6353169659792442E-3</v>
      </c>
      <c r="G33" s="467">
        <f>IF(ISNUMBER(G5),(G5-G18)^2/'Rasch A'!T167,"")</f>
        <v>2.0773646475395324E-2</v>
      </c>
      <c r="H33" s="467">
        <f>IF(ISNUMBER(H5),(H5-H18)^2/'Rasch A'!U167,"")</f>
        <v>2.0773646475395324E-2</v>
      </c>
      <c r="I33" s="467">
        <f>IF(ISNUMBER(I5),(I5-I18)^2/'Rasch A'!V167,"")</f>
        <v>4.3292754740804462E-2</v>
      </c>
      <c r="J33" s="467">
        <f>IF(ISNUMBER(J5),(J5-J18)^2/'Rasch A'!W167,"")</f>
        <v>1.226642075344339</v>
      </c>
      <c r="K33" s="465">
        <f>IF(ISNUMBER(K5),(K5-K18)^2/'Rasch A'!X167,"")</f>
        <v>0.81307631187960316</v>
      </c>
      <c r="L33" s="423">
        <f>AVERAGE(B33:K33)</f>
        <v>0.23785477333061175</v>
      </c>
      <c r="M33" s="425">
        <f>SUMSQ('Rasch A'!AA167:AJ167)/'Rasch A'!Y167</f>
        <v>0.83950982812399533</v>
      </c>
      <c r="O33" t="e">
        <f ca="1"/>
        <v>#NAME?</v>
      </c>
      <c r="P33" s="423" t="e">
        <f ca="1"/>
        <v>#NAME?</v>
      </c>
      <c r="Q33" s="424" t="e">
        <f ca="1"/>
        <v>#NAME?</v>
      </c>
      <c r="R33" s="424" t="e">
        <f ca="1"/>
        <v>#NAME?</v>
      </c>
      <c r="S33" s="424" t="e">
        <f ca="1"/>
        <v>#NAME?</v>
      </c>
      <c r="T33" s="424" t="e">
        <f ca="1"/>
        <v>#NAME?</v>
      </c>
      <c r="U33" s="424" t="e">
        <f ca="1"/>
        <v>#NAME?</v>
      </c>
      <c r="V33" s="424" t="e">
        <f ca="1"/>
        <v>#NAME?</v>
      </c>
      <c r="W33" s="424" t="e">
        <f ca="1"/>
        <v>#NAME?</v>
      </c>
      <c r="X33" s="424" t="e">
        <f ca="1"/>
        <v>#NAME?</v>
      </c>
      <c r="Y33" s="425" t="e">
        <f ca="1"/>
        <v>#NAME?</v>
      </c>
      <c r="Z33" t="e">
        <f ca="1"/>
        <v>#NAME?</v>
      </c>
      <c r="AA33" t="e">
        <f ca="1"/>
        <v>#NAME?</v>
      </c>
    </row>
    <row r="34" spans="1:27" x14ac:dyDescent="0.35">
      <c r="A34" t="s">
        <v>98</v>
      </c>
      <c r="B34" s="466">
        <f>IF(ISNUMBER(B6),(B6-B19)^2/'Rasch A'!O168,"")</f>
        <v>5.7562508318071502E-3</v>
      </c>
      <c r="C34" s="447">
        <f>IF(ISNUMBER(C6),(C6-C19)^2/'Rasch A'!P168,"")</f>
        <v>5.7462140214016499E-3</v>
      </c>
      <c r="D34" s="447">
        <f>IF(ISNUMBER(D6),(D6-D19)^2/'Rasch A'!Q168,"")</f>
        <v>5.7462140214016499E-3</v>
      </c>
      <c r="E34" s="447">
        <f>IF(ISNUMBER(E6),(E6-E19)^2/'Rasch A'!R168,"")</f>
        <v>48.622039232457503</v>
      </c>
      <c r="F34" s="447">
        <f>IF(ISNUMBER(F6),(F6-F19)^2/'Rasch A'!S168,"")</f>
        <v>4.453871274432851E-2</v>
      </c>
      <c r="G34" s="447">
        <f>IF(ISNUMBER(G6),(G6-G19)^2/'Rasch A'!T168,"")</f>
        <v>9.6157767169033168E-2</v>
      </c>
      <c r="H34" s="447">
        <f>IF(ISNUMBER(H6),(H6-H19)^2/'Rasch A'!U168,"")</f>
        <v>9.6157767169033084E-2</v>
      </c>
      <c r="I34" s="447">
        <f>IF(ISNUMBER(I6),(I6-I19)^2/'Rasch A'!V168,"")</f>
        <v>0.20058504341811886</v>
      </c>
      <c r="J34" s="447">
        <f>IF(ISNUMBER(J6),(J6-J19)^2/'Rasch A'!W168,"")</f>
        <v>3.6078714635365929</v>
      </c>
      <c r="K34" s="448">
        <f>IF(ISNUMBER(K6),(K6-K19)^2/'Rasch A'!X168,"")</f>
        <v>0.27196166862777899</v>
      </c>
      <c r="L34" s="101">
        <f t="shared" ref="L34:L41" si="0">AVERAGE(B34:K34)</f>
        <v>5.2956560333996991</v>
      </c>
      <c r="M34" s="102">
        <f>SUMSQ('Rasch A'!AA168:AJ168)/'Rasch A'!Y168</f>
        <v>2.2616760991419849</v>
      </c>
      <c r="O34" t="e">
        <f ca="1"/>
        <v>#NAME?</v>
      </c>
      <c r="P34" s="101" t="e">
        <f ca="1"/>
        <v>#NAME?</v>
      </c>
      <c r="Q34" s="4" t="e">
        <f ca="1"/>
        <v>#NAME?</v>
      </c>
      <c r="R34" s="4" t="e">
        <f ca="1"/>
        <v>#NAME?</v>
      </c>
      <c r="S34" s="4" t="e">
        <f ca="1"/>
        <v>#NAME?</v>
      </c>
      <c r="T34" s="4" t="e">
        <f ca="1"/>
        <v>#NAME?</v>
      </c>
      <c r="U34" s="4" t="e">
        <f ca="1"/>
        <v>#NAME?</v>
      </c>
      <c r="V34" s="4" t="e">
        <f ca="1"/>
        <v>#NAME?</v>
      </c>
      <c r="W34" s="4" t="e">
        <f ca="1"/>
        <v>#NAME?</v>
      </c>
      <c r="X34" s="4" t="e">
        <f ca="1"/>
        <v>#NAME?</v>
      </c>
      <c r="Y34" s="102" t="e">
        <f ca="1"/>
        <v>#NAME?</v>
      </c>
      <c r="Z34" t="e">
        <f ca="1"/>
        <v>#NAME?</v>
      </c>
      <c r="AA34" t="e">
        <f ca="1"/>
        <v>#NAME?</v>
      </c>
    </row>
    <row r="35" spans="1:27" x14ac:dyDescent="0.35">
      <c r="A35" t="s">
        <v>99</v>
      </c>
      <c r="B35" s="466">
        <f>IF(ISNUMBER(B7),(B7-B20)^2/'Rasch A'!O169,"")</f>
        <v>1.9659505945186256E-2</v>
      </c>
      <c r="C35" s="447">
        <f>IF(ISNUMBER(C7),(C7-C20)^2/'Rasch A'!P169,"")</f>
        <v>1.9625045379241951E-2</v>
      </c>
      <c r="D35" s="447">
        <f>IF(ISNUMBER(D7),(D7-D20)^2/'Rasch A'!Q169,"")</f>
        <v>1.9625045379241951E-2</v>
      </c>
      <c r="E35" s="447">
        <f>IF(ISNUMBER(E7),(E7-E20)^2/'Rasch A'!R169,"")</f>
        <v>6.322393119672802E-2</v>
      </c>
      <c r="F35" s="447">
        <f>IF(ISNUMBER(F7),(F7-F20)^2/'Rasch A'!S169,"")</f>
        <v>0.15210117936722398</v>
      </c>
      <c r="G35" s="447">
        <f>IF(ISNUMBER(G7),(G7-G20)^2/'Rasch A'!T169,"")</f>
        <v>0.3274386242749196</v>
      </c>
      <c r="H35" s="447">
        <f>IF(ISNUMBER(H7),(H7-H20)^2/'Rasch A'!U169,"")</f>
        <v>3.0250641684677686</v>
      </c>
      <c r="I35" s="447">
        <f>IF(ISNUMBER(I7),(I7-I20)^2/'Rasch A'!V169,"")</f>
        <v>0.67823426699349854</v>
      </c>
      <c r="J35" s="447">
        <f>IF(ISNUMBER(J7),(J7-J20)^2/'Rasch A'!W169,"")</f>
        <v>7.9668212973995206E-2</v>
      </c>
      <c r="K35" s="448">
        <f>IF(ISNUMBER(K7),(K7-K20)^2/'Rasch A'!X169,"")</f>
        <v>7.9668212973995206E-2</v>
      </c>
      <c r="L35" s="101">
        <f t="shared" si="0"/>
        <v>0.44643081929518003</v>
      </c>
      <c r="M35" s="102">
        <f>SUMSQ('Rasch A'!AA169:AJ169)/'Rasch A'!Y169</f>
        <v>0.82712058388694709</v>
      </c>
      <c r="O35" t="e">
        <f ca="1"/>
        <v>#NAME?</v>
      </c>
      <c r="P35" s="101" t="e">
        <f ca="1"/>
        <v>#NAME?</v>
      </c>
      <c r="Q35" s="4" t="e">
        <f ca="1"/>
        <v>#NAME?</v>
      </c>
      <c r="R35" s="4" t="e">
        <f ca="1"/>
        <v>#NAME?</v>
      </c>
      <c r="S35" s="4" t="e">
        <f ca="1"/>
        <v>#NAME?</v>
      </c>
      <c r="T35" s="4" t="e">
        <f ca="1"/>
        <v>#NAME?</v>
      </c>
      <c r="U35" s="4" t="e">
        <f ca="1"/>
        <v>#NAME?</v>
      </c>
      <c r="V35" s="4" t="e">
        <f ca="1"/>
        <v>#NAME?</v>
      </c>
      <c r="W35" s="4" t="e">
        <f ca="1"/>
        <v>#NAME?</v>
      </c>
      <c r="X35" s="4" t="e">
        <f ca="1"/>
        <v>#NAME?</v>
      </c>
      <c r="Y35" s="102" t="e">
        <f ca="1"/>
        <v>#NAME?</v>
      </c>
      <c r="Z35" t="e">
        <f ca="1"/>
        <v>#NAME?</v>
      </c>
      <c r="AA35" t="e">
        <f ca="1"/>
        <v>#NAME?</v>
      </c>
    </row>
    <row r="36" spans="1:27" x14ac:dyDescent="0.35">
      <c r="A36" t="s">
        <v>100</v>
      </c>
      <c r="B36" s="466">
        <f>IF(ISNUMBER(B8),(B8-B21)^2/'Rasch A'!O170,"")</f>
        <v>1.9659505945186256E-2</v>
      </c>
      <c r="C36" s="447">
        <f>IF(ISNUMBER(C8),(C8-C21)^2/'Rasch A'!P170,"")</f>
        <v>1.9625045379241951E-2</v>
      </c>
      <c r="D36" s="447">
        <f>IF(ISNUMBER(D8),(D8-D21)^2/'Rasch A'!Q170,"")</f>
        <v>1.9625045379241951E-2</v>
      </c>
      <c r="E36" s="447">
        <f>IF(ISNUMBER(E8),(E8-E21)^2/'Rasch A'!R170,"")</f>
        <v>6.322393119672802E-2</v>
      </c>
      <c r="F36" s="447">
        <f>IF(ISNUMBER(F8),(F8-F21)^2/'Rasch A'!S170,"")</f>
        <v>0.15210117936722398</v>
      </c>
      <c r="G36" s="447">
        <f>IF(ISNUMBER(G8),(G8-G21)^2/'Rasch A'!T170,"")</f>
        <v>0.3274386242749196</v>
      </c>
      <c r="H36" s="447">
        <f>IF(ISNUMBER(H8),(H8-H21)^2/'Rasch A'!U170,"")</f>
        <v>3.0250641684677686</v>
      </c>
      <c r="I36" s="447">
        <f>IF(ISNUMBER(I8),(I8-I21)^2/'Rasch A'!V170,"")</f>
        <v>0.67823426699349854</v>
      </c>
      <c r="J36" s="447">
        <f>IF(ISNUMBER(J8),(J8-J21)^2/'Rasch A'!W170,"")</f>
        <v>7.9668212973995206E-2</v>
      </c>
      <c r="K36" s="448">
        <f>IF(ISNUMBER(K8),(K8-K21)^2/'Rasch A'!X170,"")</f>
        <v>7.9668212973995206E-2</v>
      </c>
      <c r="L36" s="101">
        <f t="shared" si="0"/>
        <v>0.44643081929518003</v>
      </c>
      <c r="M36" s="102">
        <f>SUMSQ('Rasch A'!AA170:AJ170)/'Rasch A'!Y170</f>
        <v>0.82712058388694709</v>
      </c>
      <c r="O36" t="e">
        <f ca="1"/>
        <v>#NAME?</v>
      </c>
      <c r="P36" s="101" t="e">
        <f ca="1"/>
        <v>#NAME?</v>
      </c>
      <c r="Q36" s="4" t="e">
        <f ca="1"/>
        <v>#NAME?</v>
      </c>
      <c r="R36" s="4" t="e">
        <f ca="1"/>
        <v>#NAME?</v>
      </c>
      <c r="S36" s="4" t="e">
        <f ca="1"/>
        <v>#NAME?</v>
      </c>
      <c r="T36" s="4" t="e">
        <f ca="1"/>
        <v>#NAME?</v>
      </c>
      <c r="U36" s="4" t="e">
        <f ca="1"/>
        <v>#NAME?</v>
      </c>
      <c r="V36" s="4" t="e">
        <f ca="1"/>
        <v>#NAME?</v>
      </c>
      <c r="W36" s="4" t="e">
        <f ca="1"/>
        <v>#NAME?</v>
      </c>
      <c r="X36" s="4" t="e">
        <f ca="1"/>
        <v>#NAME?</v>
      </c>
      <c r="Y36" s="102" t="e">
        <f ca="1"/>
        <v>#NAME?</v>
      </c>
      <c r="Z36" t="e">
        <f ca="1"/>
        <v>#NAME?</v>
      </c>
      <c r="AA36" t="e">
        <f ca="1"/>
        <v>#NAME?</v>
      </c>
    </row>
    <row r="37" spans="1:27" x14ac:dyDescent="0.35">
      <c r="A37" t="s">
        <v>536</v>
      </c>
      <c r="B37" s="466">
        <f>IF(ISNUMBER(B9),(B9-B22)^2/'Rasch A'!O171,"")</f>
        <v>4.8589028764429276E-2</v>
      </c>
      <c r="C37" s="447">
        <f>IF(ISNUMBER(C9),(C9-C22)^2/'Rasch A'!P171,"")</f>
        <v>4.8503022716432025E-2</v>
      </c>
      <c r="D37" s="447">
        <f>IF(ISNUMBER(D9),(D9-D22)^2/'Rasch A'!Q171,"")</f>
        <v>4.8503022716432025E-2</v>
      </c>
      <c r="E37" s="447">
        <f>IF(ISNUMBER(E9),(E9-E22)^2/'Rasch A'!R171,"")</f>
        <v>0.15624267380819892</v>
      </c>
      <c r="F37" s="447">
        <f>IF(ISNUMBER(F9),(F9-F22)^2/'Rasch A'!S171,"")</f>
        <v>2.6525354221698039</v>
      </c>
      <c r="G37" s="447">
        <f>IF(ISNUMBER(G9),(G9-G22)^2/'Rasch A'!T171,"")</f>
        <v>0.80308999873248332</v>
      </c>
      <c r="H37" s="447">
        <f>IF(ISNUMBER(H9),(H9-H22)^2/'Rasch A'!U171,"")</f>
        <v>0.80308999873248332</v>
      </c>
      <c r="I37" s="447">
        <f>IF(ISNUMBER(I9),(I9-I22)^2/'Rasch A'!V171,"")</f>
        <v>0.60246761462440712</v>
      </c>
      <c r="J37" s="447">
        <f>IF(ISNUMBER(J9),(J9-J22)^2/'Rasch A'!W171,"")</f>
        <v>3.2155412317842948E-2</v>
      </c>
      <c r="K37" s="448">
        <f>IF(ISNUMBER(K9),(K9-K22)^2/'Rasch A'!X171,"")</f>
        <v>3.2155412317842948E-2</v>
      </c>
      <c r="L37" s="101">
        <f t="shared" si="0"/>
        <v>0.52273316069003573</v>
      </c>
      <c r="M37" s="102">
        <f>SUMSQ('Rasch A'!AA171:AJ171)/'Rasch A'!Y171</f>
        <v>0.87388052263966653</v>
      </c>
      <c r="O37" t="e">
        <f ca="1"/>
        <v>#NAME?</v>
      </c>
      <c r="P37" s="101" t="e">
        <f ca="1"/>
        <v>#NAME?</v>
      </c>
      <c r="Q37" s="4" t="e">
        <f ca="1"/>
        <v>#NAME?</v>
      </c>
      <c r="R37" s="4" t="e">
        <f ca="1"/>
        <v>#NAME?</v>
      </c>
      <c r="S37" s="4" t="e">
        <f ca="1"/>
        <v>#NAME?</v>
      </c>
      <c r="T37" s="4" t="e">
        <f ca="1"/>
        <v>#NAME?</v>
      </c>
      <c r="U37" s="4" t="e">
        <f ca="1"/>
        <v>#NAME?</v>
      </c>
      <c r="V37" s="4" t="e">
        <f ca="1"/>
        <v>#NAME?</v>
      </c>
      <c r="W37" s="4" t="e">
        <f ca="1"/>
        <v>#NAME?</v>
      </c>
      <c r="X37" s="4" t="e">
        <f ca="1"/>
        <v>#NAME?</v>
      </c>
      <c r="Y37" s="102" t="e">
        <f ca="1"/>
        <v>#NAME?</v>
      </c>
      <c r="Z37" t="e">
        <f ca="1"/>
        <v>#NAME?</v>
      </c>
      <c r="AA37" t="e">
        <f ca="1"/>
        <v>#NAME?</v>
      </c>
    </row>
    <row r="38" spans="1:27" x14ac:dyDescent="0.35">
      <c r="A38" t="s">
        <v>101</v>
      </c>
      <c r="B38" s="466">
        <f>IF(ISNUMBER(B10),(B10-B23)^2/'Rasch A'!O172,"")</f>
        <v>4.8589028764429276E-2</v>
      </c>
      <c r="C38" s="447">
        <f>IF(ISNUMBER(C10),(C10-C23)^2/'Rasch A'!P172,"")</f>
        <v>4.8503022716432025E-2</v>
      </c>
      <c r="D38" s="447">
        <f>IF(ISNUMBER(D10),(D10-D23)^2/'Rasch A'!Q172,"")</f>
        <v>4.8503022716432025E-2</v>
      </c>
      <c r="E38" s="447">
        <f>IF(ISNUMBER(E10),(E10-E23)^2/'Rasch A'!R172,"")</f>
        <v>0.15624267380819892</v>
      </c>
      <c r="F38" s="447">
        <f>IF(ISNUMBER(F10),(F10-F23)^2/'Rasch A'!S172,"")</f>
        <v>0.37502738347771153</v>
      </c>
      <c r="G38" s="447">
        <f>IF(ISNUMBER(G10),(G10-G23)^2/'Rasch A'!T172,"")</f>
        <v>1.2458596861449225</v>
      </c>
      <c r="H38" s="447">
        <f>IF(ISNUMBER(H10),(H10-H23)^2/'Rasch A'!U172,"")</f>
        <v>0.80308999873248332</v>
      </c>
      <c r="I38" s="447">
        <f>IF(ISNUMBER(I10),(I10-I23)^2/'Rasch A'!V172,"")</f>
        <v>0.60246761462440712</v>
      </c>
      <c r="J38" s="447">
        <f>IF(ISNUMBER(J10),(J10-J23)^2/'Rasch A'!W172,"")</f>
        <v>3.2155412317842948E-2</v>
      </c>
      <c r="K38" s="448">
        <f>IF(ISNUMBER(K10),(K10-K23)^2/'Rasch A'!X172,"")</f>
        <v>3.2155412317842948E-2</v>
      </c>
      <c r="L38" s="101">
        <f t="shared" si="0"/>
        <v>0.33925932556207028</v>
      </c>
      <c r="M38" s="102">
        <f>SUMSQ('Rasch A'!AA172:AJ172)/'Rasch A'!Y172</f>
        <v>0.60184090063201112</v>
      </c>
      <c r="O38" t="e">
        <f ca="1"/>
        <v>#NAME?</v>
      </c>
      <c r="P38" s="101" t="e">
        <f ca="1"/>
        <v>#NAME?</v>
      </c>
      <c r="Q38" s="4" t="e">
        <f ca="1"/>
        <v>#NAME?</v>
      </c>
      <c r="R38" s="4" t="e">
        <f ca="1"/>
        <v>#NAME?</v>
      </c>
      <c r="S38" s="4" t="e">
        <f ca="1"/>
        <v>#NAME?</v>
      </c>
      <c r="T38" s="4" t="e">
        <f ca="1"/>
        <v>#NAME?</v>
      </c>
      <c r="U38" s="4" t="e">
        <f ca="1"/>
        <v>#NAME?</v>
      </c>
      <c r="V38" s="4" t="e">
        <f ca="1"/>
        <v>#NAME?</v>
      </c>
      <c r="W38" s="4" t="e">
        <f ca="1"/>
        <v>#NAME?</v>
      </c>
      <c r="X38" s="4" t="e">
        <f ca="1"/>
        <v>#NAME?</v>
      </c>
      <c r="Y38" s="102" t="e">
        <f ca="1"/>
        <v>#NAME?</v>
      </c>
      <c r="Z38" t="e">
        <f ca="1"/>
        <v>#NAME?</v>
      </c>
      <c r="AA38" t="e">
        <f ca="1"/>
        <v>#NAME?</v>
      </c>
    </row>
    <row r="39" spans="1:27" x14ac:dyDescent="0.35">
      <c r="A39" t="s">
        <v>281</v>
      </c>
      <c r="B39" s="466">
        <f>IF(ISNUMBER(B11),(B11-B24)^2/'Rasch A'!O173,"")</f>
        <v>0.21813039066926321</v>
      </c>
      <c r="C39" s="447">
        <f>IF(ISNUMBER(C11),(C11-C24)^2/'Rasch A'!P173,"")</f>
        <v>0.21772773435281348</v>
      </c>
      <c r="D39" s="447">
        <f>IF(ISNUMBER(D11),(D11-D24)^2/'Rasch A'!Q173,"")</f>
        <v>0.21772773435281348</v>
      </c>
      <c r="E39" s="447">
        <f>IF(ISNUMBER(E11),(E11-E24)^2/'Rasch A'!R173,"")</f>
        <v>0.69760928954764778</v>
      </c>
      <c r="F39" s="447">
        <f>IF(ISNUMBER(F11),(F11-F24)^2/'Rasch A'!S173,"")</f>
        <v>0.60052222482924633</v>
      </c>
      <c r="G39" s="447">
        <f>IF(ISNUMBER(G11),(G11-G24)^2/'Rasch A'!T173,"")</f>
        <v>0.27912623413043769</v>
      </c>
      <c r="H39" s="447">
        <f>IF(ISNUMBER(H11),(H11-H24)^2/'Rasch A'!U173,"")</f>
        <v>0.27912623413043786</v>
      </c>
      <c r="I39" s="447">
        <f>IF(ISNUMBER(I11),(I11-I24)^2/'Rasch A'!V173,"")</f>
        <v>0.13404556790589903</v>
      </c>
      <c r="J39" s="447">
        <f>IF(ISNUMBER(J11),(J11-J24)^2/'Rasch A'!W173,"")</f>
        <v>7.1475316295080667E-3</v>
      </c>
      <c r="K39" s="448">
        <f>IF(ISNUMBER(K11),(K11-K24)^2/'Rasch A'!X173,"")</f>
        <v>7.1475316295080667E-3</v>
      </c>
      <c r="L39" s="101">
        <f t="shared" si="0"/>
        <v>0.26583104731775753</v>
      </c>
      <c r="M39" s="102">
        <f>SUMSQ('Rasch A'!AA173:AJ173)/'Rasch A'!Y173</f>
        <v>0.37657327442968036</v>
      </c>
      <c r="O39" t="e">
        <f ca="1"/>
        <v>#NAME?</v>
      </c>
      <c r="P39" s="101" t="e">
        <f ca="1"/>
        <v>#NAME?</v>
      </c>
      <c r="Q39" s="4" t="e">
        <f ca="1"/>
        <v>#NAME?</v>
      </c>
      <c r="R39" s="4" t="e">
        <f ca="1"/>
        <v>#NAME?</v>
      </c>
      <c r="S39" s="4" t="e">
        <f ca="1"/>
        <v>#NAME?</v>
      </c>
      <c r="T39" s="4" t="e">
        <f ca="1"/>
        <v>#NAME?</v>
      </c>
      <c r="U39" s="4" t="e">
        <f ca="1"/>
        <v>#NAME?</v>
      </c>
      <c r="V39" s="4" t="e">
        <f ca="1"/>
        <v>#NAME?</v>
      </c>
      <c r="W39" s="4" t="e">
        <f ca="1"/>
        <v>#NAME?</v>
      </c>
      <c r="X39" s="4" t="e">
        <f ca="1"/>
        <v>#NAME?</v>
      </c>
      <c r="Y39" s="102" t="e">
        <f ca="1"/>
        <v>#NAME?</v>
      </c>
      <c r="Z39" t="e">
        <f ca="1"/>
        <v>#NAME?</v>
      </c>
      <c r="AA39" t="e">
        <f ca="1"/>
        <v>#NAME?</v>
      </c>
    </row>
    <row r="40" spans="1:27" x14ac:dyDescent="0.35">
      <c r="A40" t="s">
        <v>537</v>
      </c>
      <c r="B40" s="466">
        <f>IF(ISNUMBER(B12),(B12-B25)^2/'Rasch A'!O174,"")</f>
        <v>0.21813039066926321</v>
      </c>
      <c r="C40" s="447">
        <f>IF(ISNUMBER(C12),(C12-C25)^2/'Rasch A'!P174,"")</f>
        <v>4.5486619219130198</v>
      </c>
      <c r="D40" s="447">
        <f>IF(ISNUMBER(D12),(D12-D25)^2/'Rasch A'!Q174,"")</f>
        <v>0.21772773435281348</v>
      </c>
      <c r="E40" s="447">
        <f>IF(ISNUMBER(E12),(E12-E25)^2/'Rasch A'!R174,"")</f>
        <v>1.4340503657947805</v>
      </c>
      <c r="F40" s="447">
        <f>IF(ISNUMBER(F12),(F12-F25)^2/'Rasch A'!S174,"")</f>
        <v>1.6574055258436626</v>
      </c>
      <c r="G40" s="447">
        <f>IF(ISNUMBER(G12),(G12-G25)^2/'Rasch A'!T174,"")</f>
        <v>0.27912623413043769</v>
      </c>
      <c r="H40" s="447">
        <f>IF(ISNUMBER(H12),(H12-H25)^2/'Rasch A'!U174,"")</f>
        <v>3.5123165538738519</v>
      </c>
      <c r="I40" s="447">
        <f>IF(ISNUMBER(I12),(I12-I25)^2/'Rasch A'!V174,"")</f>
        <v>0.13404556790589903</v>
      </c>
      <c r="J40" s="447">
        <f>IF(ISNUMBER(J12),(J12-J25)^2/'Rasch A'!W174,"")</f>
        <v>7.1475316295080667E-3</v>
      </c>
      <c r="K40" s="448">
        <f>IF(ISNUMBER(K12),(K12-K25)^2/'Rasch A'!X174,"")</f>
        <v>7.1475316295080667E-3</v>
      </c>
      <c r="L40" s="101">
        <f t="shared" si="0"/>
        <v>1.2015759357742744</v>
      </c>
      <c r="M40" s="102">
        <f>SUMSQ('Rasch A'!AA174:AJ174)/'Rasch A'!Y174</f>
        <v>1.5371629343763529</v>
      </c>
      <c r="O40" t="e">
        <f ca="1"/>
        <v>#NAME?</v>
      </c>
      <c r="P40" s="101" t="e">
        <f ca="1"/>
        <v>#NAME?</v>
      </c>
      <c r="Q40" s="4" t="e">
        <f ca="1"/>
        <v>#NAME?</v>
      </c>
      <c r="R40" s="4" t="e">
        <f ca="1"/>
        <v>#NAME?</v>
      </c>
      <c r="S40" s="4" t="e">
        <f ca="1"/>
        <v>#NAME?</v>
      </c>
      <c r="T40" s="4" t="e">
        <f ca="1"/>
        <v>#NAME?</v>
      </c>
      <c r="U40" s="4" t="e">
        <f ca="1"/>
        <v>#NAME?</v>
      </c>
      <c r="V40" s="4" t="e">
        <f ca="1"/>
        <v>#NAME?</v>
      </c>
      <c r="W40" s="4" t="e">
        <f ca="1"/>
        <v>#NAME?</v>
      </c>
      <c r="X40" s="4" t="e">
        <f ca="1"/>
        <v>#NAME?</v>
      </c>
      <c r="Y40" s="102" t="e">
        <f ca="1"/>
        <v>#NAME?</v>
      </c>
      <c r="Z40" t="e">
        <f ca="1"/>
        <v>#NAME?</v>
      </c>
      <c r="AA40" t="e">
        <f ca="1"/>
        <v>#NAME?</v>
      </c>
    </row>
    <row r="41" spans="1:27" x14ac:dyDescent="0.35">
      <c r="A41" t="s">
        <v>905</v>
      </c>
      <c r="B41" s="449">
        <f>IF(ISNUMBER(B13),(B13-B26)^2/'Rasch A'!O175,"")</f>
        <v>0.99681994276888597</v>
      </c>
      <c r="C41" s="450">
        <f>IF(ISNUMBER(C13),(C13-C26)^2/'Rasch A'!P175,"")</f>
        <v>1.0011614036079122</v>
      </c>
      <c r="D41" s="450">
        <f>IF(ISNUMBER(D13),(D13-D26)^2/'Rasch A'!Q175,"")</f>
        <v>0.99884582818872236</v>
      </c>
      <c r="E41" s="450">
        <f>IF(ISNUMBER(E13),(E13-E26)^2/'Rasch A'!R175,"")</f>
        <v>3.169310517063709</v>
      </c>
      <c r="F41" s="450">
        <f>IF(ISNUMBER(F13),(F13-F26)^2/'Rasch A'!S175,"")</f>
        <v>0.12935630429331216</v>
      </c>
      <c r="G41" s="450">
        <f>IF(ISNUMBER(G13),(G13-G26)^2/'Rasch A'!T175,"")</f>
        <v>5.9989115828427086E-2</v>
      </c>
      <c r="H41" s="450">
        <f>IF(ISNUMBER(H13),(H13-H26)^2/'Rasch A'!U175,"")</f>
        <v>5.9989115828427163E-2</v>
      </c>
      <c r="I41" s="450">
        <f>IF(ISNUMBER(I13),(I13-I26)^2/'Rasch A'!V175,"")</f>
        <v>2.8816055579710665E-2</v>
      </c>
      <c r="J41" s="450">
        <f>IF(ISNUMBER(J13),(J13-J26)^2/'Rasch A'!W175,"")</f>
        <v>1.541477792488371E-3</v>
      </c>
      <c r="K41" s="451">
        <f>IF(ISNUMBER(K13),(K13-K26)^2/'Rasch A'!X175,"")</f>
        <v>1.541477792488371E-3</v>
      </c>
      <c r="L41" s="89">
        <f t="shared" si="0"/>
        <v>0.6447371238744084</v>
      </c>
      <c r="M41" s="93">
        <f>SUMSQ('Rasch A'!AA175:AJ175)/'Rasch A'!Y175</f>
        <v>1.1403227672908378</v>
      </c>
      <c r="O41" t="e">
        <f ca="1"/>
        <v>#NAME?</v>
      </c>
      <c r="P41" s="89" t="e">
        <f ca="1"/>
        <v>#NAME?</v>
      </c>
      <c r="Q41" s="159" t="e">
        <f ca="1"/>
        <v>#NAME?</v>
      </c>
      <c r="R41" s="159" t="e">
        <f ca="1"/>
        <v>#NAME?</v>
      </c>
      <c r="S41" s="159" t="e">
        <f ca="1"/>
        <v>#NAME?</v>
      </c>
      <c r="T41" s="159" t="e">
        <f ca="1"/>
        <v>#NAME?</v>
      </c>
      <c r="U41" s="159" t="e">
        <f ca="1"/>
        <v>#NAME?</v>
      </c>
      <c r="V41" s="159" t="e">
        <f ca="1"/>
        <v>#NAME?</v>
      </c>
      <c r="W41" s="159" t="e">
        <f ca="1"/>
        <v>#NAME?</v>
      </c>
      <c r="X41" s="159" t="e">
        <f ca="1"/>
        <v>#NAME?</v>
      </c>
      <c r="Y41" s="93" t="e">
        <f ca="1"/>
        <v>#NAME?</v>
      </c>
      <c r="Z41" t="e">
        <f ca="1"/>
        <v>#NAME?</v>
      </c>
      <c r="AA41" t="e">
        <f ca="1"/>
        <v>#NAME?</v>
      </c>
    </row>
    <row r="42" spans="1:27" x14ac:dyDescent="0.35">
      <c r="A42" t="s">
        <v>912</v>
      </c>
      <c r="B42" s="423">
        <f>AVERAGE(B33:B41)</f>
        <v>0.19691675554480631</v>
      </c>
      <c r="C42" s="424">
        <f t="shared" ref="C42:K42" si="1">AVERAGE(C33:C41)</f>
        <v>0.65675545420768355</v>
      </c>
      <c r="D42" s="424">
        <f t="shared" si="1"/>
        <v>0.17528325832108402</v>
      </c>
      <c r="E42" s="424">
        <f t="shared" si="1"/>
        <v>6.0406611630446863</v>
      </c>
      <c r="F42" s="424">
        <f t="shared" si="1"/>
        <v>0.64146924989538801</v>
      </c>
      <c r="G42" s="424">
        <f t="shared" si="1"/>
        <v>0.38211110346233057</v>
      </c>
      <c r="H42" s="424">
        <f t="shared" si="1"/>
        <v>1.291630183541961</v>
      </c>
      <c r="I42" s="424">
        <f t="shared" si="1"/>
        <v>0.34468763919847151</v>
      </c>
      <c r="J42" s="424">
        <f t="shared" si="1"/>
        <v>0.56377748116845727</v>
      </c>
      <c r="K42" s="424">
        <f t="shared" si="1"/>
        <v>0.14716908579361809</v>
      </c>
      <c r="L42" s="423" t="s">
        <v>312</v>
      </c>
      <c r="M42" s="425">
        <v>14</v>
      </c>
      <c r="O42" t="e">
        <f ca="1"/>
        <v>#NAME?</v>
      </c>
      <c r="P42" t="e">
        <f ca="1"/>
        <v>#NAME?</v>
      </c>
      <c r="Q42" t="e">
        <f ca="1"/>
        <v>#NAME?</v>
      </c>
      <c r="R42" t="e">
        <f ca="1"/>
        <v>#NAME?</v>
      </c>
      <c r="S42" t="e">
        <f ca="1"/>
        <v>#NAME?</v>
      </c>
      <c r="T42" t="e">
        <f ca="1"/>
        <v>#NAME?</v>
      </c>
      <c r="U42" t="e">
        <f ca="1"/>
        <v>#NAME?</v>
      </c>
      <c r="V42" t="e">
        <f ca="1"/>
        <v>#NAME?</v>
      </c>
      <c r="W42" t="e">
        <f ca="1"/>
        <v>#NAME?</v>
      </c>
      <c r="X42" t="e">
        <f ca="1"/>
        <v>#NAME?</v>
      </c>
      <c r="Y42" t="e">
        <f ca="1"/>
        <v>#NAME?</v>
      </c>
      <c r="Z42" t="e">
        <f ca="1"/>
        <v>#NAME?</v>
      </c>
      <c r="AA42" t="e">
        <f ca="1"/>
        <v>#NAME?</v>
      </c>
    </row>
    <row r="43" spans="1:27" x14ac:dyDescent="0.35">
      <c r="A43" t="s">
        <v>913</v>
      </c>
      <c r="B43" s="89">
        <f>SUMSQ('Rasch A'!AA257:AA265)/SUM('Rasch A'!O257:O265)</f>
        <v>0.46832056222680957</v>
      </c>
      <c r="C43" s="159">
        <f>SUMSQ('Rasch A'!AB257:AB265)/SUM('Rasch A'!P257:P265)</f>
        <v>1.4114121871244338</v>
      </c>
      <c r="D43" s="159">
        <f>SUMSQ('Rasch A'!AC257:AC265)/SUM('Rasch A'!Q257:Q265)</f>
        <v>0.46915957438130446</v>
      </c>
      <c r="E43" s="159">
        <f>SUMSQ('Rasch A'!AD257:AD265)/SUM('Rasch A'!R257:R265)</f>
        <v>2.0243969070139283</v>
      </c>
      <c r="F43" s="159">
        <f>SUMSQ('Rasch A'!AE257:AE265)/SUM('Rasch A'!S257:S265)</f>
        <v>0.9456649555630996</v>
      </c>
      <c r="G43" s="159">
        <f>SUMSQ('Rasch A'!AF257:AF265)/SUM('Rasch A'!T257:T265)</f>
        <v>0.53905729328658614</v>
      </c>
      <c r="H43" s="159">
        <f>SUMSQ('Rasch A'!AG257:AG265)/SUM('Rasch A'!U257:U265)</f>
        <v>1.6070174911908965</v>
      </c>
      <c r="I43" s="159">
        <f>SUMSQ('Rasch A'!AH257:AH265)/SUM('Rasch A'!V257:V265)</f>
        <v>0.48835734220245669</v>
      </c>
      <c r="J43" s="159">
        <f>SUMSQ('Rasch A'!AI257:AI265)/SUM('Rasch A'!W257:W265)</f>
        <v>1.4632241972271669</v>
      </c>
      <c r="K43" s="159">
        <f>SUMSQ('Rasch A'!AJ257:AJ265)/SUM('Rasch A'!X257:X265)</f>
        <v>0.41036530603097021</v>
      </c>
      <c r="L43" s="89" t="s">
        <v>928</v>
      </c>
      <c r="M43" s="93">
        <f>'Rasch A'!AK266</f>
        <v>1.3623978095823421E-5</v>
      </c>
      <c r="O43" t="e">
        <f ca="1"/>
        <v>#NAME?</v>
      </c>
      <c r="P43" t="e">
        <f ca="1"/>
        <v>#NAME?</v>
      </c>
      <c r="Q43" t="e">
        <f ca="1"/>
        <v>#NAME?</v>
      </c>
      <c r="R43" t="e">
        <f ca="1"/>
        <v>#NAME?</v>
      </c>
      <c r="S43" t="e">
        <f ca="1"/>
        <v>#NAME?</v>
      </c>
      <c r="T43" t="e">
        <f ca="1"/>
        <v>#NAME?</v>
      </c>
      <c r="U43" t="e">
        <f ca="1"/>
        <v>#NAME?</v>
      </c>
      <c r="V43" t="e">
        <f ca="1"/>
        <v>#NAME?</v>
      </c>
      <c r="W43" t="e">
        <f ca="1"/>
        <v>#NAME?</v>
      </c>
      <c r="X43" t="e">
        <f ca="1"/>
        <v>#NAME?</v>
      </c>
      <c r="Y43" t="e">
        <f ca="1"/>
        <v>#NAME?</v>
      </c>
      <c r="Z43" t="e">
        <f ca="1"/>
        <v>#NAME?</v>
      </c>
      <c r="AA43" t="e">
        <f ca="1"/>
        <v>#NAME?</v>
      </c>
    </row>
  </sheetData>
  <conditionalFormatting sqref="B33:K43">
    <cfRule type="cellIs" dxfId="5" priority="2" operator="greaterThan">
      <formula>1.3</formula>
    </cfRule>
  </conditionalFormatting>
  <conditionalFormatting sqref="L33:M41">
    <cfRule type="cellIs" dxfId="4" priority="1" operator="greaterThan">
      <formula>1.3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42"/>
  <dimension ref="A1:B22"/>
  <sheetViews>
    <sheetView workbookViewId="0"/>
  </sheetViews>
  <sheetFormatPr defaultRowHeight="14.5" x14ac:dyDescent="0.35"/>
  <cols>
    <col min="1" max="1" width="5.81640625" customWidth="1"/>
    <col min="2" max="2" width="12" bestFit="1" customWidth="1"/>
  </cols>
  <sheetData>
    <row r="1" spans="1:2" x14ac:dyDescent="0.35">
      <c r="A1" s="6" t="s">
        <v>107</v>
      </c>
      <c r="B1" s="6" t="s">
        <v>929</v>
      </c>
    </row>
    <row r="2" spans="1:2" x14ac:dyDescent="0.35">
      <c r="A2">
        <v>-10</v>
      </c>
      <c r="B2">
        <f>EXP(A2)/(1+EXP(A2))</f>
        <v>4.5397868702434395E-5</v>
      </c>
    </row>
    <row r="3" spans="1:2" x14ac:dyDescent="0.35">
      <c r="A3">
        <f>A2+1</f>
        <v>-9</v>
      </c>
      <c r="B3">
        <f t="shared" ref="B3:B22" si="0">EXP(A3)/(1+EXP(A3))</f>
        <v>1.2339457598623172E-4</v>
      </c>
    </row>
    <row r="4" spans="1:2" x14ac:dyDescent="0.35">
      <c r="A4">
        <f t="shared" ref="A4:A22" si="1">A3+1</f>
        <v>-8</v>
      </c>
      <c r="B4">
        <f t="shared" si="0"/>
        <v>3.3535013046647816E-4</v>
      </c>
    </row>
    <row r="5" spans="1:2" x14ac:dyDescent="0.35">
      <c r="A5">
        <f t="shared" si="1"/>
        <v>-7</v>
      </c>
      <c r="B5">
        <f t="shared" si="0"/>
        <v>9.1105119440064539E-4</v>
      </c>
    </row>
    <row r="6" spans="1:2" x14ac:dyDescent="0.35">
      <c r="A6">
        <f t="shared" si="1"/>
        <v>-6</v>
      </c>
      <c r="B6">
        <f t="shared" si="0"/>
        <v>2.4726231566347748E-3</v>
      </c>
    </row>
    <row r="7" spans="1:2" x14ac:dyDescent="0.35">
      <c r="A7">
        <f t="shared" si="1"/>
        <v>-5</v>
      </c>
      <c r="B7">
        <f t="shared" si="0"/>
        <v>6.6928509242848563E-3</v>
      </c>
    </row>
    <row r="8" spans="1:2" x14ac:dyDescent="0.35">
      <c r="A8">
        <f t="shared" si="1"/>
        <v>-4</v>
      </c>
      <c r="B8">
        <f t="shared" si="0"/>
        <v>1.7986209962091555E-2</v>
      </c>
    </row>
    <row r="9" spans="1:2" x14ac:dyDescent="0.35">
      <c r="A9">
        <f t="shared" si="1"/>
        <v>-3</v>
      </c>
      <c r="B9">
        <f t="shared" si="0"/>
        <v>4.7425873177566788E-2</v>
      </c>
    </row>
    <row r="10" spans="1:2" x14ac:dyDescent="0.35">
      <c r="A10">
        <f t="shared" si="1"/>
        <v>-2</v>
      </c>
      <c r="B10">
        <f t="shared" si="0"/>
        <v>0.11920292202211755</v>
      </c>
    </row>
    <row r="11" spans="1:2" x14ac:dyDescent="0.35">
      <c r="A11">
        <f t="shared" si="1"/>
        <v>-1</v>
      </c>
      <c r="B11">
        <f t="shared" si="0"/>
        <v>0.2689414213699951</v>
      </c>
    </row>
    <row r="12" spans="1:2" x14ac:dyDescent="0.35">
      <c r="A12">
        <f t="shared" si="1"/>
        <v>0</v>
      </c>
      <c r="B12">
        <f t="shared" si="0"/>
        <v>0.5</v>
      </c>
    </row>
    <row r="13" spans="1:2" x14ac:dyDescent="0.35">
      <c r="A13">
        <f t="shared" si="1"/>
        <v>1</v>
      </c>
      <c r="B13">
        <f t="shared" si="0"/>
        <v>0.7310585786300049</v>
      </c>
    </row>
    <row r="14" spans="1:2" x14ac:dyDescent="0.35">
      <c r="A14">
        <f t="shared" si="1"/>
        <v>2</v>
      </c>
      <c r="B14">
        <f t="shared" si="0"/>
        <v>0.88079707797788243</v>
      </c>
    </row>
    <row r="15" spans="1:2" x14ac:dyDescent="0.35">
      <c r="A15">
        <f t="shared" si="1"/>
        <v>3</v>
      </c>
      <c r="B15">
        <f t="shared" si="0"/>
        <v>0.95257412682243325</v>
      </c>
    </row>
    <row r="16" spans="1:2" x14ac:dyDescent="0.35">
      <c r="A16">
        <f t="shared" si="1"/>
        <v>4</v>
      </c>
      <c r="B16">
        <f t="shared" si="0"/>
        <v>0.98201379003790845</v>
      </c>
    </row>
    <row r="17" spans="1:2" x14ac:dyDescent="0.35">
      <c r="A17">
        <f t="shared" si="1"/>
        <v>5</v>
      </c>
      <c r="B17">
        <f t="shared" si="0"/>
        <v>0.99330714907571516</v>
      </c>
    </row>
    <row r="18" spans="1:2" x14ac:dyDescent="0.35">
      <c r="A18">
        <f t="shared" si="1"/>
        <v>6</v>
      </c>
      <c r="B18">
        <f t="shared" si="0"/>
        <v>0.99752737684336523</v>
      </c>
    </row>
    <row r="19" spans="1:2" x14ac:dyDescent="0.35">
      <c r="A19">
        <f t="shared" si="1"/>
        <v>7</v>
      </c>
      <c r="B19">
        <f t="shared" si="0"/>
        <v>0.9990889488055994</v>
      </c>
    </row>
    <row r="20" spans="1:2" x14ac:dyDescent="0.35">
      <c r="A20">
        <f t="shared" si="1"/>
        <v>8</v>
      </c>
      <c r="B20">
        <f t="shared" si="0"/>
        <v>0.99966464986953352</v>
      </c>
    </row>
    <row r="21" spans="1:2" x14ac:dyDescent="0.35">
      <c r="A21">
        <f t="shared" si="1"/>
        <v>9</v>
      </c>
      <c r="B21">
        <f t="shared" si="0"/>
        <v>0.9998766054240138</v>
      </c>
    </row>
    <row r="22" spans="1:2" x14ac:dyDescent="0.35">
      <c r="A22">
        <f t="shared" si="1"/>
        <v>10</v>
      </c>
      <c r="B22">
        <f t="shared" si="0"/>
        <v>0.99995460213129761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43"/>
  <dimension ref="A1:Y33"/>
  <sheetViews>
    <sheetView workbookViewId="0">
      <selection activeCell="V4" sqref="V4"/>
    </sheetView>
  </sheetViews>
  <sheetFormatPr defaultRowHeight="14.5" x14ac:dyDescent="0.35"/>
  <cols>
    <col min="1" max="11" width="4.26953125" customWidth="1"/>
  </cols>
  <sheetData>
    <row r="1" spans="1:25" x14ac:dyDescent="0.35">
      <c r="A1" s="1" t="s">
        <v>901</v>
      </c>
    </row>
    <row r="3" spans="1:25" x14ac:dyDescent="0.35">
      <c r="B3" s="563" t="s">
        <v>902</v>
      </c>
      <c r="C3" s="563"/>
      <c r="D3" s="563"/>
      <c r="E3" s="563"/>
      <c r="F3" s="563"/>
      <c r="G3" s="563"/>
      <c r="H3" s="563"/>
      <c r="I3" s="563"/>
      <c r="J3" s="563"/>
      <c r="K3" s="563"/>
      <c r="M3" t="s">
        <v>900</v>
      </c>
    </row>
    <row r="4" spans="1:25" ht="15" thickBot="1" x14ac:dyDescent="0.4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</row>
    <row r="5" spans="1:25" x14ac:dyDescent="0.35">
      <c r="A5" t="s">
        <v>218</v>
      </c>
      <c r="B5" s="435"/>
      <c r="C5" s="436">
        <v>1</v>
      </c>
      <c r="D5" s="436">
        <v>1</v>
      </c>
      <c r="E5" s="436">
        <v>1</v>
      </c>
      <c r="F5" s="436">
        <v>1</v>
      </c>
      <c r="G5" s="436">
        <v>1</v>
      </c>
      <c r="H5" s="436">
        <v>1</v>
      </c>
      <c r="I5" s="436">
        <v>1</v>
      </c>
      <c r="J5" s="436">
        <v>0</v>
      </c>
      <c r="K5" s="437">
        <v>1</v>
      </c>
      <c r="M5" t="s">
        <v>914</v>
      </c>
      <c r="N5" s="431">
        <v>25</v>
      </c>
    </row>
    <row r="6" spans="1:25" x14ac:dyDescent="0.35">
      <c r="A6" t="s">
        <v>98</v>
      </c>
      <c r="B6" s="439">
        <v>1</v>
      </c>
      <c r="C6" s="440">
        <v>1</v>
      </c>
      <c r="D6" s="440">
        <v>1</v>
      </c>
      <c r="E6" s="440">
        <v>0</v>
      </c>
      <c r="F6" s="440">
        <v>1</v>
      </c>
      <c r="G6" s="440">
        <v>1</v>
      </c>
      <c r="H6" s="440">
        <v>1</v>
      </c>
      <c r="I6" s="440">
        <v>1</v>
      </c>
      <c r="J6" s="440">
        <v>1</v>
      </c>
      <c r="K6" s="441">
        <v>0</v>
      </c>
      <c r="M6" t="s">
        <v>915</v>
      </c>
      <c r="N6" s="147">
        <v>1.0000000000000001E-5</v>
      </c>
    </row>
    <row r="7" spans="1:25" x14ac:dyDescent="0.35">
      <c r="A7" t="s">
        <v>99</v>
      </c>
      <c r="B7" s="439">
        <v>1</v>
      </c>
      <c r="C7" s="440">
        <v>1</v>
      </c>
      <c r="D7" s="440">
        <v>1</v>
      </c>
      <c r="E7" s="440">
        <v>1</v>
      </c>
      <c r="F7" s="440">
        <v>1</v>
      </c>
      <c r="G7" s="440">
        <v>1</v>
      </c>
      <c r="H7" s="440">
        <v>0</v>
      </c>
      <c r="I7" s="440">
        <v>1</v>
      </c>
      <c r="J7" s="440">
        <v>0</v>
      </c>
      <c r="K7" s="441">
        <v>0</v>
      </c>
      <c r="M7" t="s">
        <v>916</v>
      </c>
      <c r="N7" s="155">
        <v>1.3</v>
      </c>
    </row>
    <row r="8" spans="1:25" x14ac:dyDescent="0.35">
      <c r="A8" t="s">
        <v>100</v>
      </c>
      <c r="B8" s="439">
        <v>1</v>
      </c>
      <c r="C8" s="440">
        <v>1</v>
      </c>
      <c r="D8" s="440">
        <v>1</v>
      </c>
      <c r="E8" s="440">
        <v>1</v>
      </c>
      <c r="F8" s="440">
        <v>1</v>
      </c>
      <c r="G8" s="440">
        <v>1</v>
      </c>
      <c r="H8" s="440">
        <v>0</v>
      </c>
      <c r="I8" s="440">
        <v>1</v>
      </c>
      <c r="J8" s="440">
        <v>0</v>
      </c>
      <c r="K8" s="441">
        <v>0</v>
      </c>
    </row>
    <row r="9" spans="1:25" x14ac:dyDescent="0.35">
      <c r="A9" t="s">
        <v>536</v>
      </c>
      <c r="B9" s="439">
        <v>1</v>
      </c>
      <c r="C9" s="440">
        <v>1</v>
      </c>
      <c r="D9" s="440">
        <v>1</v>
      </c>
      <c r="E9" s="440">
        <v>1</v>
      </c>
      <c r="F9" s="440">
        <v>0</v>
      </c>
      <c r="G9" s="440">
        <v>1</v>
      </c>
      <c r="H9" s="440">
        <v>1</v>
      </c>
      <c r="I9" s="440">
        <v>0</v>
      </c>
      <c r="J9" s="440">
        <v>0</v>
      </c>
      <c r="K9" s="441">
        <v>0</v>
      </c>
      <c r="M9" t="e">
        <f t="array" aca="1" ref="M9:Y20" ca="1">RASCH(A4:K13,TRUE,N5,N6)</f>
        <v>#NAME?</v>
      </c>
      <c r="N9" t="e">
        <f ca="1"/>
        <v>#NAME?</v>
      </c>
      <c r="O9" t="e">
        <f ca="1"/>
        <v>#NAME?</v>
      </c>
      <c r="P9" t="e">
        <f ca="1"/>
        <v>#NAME?</v>
      </c>
      <c r="Q9" t="e">
        <f ca="1"/>
        <v>#NAME?</v>
      </c>
      <c r="R9" t="e">
        <f ca="1"/>
        <v>#NAME?</v>
      </c>
      <c r="S9" t="e">
        <f ca="1"/>
        <v>#NAME?</v>
      </c>
      <c r="T9" t="e">
        <f ca="1"/>
        <v>#NAME?</v>
      </c>
      <c r="U9" t="e">
        <f ca="1"/>
        <v>#NAME?</v>
      </c>
      <c r="V9" t="e">
        <f ca="1"/>
        <v>#NAME?</v>
      </c>
      <c r="W9" t="e">
        <f ca="1"/>
        <v>#NAME?</v>
      </c>
      <c r="X9" s="6" t="e">
        <f ca="1"/>
        <v>#NAME?</v>
      </c>
      <c r="Y9" s="6" t="e">
        <f ca="1"/>
        <v>#NAME?</v>
      </c>
    </row>
    <row r="10" spans="1:25" x14ac:dyDescent="0.35">
      <c r="A10" t="s">
        <v>101</v>
      </c>
      <c r="B10" s="439">
        <v>1</v>
      </c>
      <c r="C10" s="440">
        <v>1</v>
      </c>
      <c r="D10" s="440">
        <v>1</v>
      </c>
      <c r="E10" s="440">
        <v>1</v>
      </c>
      <c r="F10" s="440">
        <v>1</v>
      </c>
      <c r="G10" s="440">
        <v>0</v>
      </c>
      <c r="H10" s="440">
        <v>1</v>
      </c>
      <c r="I10" s="440">
        <v>0</v>
      </c>
      <c r="J10" s="440">
        <v>0</v>
      </c>
      <c r="K10" s="441">
        <v>0</v>
      </c>
      <c r="M10" t="e">
        <f ca="1"/>
        <v>#NAME?</v>
      </c>
      <c r="N10" s="419" t="e">
        <f ca="1"/>
        <v>#NAME?</v>
      </c>
      <c r="O10" s="420" t="e">
        <f ca="1"/>
        <v>#NAME?</v>
      </c>
      <c r="P10" s="420" t="e">
        <f ca="1"/>
        <v>#NAME?</v>
      </c>
      <c r="Q10" s="420" t="e">
        <f ca="1"/>
        <v>#NAME?</v>
      </c>
      <c r="R10" s="420" t="e">
        <f ca="1"/>
        <v>#NAME?</v>
      </c>
      <c r="S10" s="420" t="e">
        <f ca="1"/>
        <v>#NAME?</v>
      </c>
      <c r="T10" s="420" t="e">
        <f ca="1"/>
        <v>#NAME?</v>
      </c>
      <c r="U10" s="420" t="e">
        <f ca="1"/>
        <v>#NAME?</v>
      </c>
      <c r="V10" s="420" t="e">
        <f ca="1"/>
        <v>#NAME?</v>
      </c>
      <c r="W10" s="421" t="e">
        <f ca="1"/>
        <v>#NAME?</v>
      </c>
      <c r="X10" s="419" t="e">
        <f ca="1"/>
        <v>#NAME?</v>
      </c>
      <c r="Y10" s="421" t="e">
        <f ca="1"/>
        <v>#NAME?</v>
      </c>
    </row>
    <row r="11" spans="1:25" x14ac:dyDescent="0.35">
      <c r="A11" t="s">
        <v>281</v>
      </c>
      <c r="B11" s="439">
        <v>1</v>
      </c>
      <c r="C11" s="440">
        <v>1</v>
      </c>
      <c r="D11" s="440">
        <v>1</v>
      </c>
      <c r="E11" s="440">
        <v>1</v>
      </c>
      <c r="F11" s="440">
        <v>0</v>
      </c>
      <c r="G11" s="440">
        <v>0</v>
      </c>
      <c r="H11" s="440">
        <v>0</v>
      </c>
      <c r="I11" s="440">
        <v>0</v>
      </c>
      <c r="J11" s="440">
        <v>0</v>
      </c>
      <c r="K11" s="441">
        <v>0</v>
      </c>
      <c r="M11" t="e">
        <f ca="1"/>
        <v>#NAME?</v>
      </c>
      <c r="N11" s="99" t="e">
        <f ca="1"/>
        <v>#NAME?</v>
      </c>
      <c r="O11" s="4" t="e">
        <f ca="1"/>
        <v>#NAME?</v>
      </c>
      <c r="P11" s="4" t="e">
        <f ca="1"/>
        <v>#NAME?</v>
      </c>
      <c r="Q11" s="4" t="e">
        <f ca="1"/>
        <v>#NAME?</v>
      </c>
      <c r="R11" s="4" t="e">
        <f ca="1"/>
        <v>#NAME?</v>
      </c>
      <c r="S11" s="4" t="e">
        <f ca="1"/>
        <v>#NAME?</v>
      </c>
      <c r="T11" s="4" t="e">
        <f ca="1"/>
        <v>#NAME?</v>
      </c>
      <c r="U11" s="4" t="e">
        <f ca="1"/>
        <v>#NAME?</v>
      </c>
      <c r="V11" s="4" t="e">
        <f ca="1"/>
        <v>#NAME?</v>
      </c>
      <c r="W11" s="32" t="e">
        <f ca="1"/>
        <v>#NAME?</v>
      </c>
      <c r="X11" s="99" t="e">
        <f ca="1"/>
        <v>#NAME?</v>
      </c>
      <c r="Y11" s="32" t="e">
        <f ca="1"/>
        <v>#NAME?</v>
      </c>
    </row>
    <row r="12" spans="1:25" x14ac:dyDescent="0.35">
      <c r="A12" t="s">
        <v>537</v>
      </c>
      <c r="B12" s="439">
        <v>1</v>
      </c>
      <c r="C12" s="440">
        <v>0</v>
      </c>
      <c r="D12" s="440">
        <v>1</v>
      </c>
      <c r="E12" s="440">
        <v>0</v>
      </c>
      <c r="F12" s="440">
        <v>1</v>
      </c>
      <c r="G12" s="440">
        <v>0</v>
      </c>
      <c r="H12" s="440">
        <v>1</v>
      </c>
      <c r="I12" s="440">
        <v>0</v>
      </c>
      <c r="J12" s="440">
        <v>0</v>
      </c>
      <c r="K12" s="441">
        <v>0</v>
      </c>
      <c r="M12" t="e">
        <f ca="1"/>
        <v>#NAME?</v>
      </c>
      <c r="N12" s="99" t="e">
        <f ca="1"/>
        <v>#NAME?</v>
      </c>
      <c r="O12" s="4" t="e">
        <f ca="1"/>
        <v>#NAME?</v>
      </c>
      <c r="P12" s="4" t="e">
        <f ca="1"/>
        <v>#NAME?</v>
      </c>
      <c r="Q12" s="4" t="e">
        <f ca="1"/>
        <v>#NAME?</v>
      </c>
      <c r="R12" s="4" t="e">
        <f ca="1"/>
        <v>#NAME?</v>
      </c>
      <c r="S12" s="4" t="e">
        <f ca="1"/>
        <v>#NAME?</v>
      </c>
      <c r="T12" s="4" t="e">
        <f ca="1"/>
        <v>#NAME?</v>
      </c>
      <c r="U12" s="4" t="e">
        <f ca="1"/>
        <v>#NAME?</v>
      </c>
      <c r="V12" s="4" t="e">
        <f ca="1"/>
        <v>#NAME?</v>
      </c>
      <c r="W12" s="32" t="e">
        <f ca="1"/>
        <v>#NAME?</v>
      </c>
      <c r="X12" s="99" t="e">
        <f ca="1"/>
        <v>#NAME?</v>
      </c>
      <c r="Y12" s="32" t="e">
        <f ca="1"/>
        <v>#NAME?</v>
      </c>
    </row>
    <row r="13" spans="1:25" ht="15" thickBot="1" x14ac:dyDescent="0.4">
      <c r="A13" t="s">
        <v>905</v>
      </c>
      <c r="B13" s="442">
        <v>0</v>
      </c>
      <c r="C13" s="443">
        <v>1</v>
      </c>
      <c r="D13" s="443">
        <v>0</v>
      </c>
      <c r="E13" s="443">
        <v>1</v>
      </c>
      <c r="F13" s="443">
        <v>0</v>
      </c>
      <c r="G13" s="443">
        <v>0</v>
      </c>
      <c r="H13" s="443">
        <v>0</v>
      </c>
      <c r="I13" s="443">
        <v>0</v>
      </c>
      <c r="J13" s="443">
        <v>0</v>
      </c>
      <c r="K13" s="444">
        <v>0</v>
      </c>
      <c r="M13" t="e">
        <f ca="1"/>
        <v>#NAME?</v>
      </c>
      <c r="N13" s="99" t="e">
        <f ca="1"/>
        <v>#NAME?</v>
      </c>
      <c r="O13" s="4" t="e">
        <f ca="1"/>
        <v>#NAME?</v>
      </c>
      <c r="P13" s="4" t="e">
        <f ca="1"/>
        <v>#NAME?</v>
      </c>
      <c r="Q13" s="4" t="e">
        <f ca="1"/>
        <v>#NAME?</v>
      </c>
      <c r="R13" s="4" t="e">
        <f ca="1"/>
        <v>#NAME?</v>
      </c>
      <c r="S13" s="4" t="e">
        <f ca="1"/>
        <v>#NAME?</v>
      </c>
      <c r="T13" s="4" t="e">
        <f ca="1"/>
        <v>#NAME?</v>
      </c>
      <c r="U13" s="4" t="e">
        <f ca="1"/>
        <v>#NAME?</v>
      </c>
      <c r="V13" s="4" t="e">
        <f ca="1"/>
        <v>#NAME?</v>
      </c>
      <c r="W13" s="32" t="e">
        <f ca="1"/>
        <v>#NAME?</v>
      </c>
      <c r="X13" s="99" t="e">
        <f ca="1"/>
        <v>#NAME?</v>
      </c>
      <c r="Y13" s="32" t="e">
        <f ca="1"/>
        <v>#NAME?</v>
      </c>
    </row>
    <row r="14" spans="1:25" x14ac:dyDescent="0.35">
      <c r="M14" t="e">
        <f ca="1"/>
        <v>#NAME?</v>
      </c>
      <c r="N14" s="99" t="e">
        <f ca="1"/>
        <v>#NAME?</v>
      </c>
      <c r="O14" s="4" t="e">
        <f ca="1"/>
        <v>#NAME?</v>
      </c>
      <c r="P14" s="4" t="e">
        <f ca="1"/>
        <v>#NAME?</v>
      </c>
      <c r="Q14" s="4" t="e">
        <f ca="1"/>
        <v>#NAME?</v>
      </c>
      <c r="R14" s="4" t="e">
        <f ca="1"/>
        <v>#NAME?</v>
      </c>
      <c r="S14" s="4" t="e">
        <f ca="1"/>
        <v>#NAME?</v>
      </c>
      <c r="T14" s="4" t="e">
        <f ca="1"/>
        <v>#NAME?</v>
      </c>
      <c r="U14" s="4" t="e">
        <f ca="1"/>
        <v>#NAME?</v>
      </c>
      <c r="V14" s="4" t="e">
        <f ca="1"/>
        <v>#NAME?</v>
      </c>
      <c r="W14" s="32" t="e">
        <f ca="1"/>
        <v>#NAME?</v>
      </c>
      <c r="X14" s="99" t="e">
        <f ca="1"/>
        <v>#NAME?</v>
      </c>
      <c r="Y14" s="32" t="e">
        <f ca="1"/>
        <v>#NAME?</v>
      </c>
    </row>
    <row r="15" spans="1:25" x14ac:dyDescent="0.35">
      <c r="M15" t="e">
        <f ca="1"/>
        <v>#NAME?</v>
      </c>
      <c r="N15" s="99" t="e">
        <f ca="1"/>
        <v>#NAME?</v>
      </c>
      <c r="O15" s="4" t="e">
        <f ca="1"/>
        <v>#NAME?</v>
      </c>
      <c r="P15" s="4" t="e">
        <f ca="1"/>
        <v>#NAME?</v>
      </c>
      <c r="Q15" s="4" t="e">
        <f ca="1"/>
        <v>#NAME?</v>
      </c>
      <c r="R15" s="4" t="e">
        <f ca="1"/>
        <v>#NAME?</v>
      </c>
      <c r="S15" s="4" t="e">
        <f ca="1"/>
        <v>#NAME?</v>
      </c>
      <c r="T15" s="4" t="e">
        <f ca="1"/>
        <v>#NAME?</v>
      </c>
      <c r="U15" s="4" t="e">
        <f ca="1"/>
        <v>#NAME?</v>
      </c>
      <c r="V15" s="4" t="e">
        <f ca="1"/>
        <v>#NAME?</v>
      </c>
      <c r="W15" s="32" t="e">
        <f ca="1"/>
        <v>#NAME?</v>
      </c>
      <c r="X15" s="99" t="e">
        <f ca="1"/>
        <v>#NAME?</v>
      </c>
      <c r="Y15" s="32" t="e">
        <f ca="1"/>
        <v>#NAME?</v>
      </c>
    </row>
    <row r="16" spans="1:25" x14ac:dyDescent="0.35">
      <c r="M16" t="e">
        <f ca="1"/>
        <v>#NAME?</v>
      </c>
      <c r="N16" s="99" t="e">
        <f ca="1"/>
        <v>#NAME?</v>
      </c>
      <c r="O16" s="4" t="e">
        <f ca="1"/>
        <v>#NAME?</v>
      </c>
      <c r="P16" s="4" t="e">
        <f ca="1"/>
        <v>#NAME?</v>
      </c>
      <c r="Q16" s="4" t="e">
        <f ca="1"/>
        <v>#NAME?</v>
      </c>
      <c r="R16" s="4" t="e">
        <f ca="1"/>
        <v>#NAME?</v>
      </c>
      <c r="S16" s="4" t="e">
        <f ca="1"/>
        <v>#NAME?</v>
      </c>
      <c r="T16" s="4" t="e">
        <f ca="1"/>
        <v>#NAME?</v>
      </c>
      <c r="U16" s="4" t="e">
        <f ca="1"/>
        <v>#NAME?</v>
      </c>
      <c r="V16" s="4" t="e">
        <f ca="1"/>
        <v>#NAME?</v>
      </c>
      <c r="W16" s="32" t="e">
        <f ca="1"/>
        <v>#NAME?</v>
      </c>
      <c r="X16" s="99" t="e">
        <f ca="1"/>
        <v>#NAME?</v>
      </c>
      <c r="Y16" s="32" t="e">
        <f ca="1"/>
        <v>#NAME?</v>
      </c>
    </row>
    <row r="17" spans="13:25" x14ac:dyDescent="0.35">
      <c r="M17" t="e">
        <f ca="1"/>
        <v>#NAME?</v>
      </c>
      <c r="N17" s="99" t="e">
        <f ca="1"/>
        <v>#NAME?</v>
      </c>
      <c r="O17" s="4" t="e">
        <f ca="1"/>
        <v>#NAME?</v>
      </c>
      <c r="P17" s="4" t="e">
        <f ca="1"/>
        <v>#NAME?</v>
      </c>
      <c r="Q17" s="4" t="e">
        <f ca="1"/>
        <v>#NAME?</v>
      </c>
      <c r="R17" s="4" t="e">
        <f ca="1"/>
        <v>#NAME?</v>
      </c>
      <c r="S17" s="4" t="e">
        <f ca="1"/>
        <v>#NAME?</v>
      </c>
      <c r="T17" s="4" t="e">
        <f ca="1"/>
        <v>#NAME?</v>
      </c>
      <c r="U17" s="4" t="e">
        <f ca="1"/>
        <v>#NAME?</v>
      </c>
      <c r="V17" s="4" t="e">
        <f ca="1"/>
        <v>#NAME?</v>
      </c>
      <c r="W17" s="32" t="e">
        <f ca="1"/>
        <v>#NAME?</v>
      </c>
      <c r="X17" s="99" t="e">
        <f ca="1"/>
        <v>#NAME?</v>
      </c>
      <c r="Y17" s="32" t="e">
        <f ca="1"/>
        <v>#NAME?</v>
      </c>
    </row>
    <row r="18" spans="13:25" x14ac:dyDescent="0.35">
      <c r="M18" t="e">
        <f ca="1"/>
        <v>#NAME?</v>
      </c>
      <c r="N18" s="156" t="e">
        <f ca="1"/>
        <v>#NAME?</v>
      </c>
      <c r="O18" s="157" t="e">
        <f ca="1"/>
        <v>#NAME?</v>
      </c>
      <c r="P18" s="157" t="e">
        <f ca="1"/>
        <v>#NAME?</v>
      </c>
      <c r="Q18" s="157" t="e">
        <f ca="1"/>
        <v>#NAME?</v>
      </c>
      <c r="R18" s="157" t="e">
        <f ca="1"/>
        <v>#NAME?</v>
      </c>
      <c r="S18" s="157" t="e">
        <f ca="1"/>
        <v>#NAME?</v>
      </c>
      <c r="T18" s="157" t="e">
        <f ca="1"/>
        <v>#NAME?</v>
      </c>
      <c r="U18" s="157" t="e">
        <f ca="1"/>
        <v>#NAME?</v>
      </c>
      <c r="V18" s="157" t="e">
        <f ca="1"/>
        <v>#NAME?</v>
      </c>
      <c r="W18" s="158" t="e">
        <f ca="1"/>
        <v>#NAME?</v>
      </c>
      <c r="X18" s="156" t="e">
        <f ca="1"/>
        <v>#NAME?</v>
      </c>
      <c r="Y18" s="158" t="e">
        <f ca="1"/>
        <v>#NAME?</v>
      </c>
    </row>
    <row r="19" spans="13:25" x14ac:dyDescent="0.35">
      <c r="M19" t="e">
        <f ca="1"/>
        <v>#NAME?</v>
      </c>
      <c r="N19" s="419" t="e">
        <f ca="1"/>
        <v>#NAME?</v>
      </c>
      <c r="O19" s="420" t="e">
        <f ca="1"/>
        <v>#NAME?</v>
      </c>
      <c r="P19" s="420" t="e">
        <f ca="1"/>
        <v>#NAME?</v>
      </c>
      <c r="Q19" s="420" t="e">
        <f ca="1"/>
        <v>#NAME?</v>
      </c>
      <c r="R19" s="420" t="e">
        <f ca="1"/>
        <v>#NAME?</v>
      </c>
      <c r="S19" s="420" t="e">
        <f ca="1"/>
        <v>#NAME?</v>
      </c>
      <c r="T19" s="420" t="e">
        <f ca="1"/>
        <v>#NAME?</v>
      </c>
      <c r="U19" s="420" t="e">
        <f ca="1"/>
        <v>#NAME?</v>
      </c>
      <c r="V19" s="420" t="e">
        <f ca="1"/>
        <v>#NAME?</v>
      </c>
      <c r="W19" s="421" t="e">
        <f ca="1"/>
        <v>#NAME?</v>
      </c>
      <c r="X19" s="452" t="e">
        <f ca="1"/>
        <v>#NAME?</v>
      </c>
      <c r="Y19" s="421" t="e">
        <f ca="1"/>
        <v>#NAME?</v>
      </c>
    </row>
    <row r="20" spans="13:25" x14ac:dyDescent="0.35">
      <c r="M20" t="e">
        <f ca="1"/>
        <v>#NAME?</v>
      </c>
      <c r="N20" s="156" t="e">
        <f ca="1"/>
        <v>#NAME?</v>
      </c>
      <c r="O20" s="157" t="e">
        <f ca="1"/>
        <v>#NAME?</v>
      </c>
      <c r="P20" s="157" t="e">
        <f ca="1"/>
        <v>#NAME?</v>
      </c>
      <c r="Q20" s="157" t="e">
        <f ca="1"/>
        <v>#NAME?</v>
      </c>
      <c r="R20" s="157" t="e">
        <f ca="1"/>
        <v>#NAME?</v>
      </c>
      <c r="S20" s="157" t="e">
        <f ca="1"/>
        <v>#NAME?</v>
      </c>
      <c r="T20" s="157" t="e">
        <f ca="1"/>
        <v>#NAME?</v>
      </c>
      <c r="U20" s="157" t="e">
        <f ca="1"/>
        <v>#NAME?</v>
      </c>
      <c r="V20" s="157" t="e">
        <f ca="1"/>
        <v>#NAME?</v>
      </c>
      <c r="W20" s="158" t="e">
        <f ca="1"/>
        <v>#NAME?</v>
      </c>
      <c r="X20" s="453" t="e">
        <f ca="1"/>
        <v>#NAME?</v>
      </c>
      <c r="Y20" s="158" t="e">
        <f ca="1"/>
        <v>#NAME?</v>
      </c>
    </row>
    <row r="22" spans="13:25" x14ac:dyDescent="0.35">
      <c r="M22" t="e">
        <f t="array" aca="1" ref="M22:Y33" ca="1">RASCHFIT(A4:K13,TRUE,N5,N6)</f>
        <v>#NAME?</v>
      </c>
      <c r="N22" t="e">
        <f ca="1"/>
        <v>#NAME?</v>
      </c>
      <c r="O22" t="e">
        <f ca="1"/>
        <v>#NAME?</v>
      </c>
      <c r="P22" t="e">
        <f ca="1"/>
        <v>#NAME?</v>
      </c>
      <c r="Q22" t="e">
        <f ca="1"/>
        <v>#NAME?</v>
      </c>
      <c r="R22" t="e">
        <f ca="1"/>
        <v>#NAME?</v>
      </c>
      <c r="S22" t="e">
        <f ca="1"/>
        <v>#NAME?</v>
      </c>
      <c r="T22" t="e">
        <f ca="1"/>
        <v>#NAME?</v>
      </c>
      <c r="U22" t="e">
        <f ca="1"/>
        <v>#NAME?</v>
      </c>
      <c r="V22" t="e">
        <f ca="1"/>
        <v>#NAME?</v>
      </c>
      <c r="W22" t="e">
        <f ca="1"/>
        <v>#NAME?</v>
      </c>
      <c r="X22" s="6" t="e">
        <f ca="1"/>
        <v>#NAME?</v>
      </c>
      <c r="Y22" s="6" t="e">
        <f ca="1"/>
        <v>#NAME?</v>
      </c>
    </row>
    <row r="23" spans="13:25" x14ac:dyDescent="0.35">
      <c r="M23" t="e">
        <f ca="1"/>
        <v>#NAME?</v>
      </c>
      <c r="N23" s="454" t="e">
        <f ca="1"/>
        <v>#NAME?</v>
      </c>
      <c r="O23" s="420" t="e">
        <f ca="1"/>
        <v>#NAME?</v>
      </c>
      <c r="P23" s="420" t="e">
        <f ca="1"/>
        <v>#NAME?</v>
      </c>
      <c r="Q23" s="420" t="e">
        <f ca="1"/>
        <v>#NAME?</v>
      </c>
      <c r="R23" s="420" t="e">
        <f ca="1"/>
        <v>#NAME?</v>
      </c>
      <c r="S23" s="420" t="e">
        <f ca="1"/>
        <v>#NAME?</v>
      </c>
      <c r="T23" s="420" t="e">
        <f ca="1"/>
        <v>#NAME?</v>
      </c>
      <c r="U23" s="420" t="e">
        <f ca="1"/>
        <v>#NAME?</v>
      </c>
      <c r="V23" s="420" t="e">
        <f ca="1"/>
        <v>#NAME?</v>
      </c>
      <c r="W23" s="421" t="e">
        <f ca="1"/>
        <v>#NAME?</v>
      </c>
      <c r="X23" s="419" t="e">
        <f ca="1"/>
        <v>#NAME?</v>
      </c>
      <c r="Y23" s="421" t="e">
        <f ca="1"/>
        <v>#NAME?</v>
      </c>
    </row>
    <row r="24" spans="13:25" x14ac:dyDescent="0.35">
      <c r="M24" t="e">
        <f ca="1"/>
        <v>#NAME?</v>
      </c>
      <c r="N24" s="99" t="e">
        <f ca="1"/>
        <v>#NAME?</v>
      </c>
      <c r="O24" s="4" t="e">
        <f ca="1"/>
        <v>#NAME?</v>
      </c>
      <c r="P24" s="4" t="e">
        <f ca="1"/>
        <v>#NAME?</v>
      </c>
      <c r="Q24" s="455" t="e">
        <f ca="1"/>
        <v>#NAME?</v>
      </c>
      <c r="R24" s="4" t="e">
        <f ca="1"/>
        <v>#NAME?</v>
      </c>
      <c r="S24" s="4" t="e">
        <f ca="1"/>
        <v>#NAME?</v>
      </c>
      <c r="T24" s="4" t="e">
        <f ca="1"/>
        <v>#NAME?</v>
      </c>
      <c r="U24" s="4" t="e">
        <f ca="1"/>
        <v>#NAME?</v>
      </c>
      <c r="V24" s="455" t="e">
        <f ca="1"/>
        <v>#NAME?</v>
      </c>
      <c r="W24" s="32" t="e">
        <f ca="1"/>
        <v>#NAME?</v>
      </c>
      <c r="X24" s="457" t="e">
        <f ca="1"/>
        <v>#NAME?</v>
      </c>
      <c r="Y24" s="456" t="e">
        <f ca="1"/>
        <v>#NAME?</v>
      </c>
    </row>
    <row r="25" spans="13:25" x14ac:dyDescent="0.35">
      <c r="M25" t="e">
        <f ca="1"/>
        <v>#NAME?</v>
      </c>
      <c r="N25" s="99" t="e">
        <f ca="1"/>
        <v>#NAME?</v>
      </c>
      <c r="O25" s="4" t="e">
        <f ca="1"/>
        <v>#NAME?</v>
      </c>
      <c r="P25" s="4" t="e">
        <f ca="1"/>
        <v>#NAME?</v>
      </c>
      <c r="Q25" s="4" t="e">
        <f ca="1"/>
        <v>#NAME?</v>
      </c>
      <c r="R25" s="4" t="e">
        <f ca="1"/>
        <v>#NAME?</v>
      </c>
      <c r="S25" s="4" t="e">
        <f ca="1"/>
        <v>#NAME?</v>
      </c>
      <c r="T25" s="455" t="e">
        <f ca="1"/>
        <v>#NAME?</v>
      </c>
      <c r="U25" s="4" t="e">
        <f ca="1"/>
        <v>#NAME?</v>
      </c>
      <c r="V25" s="4" t="e">
        <f ca="1"/>
        <v>#NAME?</v>
      </c>
      <c r="W25" s="32" t="e">
        <f ca="1"/>
        <v>#NAME?</v>
      </c>
      <c r="X25" s="99" t="e">
        <f ca="1"/>
        <v>#NAME?</v>
      </c>
      <c r="Y25" s="32" t="e">
        <f ca="1"/>
        <v>#NAME?</v>
      </c>
    </row>
    <row r="26" spans="13:25" x14ac:dyDescent="0.35">
      <c r="M26" t="e">
        <f ca="1"/>
        <v>#NAME?</v>
      </c>
      <c r="N26" s="99" t="e">
        <f ca="1"/>
        <v>#NAME?</v>
      </c>
      <c r="O26" s="4" t="e">
        <f ca="1"/>
        <v>#NAME?</v>
      </c>
      <c r="P26" s="4" t="e">
        <f ca="1"/>
        <v>#NAME?</v>
      </c>
      <c r="Q26" s="4" t="e">
        <f ca="1"/>
        <v>#NAME?</v>
      </c>
      <c r="R26" s="4" t="e">
        <f ca="1"/>
        <v>#NAME?</v>
      </c>
      <c r="S26" s="4" t="e">
        <f ca="1"/>
        <v>#NAME?</v>
      </c>
      <c r="T26" s="455" t="e">
        <f ca="1"/>
        <v>#NAME?</v>
      </c>
      <c r="U26" s="4" t="e">
        <f ca="1"/>
        <v>#NAME?</v>
      </c>
      <c r="V26" s="4" t="e">
        <f ca="1"/>
        <v>#NAME?</v>
      </c>
      <c r="W26" s="32" t="e">
        <f ca="1"/>
        <v>#NAME?</v>
      </c>
      <c r="X26" s="99" t="e">
        <f ca="1"/>
        <v>#NAME?</v>
      </c>
      <c r="Y26" s="32" t="e">
        <f ca="1"/>
        <v>#NAME?</v>
      </c>
    </row>
    <row r="27" spans="13:25" x14ac:dyDescent="0.35">
      <c r="M27" t="e">
        <f ca="1"/>
        <v>#NAME?</v>
      </c>
      <c r="N27" s="99" t="e">
        <f ca="1"/>
        <v>#NAME?</v>
      </c>
      <c r="O27" s="4" t="e">
        <f ca="1"/>
        <v>#NAME?</v>
      </c>
      <c r="P27" s="4" t="e">
        <f ca="1"/>
        <v>#NAME?</v>
      </c>
      <c r="Q27" s="4" t="e">
        <f ca="1"/>
        <v>#NAME?</v>
      </c>
      <c r="R27" s="455" t="e">
        <f ca="1"/>
        <v>#NAME?</v>
      </c>
      <c r="S27" s="4" t="e">
        <f ca="1"/>
        <v>#NAME?</v>
      </c>
      <c r="T27" s="4" t="e">
        <f ca="1"/>
        <v>#NAME?</v>
      </c>
      <c r="U27" s="4" t="e">
        <f ca="1"/>
        <v>#NAME?</v>
      </c>
      <c r="V27" s="4" t="e">
        <f ca="1"/>
        <v>#NAME?</v>
      </c>
      <c r="W27" s="32" t="e">
        <f ca="1"/>
        <v>#NAME?</v>
      </c>
      <c r="X27" s="99" t="e">
        <f ca="1"/>
        <v>#NAME?</v>
      </c>
      <c r="Y27" s="32" t="e">
        <f ca="1"/>
        <v>#NAME?</v>
      </c>
    </row>
    <row r="28" spans="13:25" x14ac:dyDescent="0.35">
      <c r="M28" t="e">
        <f ca="1"/>
        <v>#NAME?</v>
      </c>
      <c r="N28" s="99" t="e">
        <f ca="1"/>
        <v>#NAME?</v>
      </c>
      <c r="O28" s="4" t="e">
        <f ca="1"/>
        <v>#NAME?</v>
      </c>
      <c r="P28" s="4" t="e">
        <f ca="1"/>
        <v>#NAME?</v>
      </c>
      <c r="Q28" s="4" t="e">
        <f ca="1"/>
        <v>#NAME?</v>
      </c>
      <c r="R28" s="4" t="e">
        <f ca="1"/>
        <v>#NAME?</v>
      </c>
      <c r="S28" s="4" t="e">
        <f ca="1"/>
        <v>#NAME?</v>
      </c>
      <c r="T28" s="4" t="e">
        <f ca="1"/>
        <v>#NAME?</v>
      </c>
      <c r="U28" s="4" t="e">
        <f ca="1"/>
        <v>#NAME?</v>
      </c>
      <c r="V28" s="4" t="e">
        <f ca="1"/>
        <v>#NAME?</v>
      </c>
      <c r="W28" s="32" t="e">
        <f ca="1"/>
        <v>#NAME?</v>
      </c>
      <c r="X28" s="99" t="e">
        <f ca="1"/>
        <v>#NAME?</v>
      </c>
      <c r="Y28" s="32" t="e">
        <f ca="1"/>
        <v>#NAME?</v>
      </c>
    </row>
    <row r="29" spans="13:25" x14ac:dyDescent="0.35">
      <c r="M29" t="e">
        <f ca="1"/>
        <v>#NAME?</v>
      </c>
      <c r="N29" s="99" t="e">
        <f ca="1"/>
        <v>#NAME?</v>
      </c>
      <c r="O29" s="4" t="e">
        <f ca="1"/>
        <v>#NAME?</v>
      </c>
      <c r="P29" s="4" t="e">
        <f ca="1"/>
        <v>#NAME?</v>
      </c>
      <c r="Q29" s="4" t="e">
        <f ca="1"/>
        <v>#NAME?</v>
      </c>
      <c r="R29" s="4" t="e">
        <f ca="1"/>
        <v>#NAME?</v>
      </c>
      <c r="S29" s="4" t="e">
        <f ca="1"/>
        <v>#NAME?</v>
      </c>
      <c r="T29" s="4" t="e">
        <f ca="1"/>
        <v>#NAME?</v>
      </c>
      <c r="U29" s="4" t="e">
        <f ca="1"/>
        <v>#NAME?</v>
      </c>
      <c r="V29" s="4" t="e">
        <f ca="1"/>
        <v>#NAME?</v>
      </c>
      <c r="W29" s="32" t="e">
        <f ca="1"/>
        <v>#NAME?</v>
      </c>
      <c r="X29" s="99" t="e">
        <f ca="1"/>
        <v>#NAME?</v>
      </c>
      <c r="Y29" s="32" t="e">
        <f ca="1"/>
        <v>#NAME?</v>
      </c>
    </row>
    <row r="30" spans="13:25" x14ac:dyDescent="0.35">
      <c r="M30" t="e">
        <f ca="1"/>
        <v>#NAME?</v>
      </c>
      <c r="N30" s="99" t="e">
        <f ca="1"/>
        <v>#NAME?</v>
      </c>
      <c r="O30" s="455" t="e">
        <f ca="1"/>
        <v>#NAME?</v>
      </c>
      <c r="P30" s="4" t="e">
        <f ca="1"/>
        <v>#NAME?</v>
      </c>
      <c r="Q30" s="455" t="e">
        <f ca="1"/>
        <v>#NAME?</v>
      </c>
      <c r="R30" s="455" t="e">
        <f ca="1"/>
        <v>#NAME?</v>
      </c>
      <c r="S30" s="4" t="e">
        <f ca="1"/>
        <v>#NAME?</v>
      </c>
      <c r="T30" s="455" t="e">
        <f ca="1"/>
        <v>#NAME?</v>
      </c>
      <c r="U30" s="4" t="e">
        <f ca="1"/>
        <v>#NAME?</v>
      </c>
      <c r="V30" s="4" t="e">
        <f ca="1"/>
        <v>#NAME?</v>
      </c>
      <c r="W30" s="32" t="e">
        <f ca="1"/>
        <v>#NAME?</v>
      </c>
      <c r="X30" s="99" t="e">
        <f ca="1"/>
        <v>#NAME?</v>
      </c>
      <c r="Y30" s="456" t="e">
        <f ca="1"/>
        <v>#NAME?</v>
      </c>
    </row>
    <row r="31" spans="13:25" x14ac:dyDescent="0.35">
      <c r="M31" t="e">
        <f ca="1"/>
        <v>#NAME?</v>
      </c>
      <c r="N31" s="156" t="e">
        <f ca="1"/>
        <v>#NAME?</v>
      </c>
      <c r="O31" s="157" t="e">
        <f ca="1"/>
        <v>#NAME?</v>
      </c>
      <c r="P31" s="157" t="e">
        <f ca="1"/>
        <v>#NAME?</v>
      </c>
      <c r="Q31" s="459" t="e">
        <f ca="1"/>
        <v>#NAME?</v>
      </c>
      <c r="R31" s="157" t="e">
        <f ca="1"/>
        <v>#NAME?</v>
      </c>
      <c r="S31" s="157" t="e">
        <f ca="1"/>
        <v>#NAME?</v>
      </c>
      <c r="T31" s="157" t="e">
        <f ca="1"/>
        <v>#NAME?</v>
      </c>
      <c r="U31" s="157" t="e">
        <f ca="1"/>
        <v>#NAME?</v>
      </c>
      <c r="V31" s="157" t="e">
        <f ca="1"/>
        <v>#NAME?</v>
      </c>
      <c r="W31" s="158" t="e">
        <f ca="1"/>
        <v>#NAME?</v>
      </c>
      <c r="X31" s="156" t="e">
        <f ca="1"/>
        <v>#NAME?</v>
      </c>
      <c r="Y31" s="158" t="e">
        <f ca="1"/>
        <v>#NAME?</v>
      </c>
    </row>
    <row r="32" spans="13:25" x14ac:dyDescent="0.35">
      <c r="M32" t="e">
        <f ca="1"/>
        <v>#NAME?</v>
      </c>
      <c r="N32" s="419" t="e">
        <f ca="1"/>
        <v>#NAME?</v>
      </c>
      <c r="O32" s="420" t="e">
        <f ca="1"/>
        <v>#NAME?</v>
      </c>
      <c r="P32" s="420" t="e">
        <f ca="1"/>
        <v>#NAME?</v>
      </c>
      <c r="Q32" s="458" t="e">
        <f ca="1"/>
        <v>#NAME?</v>
      </c>
      <c r="R32" s="420" t="e">
        <f ca="1"/>
        <v>#NAME?</v>
      </c>
      <c r="S32" s="420" t="e">
        <f ca="1"/>
        <v>#NAME?</v>
      </c>
      <c r="T32" s="458" t="e">
        <f ca="1"/>
        <v>#NAME?</v>
      </c>
      <c r="U32" s="420" t="e">
        <f ca="1"/>
        <v>#NAME?</v>
      </c>
      <c r="V32" s="420" t="e">
        <f ca="1"/>
        <v>#NAME?</v>
      </c>
      <c r="W32" s="421" t="e">
        <f ca="1"/>
        <v>#NAME?</v>
      </c>
      <c r="X32" s="452" t="e">
        <f ca="1"/>
        <v>#NAME?</v>
      </c>
      <c r="Y32" s="421" t="e">
        <f ca="1"/>
        <v>#NAME?</v>
      </c>
    </row>
    <row r="33" spans="13:25" x14ac:dyDescent="0.35">
      <c r="M33" t="e">
        <f ca="1"/>
        <v>#NAME?</v>
      </c>
      <c r="N33" s="156" t="e">
        <f ca="1"/>
        <v>#NAME?</v>
      </c>
      <c r="O33" s="459" t="e">
        <f ca="1"/>
        <v>#NAME?</v>
      </c>
      <c r="P33" s="157" t="e">
        <f ca="1"/>
        <v>#NAME?</v>
      </c>
      <c r="Q33" s="459" t="e">
        <f ca="1"/>
        <v>#NAME?</v>
      </c>
      <c r="R33" s="157" t="e">
        <f ca="1"/>
        <v>#NAME?</v>
      </c>
      <c r="S33" s="157" t="e">
        <f ca="1"/>
        <v>#NAME?</v>
      </c>
      <c r="T33" s="459" t="e">
        <f ca="1"/>
        <v>#NAME?</v>
      </c>
      <c r="U33" s="157" t="e">
        <f ca="1"/>
        <v>#NAME?</v>
      </c>
      <c r="V33" s="459" t="e">
        <f ca="1"/>
        <v>#NAME?</v>
      </c>
      <c r="W33" s="158" t="e">
        <f ca="1"/>
        <v>#NAME?</v>
      </c>
      <c r="X33" s="453" t="e">
        <f ca="1"/>
        <v>#NAME?</v>
      </c>
      <c r="Y33" s="158" t="e">
        <f ca="1"/>
        <v>#NAME?</v>
      </c>
    </row>
  </sheetData>
  <mergeCells count="1">
    <mergeCell ref="B3:K3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37"/>
  <dimension ref="A1:BI35"/>
  <sheetViews>
    <sheetView workbookViewId="0">
      <selection activeCell="T16" sqref="T16"/>
    </sheetView>
  </sheetViews>
  <sheetFormatPr defaultRowHeight="14.5" x14ac:dyDescent="0.35"/>
  <cols>
    <col min="1" max="11" width="4.26953125" customWidth="1"/>
    <col min="27" max="37" width="4.26953125" customWidth="1"/>
    <col min="39" max="61" width="4.26953125" customWidth="1"/>
  </cols>
  <sheetData>
    <row r="1" spans="1:61" x14ac:dyDescent="0.35">
      <c r="A1" s="1" t="s">
        <v>901</v>
      </c>
      <c r="AA1" s="1" t="s">
        <v>901</v>
      </c>
    </row>
    <row r="3" spans="1:61" x14ac:dyDescent="0.35">
      <c r="B3" s="563" t="s">
        <v>902</v>
      </c>
      <c r="C3" s="563"/>
      <c r="D3" s="563"/>
      <c r="E3" s="563"/>
      <c r="F3" s="563"/>
      <c r="G3" s="563"/>
      <c r="H3" s="563"/>
      <c r="I3" s="563"/>
      <c r="J3" s="563"/>
      <c r="K3" s="563"/>
      <c r="M3" t="s">
        <v>900</v>
      </c>
      <c r="AB3" s="563" t="s">
        <v>902</v>
      </c>
      <c r="AC3" s="563"/>
      <c r="AD3" s="563"/>
      <c r="AE3" s="563"/>
      <c r="AF3" s="563"/>
      <c r="AG3" s="563"/>
      <c r="AH3" s="563"/>
      <c r="AI3" s="563"/>
      <c r="AJ3" s="563"/>
      <c r="AK3" s="563"/>
    </row>
    <row r="4" spans="1:61" ht="15" thickBot="1" x14ac:dyDescent="0.4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AB4">
        <v>1</v>
      </c>
      <c r="AC4">
        <v>2</v>
      </c>
      <c r="AD4">
        <v>3</v>
      </c>
      <c r="AE4">
        <v>4</v>
      </c>
      <c r="AF4">
        <v>5</v>
      </c>
      <c r="AG4">
        <v>6</v>
      </c>
      <c r="AH4">
        <v>7</v>
      </c>
      <c r="AI4">
        <v>8</v>
      </c>
      <c r="AJ4">
        <v>9</v>
      </c>
      <c r="AK4">
        <v>10</v>
      </c>
      <c r="AN4" s="462">
        <v>1</v>
      </c>
      <c r="AO4" s="462">
        <v>2</v>
      </c>
      <c r="AP4" s="462">
        <v>3</v>
      </c>
      <c r="AQ4" s="462">
        <v>4</v>
      </c>
      <c r="AR4" s="462">
        <v>5</v>
      </c>
      <c r="AS4" s="462">
        <v>6</v>
      </c>
      <c r="AT4" s="462">
        <v>7</v>
      </c>
      <c r="AU4" s="462">
        <v>8</v>
      </c>
      <c r="AV4" s="462">
        <v>9</v>
      </c>
      <c r="AW4" s="462">
        <v>10</v>
      </c>
      <c r="AZ4" s="462">
        <v>1</v>
      </c>
      <c r="BA4" s="462">
        <v>2</v>
      </c>
      <c r="BB4" s="462">
        <v>3</v>
      </c>
      <c r="BC4" s="462">
        <v>4</v>
      </c>
      <c r="BD4" s="462">
        <v>5</v>
      </c>
      <c r="BE4" s="462">
        <v>6</v>
      </c>
      <c r="BF4" s="462">
        <v>7</v>
      </c>
      <c r="BG4" s="462">
        <v>8</v>
      </c>
      <c r="BH4" s="462">
        <v>9</v>
      </c>
      <c r="BI4" s="462">
        <v>10</v>
      </c>
    </row>
    <row r="5" spans="1:61" x14ac:dyDescent="0.35">
      <c r="A5" t="s">
        <v>218</v>
      </c>
      <c r="B5" s="435"/>
      <c r="C5" s="436">
        <v>1</v>
      </c>
      <c r="D5" s="436">
        <v>1</v>
      </c>
      <c r="E5" s="436">
        <v>1</v>
      </c>
      <c r="F5" s="436">
        <v>1</v>
      </c>
      <c r="G5" s="436">
        <v>1</v>
      </c>
      <c r="H5" s="436">
        <v>1</v>
      </c>
      <c r="I5" s="436">
        <v>1</v>
      </c>
      <c r="J5" s="436">
        <v>0</v>
      </c>
      <c r="K5" s="437">
        <v>1</v>
      </c>
      <c r="M5" t="s">
        <v>914</v>
      </c>
      <c r="N5" s="431">
        <v>25</v>
      </c>
      <c r="AA5" t="s">
        <v>218</v>
      </c>
      <c r="AB5" s="435"/>
      <c r="AC5" s="436">
        <v>1</v>
      </c>
      <c r="AD5" s="436">
        <v>1</v>
      </c>
      <c r="AE5" s="436">
        <v>1</v>
      </c>
      <c r="AF5" s="436">
        <v>1</v>
      </c>
      <c r="AG5" s="436">
        <v>1</v>
      </c>
      <c r="AH5" s="436">
        <v>1</v>
      </c>
      <c r="AI5" s="436">
        <v>1</v>
      </c>
      <c r="AJ5" s="436">
        <v>0</v>
      </c>
      <c r="AK5" s="437">
        <v>1</v>
      </c>
      <c r="AM5" t="s">
        <v>218</v>
      </c>
      <c r="AN5" s="474" t="str">
        <f t="shared" ref="AN5:AW13" si="0">IF(AB5="","",IF(AB5=1,IF($X10&lt;AN$19,"x",""),IF(AB5=0,IF(AN$19&lt;$X10,"o",""))))</f>
        <v/>
      </c>
      <c r="AO5" s="474" t="e">
        <f t="shared" ca="1" si="0"/>
        <v>#NAME?</v>
      </c>
      <c r="AP5" s="474" t="e">
        <f t="shared" ca="1" si="0"/>
        <v>#NAME?</v>
      </c>
      <c r="AQ5" s="474" t="e">
        <f t="shared" ca="1" si="0"/>
        <v>#NAME?</v>
      </c>
      <c r="AR5" s="474" t="e">
        <f t="shared" ca="1" si="0"/>
        <v>#NAME?</v>
      </c>
      <c r="AS5" s="474" t="e">
        <f t="shared" ca="1" si="0"/>
        <v>#NAME?</v>
      </c>
      <c r="AT5" s="474" t="e">
        <f t="shared" ca="1" si="0"/>
        <v>#NAME?</v>
      </c>
      <c r="AU5" s="474" t="e">
        <f t="shared" ca="1" si="0"/>
        <v>#NAME?</v>
      </c>
      <c r="AV5" s="474" t="e">
        <f t="shared" ca="1" si="0"/>
        <v>#NAME?</v>
      </c>
      <c r="AW5" s="475" t="e">
        <f t="shared" ca="1" si="0"/>
        <v>#NAME?</v>
      </c>
      <c r="AY5" t="s">
        <v>218</v>
      </c>
      <c r="AZ5" s="476" t="str">
        <f t="shared" ref="AZ5:BI13" si="1">IF(AB5="","",IF(AB5=1,IF($X10&lt;AN$19,$X10-AN$19,""),IF(AB5=0,IF(AN$19&lt;$X10,$X10-AN$19,""))))</f>
        <v/>
      </c>
      <c r="BA5" s="476" t="e">
        <f t="shared" ca="1" si="1"/>
        <v>#NAME?</v>
      </c>
      <c r="BB5" s="476" t="e">
        <f t="shared" ca="1" si="1"/>
        <v>#NAME?</v>
      </c>
      <c r="BC5" s="476" t="e">
        <f t="shared" ca="1" si="1"/>
        <v>#NAME?</v>
      </c>
      <c r="BD5" s="476" t="e">
        <f t="shared" ca="1" si="1"/>
        <v>#NAME?</v>
      </c>
      <c r="BE5" s="476" t="e">
        <f t="shared" ca="1" si="1"/>
        <v>#NAME?</v>
      </c>
      <c r="BF5" s="476" t="e">
        <f t="shared" ca="1" si="1"/>
        <v>#NAME?</v>
      </c>
      <c r="BG5" s="476" t="e">
        <f t="shared" ca="1" si="1"/>
        <v>#NAME?</v>
      </c>
      <c r="BH5" s="476" t="e">
        <f t="shared" ca="1" si="1"/>
        <v>#NAME?</v>
      </c>
      <c r="BI5" s="477" t="e">
        <f t="shared" ca="1" si="1"/>
        <v>#NAME?</v>
      </c>
    </row>
    <row r="6" spans="1:61" x14ac:dyDescent="0.35">
      <c r="A6" t="s">
        <v>98</v>
      </c>
      <c r="B6" s="439">
        <v>1</v>
      </c>
      <c r="C6" s="440">
        <v>1</v>
      </c>
      <c r="D6" s="440">
        <v>1</v>
      </c>
      <c r="E6" s="440">
        <v>0</v>
      </c>
      <c r="F6" s="440">
        <v>1</v>
      </c>
      <c r="G6" s="440">
        <v>1</v>
      </c>
      <c r="H6" s="440">
        <v>1</v>
      </c>
      <c r="I6" s="440">
        <v>1</v>
      </c>
      <c r="J6" s="440">
        <v>1</v>
      </c>
      <c r="K6" s="441">
        <v>0</v>
      </c>
      <c r="M6" t="s">
        <v>915</v>
      </c>
      <c r="N6" s="147">
        <v>1.0000000000000001E-5</v>
      </c>
      <c r="AA6" t="s">
        <v>98</v>
      </c>
      <c r="AB6" s="439">
        <v>1</v>
      </c>
      <c r="AC6" s="440">
        <v>1</v>
      </c>
      <c r="AD6" s="440">
        <v>1</v>
      </c>
      <c r="AE6" s="440">
        <v>0</v>
      </c>
      <c r="AF6" s="440">
        <v>1</v>
      </c>
      <c r="AG6" s="440">
        <v>1</v>
      </c>
      <c r="AH6" s="440">
        <v>1</v>
      </c>
      <c r="AI6" s="440">
        <v>1</v>
      </c>
      <c r="AJ6" s="440">
        <v>1</v>
      </c>
      <c r="AK6" s="441">
        <v>0</v>
      </c>
      <c r="AM6" t="s">
        <v>98</v>
      </c>
      <c r="AN6" s="474" t="e">
        <f t="shared" ca="1" si="0"/>
        <v>#NAME?</v>
      </c>
      <c r="AO6" s="474" t="e">
        <f t="shared" ca="1" si="0"/>
        <v>#NAME?</v>
      </c>
      <c r="AP6" s="474" t="e">
        <f t="shared" ca="1" si="0"/>
        <v>#NAME?</v>
      </c>
      <c r="AQ6" s="474" t="e">
        <f t="shared" ca="1" si="0"/>
        <v>#NAME?</v>
      </c>
      <c r="AR6" s="474" t="e">
        <f t="shared" ca="1" si="0"/>
        <v>#NAME?</v>
      </c>
      <c r="AS6" s="474" t="e">
        <f t="shared" ca="1" si="0"/>
        <v>#NAME?</v>
      </c>
      <c r="AT6" s="474" t="e">
        <f t="shared" ca="1" si="0"/>
        <v>#NAME?</v>
      </c>
      <c r="AU6" s="474" t="e">
        <f t="shared" ca="1" si="0"/>
        <v>#NAME?</v>
      </c>
      <c r="AV6" s="474" t="e">
        <f t="shared" ca="1" si="0"/>
        <v>#NAME?</v>
      </c>
      <c r="AW6" s="475" t="e">
        <f t="shared" ca="1" si="0"/>
        <v>#NAME?</v>
      </c>
      <c r="AY6" t="s">
        <v>98</v>
      </c>
      <c r="AZ6" s="476" t="e">
        <f t="shared" ca="1" si="1"/>
        <v>#NAME?</v>
      </c>
      <c r="BA6" s="476" t="e">
        <f t="shared" ca="1" si="1"/>
        <v>#NAME?</v>
      </c>
      <c r="BB6" s="476" t="e">
        <f t="shared" ca="1" si="1"/>
        <v>#NAME?</v>
      </c>
      <c r="BC6" s="476" t="e">
        <f t="shared" ca="1" si="1"/>
        <v>#NAME?</v>
      </c>
      <c r="BD6" s="476" t="e">
        <f t="shared" ca="1" si="1"/>
        <v>#NAME?</v>
      </c>
      <c r="BE6" s="476" t="e">
        <f t="shared" ca="1" si="1"/>
        <v>#NAME?</v>
      </c>
      <c r="BF6" s="476" t="e">
        <f t="shared" ca="1" si="1"/>
        <v>#NAME?</v>
      </c>
      <c r="BG6" s="476" t="e">
        <f t="shared" ca="1" si="1"/>
        <v>#NAME?</v>
      </c>
      <c r="BH6" s="476" t="e">
        <f t="shared" ca="1" si="1"/>
        <v>#NAME?</v>
      </c>
      <c r="BI6" s="477" t="e">
        <f t="shared" ca="1" si="1"/>
        <v>#NAME?</v>
      </c>
    </row>
    <row r="7" spans="1:61" x14ac:dyDescent="0.35">
      <c r="A7" t="s">
        <v>99</v>
      </c>
      <c r="B7" s="439">
        <v>1</v>
      </c>
      <c r="C7" s="440">
        <v>1</v>
      </c>
      <c r="D7" s="440">
        <v>1</v>
      </c>
      <c r="E7" s="440">
        <v>1</v>
      </c>
      <c r="F7" s="440">
        <v>1</v>
      </c>
      <c r="G7" s="440">
        <v>1</v>
      </c>
      <c r="H7" s="440">
        <v>0</v>
      </c>
      <c r="I7" s="440">
        <v>1</v>
      </c>
      <c r="J7" s="440">
        <v>0</v>
      </c>
      <c r="K7" s="441">
        <v>0</v>
      </c>
      <c r="M7" t="s">
        <v>916</v>
      </c>
      <c r="N7" s="155">
        <v>1.3</v>
      </c>
      <c r="AA7" t="s">
        <v>99</v>
      </c>
      <c r="AB7" s="439">
        <v>1</v>
      </c>
      <c r="AC7" s="440">
        <v>1</v>
      </c>
      <c r="AD7" s="440">
        <v>1</v>
      </c>
      <c r="AE7" s="440">
        <v>1</v>
      </c>
      <c r="AF7" s="440">
        <v>1</v>
      </c>
      <c r="AG7" s="440">
        <v>1</v>
      </c>
      <c r="AH7" s="440">
        <v>0</v>
      </c>
      <c r="AI7" s="440">
        <v>1</v>
      </c>
      <c r="AJ7" s="440">
        <v>0</v>
      </c>
      <c r="AK7" s="441">
        <v>0</v>
      </c>
      <c r="AM7" t="s">
        <v>99</v>
      </c>
      <c r="AN7" s="474" t="e">
        <f t="shared" ca="1" si="0"/>
        <v>#NAME?</v>
      </c>
      <c r="AO7" s="474" t="e">
        <f t="shared" ca="1" si="0"/>
        <v>#NAME?</v>
      </c>
      <c r="AP7" s="474" t="e">
        <f t="shared" ca="1" si="0"/>
        <v>#NAME?</v>
      </c>
      <c r="AQ7" s="474" t="e">
        <f t="shared" ca="1" si="0"/>
        <v>#NAME?</v>
      </c>
      <c r="AR7" s="474" t="e">
        <f t="shared" ca="1" si="0"/>
        <v>#NAME?</v>
      </c>
      <c r="AS7" s="474" t="e">
        <f t="shared" ca="1" si="0"/>
        <v>#NAME?</v>
      </c>
      <c r="AT7" s="474" t="e">
        <f t="shared" ca="1" si="0"/>
        <v>#NAME?</v>
      </c>
      <c r="AU7" s="474" t="e">
        <f t="shared" ca="1" si="0"/>
        <v>#NAME?</v>
      </c>
      <c r="AV7" s="474" t="e">
        <f t="shared" ca="1" si="0"/>
        <v>#NAME?</v>
      </c>
      <c r="AW7" s="475" t="e">
        <f t="shared" ca="1" si="0"/>
        <v>#NAME?</v>
      </c>
      <c r="AY7" t="s">
        <v>99</v>
      </c>
      <c r="AZ7" s="476" t="e">
        <f t="shared" ca="1" si="1"/>
        <v>#NAME?</v>
      </c>
      <c r="BA7" s="476" t="e">
        <f t="shared" ca="1" si="1"/>
        <v>#NAME?</v>
      </c>
      <c r="BB7" s="476" t="e">
        <f t="shared" ca="1" si="1"/>
        <v>#NAME?</v>
      </c>
      <c r="BC7" s="476" t="e">
        <f t="shared" ca="1" si="1"/>
        <v>#NAME?</v>
      </c>
      <c r="BD7" s="476" t="e">
        <f t="shared" ca="1" si="1"/>
        <v>#NAME?</v>
      </c>
      <c r="BE7" s="476" t="e">
        <f t="shared" ca="1" si="1"/>
        <v>#NAME?</v>
      </c>
      <c r="BF7" s="476" t="e">
        <f t="shared" ca="1" si="1"/>
        <v>#NAME?</v>
      </c>
      <c r="BG7" s="476" t="e">
        <f t="shared" ca="1" si="1"/>
        <v>#NAME?</v>
      </c>
      <c r="BH7" s="476" t="e">
        <f t="shared" ca="1" si="1"/>
        <v>#NAME?</v>
      </c>
      <c r="BI7" s="477" t="e">
        <f t="shared" ca="1" si="1"/>
        <v>#NAME?</v>
      </c>
    </row>
    <row r="8" spans="1:61" x14ac:dyDescent="0.35">
      <c r="A8" t="s">
        <v>100</v>
      </c>
      <c r="B8" s="439">
        <v>1</v>
      </c>
      <c r="C8" s="440">
        <v>1</v>
      </c>
      <c r="D8" s="440">
        <v>1</v>
      </c>
      <c r="E8" s="440">
        <v>1</v>
      </c>
      <c r="F8" s="440">
        <v>1</v>
      </c>
      <c r="G8" s="440">
        <v>1</v>
      </c>
      <c r="H8" s="440">
        <v>0</v>
      </c>
      <c r="I8" s="440">
        <v>1</v>
      </c>
      <c r="J8" s="440">
        <v>0</v>
      </c>
      <c r="K8" s="441">
        <v>0</v>
      </c>
      <c r="AA8" t="s">
        <v>100</v>
      </c>
      <c r="AB8" s="439">
        <v>1</v>
      </c>
      <c r="AC8" s="440">
        <v>1</v>
      </c>
      <c r="AD8" s="440">
        <v>1</v>
      </c>
      <c r="AE8" s="440">
        <v>1</v>
      </c>
      <c r="AF8" s="440">
        <v>1</v>
      </c>
      <c r="AG8" s="440">
        <v>1</v>
      </c>
      <c r="AH8" s="440">
        <v>0</v>
      </c>
      <c r="AI8" s="440">
        <v>1</v>
      </c>
      <c r="AJ8" s="440">
        <v>0</v>
      </c>
      <c r="AK8" s="441">
        <v>0</v>
      </c>
      <c r="AM8" t="s">
        <v>100</v>
      </c>
      <c r="AN8" s="474" t="e">
        <f t="shared" ca="1" si="0"/>
        <v>#NAME?</v>
      </c>
      <c r="AO8" s="474" t="e">
        <f t="shared" ca="1" si="0"/>
        <v>#NAME?</v>
      </c>
      <c r="AP8" s="474" t="e">
        <f t="shared" ca="1" si="0"/>
        <v>#NAME?</v>
      </c>
      <c r="AQ8" s="474" t="e">
        <f t="shared" ca="1" si="0"/>
        <v>#NAME?</v>
      </c>
      <c r="AR8" s="474" t="e">
        <f t="shared" ca="1" si="0"/>
        <v>#NAME?</v>
      </c>
      <c r="AS8" s="474" t="e">
        <f t="shared" ca="1" si="0"/>
        <v>#NAME?</v>
      </c>
      <c r="AT8" s="474" t="e">
        <f t="shared" ca="1" si="0"/>
        <v>#NAME?</v>
      </c>
      <c r="AU8" s="474" t="e">
        <f t="shared" ca="1" si="0"/>
        <v>#NAME?</v>
      </c>
      <c r="AV8" s="474" t="e">
        <f t="shared" ca="1" si="0"/>
        <v>#NAME?</v>
      </c>
      <c r="AW8" s="475" t="e">
        <f t="shared" ca="1" si="0"/>
        <v>#NAME?</v>
      </c>
      <c r="AY8" t="s">
        <v>100</v>
      </c>
      <c r="AZ8" s="476" t="e">
        <f t="shared" ca="1" si="1"/>
        <v>#NAME?</v>
      </c>
      <c r="BA8" s="476" t="e">
        <f t="shared" ca="1" si="1"/>
        <v>#NAME?</v>
      </c>
      <c r="BB8" s="476" t="e">
        <f t="shared" ca="1" si="1"/>
        <v>#NAME?</v>
      </c>
      <c r="BC8" s="476" t="e">
        <f t="shared" ca="1" si="1"/>
        <v>#NAME?</v>
      </c>
      <c r="BD8" s="476" t="e">
        <f t="shared" ca="1" si="1"/>
        <v>#NAME?</v>
      </c>
      <c r="BE8" s="476" t="e">
        <f t="shared" ca="1" si="1"/>
        <v>#NAME?</v>
      </c>
      <c r="BF8" s="476" t="e">
        <f t="shared" ca="1" si="1"/>
        <v>#NAME?</v>
      </c>
      <c r="BG8" s="476" t="e">
        <f t="shared" ca="1" si="1"/>
        <v>#NAME?</v>
      </c>
      <c r="BH8" s="476" t="e">
        <f t="shared" ca="1" si="1"/>
        <v>#NAME?</v>
      </c>
      <c r="BI8" s="477" t="e">
        <f t="shared" ca="1" si="1"/>
        <v>#NAME?</v>
      </c>
    </row>
    <row r="9" spans="1:61" x14ac:dyDescent="0.35">
      <c r="A9" t="s">
        <v>536</v>
      </c>
      <c r="B9" s="439">
        <v>1</v>
      </c>
      <c r="C9" s="440">
        <v>1</v>
      </c>
      <c r="D9" s="440">
        <v>1</v>
      </c>
      <c r="E9" s="440">
        <v>1</v>
      </c>
      <c r="F9" s="440">
        <v>0</v>
      </c>
      <c r="G9" s="440">
        <v>1</v>
      </c>
      <c r="H9" s="440">
        <v>1</v>
      </c>
      <c r="I9" s="440">
        <v>0</v>
      </c>
      <c r="J9" s="440">
        <v>0</v>
      </c>
      <c r="K9" s="441">
        <v>0</v>
      </c>
      <c r="M9" t="e">
        <f t="array" aca="1" ref="M9:Y20" ca="1">RASCH(A4:K13,TRUE,N5,N6)</f>
        <v>#NAME?</v>
      </c>
      <c r="N9" t="e">
        <f ca="1"/>
        <v>#NAME?</v>
      </c>
      <c r="O9" t="e">
        <f ca="1"/>
        <v>#NAME?</v>
      </c>
      <c r="P9" t="e">
        <f ca="1"/>
        <v>#NAME?</v>
      </c>
      <c r="Q9" t="e">
        <f ca="1"/>
        <v>#NAME?</v>
      </c>
      <c r="R9" t="e">
        <f ca="1"/>
        <v>#NAME?</v>
      </c>
      <c r="S9" t="e">
        <f ca="1"/>
        <v>#NAME?</v>
      </c>
      <c r="T9" t="e">
        <f ca="1"/>
        <v>#NAME?</v>
      </c>
      <c r="U9" t="e">
        <f ca="1"/>
        <v>#NAME?</v>
      </c>
      <c r="V9" t="e">
        <f ca="1"/>
        <v>#NAME?</v>
      </c>
      <c r="W9" t="e">
        <f ca="1"/>
        <v>#NAME?</v>
      </c>
      <c r="X9" s="6" t="e">
        <f ca="1"/>
        <v>#NAME?</v>
      </c>
      <c r="Y9" s="6" t="e">
        <f ca="1"/>
        <v>#NAME?</v>
      </c>
      <c r="AA9" t="s">
        <v>536</v>
      </c>
      <c r="AB9" s="439">
        <v>1</v>
      </c>
      <c r="AC9" s="440">
        <v>1</v>
      </c>
      <c r="AD9" s="440">
        <v>1</v>
      </c>
      <c r="AE9" s="440">
        <v>1</v>
      </c>
      <c r="AF9" s="440">
        <v>0</v>
      </c>
      <c r="AG9" s="440">
        <v>1</v>
      </c>
      <c r="AH9" s="440">
        <v>1</v>
      </c>
      <c r="AI9" s="440">
        <v>0</v>
      </c>
      <c r="AJ9" s="440">
        <v>0</v>
      </c>
      <c r="AK9" s="441">
        <v>0</v>
      </c>
      <c r="AM9" t="s">
        <v>536</v>
      </c>
      <c r="AN9" s="474" t="e">
        <f t="shared" ca="1" si="0"/>
        <v>#NAME?</v>
      </c>
      <c r="AO9" s="474" t="e">
        <f t="shared" ca="1" si="0"/>
        <v>#NAME?</v>
      </c>
      <c r="AP9" s="474" t="e">
        <f t="shared" ca="1" si="0"/>
        <v>#NAME?</v>
      </c>
      <c r="AQ9" s="474" t="e">
        <f t="shared" ca="1" si="0"/>
        <v>#NAME?</v>
      </c>
      <c r="AR9" s="474" t="e">
        <f t="shared" ca="1" si="0"/>
        <v>#NAME?</v>
      </c>
      <c r="AS9" s="474" t="e">
        <f t="shared" ca="1" si="0"/>
        <v>#NAME?</v>
      </c>
      <c r="AT9" s="474" t="e">
        <f t="shared" ca="1" si="0"/>
        <v>#NAME?</v>
      </c>
      <c r="AU9" s="474" t="e">
        <f t="shared" ca="1" si="0"/>
        <v>#NAME?</v>
      </c>
      <c r="AV9" s="474" t="e">
        <f t="shared" ca="1" si="0"/>
        <v>#NAME?</v>
      </c>
      <c r="AW9" s="475" t="e">
        <f t="shared" ca="1" si="0"/>
        <v>#NAME?</v>
      </c>
      <c r="AY9" t="s">
        <v>536</v>
      </c>
      <c r="AZ9" s="476" t="e">
        <f t="shared" ca="1" si="1"/>
        <v>#NAME?</v>
      </c>
      <c r="BA9" s="476" t="e">
        <f t="shared" ca="1" si="1"/>
        <v>#NAME?</v>
      </c>
      <c r="BB9" s="476" t="e">
        <f t="shared" ca="1" si="1"/>
        <v>#NAME?</v>
      </c>
      <c r="BC9" s="476" t="e">
        <f t="shared" ca="1" si="1"/>
        <v>#NAME?</v>
      </c>
      <c r="BD9" s="476" t="e">
        <f t="shared" ca="1" si="1"/>
        <v>#NAME?</v>
      </c>
      <c r="BE9" s="476" t="e">
        <f t="shared" ca="1" si="1"/>
        <v>#NAME?</v>
      </c>
      <c r="BF9" s="476" t="e">
        <f t="shared" ca="1" si="1"/>
        <v>#NAME?</v>
      </c>
      <c r="BG9" s="476" t="e">
        <f t="shared" ca="1" si="1"/>
        <v>#NAME?</v>
      </c>
      <c r="BH9" s="476" t="e">
        <f t="shared" ca="1" si="1"/>
        <v>#NAME?</v>
      </c>
      <c r="BI9" s="477" t="e">
        <f t="shared" ca="1" si="1"/>
        <v>#NAME?</v>
      </c>
    </row>
    <row r="10" spans="1:61" x14ac:dyDescent="0.35">
      <c r="A10" t="s">
        <v>101</v>
      </c>
      <c r="B10" s="439">
        <v>1</v>
      </c>
      <c r="C10" s="440">
        <v>1</v>
      </c>
      <c r="D10" s="440">
        <v>1</v>
      </c>
      <c r="E10" s="440">
        <v>1</v>
      </c>
      <c r="F10" s="440">
        <v>1</v>
      </c>
      <c r="G10" s="440">
        <v>0</v>
      </c>
      <c r="H10" s="440">
        <v>1</v>
      </c>
      <c r="I10" s="440">
        <v>0</v>
      </c>
      <c r="J10" s="440">
        <v>0</v>
      </c>
      <c r="K10" s="441">
        <v>0</v>
      </c>
      <c r="M10" t="e">
        <f ca="1"/>
        <v>#NAME?</v>
      </c>
      <c r="N10" s="419" t="e">
        <f ca="1"/>
        <v>#NAME?</v>
      </c>
      <c r="O10" s="420" t="e">
        <f ca="1"/>
        <v>#NAME?</v>
      </c>
      <c r="P10" s="420" t="e">
        <f ca="1"/>
        <v>#NAME?</v>
      </c>
      <c r="Q10" s="420" t="e">
        <f ca="1"/>
        <v>#NAME?</v>
      </c>
      <c r="R10" s="420" t="e">
        <f ca="1"/>
        <v>#NAME?</v>
      </c>
      <c r="S10" s="420" t="e">
        <f ca="1"/>
        <v>#NAME?</v>
      </c>
      <c r="T10" s="420" t="e">
        <f ca="1"/>
        <v>#NAME?</v>
      </c>
      <c r="U10" s="420" t="e">
        <f ca="1"/>
        <v>#NAME?</v>
      </c>
      <c r="V10" s="420" t="e">
        <f ca="1"/>
        <v>#NAME?</v>
      </c>
      <c r="W10" s="421" t="e">
        <f ca="1"/>
        <v>#NAME?</v>
      </c>
      <c r="X10" s="419" t="e">
        <f ca="1"/>
        <v>#NAME?</v>
      </c>
      <c r="Y10" s="421" t="e">
        <f ca="1"/>
        <v>#NAME?</v>
      </c>
      <c r="AA10" t="s">
        <v>101</v>
      </c>
      <c r="AB10" s="439">
        <v>1</v>
      </c>
      <c r="AC10" s="440">
        <v>1</v>
      </c>
      <c r="AD10" s="440">
        <v>1</v>
      </c>
      <c r="AE10" s="440">
        <v>1</v>
      </c>
      <c r="AF10" s="440">
        <v>1</v>
      </c>
      <c r="AG10" s="440">
        <v>0</v>
      </c>
      <c r="AH10" s="440">
        <v>1</v>
      </c>
      <c r="AI10" s="440">
        <v>0</v>
      </c>
      <c r="AJ10" s="440">
        <v>0</v>
      </c>
      <c r="AK10" s="441">
        <v>0</v>
      </c>
      <c r="AM10" t="s">
        <v>101</v>
      </c>
      <c r="AN10" s="474" t="e">
        <f t="shared" ca="1" si="0"/>
        <v>#NAME?</v>
      </c>
      <c r="AO10" s="474" t="e">
        <f t="shared" ca="1" si="0"/>
        <v>#NAME?</v>
      </c>
      <c r="AP10" s="474" t="e">
        <f t="shared" ca="1" si="0"/>
        <v>#NAME?</v>
      </c>
      <c r="AQ10" s="474" t="e">
        <f t="shared" ca="1" si="0"/>
        <v>#NAME?</v>
      </c>
      <c r="AR10" s="474" t="e">
        <f t="shared" ca="1" si="0"/>
        <v>#NAME?</v>
      </c>
      <c r="AS10" s="474" t="e">
        <f t="shared" ca="1" si="0"/>
        <v>#NAME?</v>
      </c>
      <c r="AT10" s="474" t="e">
        <f t="shared" ca="1" si="0"/>
        <v>#NAME?</v>
      </c>
      <c r="AU10" s="474" t="e">
        <f t="shared" ca="1" si="0"/>
        <v>#NAME?</v>
      </c>
      <c r="AV10" s="474" t="e">
        <f t="shared" ca="1" si="0"/>
        <v>#NAME?</v>
      </c>
      <c r="AW10" s="475" t="e">
        <f t="shared" ca="1" si="0"/>
        <v>#NAME?</v>
      </c>
      <c r="AY10" t="s">
        <v>101</v>
      </c>
      <c r="AZ10" s="476" t="e">
        <f t="shared" ca="1" si="1"/>
        <v>#NAME?</v>
      </c>
      <c r="BA10" s="476" t="e">
        <f t="shared" ca="1" si="1"/>
        <v>#NAME?</v>
      </c>
      <c r="BB10" s="476" t="e">
        <f t="shared" ca="1" si="1"/>
        <v>#NAME?</v>
      </c>
      <c r="BC10" s="476" t="e">
        <f t="shared" ca="1" si="1"/>
        <v>#NAME?</v>
      </c>
      <c r="BD10" s="476" t="e">
        <f t="shared" ca="1" si="1"/>
        <v>#NAME?</v>
      </c>
      <c r="BE10" s="476" t="e">
        <f t="shared" ca="1" si="1"/>
        <v>#NAME?</v>
      </c>
      <c r="BF10" s="476" t="e">
        <f t="shared" ca="1" si="1"/>
        <v>#NAME?</v>
      </c>
      <c r="BG10" s="476" t="e">
        <f t="shared" ca="1" si="1"/>
        <v>#NAME?</v>
      </c>
      <c r="BH10" s="476" t="e">
        <f t="shared" ca="1" si="1"/>
        <v>#NAME?</v>
      </c>
      <c r="BI10" s="477" t="e">
        <f t="shared" ca="1" si="1"/>
        <v>#NAME?</v>
      </c>
    </row>
    <row r="11" spans="1:61" x14ac:dyDescent="0.35">
      <c r="A11" t="s">
        <v>281</v>
      </c>
      <c r="B11" s="439">
        <v>1</v>
      </c>
      <c r="C11" s="440">
        <v>1</v>
      </c>
      <c r="D11" s="440">
        <v>1</v>
      </c>
      <c r="E11" s="440">
        <v>1</v>
      </c>
      <c r="F11" s="440">
        <v>0</v>
      </c>
      <c r="G11" s="440">
        <v>0</v>
      </c>
      <c r="H11" s="440">
        <v>0</v>
      </c>
      <c r="I11" s="440">
        <v>0</v>
      </c>
      <c r="J11" s="440">
        <v>0</v>
      </c>
      <c r="K11" s="441">
        <v>0</v>
      </c>
      <c r="M11" t="e">
        <f ca="1"/>
        <v>#NAME?</v>
      </c>
      <c r="N11" s="99" t="e">
        <f ca="1"/>
        <v>#NAME?</v>
      </c>
      <c r="O11" s="4" t="e">
        <f ca="1"/>
        <v>#NAME?</v>
      </c>
      <c r="P11" s="4" t="e">
        <f ca="1"/>
        <v>#NAME?</v>
      </c>
      <c r="Q11" s="4" t="e">
        <f ca="1"/>
        <v>#NAME?</v>
      </c>
      <c r="R11" s="4" t="e">
        <f ca="1"/>
        <v>#NAME?</v>
      </c>
      <c r="S11" s="4" t="e">
        <f ca="1"/>
        <v>#NAME?</v>
      </c>
      <c r="T11" s="4" t="e">
        <f ca="1"/>
        <v>#NAME?</v>
      </c>
      <c r="U11" s="4" t="e">
        <f ca="1"/>
        <v>#NAME?</v>
      </c>
      <c r="V11" s="4" t="e">
        <f ca="1"/>
        <v>#NAME?</v>
      </c>
      <c r="W11" s="32" t="e">
        <f ca="1"/>
        <v>#NAME?</v>
      </c>
      <c r="X11" s="99" t="e">
        <f ca="1"/>
        <v>#NAME?</v>
      </c>
      <c r="Y11" s="32" t="e">
        <f ca="1"/>
        <v>#NAME?</v>
      </c>
      <c r="AA11" t="s">
        <v>281</v>
      </c>
      <c r="AB11" s="439">
        <v>1</v>
      </c>
      <c r="AC11" s="440">
        <v>1</v>
      </c>
      <c r="AD11" s="440">
        <v>1</v>
      </c>
      <c r="AE11" s="440">
        <v>1</v>
      </c>
      <c r="AF11" s="440">
        <v>0</v>
      </c>
      <c r="AG11" s="440">
        <v>0</v>
      </c>
      <c r="AH11" s="440">
        <v>0</v>
      </c>
      <c r="AI11" s="440">
        <v>0</v>
      </c>
      <c r="AJ11" s="440">
        <v>0</v>
      </c>
      <c r="AK11" s="441">
        <v>0</v>
      </c>
      <c r="AM11" t="s">
        <v>281</v>
      </c>
      <c r="AN11" s="474" t="e">
        <f t="shared" ca="1" si="0"/>
        <v>#NAME?</v>
      </c>
      <c r="AO11" s="474" t="e">
        <f t="shared" ca="1" si="0"/>
        <v>#NAME?</v>
      </c>
      <c r="AP11" s="474" t="e">
        <f t="shared" ca="1" si="0"/>
        <v>#NAME?</v>
      </c>
      <c r="AQ11" s="474" t="e">
        <f t="shared" ca="1" si="0"/>
        <v>#NAME?</v>
      </c>
      <c r="AR11" s="474" t="e">
        <f t="shared" ca="1" si="0"/>
        <v>#NAME?</v>
      </c>
      <c r="AS11" s="474" t="e">
        <f t="shared" ca="1" si="0"/>
        <v>#NAME?</v>
      </c>
      <c r="AT11" s="474" t="e">
        <f t="shared" ca="1" si="0"/>
        <v>#NAME?</v>
      </c>
      <c r="AU11" s="474" t="e">
        <f t="shared" ca="1" si="0"/>
        <v>#NAME?</v>
      </c>
      <c r="AV11" s="474" t="e">
        <f t="shared" ca="1" si="0"/>
        <v>#NAME?</v>
      </c>
      <c r="AW11" s="475" t="e">
        <f t="shared" ca="1" si="0"/>
        <v>#NAME?</v>
      </c>
      <c r="AY11" t="s">
        <v>281</v>
      </c>
      <c r="AZ11" s="476" t="e">
        <f t="shared" ca="1" si="1"/>
        <v>#NAME?</v>
      </c>
      <c r="BA11" s="476" t="e">
        <f t="shared" ca="1" si="1"/>
        <v>#NAME?</v>
      </c>
      <c r="BB11" s="476" t="e">
        <f t="shared" ca="1" si="1"/>
        <v>#NAME?</v>
      </c>
      <c r="BC11" s="476" t="e">
        <f t="shared" ca="1" si="1"/>
        <v>#NAME?</v>
      </c>
      <c r="BD11" s="476" t="e">
        <f t="shared" ca="1" si="1"/>
        <v>#NAME?</v>
      </c>
      <c r="BE11" s="476" t="e">
        <f t="shared" ca="1" si="1"/>
        <v>#NAME?</v>
      </c>
      <c r="BF11" s="476" t="e">
        <f t="shared" ca="1" si="1"/>
        <v>#NAME?</v>
      </c>
      <c r="BG11" s="476" t="e">
        <f t="shared" ca="1" si="1"/>
        <v>#NAME?</v>
      </c>
      <c r="BH11" s="476" t="e">
        <f t="shared" ca="1" si="1"/>
        <v>#NAME?</v>
      </c>
      <c r="BI11" s="477" t="e">
        <f t="shared" ca="1" si="1"/>
        <v>#NAME?</v>
      </c>
    </row>
    <row r="12" spans="1:61" x14ac:dyDescent="0.35">
      <c r="A12" t="s">
        <v>537</v>
      </c>
      <c r="B12" s="439">
        <v>1</v>
      </c>
      <c r="C12" s="440">
        <v>0</v>
      </c>
      <c r="D12" s="440">
        <v>1</v>
      </c>
      <c r="E12" s="440">
        <v>0</v>
      </c>
      <c r="F12" s="440">
        <v>1</v>
      </c>
      <c r="G12" s="440">
        <v>0</v>
      </c>
      <c r="H12" s="440">
        <v>1</v>
      </c>
      <c r="I12" s="440">
        <v>0</v>
      </c>
      <c r="J12" s="440">
        <v>0</v>
      </c>
      <c r="K12" s="441">
        <v>0</v>
      </c>
      <c r="M12" t="e">
        <f ca="1"/>
        <v>#NAME?</v>
      </c>
      <c r="N12" s="99" t="e">
        <f ca="1"/>
        <v>#NAME?</v>
      </c>
      <c r="O12" s="4" t="e">
        <f ca="1"/>
        <v>#NAME?</v>
      </c>
      <c r="P12" s="4" t="e">
        <f ca="1"/>
        <v>#NAME?</v>
      </c>
      <c r="Q12" s="4" t="e">
        <f ca="1"/>
        <v>#NAME?</v>
      </c>
      <c r="R12" s="4" t="e">
        <f ca="1"/>
        <v>#NAME?</v>
      </c>
      <c r="S12" s="4" t="e">
        <f ca="1"/>
        <v>#NAME?</v>
      </c>
      <c r="T12" s="4" t="e">
        <f ca="1"/>
        <v>#NAME?</v>
      </c>
      <c r="U12" s="4" t="e">
        <f ca="1"/>
        <v>#NAME?</v>
      </c>
      <c r="V12" s="4" t="e">
        <f ca="1"/>
        <v>#NAME?</v>
      </c>
      <c r="W12" s="32" t="e">
        <f ca="1"/>
        <v>#NAME?</v>
      </c>
      <c r="X12" s="99" t="e">
        <f ca="1"/>
        <v>#NAME?</v>
      </c>
      <c r="Y12" s="32" t="e">
        <f ca="1"/>
        <v>#NAME?</v>
      </c>
      <c r="AA12" t="s">
        <v>537</v>
      </c>
      <c r="AB12" s="439">
        <v>1</v>
      </c>
      <c r="AC12" s="440">
        <v>0</v>
      </c>
      <c r="AD12" s="440">
        <v>1</v>
      </c>
      <c r="AE12" s="440">
        <v>0</v>
      </c>
      <c r="AF12" s="440">
        <v>1</v>
      </c>
      <c r="AG12" s="440">
        <v>0</v>
      </c>
      <c r="AH12" s="440">
        <v>1</v>
      </c>
      <c r="AI12" s="440">
        <v>0</v>
      </c>
      <c r="AJ12" s="440">
        <v>0</v>
      </c>
      <c r="AK12" s="441">
        <v>0</v>
      </c>
      <c r="AM12" t="s">
        <v>537</v>
      </c>
      <c r="AN12" s="474" t="e">
        <f t="shared" ca="1" si="0"/>
        <v>#NAME?</v>
      </c>
      <c r="AO12" s="474" t="e">
        <f t="shared" ca="1" si="0"/>
        <v>#NAME?</v>
      </c>
      <c r="AP12" s="474" t="e">
        <f t="shared" ca="1" si="0"/>
        <v>#NAME?</v>
      </c>
      <c r="AQ12" s="474" t="e">
        <f t="shared" ca="1" si="0"/>
        <v>#NAME?</v>
      </c>
      <c r="AR12" s="474" t="e">
        <f t="shared" ca="1" si="0"/>
        <v>#NAME?</v>
      </c>
      <c r="AS12" s="474" t="e">
        <f t="shared" ca="1" si="0"/>
        <v>#NAME?</v>
      </c>
      <c r="AT12" s="474" t="e">
        <f t="shared" ca="1" si="0"/>
        <v>#NAME?</v>
      </c>
      <c r="AU12" s="474" t="e">
        <f t="shared" ca="1" si="0"/>
        <v>#NAME?</v>
      </c>
      <c r="AV12" s="474" t="e">
        <f t="shared" ca="1" si="0"/>
        <v>#NAME?</v>
      </c>
      <c r="AW12" s="475" t="e">
        <f t="shared" ca="1" si="0"/>
        <v>#NAME?</v>
      </c>
      <c r="AY12" t="s">
        <v>537</v>
      </c>
      <c r="AZ12" s="476" t="e">
        <f t="shared" ca="1" si="1"/>
        <v>#NAME?</v>
      </c>
      <c r="BA12" s="476" t="e">
        <f t="shared" ca="1" si="1"/>
        <v>#NAME?</v>
      </c>
      <c r="BB12" s="476" t="e">
        <f t="shared" ca="1" si="1"/>
        <v>#NAME?</v>
      </c>
      <c r="BC12" s="476" t="e">
        <f t="shared" ca="1" si="1"/>
        <v>#NAME?</v>
      </c>
      <c r="BD12" s="476" t="e">
        <f t="shared" ca="1" si="1"/>
        <v>#NAME?</v>
      </c>
      <c r="BE12" s="476" t="e">
        <f t="shared" ca="1" si="1"/>
        <v>#NAME?</v>
      </c>
      <c r="BF12" s="476" t="e">
        <f t="shared" ca="1" si="1"/>
        <v>#NAME?</v>
      </c>
      <c r="BG12" s="476" t="e">
        <f t="shared" ca="1" si="1"/>
        <v>#NAME?</v>
      </c>
      <c r="BH12" s="476" t="e">
        <f t="shared" ca="1" si="1"/>
        <v>#NAME?</v>
      </c>
      <c r="BI12" s="477" t="e">
        <f t="shared" ca="1" si="1"/>
        <v>#NAME?</v>
      </c>
    </row>
    <row r="13" spans="1:61" ht="15" thickBot="1" x14ac:dyDescent="0.4">
      <c r="A13" t="s">
        <v>905</v>
      </c>
      <c r="B13" s="442">
        <v>0</v>
      </c>
      <c r="C13" s="443">
        <v>1</v>
      </c>
      <c r="D13" s="443">
        <v>0</v>
      </c>
      <c r="E13" s="443">
        <v>1</v>
      </c>
      <c r="F13" s="443">
        <v>0</v>
      </c>
      <c r="G13" s="443">
        <v>0</v>
      </c>
      <c r="H13" s="443">
        <v>0</v>
      </c>
      <c r="I13" s="443">
        <v>0</v>
      </c>
      <c r="J13" s="443">
        <v>0</v>
      </c>
      <c r="K13" s="444">
        <v>0</v>
      </c>
      <c r="M13" t="e">
        <f ca="1"/>
        <v>#NAME?</v>
      </c>
      <c r="N13" s="99" t="e">
        <f ca="1"/>
        <v>#NAME?</v>
      </c>
      <c r="O13" s="4" t="e">
        <f ca="1"/>
        <v>#NAME?</v>
      </c>
      <c r="P13" s="4" t="e">
        <f ca="1"/>
        <v>#NAME?</v>
      </c>
      <c r="Q13" s="4" t="e">
        <f ca="1"/>
        <v>#NAME?</v>
      </c>
      <c r="R13" s="4" t="e">
        <f ca="1"/>
        <v>#NAME?</v>
      </c>
      <c r="S13" s="4" t="e">
        <f ca="1"/>
        <v>#NAME?</v>
      </c>
      <c r="T13" s="4" t="e">
        <f ca="1"/>
        <v>#NAME?</v>
      </c>
      <c r="U13" s="4" t="e">
        <f ca="1"/>
        <v>#NAME?</v>
      </c>
      <c r="V13" s="4" t="e">
        <f ca="1"/>
        <v>#NAME?</v>
      </c>
      <c r="W13" s="32" t="e">
        <f ca="1"/>
        <v>#NAME?</v>
      </c>
      <c r="X13" s="99" t="e">
        <f ca="1"/>
        <v>#NAME?</v>
      </c>
      <c r="Y13" s="32" t="e">
        <f ca="1"/>
        <v>#NAME?</v>
      </c>
      <c r="AA13" t="s">
        <v>905</v>
      </c>
      <c r="AB13" s="442">
        <v>0</v>
      </c>
      <c r="AC13" s="443">
        <v>1</v>
      </c>
      <c r="AD13" s="443">
        <v>0</v>
      </c>
      <c r="AE13" s="443">
        <v>1</v>
      </c>
      <c r="AF13" s="443">
        <v>0</v>
      </c>
      <c r="AG13" s="443">
        <v>0</v>
      </c>
      <c r="AH13" s="443">
        <v>0</v>
      </c>
      <c r="AI13" s="443">
        <v>0</v>
      </c>
      <c r="AJ13" s="443">
        <v>0</v>
      </c>
      <c r="AK13" s="444">
        <v>0</v>
      </c>
      <c r="AM13" t="s">
        <v>905</v>
      </c>
      <c r="AN13" s="478" t="e">
        <f t="shared" ca="1" si="0"/>
        <v>#NAME?</v>
      </c>
      <c r="AO13" s="478" t="e">
        <f t="shared" ca="1" si="0"/>
        <v>#NAME?</v>
      </c>
      <c r="AP13" s="478" t="e">
        <f t="shared" ca="1" si="0"/>
        <v>#NAME?</v>
      </c>
      <c r="AQ13" s="478" t="e">
        <f t="shared" ca="1" si="0"/>
        <v>#NAME?</v>
      </c>
      <c r="AR13" s="478" t="e">
        <f t="shared" ca="1" si="0"/>
        <v>#NAME?</v>
      </c>
      <c r="AS13" s="478" t="e">
        <f t="shared" ca="1" si="0"/>
        <v>#NAME?</v>
      </c>
      <c r="AT13" s="478" t="e">
        <f t="shared" ca="1" si="0"/>
        <v>#NAME?</v>
      </c>
      <c r="AU13" s="478" t="e">
        <f t="shared" ca="1" si="0"/>
        <v>#NAME?</v>
      </c>
      <c r="AV13" s="478" t="e">
        <f t="shared" ca="1" si="0"/>
        <v>#NAME?</v>
      </c>
      <c r="AW13" s="479" t="e">
        <f t="shared" ca="1" si="0"/>
        <v>#NAME?</v>
      </c>
      <c r="AY13" t="s">
        <v>905</v>
      </c>
      <c r="AZ13" s="480" t="e">
        <f t="shared" ca="1" si="1"/>
        <v>#NAME?</v>
      </c>
      <c r="BA13" s="480" t="e">
        <f t="shared" ca="1" si="1"/>
        <v>#NAME?</v>
      </c>
      <c r="BB13" s="480" t="e">
        <f t="shared" ca="1" si="1"/>
        <v>#NAME?</v>
      </c>
      <c r="BC13" s="480" t="e">
        <f t="shared" ca="1" si="1"/>
        <v>#NAME?</v>
      </c>
      <c r="BD13" s="480" t="e">
        <f t="shared" ca="1" si="1"/>
        <v>#NAME?</v>
      </c>
      <c r="BE13" s="480" t="e">
        <f t="shared" ca="1" si="1"/>
        <v>#NAME?</v>
      </c>
      <c r="BF13" s="480" t="e">
        <f t="shared" ca="1" si="1"/>
        <v>#NAME?</v>
      </c>
      <c r="BG13" s="480" t="e">
        <f t="shared" ca="1" si="1"/>
        <v>#NAME?</v>
      </c>
      <c r="BH13" s="480" t="e">
        <f t="shared" ca="1" si="1"/>
        <v>#NAME?</v>
      </c>
      <c r="BI13" s="481" t="e">
        <f t="shared" ca="1" si="1"/>
        <v>#NAME?</v>
      </c>
    </row>
    <row r="14" spans="1:61" x14ac:dyDescent="0.35">
      <c r="M14" t="e">
        <f ca="1"/>
        <v>#NAME?</v>
      </c>
      <c r="N14" s="99" t="e">
        <f ca="1"/>
        <v>#NAME?</v>
      </c>
      <c r="O14" s="4" t="e">
        <f ca="1"/>
        <v>#NAME?</v>
      </c>
      <c r="P14" s="4" t="e">
        <f ca="1"/>
        <v>#NAME?</v>
      </c>
      <c r="Q14" s="4" t="e">
        <f ca="1"/>
        <v>#NAME?</v>
      </c>
      <c r="R14" s="4" t="e">
        <f ca="1"/>
        <v>#NAME?</v>
      </c>
      <c r="S14" s="4" t="e">
        <f ca="1"/>
        <v>#NAME?</v>
      </c>
      <c r="T14" s="4" t="e">
        <f ca="1"/>
        <v>#NAME?</v>
      </c>
      <c r="U14" s="4" t="e">
        <f ca="1"/>
        <v>#NAME?</v>
      </c>
      <c r="V14" s="4" t="e">
        <f ca="1"/>
        <v>#NAME?</v>
      </c>
      <c r="W14" s="32" t="e">
        <f ca="1"/>
        <v>#NAME?</v>
      </c>
      <c r="X14" s="99" t="e">
        <f ca="1"/>
        <v>#NAME?</v>
      </c>
      <c r="Y14" s="32" t="e">
        <f ca="1"/>
        <v>#NAME?</v>
      </c>
    </row>
    <row r="15" spans="1:61" x14ac:dyDescent="0.35">
      <c r="B15" s="462">
        <v>1</v>
      </c>
      <c r="C15" s="462">
        <v>2</v>
      </c>
      <c r="D15" s="462">
        <v>3</v>
      </c>
      <c r="E15" s="462">
        <v>4</v>
      </c>
      <c r="F15" s="462">
        <v>5</v>
      </c>
      <c r="G15" s="462">
        <v>6</v>
      </c>
      <c r="H15" s="462">
        <v>7</v>
      </c>
      <c r="I15" s="462">
        <v>8</v>
      </c>
      <c r="J15" s="462">
        <v>9</v>
      </c>
      <c r="K15" s="462">
        <v>10</v>
      </c>
      <c r="M15" t="e">
        <f ca="1"/>
        <v>#NAME?</v>
      </c>
      <c r="N15" s="99" t="e">
        <f ca="1"/>
        <v>#NAME?</v>
      </c>
      <c r="O15" s="4" t="e">
        <f ca="1"/>
        <v>#NAME?</v>
      </c>
      <c r="P15" s="4" t="e">
        <f ca="1"/>
        <v>#NAME?</v>
      </c>
      <c r="Q15" s="4" t="e">
        <f ca="1"/>
        <v>#NAME?</v>
      </c>
      <c r="R15" s="4" t="e">
        <f ca="1"/>
        <v>#NAME?</v>
      </c>
      <c r="S15" s="4" t="e">
        <f ca="1"/>
        <v>#NAME?</v>
      </c>
      <c r="T15" s="4" t="e">
        <f ca="1"/>
        <v>#NAME?</v>
      </c>
      <c r="U15" s="4" t="e">
        <f ca="1"/>
        <v>#NAME?</v>
      </c>
      <c r="V15" s="4" t="e">
        <f ca="1"/>
        <v>#NAME?</v>
      </c>
      <c r="W15" s="32" t="e">
        <f ca="1"/>
        <v>#NAME?</v>
      </c>
      <c r="X15" s="99" t="e">
        <f ca="1"/>
        <v>#NAME?</v>
      </c>
      <c r="Y15" s="32" t="e">
        <f ca="1"/>
        <v>#NAME?</v>
      </c>
    </row>
    <row r="16" spans="1:61" x14ac:dyDescent="0.35">
      <c r="A16" t="s">
        <v>218</v>
      </c>
      <c r="B16" s="474" t="str">
        <f>IF(B5="","",IF(B5=1,IF($X10&lt;N$19,"x",""),IF(B5=0,IF(N$19&lt;$X10,"o",""))))</f>
        <v/>
      </c>
      <c r="C16" s="474" t="e">
        <f t="shared" ref="C16:K24" ca="1" si="2">IF(C5="","",IF(C5=1,IF($X10&lt;O$19,"x",""),IF(C5=0,IF(O$19&lt;$X10,"o",""))))</f>
        <v>#NAME?</v>
      </c>
      <c r="D16" s="474" t="e">
        <f t="shared" ca="1" si="2"/>
        <v>#NAME?</v>
      </c>
      <c r="E16" s="474" t="e">
        <f t="shared" ca="1" si="2"/>
        <v>#NAME?</v>
      </c>
      <c r="F16" s="474" t="e">
        <f t="shared" ca="1" si="2"/>
        <v>#NAME?</v>
      </c>
      <c r="G16" s="474" t="e">
        <f t="shared" ca="1" si="2"/>
        <v>#NAME?</v>
      </c>
      <c r="H16" s="474" t="e">
        <f t="shared" ca="1" si="2"/>
        <v>#NAME?</v>
      </c>
      <c r="I16" s="474" t="e">
        <f t="shared" ca="1" si="2"/>
        <v>#NAME?</v>
      </c>
      <c r="J16" s="474" t="e">
        <f t="shared" ca="1" si="2"/>
        <v>#NAME?</v>
      </c>
      <c r="K16" s="475" t="e">
        <f t="shared" ca="1" si="2"/>
        <v>#NAME?</v>
      </c>
      <c r="M16" t="e">
        <f ca="1"/>
        <v>#NAME?</v>
      </c>
      <c r="N16" s="99" t="e">
        <f ca="1"/>
        <v>#NAME?</v>
      </c>
      <c r="O16" s="4" t="e">
        <f ca="1"/>
        <v>#NAME?</v>
      </c>
      <c r="P16" s="4" t="e">
        <f ca="1"/>
        <v>#NAME?</v>
      </c>
      <c r="Q16" s="4" t="e">
        <f ca="1"/>
        <v>#NAME?</v>
      </c>
      <c r="R16" s="4" t="e">
        <f ca="1"/>
        <v>#NAME?</v>
      </c>
      <c r="S16" s="4" t="e">
        <f ca="1"/>
        <v>#NAME?</v>
      </c>
      <c r="T16" s="4" t="e">
        <f ca="1"/>
        <v>#NAME?</v>
      </c>
      <c r="U16" s="4" t="e">
        <f ca="1"/>
        <v>#NAME?</v>
      </c>
      <c r="V16" s="4" t="e">
        <f ca="1"/>
        <v>#NAME?</v>
      </c>
      <c r="W16" s="32" t="e">
        <f ca="1"/>
        <v>#NAME?</v>
      </c>
      <c r="X16" s="99" t="e">
        <f ca="1"/>
        <v>#NAME?</v>
      </c>
      <c r="Y16" s="32" t="e">
        <f ca="1"/>
        <v>#NAME?</v>
      </c>
    </row>
    <row r="17" spans="1:25" x14ac:dyDescent="0.35">
      <c r="A17" t="s">
        <v>98</v>
      </c>
      <c r="B17" s="474" t="e">
        <f t="shared" ref="B17:B24" ca="1" si="3">IF(B6="","",IF(B6=1,IF($X11&lt;N$19,"x",""),IF(B6=0,IF(N$19&lt;$X11,"o",""))))</f>
        <v>#NAME?</v>
      </c>
      <c r="C17" s="474" t="e">
        <f t="shared" ca="1" si="2"/>
        <v>#NAME?</v>
      </c>
      <c r="D17" s="474" t="e">
        <f t="shared" ca="1" si="2"/>
        <v>#NAME?</v>
      </c>
      <c r="E17" s="474" t="e">
        <f t="shared" ca="1" si="2"/>
        <v>#NAME?</v>
      </c>
      <c r="F17" s="474" t="e">
        <f t="shared" ca="1" si="2"/>
        <v>#NAME?</v>
      </c>
      <c r="G17" s="474" t="e">
        <f t="shared" ca="1" si="2"/>
        <v>#NAME?</v>
      </c>
      <c r="H17" s="474" t="e">
        <f t="shared" ca="1" si="2"/>
        <v>#NAME?</v>
      </c>
      <c r="I17" s="474" t="e">
        <f t="shared" ca="1" si="2"/>
        <v>#NAME?</v>
      </c>
      <c r="J17" s="474" t="e">
        <f t="shared" ca="1" si="2"/>
        <v>#NAME?</v>
      </c>
      <c r="K17" s="475" t="e">
        <f t="shared" ca="1" si="2"/>
        <v>#NAME?</v>
      </c>
      <c r="M17" t="e">
        <f ca="1"/>
        <v>#NAME?</v>
      </c>
      <c r="N17" s="99" t="e">
        <f ca="1"/>
        <v>#NAME?</v>
      </c>
      <c r="O17" s="4" t="e">
        <f ca="1"/>
        <v>#NAME?</v>
      </c>
      <c r="P17" s="4" t="e">
        <f ca="1"/>
        <v>#NAME?</v>
      </c>
      <c r="Q17" s="4" t="e">
        <f ca="1"/>
        <v>#NAME?</v>
      </c>
      <c r="R17" s="4" t="e">
        <f ca="1"/>
        <v>#NAME?</v>
      </c>
      <c r="S17" s="4" t="e">
        <f ca="1"/>
        <v>#NAME?</v>
      </c>
      <c r="T17" s="4" t="e">
        <f ca="1"/>
        <v>#NAME?</v>
      </c>
      <c r="U17" s="4" t="e">
        <f ca="1"/>
        <v>#NAME?</v>
      </c>
      <c r="V17" s="4" t="e">
        <f ca="1"/>
        <v>#NAME?</v>
      </c>
      <c r="W17" s="32" t="e">
        <f ca="1"/>
        <v>#NAME?</v>
      </c>
      <c r="X17" s="99" t="e">
        <f ca="1"/>
        <v>#NAME?</v>
      </c>
      <c r="Y17" s="32" t="e">
        <f ca="1"/>
        <v>#NAME?</v>
      </c>
    </row>
    <row r="18" spans="1:25" x14ac:dyDescent="0.35">
      <c r="A18" t="s">
        <v>99</v>
      </c>
      <c r="B18" s="474" t="e">
        <f t="shared" ca="1" si="3"/>
        <v>#NAME?</v>
      </c>
      <c r="C18" s="474" t="e">
        <f t="shared" ca="1" si="2"/>
        <v>#NAME?</v>
      </c>
      <c r="D18" s="474" t="e">
        <f t="shared" ca="1" si="2"/>
        <v>#NAME?</v>
      </c>
      <c r="E18" s="474" t="e">
        <f t="shared" ca="1" si="2"/>
        <v>#NAME?</v>
      </c>
      <c r="F18" s="474" t="e">
        <f t="shared" ca="1" si="2"/>
        <v>#NAME?</v>
      </c>
      <c r="G18" s="474" t="e">
        <f t="shared" ca="1" si="2"/>
        <v>#NAME?</v>
      </c>
      <c r="H18" s="474" t="e">
        <f t="shared" ca="1" si="2"/>
        <v>#NAME?</v>
      </c>
      <c r="I18" s="474" t="e">
        <f t="shared" ca="1" si="2"/>
        <v>#NAME?</v>
      </c>
      <c r="J18" s="474" t="e">
        <f t="shared" ca="1" si="2"/>
        <v>#NAME?</v>
      </c>
      <c r="K18" s="475" t="e">
        <f t="shared" ca="1" si="2"/>
        <v>#NAME?</v>
      </c>
      <c r="M18" t="e">
        <f ca="1"/>
        <v>#NAME?</v>
      </c>
      <c r="N18" s="156" t="e">
        <f ca="1"/>
        <v>#NAME?</v>
      </c>
      <c r="O18" s="157" t="e">
        <f ca="1"/>
        <v>#NAME?</v>
      </c>
      <c r="P18" s="157" t="e">
        <f ca="1"/>
        <v>#NAME?</v>
      </c>
      <c r="Q18" s="157" t="e">
        <f ca="1"/>
        <v>#NAME?</v>
      </c>
      <c r="R18" s="157" t="e">
        <f ca="1"/>
        <v>#NAME?</v>
      </c>
      <c r="S18" s="157" t="e">
        <f ca="1"/>
        <v>#NAME?</v>
      </c>
      <c r="T18" s="157" t="e">
        <f ca="1"/>
        <v>#NAME?</v>
      </c>
      <c r="U18" s="157" t="e">
        <f ca="1"/>
        <v>#NAME?</v>
      </c>
      <c r="V18" s="157" t="e">
        <f ca="1"/>
        <v>#NAME?</v>
      </c>
      <c r="W18" s="158" t="e">
        <f ca="1"/>
        <v>#NAME?</v>
      </c>
      <c r="X18" s="156" t="e">
        <f ca="1"/>
        <v>#NAME?</v>
      </c>
      <c r="Y18" s="158" t="e">
        <f ca="1"/>
        <v>#NAME?</v>
      </c>
    </row>
    <row r="19" spans="1:25" x14ac:dyDescent="0.35">
      <c r="A19" t="s">
        <v>100</v>
      </c>
      <c r="B19" s="474" t="e">
        <f t="shared" ca="1" si="3"/>
        <v>#NAME?</v>
      </c>
      <c r="C19" s="474" t="e">
        <f t="shared" ca="1" si="2"/>
        <v>#NAME?</v>
      </c>
      <c r="D19" s="474" t="e">
        <f t="shared" ca="1" si="2"/>
        <v>#NAME?</v>
      </c>
      <c r="E19" s="474" t="e">
        <f t="shared" ca="1" si="2"/>
        <v>#NAME?</v>
      </c>
      <c r="F19" s="474" t="e">
        <f t="shared" ca="1" si="2"/>
        <v>#NAME?</v>
      </c>
      <c r="G19" s="474" t="e">
        <f t="shared" ca="1" si="2"/>
        <v>#NAME?</v>
      </c>
      <c r="H19" s="474" t="e">
        <f t="shared" ca="1" si="2"/>
        <v>#NAME?</v>
      </c>
      <c r="I19" s="474" t="e">
        <f t="shared" ca="1" si="2"/>
        <v>#NAME?</v>
      </c>
      <c r="J19" s="474" t="e">
        <f t="shared" ca="1" si="2"/>
        <v>#NAME?</v>
      </c>
      <c r="K19" s="475" t="e">
        <f t="shared" ca="1" si="2"/>
        <v>#NAME?</v>
      </c>
      <c r="M19" t="e">
        <f ca="1"/>
        <v>#NAME?</v>
      </c>
      <c r="N19" s="419" t="e">
        <f ca="1"/>
        <v>#NAME?</v>
      </c>
      <c r="O19" s="420" t="e">
        <f ca="1"/>
        <v>#NAME?</v>
      </c>
      <c r="P19" s="420" t="e">
        <f ca="1"/>
        <v>#NAME?</v>
      </c>
      <c r="Q19" s="420" t="e">
        <f ca="1"/>
        <v>#NAME?</v>
      </c>
      <c r="R19" s="420" t="e">
        <f ca="1"/>
        <v>#NAME?</v>
      </c>
      <c r="S19" s="420" t="e">
        <f ca="1"/>
        <v>#NAME?</v>
      </c>
      <c r="T19" s="420" t="e">
        <f ca="1"/>
        <v>#NAME?</v>
      </c>
      <c r="U19" s="420" t="e">
        <f ca="1"/>
        <v>#NAME?</v>
      </c>
      <c r="V19" s="420" t="e">
        <f ca="1"/>
        <v>#NAME?</v>
      </c>
      <c r="W19" s="421" t="e">
        <f ca="1"/>
        <v>#NAME?</v>
      </c>
      <c r="X19" s="452" t="e">
        <f ca="1"/>
        <v>#NAME?</v>
      </c>
      <c r="Y19" s="421" t="e">
        <f ca="1"/>
        <v>#NAME?</v>
      </c>
    </row>
    <row r="20" spans="1:25" x14ac:dyDescent="0.35">
      <c r="A20" t="s">
        <v>536</v>
      </c>
      <c r="B20" s="474" t="e">
        <f t="shared" ca="1" si="3"/>
        <v>#NAME?</v>
      </c>
      <c r="C20" s="474" t="e">
        <f t="shared" ca="1" si="2"/>
        <v>#NAME?</v>
      </c>
      <c r="D20" s="474" t="e">
        <f t="shared" ca="1" si="2"/>
        <v>#NAME?</v>
      </c>
      <c r="E20" s="474" t="e">
        <f t="shared" ca="1" si="2"/>
        <v>#NAME?</v>
      </c>
      <c r="F20" s="474" t="e">
        <f t="shared" ca="1" si="2"/>
        <v>#NAME?</v>
      </c>
      <c r="G20" s="474" t="e">
        <f t="shared" ca="1" si="2"/>
        <v>#NAME?</v>
      </c>
      <c r="H20" s="474" t="e">
        <f t="shared" ca="1" si="2"/>
        <v>#NAME?</v>
      </c>
      <c r="I20" s="474" t="e">
        <f t="shared" ca="1" si="2"/>
        <v>#NAME?</v>
      </c>
      <c r="J20" s="474" t="e">
        <f t="shared" ca="1" si="2"/>
        <v>#NAME?</v>
      </c>
      <c r="K20" s="475" t="e">
        <f t="shared" ca="1" si="2"/>
        <v>#NAME?</v>
      </c>
      <c r="M20" t="e">
        <f ca="1"/>
        <v>#NAME?</v>
      </c>
      <c r="N20" s="156" t="e">
        <f ca="1"/>
        <v>#NAME?</v>
      </c>
      <c r="O20" s="157" t="e">
        <f ca="1"/>
        <v>#NAME?</v>
      </c>
      <c r="P20" s="157" t="e">
        <f ca="1"/>
        <v>#NAME?</v>
      </c>
      <c r="Q20" s="157" t="e">
        <f ca="1"/>
        <v>#NAME?</v>
      </c>
      <c r="R20" s="157" t="e">
        <f ca="1"/>
        <v>#NAME?</v>
      </c>
      <c r="S20" s="157" t="e">
        <f ca="1"/>
        <v>#NAME?</v>
      </c>
      <c r="T20" s="157" t="e">
        <f ca="1"/>
        <v>#NAME?</v>
      </c>
      <c r="U20" s="157" t="e">
        <f ca="1"/>
        <v>#NAME?</v>
      </c>
      <c r="V20" s="157" t="e">
        <f ca="1"/>
        <v>#NAME?</v>
      </c>
      <c r="W20" s="158" t="e">
        <f ca="1"/>
        <v>#NAME?</v>
      </c>
      <c r="X20" s="453" t="e">
        <f ca="1"/>
        <v>#NAME?</v>
      </c>
      <c r="Y20" s="158" t="e">
        <f ca="1"/>
        <v>#NAME?</v>
      </c>
    </row>
    <row r="21" spans="1:25" x14ac:dyDescent="0.35">
      <c r="A21" t="s">
        <v>101</v>
      </c>
      <c r="B21" s="474" t="e">
        <f t="shared" ca="1" si="3"/>
        <v>#NAME?</v>
      </c>
      <c r="C21" s="474" t="e">
        <f t="shared" ca="1" si="2"/>
        <v>#NAME?</v>
      </c>
      <c r="D21" s="474" t="e">
        <f t="shared" ca="1" si="2"/>
        <v>#NAME?</v>
      </c>
      <c r="E21" s="474" t="e">
        <f t="shared" ca="1" si="2"/>
        <v>#NAME?</v>
      </c>
      <c r="F21" s="474" t="e">
        <f t="shared" ca="1" si="2"/>
        <v>#NAME?</v>
      </c>
      <c r="G21" s="474" t="e">
        <f t="shared" ca="1" si="2"/>
        <v>#NAME?</v>
      </c>
      <c r="H21" s="474" t="e">
        <f t="shared" ca="1" si="2"/>
        <v>#NAME?</v>
      </c>
      <c r="I21" s="474" t="e">
        <f t="shared" ca="1" si="2"/>
        <v>#NAME?</v>
      </c>
      <c r="J21" s="474" t="e">
        <f t="shared" ca="1" si="2"/>
        <v>#NAME?</v>
      </c>
      <c r="K21" s="475" t="e">
        <f t="shared" ca="1" si="2"/>
        <v>#NAME?</v>
      </c>
    </row>
    <row r="22" spans="1:25" x14ac:dyDescent="0.35">
      <c r="A22" t="s">
        <v>281</v>
      </c>
      <c r="B22" s="474" t="e">
        <f t="shared" ca="1" si="3"/>
        <v>#NAME?</v>
      </c>
      <c r="C22" s="474" t="e">
        <f t="shared" ca="1" si="2"/>
        <v>#NAME?</v>
      </c>
      <c r="D22" s="474" t="e">
        <f t="shared" ca="1" si="2"/>
        <v>#NAME?</v>
      </c>
      <c r="E22" s="474" t="e">
        <f t="shared" ca="1" si="2"/>
        <v>#NAME?</v>
      </c>
      <c r="F22" s="474" t="e">
        <f t="shared" ca="1" si="2"/>
        <v>#NAME?</v>
      </c>
      <c r="G22" s="474" t="e">
        <f t="shared" ca="1" si="2"/>
        <v>#NAME?</v>
      </c>
      <c r="H22" s="474" t="e">
        <f t="shared" ca="1" si="2"/>
        <v>#NAME?</v>
      </c>
      <c r="I22" s="474" t="e">
        <f t="shared" ca="1" si="2"/>
        <v>#NAME?</v>
      </c>
      <c r="J22" s="474" t="e">
        <f t="shared" ca="1" si="2"/>
        <v>#NAME?</v>
      </c>
      <c r="K22" s="475" t="e">
        <f t="shared" ca="1" si="2"/>
        <v>#NAME?</v>
      </c>
      <c r="M22" t="e">
        <f t="array" aca="1" ref="M22:Y33" ca="1">RASCHFIT(A4:K13,TRUE,N5,N6)</f>
        <v>#NAME?</v>
      </c>
      <c r="N22" t="e">
        <f ca="1"/>
        <v>#NAME?</v>
      </c>
      <c r="O22" t="e">
        <f ca="1"/>
        <v>#NAME?</v>
      </c>
      <c r="P22" t="e">
        <f ca="1"/>
        <v>#NAME?</v>
      </c>
      <c r="Q22" t="e">
        <f ca="1"/>
        <v>#NAME?</v>
      </c>
      <c r="R22" t="e">
        <f ca="1"/>
        <v>#NAME?</v>
      </c>
      <c r="S22" t="e">
        <f ca="1"/>
        <v>#NAME?</v>
      </c>
      <c r="T22" t="e">
        <f ca="1"/>
        <v>#NAME?</v>
      </c>
      <c r="U22" t="e">
        <f ca="1"/>
        <v>#NAME?</v>
      </c>
      <c r="V22" t="e">
        <f ca="1"/>
        <v>#NAME?</v>
      </c>
      <c r="W22" t="e">
        <f ca="1"/>
        <v>#NAME?</v>
      </c>
      <c r="X22" s="6" t="e">
        <f ca="1"/>
        <v>#NAME?</v>
      </c>
      <c r="Y22" s="6" t="e">
        <f ca="1"/>
        <v>#NAME?</v>
      </c>
    </row>
    <row r="23" spans="1:25" x14ac:dyDescent="0.35">
      <c r="A23" t="s">
        <v>537</v>
      </c>
      <c r="B23" s="474" t="e">
        <f t="shared" ca="1" si="3"/>
        <v>#NAME?</v>
      </c>
      <c r="C23" s="474" t="e">
        <f t="shared" ca="1" si="2"/>
        <v>#NAME?</v>
      </c>
      <c r="D23" s="474" t="e">
        <f t="shared" ca="1" si="2"/>
        <v>#NAME?</v>
      </c>
      <c r="E23" s="474" t="e">
        <f t="shared" ca="1" si="2"/>
        <v>#NAME?</v>
      </c>
      <c r="F23" s="474" t="e">
        <f t="shared" ca="1" si="2"/>
        <v>#NAME?</v>
      </c>
      <c r="G23" s="474" t="e">
        <f t="shared" ca="1" si="2"/>
        <v>#NAME?</v>
      </c>
      <c r="H23" s="474" t="e">
        <f t="shared" ca="1" si="2"/>
        <v>#NAME?</v>
      </c>
      <c r="I23" s="474" t="e">
        <f t="shared" ca="1" si="2"/>
        <v>#NAME?</v>
      </c>
      <c r="J23" s="474" t="e">
        <f t="shared" ca="1" si="2"/>
        <v>#NAME?</v>
      </c>
      <c r="K23" s="475" t="e">
        <f t="shared" ca="1" si="2"/>
        <v>#NAME?</v>
      </c>
      <c r="M23" t="e">
        <f ca="1"/>
        <v>#NAME?</v>
      </c>
      <c r="N23" s="454" t="e">
        <f ca="1"/>
        <v>#NAME?</v>
      </c>
      <c r="O23" s="420" t="e">
        <f ca="1"/>
        <v>#NAME?</v>
      </c>
      <c r="P23" s="420" t="e">
        <f ca="1"/>
        <v>#NAME?</v>
      </c>
      <c r="Q23" s="420" t="e">
        <f ca="1"/>
        <v>#NAME?</v>
      </c>
      <c r="R23" s="420" t="e">
        <f ca="1"/>
        <v>#NAME?</v>
      </c>
      <c r="S23" s="420" t="e">
        <f ca="1"/>
        <v>#NAME?</v>
      </c>
      <c r="T23" s="420" t="e">
        <f ca="1"/>
        <v>#NAME?</v>
      </c>
      <c r="U23" s="420" t="e">
        <f ca="1"/>
        <v>#NAME?</v>
      </c>
      <c r="V23" s="420" t="e">
        <f ca="1"/>
        <v>#NAME?</v>
      </c>
      <c r="W23" s="421" t="e">
        <f ca="1"/>
        <v>#NAME?</v>
      </c>
      <c r="X23" s="419" t="e">
        <f ca="1"/>
        <v>#NAME?</v>
      </c>
      <c r="Y23" s="421" t="e">
        <f ca="1"/>
        <v>#NAME?</v>
      </c>
    </row>
    <row r="24" spans="1:25" x14ac:dyDescent="0.35">
      <c r="A24" t="s">
        <v>905</v>
      </c>
      <c r="B24" s="478" t="e">
        <f t="shared" ca="1" si="3"/>
        <v>#NAME?</v>
      </c>
      <c r="C24" s="478" t="e">
        <f t="shared" ca="1" si="2"/>
        <v>#NAME?</v>
      </c>
      <c r="D24" s="478" t="e">
        <f t="shared" ca="1" si="2"/>
        <v>#NAME?</v>
      </c>
      <c r="E24" s="478" t="e">
        <f t="shared" ca="1" si="2"/>
        <v>#NAME?</v>
      </c>
      <c r="F24" s="478" t="e">
        <f t="shared" ca="1" si="2"/>
        <v>#NAME?</v>
      </c>
      <c r="G24" s="478" t="e">
        <f t="shared" ca="1" si="2"/>
        <v>#NAME?</v>
      </c>
      <c r="H24" s="478" t="e">
        <f t="shared" ca="1" si="2"/>
        <v>#NAME?</v>
      </c>
      <c r="I24" s="478" t="e">
        <f t="shared" ca="1" si="2"/>
        <v>#NAME?</v>
      </c>
      <c r="J24" s="478" t="e">
        <f t="shared" ca="1" si="2"/>
        <v>#NAME?</v>
      </c>
      <c r="K24" s="479" t="e">
        <f t="shared" ca="1" si="2"/>
        <v>#NAME?</v>
      </c>
      <c r="M24" t="e">
        <f ca="1"/>
        <v>#NAME?</v>
      </c>
      <c r="N24" s="99" t="e">
        <f ca="1"/>
        <v>#NAME?</v>
      </c>
      <c r="O24" s="4" t="e">
        <f ca="1"/>
        <v>#NAME?</v>
      </c>
      <c r="P24" s="4" t="e">
        <f ca="1"/>
        <v>#NAME?</v>
      </c>
      <c r="Q24" s="455" t="e">
        <f ca="1"/>
        <v>#NAME?</v>
      </c>
      <c r="R24" s="4" t="e">
        <f ca="1"/>
        <v>#NAME?</v>
      </c>
      <c r="S24" s="4" t="e">
        <f ca="1"/>
        <v>#NAME?</v>
      </c>
      <c r="T24" s="4" t="e">
        <f ca="1"/>
        <v>#NAME?</v>
      </c>
      <c r="U24" s="4" t="e">
        <f ca="1"/>
        <v>#NAME?</v>
      </c>
      <c r="V24" s="455" t="e">
        <f ca="1"/>
        <v>#NAME?</v>
      </c>
      <c r="W24" s="32" t="e">
        <f ca="1"/>
        <v>#NAME?</v>
      </c>
      <c r="X24" s="457" t="e">
        <f ca="1"/>
        <v>#NAME?</v>
      </c>
      <c r="Y24" s="456" t="e">
        <f ca="1"/>
        <v>#NAME?</v>
      </c>
    </row>
    <row r="25" spans="1:25" x14ac:dyDescent="0.35">
      <c r="M25" t="e">
        <f ca="1"/>
        <v>#NAME?</v>
      </c>
      <c r="N25" s="99" t="e">
        <f ca="1"/>
        <v>#NAME?</v>
      </c>
      <c r="O25" s="4" t="e">
        <f ca="1"/>
        <v>#NAME?</v>
      </c>
      <c r="P25" s="4" t="e">
        <f ca="1"/>
        <v>#NAME?</v>
      </c>
      <c r="Q25" s="4" t="e">
        <f ca="1"/>
        <v>#NAME?</v>
      </c>
      <c r="R25" s="4" t="e">
        <f ca="1"/>
        <v>#NAME?</v>
      </c>
      <c r="S25" s="4" t="e">
        <f ca="1"/>
        <v>#NAME?</v>
      </c>
      <c r="T25" s="455" t="e">
        <f ca="1"/>
        <v>#NAME?</v>
      </c>
      <c r="U25" s="4" t="e">
        <f ca="1"/>
        <v>#NAME?</v>
      </c>
      <c r="V25" s="4" t="e">
        <f ca="1"/>
        <v>#NAME?</v>
      </c>
      <c r="W25" s="32" t="e">
        <f ca="1"/>
        <v>#NAME?</v>
      </c>
      <c r="X25" s="99" t="e">
        <f ca="1"/>
        <v>#NAME?</v>
      </c>
      <c r="Y25" s="32" t="e">
        <f ca="1"/>
        <v>#NAME?</v>
      </c>
    </row>
    <row r="26" spans="1:25" x14ac:dyDescent="0.35">
      <c r="B26" s="462">
        <v>1</v>
      </c>
      <c r="C26" s="462">
        <v>2</v>
      </c>
      <c r="D26" s="462">
        <v>3</v>
      </c>
      <c r="E26" s="462">
        <v>4</v>
      </c>
      <c r="F26" s="462">
        <v>5</v>
      </c>
      <c r="G26" s="462">
        <v>6</v>
      </c>
      <c r="H26" s="462">
        <v>7</v>
      </c>
      <c r="I26" s="462">
        <v>8</v>
      </c>
      <c r="J26" s="462">
        <v>9</v>
      </c>
      <c r="K26" s="462">
        <v>10</v>
      </c>
      <c r="M26" t="e">
        <f ca="1"/>
        <v>#NAME?</v>
      </c>
      <c r="N26" s="99" t="e">
        <f ca="1"/>
        <v>#NAME?</v>
      </c>
      <c r="O26" s="4" t="e">
        <f ca="1"/>
        <v>#NAME?</v>
      </c>
      <c r="P26" s="4" t="e">
        <f ca="1"/>
        <v>#NAME?</v>
      </c>
      <c r="Q26" s="4" t="e">
        <f ca="1"/>
        <v>#NAME?</v>
      </c>
      <c r="R26" s="4" t="e">
        <f ca="1"/>
        <v>#NAME?</v>
      </c>
      <c r="S26" s="4" t="e">
        <f ca="1"/>
        <v>#NAME?</v>
      </c>
      <c r="T26" s="455" t="e">
        <f ca="1"/>
        <v>#NAME?</v>
      </c>
      <c r="U26" s="4" t="e">
        <f ca="1"/>
        <v>#NAME?</v>
      </c>
      <c r="V26" s="4" t="e">
        <f ca="1"/>
        <v>#NAME?</v>
      </c>
      <c r="W26" s="32" t="e">
        <f ca="1"/>
        <v>#NAME?</v>
      </c>
      <c r="X26" s="99" t="e">
        <f ca="1"/>
        <v>#NAME?</v>
      </c>
      <c r="Y26" s="32" t="e">
        <f ca="1"/>
        <v>#NAME?</v>
      </c>
    </row>
    <row r="27" spans="1:25" x14ac:dyDescent="0.35">
      <c r="A27" t="s">
        <v>218</v>
      </c>
      <c r="B27" s="476" t="str">
        <f>IF(B5="","",IF(B5=1,IF($X10&lt;N$19,$X10-N$19,""),IF(B5=0,IF(N$19&lt;$X10,$X10-N$19,""))))</f>
        <v/>
      </c>
      <c r="C27" s="476" t="e">
        <f t="shared" ref="C27:K35" ca="1" si="4">IF(C5="","",IF(C5=1,IF($X10&lt;O$19,$X10-O$19,""),IF(C5=0,IF(O$19&lt;$X10,$X10-O$19,""))))</f>
        <v>#NAME?</v>
      </c>
      <c r="D27" s="476" t="e">
        <f t="shared" ca="1" si="4"/>
        <v>#NAME?</v>
      </c>
      <c r="E27" s="476" t="e">
        <f t="shared" ca="1" si="4"/>
        <v>#NAME?</v>
      </c>
      <c r="F27" s="476" t="e">
        <f t="shared" ca="1" si="4"/>
        <v>#NAME?</v>
      </c>
      <c r="G27" s="476" t="e">
        <f t="shared" ca="1" si="4"/>
        <v>#NAME?</v>
      </c>
      <c r="H27" s="476" t="e">
        <f t="shared" ca="1" si="4"/>
        <v>#NAME?</v>
      </c>
      <c r="I27" s="476" t="e">
        <f t="shared" ca="1" si="4"/>
        <v>#NAME?</v>
      </c>
      <c r="J27" s="476" t="e">
        <f t="shared" ca="1" si="4"/>
        <v>#NAME?</v>
      </c>
      <c r="K27" s="477" t="e">
        <f t="shared" ca="1" si="4"/>
        <v>#NAME?</v>
      </c>
      <c r="M27" t="e">
        <f ca="1"/>
        <v>#NAME?</v>
      </c>
      <c r="N27" s="99" t="e">
        <f ca="1"/>
        <v>#NAME?</v>
      </c>
      <c r="O27" s="4" t="e">
        <f ca="1"/>
        <v>#NAME?</v>
      </c>
      <c r="P27" s="4" t="e">
        <f ca="1"/>
        <v>#NAME?</v>
      </c>
      <c r="Q27" s="4" t="e">
        <f ca="1"/>
        <v>#NAME?</v>
      </c>
      <c r="R27" s="455" t="e">
        <f ca="1"/>
        <v>#NAME?</v>
      </c>
      <c r="S27" s="4" t="e">
        <f ca="1"/>
        <v>#NAME?</v>
      </c>
      <c r="T27" s="4" t="e">
        <f ca="1"/>
        <v>#NAME?</v>
      </c>
      <c r="U27" s="4" t="e">
        <f ca="1"/>
        <v>#NAME?</v>
      </c>
      <c r="V27" s="4" t="e">
        <f ca="1"/>
        <v>#NAME?</v>
      </c>
      <c r="W27" s="32" t="e">
        <f ca="1"/>
        <v>#NAME?</v>
      </c>
      <c r="X27" s="99" t="e">
        <f ca="1"/>
        <v>#NAME?</v>
      </c>
      <c r="Y27" s="32" t="e">
        <f ca="1"/>
        <v>#NAME?</v>
      </c>
    </row>
    <row r="28" spans="1:25" x14ac:dyDescent="0.35">
      <c r="A28" t="s">
        <v>98</v>
      </c>
      <c r="B28" s="476" t="e">
        <f t="shared" ref="B28:B35" ca="1" si="5">IF(B6="","",IF(B6=1,IF($X11&lt;N$19,$X11-N$19,""),IF(B6=0,IF(N$19&lt;$X11,$X11-N$19,""))))</f>
        <v>#NAME?</v>
      </c>
      <c r="C28" s="476" t="e">
        <f t="shared" ca="1" si="4"/>
        <v>#NAME?</v>
      </c>
      <c r="D28" s="476" t="e">
        <f t="shared" ca="1" si="4"/>
        <v>#NAME?</v>
      </c>
      <c r="E28" s="476" t="e">
        <f t="shared" ca="1" si="4"/>
        <v>#NAME?</v>
      </c>
      <c r="F28" s="476" t="e">
        <f t="shared" ca="1" si="4"/>
        <v>#NAME?</v>
      </c>
      <c r="G28" s="476" t="e">
        <f t="shared" ca="1" si="4"/>
        <v>#NAME?</v>
      </c>
      <c r="H28" s="476" t="e">
        <f t="shared" ca="1" si="4"/>
        <v>#NAME?</v>
      </c>
      <c r="I28" s="476" t="e">
        <f t="shared" ca="1" si="4"/>
        <v>#NAME?</v>
      </c>
      <c r="J28" s="476" t="e">
        <f t="shared" ca="1" si="4"/>
        <v>#NAME?</v>
      </c>
      <c r="K28" s="477" t="e">
        <f t="shared" ca="1" si="4"/>
        <v>#NAME?</v>
      </c>
      <c r="M28" t="e">
        <f ca="1"/>
        <v>#NAME?</v>
      </c>
      <c r="N28" s="99" t="e">
        <f ca="1"/>
        <v>#NAME?</v>
      </c>
      <c r="O28" s="4" t="e">
        <f ca="1"/>
        <v>#NAME?</v>
      </c>
      <c r="P28" s="4" t="e">
        <f ca="1"/>
        <v>#NAME?</v>
      </c>
      <c r="Q28" s="4" t="e">
        <f ca="1"/>
        <v>#NAME?</v>
      </c>
      <c r="R28" s="4" t="e">
        <f ca="1"/>
        <v>#NAME?</v>
      </c>
      <c r="S28" s="4" t="e">
        <f ca="1"/>
        <v>#NAME?</v>
      </c>
      <c r="T28" s="4" t="e">
        <f ca="1"/>
        <v>#NAME?</v>
      </c>
      <c r="U28" s="4" t="e">
        <f ca="1"/>
        <v>#NAME?</v>
      </c>
      <c r="V28" s="4" t="e">
        <f ca="1"/>
        <v>#NAME?</v>
      </c>
      <c r="W28" s="32" t="e">
        <f ca="1"/>
        <v>#NAME?</v>
      </c>
      <c r="X28" s="99" t="e">
        <f ca="1"/>
        <v>#NAME?</v>
      </c>
      <c r="Y28" s="32" t="e">
        <f ca="1"/>
        <v>#NAME?</v>
      </c>
    </row>
    <row r="29" spans="1:25" x14ac:dyDescent="0.35">
      <c r="A29" t="s">
        <v>99</v>
      </c>
      <c r="B29" s="476" t="e">
        <f t="shared" ca="1" si="5"/>
        <v>#NAME?</v>
      </c>
      <c r="C29" s="476" t="e">
        <f t="shared" ca="1" si="4"/>
        <v>#NAME?</v>
      </c>
      <c r="D29" s="476" t="e">
        <f t="shared" ca="1" si="4"/>
        <v>#NAME?</v>
      </c>
      <c r="E29" s="476" t="e">
        <f t="shared" ca="1" si="4"/>
        <v>#NAME?</v>
      </c>
      <c r="F29" s="476" t="e">
        <f t="shared" ca="1" si="4"/>
        <v>#NAME?</v>
      </c>
      <c r="G29" s="476" t="e">
        <f t="shared" ca="1" si="4"/>
        <v>#NAME?</v>
      </c>
      <c r="H29" s="476" t="e">
        <f t="shared" ca="1" si="4"/>
        <v>#NAME?</v>
      </c>
      <c r="I29" s="476" t="e">
        <f t="shared" ca="1" si="4"/>
        <v>#NAME?</v>
      </c>
      <c r="J29" s="476" t="e">
        <f t="shared" ca="1" si="4"/>
        <v>#NAME?</v>
      </c>
      <c r="K29" s="477" t="e">
        <f t="shared" ca="1" si="4"/>
        <v>#NAME?</v>
      </c>
      <c r="M29" t="e">
        <f ca="1"/>
        <v>#NAME?</v>
      </c>
      <c r="N29" s="99" t="e">
        <f ca="1"/>
        <v>#NAME?</v>
      </c>
      <c r="O29" s="4" t="e">
        <f ca="1"/>
        <v>#NAME?</v>
      </c>
      <c r="P29" s="4" t="e">
        <f ca="1"/>
        <v>#NAME?</v>
      </c>
      <c r="Q29" s="4" t="e">
        <f ca="1"/>
        <v>#NAME?</v>
      </c>
      <c r="R29" s="4" t="e">
        <f ca="1"/>
        <v>#NAME?</v>
      </c>
      <c r="S29" s="4" t="e">
        <f ca="1"/>
        <v>#NAME?</v>
      </c>
      <c r="T29" s="4" t="e">
        <f ca="1"/>
        <v>#NAME?</v>
      </c>
      <c r="U29" s="4" t="e">
        <f ca="1"/>
        <v>#NAME?</v>
      </c>
      <c r="V29" s="4" t="e">
        <f ca="1"/>
        <v>#NAME?</v>
      </c>
      <c r="W29" s="32" t="e">
        <f ca="1"/>
        <v>#NAME?</v>
      </c>
      <c r="X29" s="99" t="e">
        <f ca="1"/>
        <v>#NAME?</v>
      </c>
      <c r="Y29" s="32" t="e">
        <f ca="1"/>
        <v>#NAME?</v>
      </c>
    </row>
    <row r="30" spans="1:25" x14ac:dyDescent="0.35">
      <c r="A30" t="s">
        <v>100</v>
      </c>
      <c r="B30" s="476" t="e">
        <f t="shared" ca="1" si="5"/>
        <v>#NAME?</v>
      </c>
      <c r="C30" s="476" t="e">
        <f t="shared" ca="1" si="4"/>
        <v>#NAME?</v>
      </c>
      <c r="D30" s="476" t="e">
        <f t="shared" ca="1" si="4"/>
        <v>#NAME?</v>
      </c>
      <c r="E30" s="476" t="e">
        <f t="shared" ca="1" si="4"/>
        <v>#NAME?</v>
      </c>
      <c r="F30" s="476" t="e">
        <f t="shared" ca="1" si="4"/>
        <v>#NAME?</v>
      </c>
      <c r="G30" s="476" t="e">
        <f t="shared" ca="1" si="4"/>
        <v>#NAME?</v>
      </c>
      <c r="H30" s="476" t="e">
        <f t="shared" ca="1" si="4"/>
        <v>#NAME?</v>
      </c>
      <c r="I30" s="476" t="e">
        <f t="shared" ca="1" si="4"/>
        <v>#NAME?</v>
      </c>
      <c r="J30" s="476" t="e">
        <f t="shared" ca="1" si="4"/>
        <v>#NAME?</v>
      </c>
      <c r="K30" s="477" t="e">
        <f t="shared" ca="1" si="4"/>
        <v>#NAME?</v>
      </c>
      <c r="M30" t="e">
        <f ca="1"/>
        <v>#NAME?</v>
      </c>
      <c r="N30" s="99" t="e">
        <f ca="1"/>
        <v>#NAME?</v>
      </c>
      <c r="O30" s="455" t="e">
        <f ca="1"/>
        <v>#NAME?</v>
      </c>
      <c r="P30" s="4" t="e">
        <f ca="1"/>
        <v>#NAME?</v>
      </c>
      <c r="Q30" s="455" t="e">
        <f ca="1"/>
        <v>#NAME?</v>
      </c>
      <c r="R30" s="455" t="e">
        <f ca="1"/>
        <v>#NAME?</v>
      </c>
      <c r="S30" s="4" t="e">
        <f ca="1"/>
        <v>#NAME?</v>
      </c>
      <c r="T30" s="455" t="e">
        <f ca="1"/>
        <v>#NAME?</v>
      </c>
      <c r="U30" s="4" t="e">
        <f ca="1"/>
        <v>#NAME?</v>
      </c>
      <c r="V30" s="4" t="e">
        <f ca="1"/>
        <v>#NAME?</v>
      </c>
      <c r="W30" s="32" t="e">
        <f ca="1"/>
        <v>#NAME?</v>
      </c>
      <c r="X30" s="99" t="e">
        <f ca="1"/>
        <v>#NAME?</v>
      </c>
      <c r="Y30" s="456" t="e">
        <f ca="1"/>
        <v>#NAME?</v>
      </c>
    </row>
    <row r="31" spans="1:25" x14ac:dyDescent="0.35">
      <c r="A31" t="s">
        <v>536</v>
      </c>
      <c r="B31" s="476" t="e">
        <f t="shared" ca="1" si="5"/>
        <v>#NAME?</v>
      </c>
      <c r="C31" s="476" t="e">
        <f t="shared" ca="1" si="4"/>
        <v>#NAME?</v>
      </c>
      <c r="D31" s="476" t="e">
        <f t="shared" ca="1" si="4"/>
        <v>#NAME?</v>
      </c>
      <c r="E31" s="476" t="e">
        <f t="shared" ca="1" si="4"/>
        <v>#NAME?</v>
      </c>
      <c r="F31" s="476" t="e">
        <f t="shared" ca="1" si="4"/>
        <v>#NAME?</v>
      </c>
      <c r="G31" s="476" t="e">
        <f t="shared" ca="1" si="4"/>
        <v>#NAME?</v>
      </c>
      <c r="H31" s="476" t="e">
        <f t="shared" ca="1" si="4"/>
        <v>#NAME?</v>
      </c>
      <c r="I31" s="476" t="e">
        <f t="shared" ca="1" si="4"/>
        <v>#NAME?</v>
      </c>
      <c r="J31" s="476" t="e">
        <f t="shared" ca="1" si="4"/>
        <v>#NAME?</v>
      </c>
      <c r="K31" s="477" t="e">
        <f t="shared" ca="1" si="4"/>
        <v>#NAME?</v>
      </c>
      <c r="M31" t="e">
        <f ca="1"/>
        <v>#NAME?</v>
      </c>
      <c r="N31" s="156" t="e">
        <f ca="1"/>
        <v>#NAME?</v>
      </c>
      <c r="O31" s="157" t="e">
        <f ca="1"/>
        <v>#NAME?</v>
      </c>
      <c r="P31" s="157" t="e">
        <f ca="1"/>
        <v>#NAME?</v>
      </c>
      <c r="Q31" s="459" t="e">
        <f ca="1"/>
        <v>#NAME?</v>
      </c>
      <c r="R31" s="157" t="e">
        <f ca="1"/>
        <v>#NAME?</v>
      </c>
      <c r="S31" s="157" t="e">
        <f ca="1"/>
        <v>#NAME?</v>
      </c>
      <c r="T31" s="157" t="e">
        <f ca="1"/>
        <v>#NAME?</v>
      </c>
      <c r="U31" s="157" t="e">
        <f ca="1"/>
        <v>#NAME?</v>
      </c>
      <c r="V31" s="157" t="e">
        <f ca="1"/>
        <v>#NAME?</v>
      </c>
      <c r="W31" s="158" t="e">
        <f ca="1"/>
        <v>#NAME?</v>
      </c>
      <c r="X31" s="156" t="e">
        <f ca="1"/>
        <v>#NAME?</v>
      </c>
      <c r="Y31" s="158" t="e">
        <f ca="1"/>
        <v>#NAME?</v>
      </c>
    </row>
    <row r="32" spans="1:25" x14ac:dyDescent="0.35">
      <c r="A32" t="s">
        <v>101</v>
      </c>
      <c r="B32" s="476" t="e">
        <f t="shared" ca="1" si="5"/>
        <v>#NAME?</v>
      </c>
      <c r="C32" s="476" t="e">
        <f t="shared" ca="1" si="4"/>
        <v>#NAME?</v>
      </c>
      <c r="D32" s="476" t="e">
        <f t="shared" ca="1" si="4"/>
        <v>#NAME?</v>
      </c>
      <c r="E32" s="476" t="e">
        <f t="shared" ca="1" si="4"/>
        <v>#NAME?</v>
      </c>
      <c r="F32" s="476" t="e">
        <f t="shared" ca="1" si="4"/>
        <v>#NAME?</v>
      </c>
      <c r="G32" s="476" t="e">
        <f t="shared" ca="1" si="4"/>
        <v>#NAME?</v>
      </c>
      <c r="H32" s="476" t="e">
        <f t="shared" ca="1" si="4"/>
        <v>#NAME?</v>
      </c>
      <c r="I32" s="476" t="e">
        <f t="shared" ca="1" si="4"/>
        <v>#NAME?</v>
      </c>
      <c r="J32" s="476" t="e">
        <f t="shared" ca="1" si="4"/>
        <v>#NAME?</v>
      </c>
      <c r="K32" s="477" t="e">
        <f t="shared" ca="1" si="4"/>
        <v>#NAME?</v>
      </c>
      <c r="M32" t="e">
        <f ca="1"/>
        <v>#NAME?</v>
      </c>
      <c r="N32" s="419" t="e">
        <f ca="1"/>
        <v>#NAME?</v>
      </c>
      <c r="O32" s="420" t="e">
        <f ca="1"/>
        <v>#NAME?</v>
      </c>
      <c r="P32" s="420" t="e">
        <f ca="1"/>
        <v>#NAME?</v>
      </c>
      <c r="Q32" s="458" t="e">
        <f ca="1"/>
        <v>#NAME?</v>
      </c>
      <c r="R32" s="420" t="e">
        <f ca="1"/>
        <v>#NAME?</v>
      </c>
      <c r="S32" s="420" t="e">
        <f ca="1"/>
        <v>#NAME?</v>
      </c>
      <c r="T32" s="458" t="e">
        <f ca="1"/>
        <v>#NAME?</v>
      </c>
      <c r="U32" s="420" t="e">
        <f ca="1"/>
        <v>#NAME?</v>
      </c>
      <c r="V32" s="420" t="e">
        <f ca="1"/>
        <v>#NAME?</v>
      </c>
      <c r="W32" s="421" t="e">
        <f ca="1"/>
        <v>#NAME?</v>
      </c>
      <c r="X32" s="452" t="e">
        <f ca="1"/>
        <v>#NAME?</v>
      </c>
      <c r="Y32" s="421" t="e">
        <f ca="1"/>
        <v>#NAME?</v>
      </c>
    </row>
    <row r="33" spans="1:25" x14ac:dyDescent="0.35">
      <c r="A33" t="s">
        <v>281</v>
      </c>
      <c r="B33" s="476" t="e">
        <f t="shared" ca="1" si="5"/>
        <v>#NAME?</v>
      </c>
      <c r="C33" s="476" t="e">
        <f t="shared" ca="1" si="4"/>
        <v>#NAME?</v>
      </c>
      <c r="D33" s="476" t="e">
        <f t="shared" ca="1" si="4"/>
        <v>#NAME?</v>
      </c>
      <c r="E33" s="476" t="e">
        <f t="shared" ca="1" si="4"/>
        <v>#NAME?</v>
      </c>
      <c r="F33" s="476" t="e">
        <f t="shared" ca="1" si="4"/>
        <v>#NAME?</v>
      </c>
      <c r="G33" s="476" t="e">
        <f t="shared" ca="1" si="4"/>
        <v>#NAME?</v>
      </c>
      <c r="H33" s="476" t="e">
        <f t="shared" ca="1" si="4"/>
        <v>#NAME?</v>
      </c>
      <c r="I33" s="476" t="e">
        <f t="shared" ca="1" si="4"/>
        <v>#NAME?</v>
      </c>
      <c r="J33" s="476" t="e">
        <f t="shared" ca="1" si="4"/>
        <v>#NAME?</v>
      </c>
      <c r="K33" s="477" t="e">
        <f t="shared" ca="1" si="4"/>
        <v>#NAME?</v>
      </c>
      <c r="M33" t="e">
        <f ca="1"/>
        <v>#NAME?</v>
      </c>
      <c r="N33" s="156" t="e">
        <f ca="1"/>
        <v>#NAME?</v>
      </c>
      <c r="O33" s="459" t="e">
        <f ca="1"/>
        <v>#NAME?</v>
      </c>
      <c r="P33" s="157" t="e">
        <f ca="1"/>
        <v>#NAME?</v>
      </c>
      <c r="Q33" s="459" t="e">
        <f ca="1"/>
        <v>#NAME?</v>
      </c>
      <c r="R33" s="157" t="e">
        <f ca="1"/>
        <v>#NAME?</v>
      </c>
      <c r="S33" s="157" t="e">
        <f ca="1"/>
        <v>#NAME?</v>
      </c>
      <c r="T33" s="459" t="e">
        <f ca="1"/>
        <v>#NAME?</v>
      </c>
      <c r="U33" s="157" t="e">
        <f ca="1"/>
        <v>#NAME?</v>
      </c>
      <c r="V33" s="459" t="e">
        <f ca="1"/>
        <v>#NAME?</v>
      </c>
      <c r="W33" s="158" t="e">
        <f ca="1"/>
        <v>#NAME?</v>
      </c>
      <c r="X33" s="453" t="e">
        <f ca="1"/>
        <v>#NAME?</v>
      </c>
      <c r="Y33" s="158" t="e">
        <f ca="1"/>
        <v>#NAME?</v>
      </c>
    </row>
    <row r="34" spans="1:25" x14ac:dyDescent="0.35">
      <c r="A34" t="s">
        <v>537</v>
      </c>
      <c r="B34" s="476" t="e">
        <f t="shared" ca="1" si="5"/>
        <v>#NAME?</v>
      </c>
      <c r="C34" s="476" t="e">
        <f t="shared" ca="1" si="4"/>
        <v>#NAME?</v>
      </c>
      <c r="D34" s="476" t="e">
        <f t="shared" ca="1" si="4"/>
        <v>#NAME?</v>
      </c>
      <c r="E34" s="476" t="e">
        <f t="shared" ca="1" si="4"/>
        <v>#NAME?</v>
      </c>
      <c r="F34" s="476" t="e">
        <f t="shared" ca="1" si="4"/>
        <v>#NAME?</v>
      </c>
      <c r="G34" s="476" t="e">
        <f t="shared" ca="1" si="4"/>
        <v>#NAME?</v>
      </c>
      <c r="H34" s="476" t="e">
        <f t="shared" ca="1" si="4"/>
        <v>#NAME?</v>
      </c>
      <c r="I34" s="476" t="e">
        <f t="shared" ca="1" si="4"/>
        <v>#NAME?</v>
      </c>
      <c r="J34" s="476" t="e">
        <f t="shared" ca="1" si="4"/>
        <v>#NAME?</v>
      </c>
      <c r="K34" s="477" t="e">
        <f t="shared" ca="1" si="4"/>
        <v>#NAME?</v>
      </c>
    </row>
    <row r="35" spans="1:25" x14ac:dyDescent="0.35">
      <c r="A35" t="s">
        <v>905</v>
      </c>
      <c r="B35" s="480" t="e">
        <f t="shared" ca="1" si="5"/>
        <v>#NAME?</v>
      </c>
      <c r="C35" s="480" t="e">
        <f t="shared" ca="1" si="4"/>
        <v>#NAME?</v>
      </c>
      <c r="D35" s="480" t="e">
        <f t="shared" ca="1" si="4"/>
        <v>#NAME?</v>
      </c>
      <c r="E35" s="480" t="e">
        <f t="shared" ca="1" si="4"/>
        <v>#NAME?</v>
      </c>
      <c r="F35" s="480" t="e">
        <f t="shared" ca="1" si="4"/>
        <v>#NAME?</v>
      </c>
      <c r="G35" s="480" t="e">
        <f t="shared" ca="1" si="4"/>
        <v>#NAME?</v>
      </c>
      <c r="H35" s="480" t="e">
        <f t="shared" ca="1" si="4"/>
        <v>#NAME?</v>
      </c>
      <c r="I35" s="480" t="e">
        <f t="shared" ca="1" si="4"/>
        <v>#NAME?</v>
      </c>
      <c r="J35" s="480" t="e">
        <f t="shared" ca="1" si="4"/>
        <v>#NAME?</v>
      </c>
      <c r="K35" s="481" t="e">
        <f t="shared" ca="1" si="4"/>
        <v>#NAME?</v>
      </c>
    </row>
  </sheetData>
  <mergeCells count="2">
    <mergeCell ref="B3:K3"/>
    <mergeCell ref="AB3:AK3"/>
  </mergeCells>
  <conditionalFormatting sqref="B27:K35">
    <cfRule type="containsBlanks" priority="4" stopIfTrue="1">
      <formula>LEN(TRIM(B27))=0</formula>
    </cfRule>
    <cfRule type="cellIs" dxfId="3" priority="5" operator="lessThan">
      <formula>0</formula>
    </cfRule>
    <cfRule type="cellIs" dxfId="2" priority="6" operator="greaterThan">
      <formula>0</formula>
    </cfRule>
  </conditionalFormatting>
  <conditionalFormatting sqref="AZ5:BI13">
    <cfRule type="containsBlanks" priority="1" stopIfTrue="1">
      <formula>LEN(TRIM(AZ5))=0</formula>
    </cfRule>
    <cfRule type="cellIs" dxfId="1" priority="2" operator="lessThan">
      <formula>0</formula>
    </cfRule>
    <cfRule type="cellIs" dxfId="0" priority="3" operator="greater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38"/>
  <dimension ref="A1:AW28"/>
  <sheetViews>
    <sheetView workbookViewId="0"/>
  </sheetViews>
  <sheetFormatPr defaultRowHeight="14.5" x14ac:dyDescent="0.35"/>
  <cols>
    <col min="1" max="1" width="4.26953125" customWidth="1"/>
    <col min="2" max="11" width="3.7265625" customWidth="1"/>
    <col min="12" max="12" width="3.81640625" customWidth="1"/>
    <col min="13" max="13" width="4.1796875" style="462" customWidth="1"/>
    <col min="16" max="16" width="9.1796875" customWidth="1"/>
    <col min="17" max="17" width="3" customWidth="1"/>
    <col min="18" max="18" width="3.453125" style="462" customWidth="1"/>
    <col min="22" max="22" width="3.26953125" customWidth="1"/>
    <col min="23" max="23" width="4.7265625" customWidth="1"/>
  </cols>
  <sheetData>
    <row r="1" spans="1:49" x14ac:dyDescent="0.35">
      <c r="A1" s="1" t="s">
        <v>901</v>
      </c>
    </row>
    <row r="3" spans="1:49" x14ac:dyDescent="0.35">
      <c r="B3" s="563" t="s">
        <v>902</v>
      </c>
      <c r="C3" s="563"/>
      <c r="D3" s="563"/>
      <c r="E3" s="563"/>
      <c r="F3" s="563"/>
      <c r="G3" s="563"/>
      <c r="H3" s="563"/>
      <c r="I3" s="563"/>
      <c r="J3" s="563"/>
      <c r="K3" s="563"/>
    </row>
    <row r="4" spans="1:49" ht="15" thickBot="1" x14ac:dyDescent="0.4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N4" s="460" t="s">
        <v>904</v>
      </c>
      <c r="O4" s="460" t="s">
        <v>731</v>
      </c>
      <c r="P4" s="460" t="s">
        <v>941</v>
      </c>
      <c r="S4" s="460" t="s">
        <v>927</v>
      </c>
      <c r="T4" s="460" t="s">
        <v>731</v>
      </c>
      <c r="U4" s="460" t="s">
        <v>941</v>
      </c>
      <c r="X4">
        <v>1</v>
      </c>
      <c r="Y4">
        <v>2</v>
      </c>
      <c r="Z4">
        <v>3</v>
      </c>
      <c r="AA4">
        <v>4</v>
      </c>
      <c r="AB4">
        <v>5</v>
      </c>
      <c r="AC4">
        <v>6</v>
      </c>
      <c r="AD4">
        <v>7</v>
      </c>
      <c r="AE4">
        <v>8</v>
      </c>
      <c r="AF4">
        <v>9</v>
      </c>
      <c r="AG4">
        <v>10</v>
      </c>
      <c r="AH4" s="6" t="s">
        <v>904</v>
      </c>
      <c r="AI4" s="6" t="s">
        <v>265</v>
      </c>
      <c r="AK4" t="e">
        <f t="array" aca="1" ref="AK4:AW15" ca="1">RASCH_EXP(B5:K13,M5:N13,R5:S14)</f>
        <v>#NAME?</v>
      </c>
      <c r="AL4" t="e">
        <f ca="1"/>
        <v>#NAME?</v>
      </c>
      <c r="AM4" t="e">
        <f ca="1"/>
        <v>#NAME?</v>
      </c>
      <c r="AN4" t="e">
        <f ca="1"/>
        <v>#NAME?</v>
      </c>
      <c r="AO4" t="e">
        <f ca="1"/>
        <v>#NAME?</v>
      </c>
      <c r="AP4" t="e">
        <f ca="1"/>
        <v>#NAME?</v>
      </c>
      <c r="AQ4" t="e">
        <f ca="1"/>
        <v>#NAME?</v>
      </c>
      <c r="AR4" t="e">
        <f ca="1"/>
        <v>#NAME?</v>
      </c>
      <c r="AS4" t="e">
        <f ca="1"/>
        <v>#NAME?</v>
      </c>
      <c r="AT4" t="e">
        <f ca="1"/>
        <v>#NAME?</v>
      </c>
      <c r="AU4" t="e">
        <f ca="1"/>
        <v>#NAME?</v>
      </c>
      <c r="AV4" t="e">
        <f ca="1"/>
        <v>#NAME?</v>
      </c>
      <c r="AW4" t="e">
        <f ca="1"/>
        <v>#NAME?</v>
      </c>
    </row>
    <row r="5" spans="1:49" x14ac:dyDescent="0.35">
      <c r="A5" s="462" t="s">
        <v>218</v>
      </c>
      <c r="B5" s="435"/>
      <c r="C5" s="436">
        <v>1</v>
      </c>
      <c r="D5" s="436">
        <v>1</v>
      </c>
      <c r="E5" s="436">
        <v>1</v>
      </c>
      <c r="F5" s="436">
        <v>1</v>
      </c>
      <c r="G5" s="436">
        <v>1</v>
      </c>
      <c r="H5" s="436">
        <v>1</v>
      </c>
      <c r="I5" s="436">
        <v>1</v>
      </c>
      <c r="J5" s="436">
        <v>0</v>
      </c>
      <c r="K5" s="437">
        <v>1</v>
      </c>
      <c r="M5" s="462" t="str">
        <f t="shared" ref="M5:M13" si="0">A5</f>
        <v>A</v>
      </c>
      <c r="N5" t="e">
        <f ca="1">'Rasch E'!X10</f>
        <v>#NAME?</v>
      </c>
      <c r="O5" t="e">
        <f t="array" ref="O5" ca="1">1/SQRT(SUM(X5:AG5*(1-X5:AG5)))</f>
        <v>#NAME?</v>
      </c>
      <c r="P5" s="485">
        <f t="shared" ref="P5:P13" si="1">AVERAGE(B5:K5)</f>
        <v>0.88888888888888884</v>
      </c>
      <c r="R5" s="462">
        <f t="array" ref="R5:R14">TRANSPOSE(B4:K4)</f>
        <v>1</v>
      </c>
      <c r="S5" t="e">
        <f t="array" aca="1" ref="S5:S14" ca="1">TRANSPOSE('Rasch E'!N19:W19)</f>
        <v>#NAME?</v>
      </c>
      <c r="T5" t="e">
        <f t="array" aca="1" ref="T5:T14" ca="1">TRANSPOSE(X15:AG15)</f>
        <v>#NAME?</v>
      </c>
      <c r="U5" s="485" t="e">
        <f t="array" aca="1" ref="U5:U14" ca="1">TRANSPOSE(MEANCOL(B5:K13))</f>
        <v>#NAME?</v>
      </c>
      <c r="W5" t="s">
        <v>218</v>
      </c>
      <c r="X5" s="464" t="e">
        <f t="shared" ref="X5:AG13" ca="1" si="2">EXP($AH5-X$14)/(1+EXP($AH5-X$14))</f>
        <v>#NAME?</v>
      </c>
      <c r="Y5" s="467" t="e">
        <f t="shared" ca="1" si="2"/>
        <v>#NAME?</v>
      </c>
      <c r="Z5" s="467" t="e">
        <f t="shared" ca="1" si="2"/>
        <v>#NAME?</v>
      </c>
      <c r="AA5" s="467" t="e">
        <f t="shared" ca="1" si="2"/>
        <v>#NAME?</v>
      </c>
      <c r="AB5" s="467" t="e">
        <f t="shared" ca="1" si="2"/>
        <v>#NAME?</v>
      </c>
      <c r="AC5" s="467" t="e">
        <f t="shared" ca="1" si="2"/>
        <v>#NAME?</v>
      </c>
      <c r="AD5" s="467" t="e">
        <f t="shared" ca="1" si="2"/>
        <v>#NAME?</v>
      </c>
      <c r="AE5" s="467" t="e">
        <f t="shared" ca="1" si="2"/>
        <v>#NAME?</v>
      </c>
      <c r="AF5" s="467" t="e">
        <f t="shared" ca="1" si="2"/>
        <v>#NAME?</v>
      </c>
      <c r="AG5" s="465" t="e">
        <f t="shared" ca="1" si="2"/>
        <v>#NAME?</v>
      </c>
      <c r="AH5" s="423" t="e">
        <f t="shared" ref="AH5:AH13" ca="1" si="3">N5</f>
        <v>#NAME?</v>
      </c>
      <c r="AI5" s="473" t="e">
        <f t="array" ref="AI5" ca="1">1/SQRT(SUM(X5:AG5*(1-X5:AG5)))</f>
        <v>#NAME?</v>
      </c>
      <c r="AK5" t="e">
        <f ca="1"/>
        <v>#NAME?</v>
      </c>
      <c r="AL5" t="e">
        <f ca="1"/>
        <v>#NAME?</v>
      </c>
      <c r="AM5" t="e">
        <f ca="1"/>
        <v>#NAME?</v>
      </c>
      <c r="AN5" t="e">
        <f ca="1"/>
        <v>#NAME?</v>
      </c>
      <c r="AO5" t="e">
        <f ca="1"/>
        <v>#NAME?</v>
      </c>
      <c r="AP5" t="e">
        <f ca="1"/>
        <v>#NAME?</v>
      </c>
      <c r="AQ5" t="e">
        <f ca="1"/>
        <v>#NAME?</v>
      </c>
      <c r="AR5" t="e">
        <f ca="1"/>
        <v>#NAME?</v>
      </c>
      <c r="AS5" t="e">
        <f ca="1"/>
        <v>#NAME?</v>
      </c>
      <c r="AT5" t="e">
        <f ca="1"/>
        <v>#NAME?</v>
      </c>
      <c r="AU5" t="e">
        <f ca="1"/>
        <v>#NAME?</v>
      </c>
      <c r="AV5" t="e">
        <f ca="1"/>
        <v>#NAME?</v>
      </c>
      <c r="AW5" t="e">
        <f ca="1"/>
        <v>#NAME?</v>
      </c>
    </row>
    <row r="6" spans="1:49" x14ac:dyDescent="0.35">
      <c r="A6" s="462" t="s">
        <v>98</v>
      </c>
      <c r="B6" s="439">
        <v>1</v>
      </c>
      <c r="C6" s="440">
        <v>1</v>
      </c>
      <c r="D6" s="440">
        <v>1</v>
      </c>
      <c r="E6" s="440">
        <v>0</v>
      </c>
      <c r="F6" s="440">
        <v>1</v>
      </c>
      <c r="G6" s="440">
        <v>1</v>
      </c>
      <c r="H6" s="440">
        <v>1</v>
      </c>
      <c r="I6" s="440">
        <v>1</v>
      </c>
      <c r="J6" s="440">
        <v>1</v>
      </c>
      <c r="K6" s="441">
        <v>0</v>
      </c>
      <c r="M6" s="462" t="str">
        <f t="shared" si="0"/>
        <v>B</v>
      </c>
      <c r="N6" t="e">
        <f ca="1">'Rasch E'!X11</f>
        <v>#NAME?</v>
      </c>
      <c r="O6" t="e">
        <f t="array" ref="O6" ca="1">1/SQRT(SUM(X6:AG6*(1-X6:AG6)))</f>
        <v>#NAME?</v>
      </c>
      <c r="P6" s="485">
        <f t="shared" si="1"/>
        <v>0.8</v>
      </c>
      <c r="R6" s="462">
        <v>2</v>
      </c>
      <c r="S6" t="e">
        <f ca="1"/>
        <v>#NAME?</v>
      </c>
      <c r="T6" t="e">
        <f ca="1"/>
        <v>#NAME?</v>
      </c>
      <c r="U6" s="485" t="e">
        <f ca="1"/>
        <v>#NAME?</v>
      </c>
      <c r="W6" t="s">
        <v>98</v>
      </c>
      <c r="X6" s="466" t="e">
        <f t="shared" ca="1" si="2"/>
        <v>#NAME?</v>
      </c>
      <c r="Y6" s="447" t="e">
        <f t="shared" ca="1" si="2"/>
        <v>#NAME?</v>
      </c>
      <c r="Z6" s="447" t="e">
        <f t="shared" ca="1" si="2"/>
        <v>#NAME?</v>
      </c>
      <c r="AA6" s="447" t="e">
        <f t="shared" ca="1" si="2"/>
        <v>#NAME?</v>
      </c>
      <c r="AB6" s="447" t="e">
        <f t="shared" ca="1" si="2"/>
        <v>#NAME?</v>
      </c>
      <c r="AC6" s="447" t="e">
        <f t="shared" ca="1" si="2"/>
        <v>#NAME?</v>
      </c>
      <c r="AD6" s="447" t="e">
        <f t="shared" ca="1" si="2"/>
        <v>#NAME?</v>
      </c>
      <c r="AE6" s="447" t="e">
        <f t="shared" ca="1" si="2"/>
        <v>#NAME?</v>
      </c>
      <c r="AF6" s="447" t="e">
        <f t="shared" ca="1" si="2"/>
        <v>#NAME?</v>
      </c>
      <c r="AG6" s="448" t="e">
        <f t="shared" ca="1" si="2"/>
        <v>#NAME?</v>
      </c>
      <c r="AH6" s="101" t="e">
        <f t="shared" ca="1" si="3"/>
        <v>#NAME?</v>
      </c>
      <c r="AI6" s="483" t="e">
        <f t="array" ref="AI6" ca="1">1/SQRT(SUM(X6:AG6*(1-X6:AG6)))</f>
        <v>#NAME?</v>
      </c>
      <c r="AK6" t="e">
        <f ca="1"/>
        <v>#NAME?</v>
      </c>
      <c r="AL6" t="e">
        <f ca="1"/>
        <v>#NAME?</v>
      </c>
      <c r="AM6" t="e">
        <f ca="1"/>
        <v>#NAME?</v>
      </c>
      <c r="AN6" t="e">
        <f ca="1"/>
        <v>#NAME?</v>
      </c>
      <c r="AO6" t="e">
        <f ca="1"/>
        <v>#NAME?</v>
      </c>
      <c r="AP6" t="e">
        <f ca="1"/>
        <v>#NAME?</v>
      </c>
      <c r="AQ6" t="e">
        <f ca="1"/>
        <v>#NAME?</v>
      </c>
      <c r="AR6" t="e">
        <f ca="1"/>
        <v>#NAME?</v>
      </c>
      <c r="AS6" t="e">
        <f ca="1"/>
        <v>#NAME?</v>
      </c>
      <c r="AT6" t="e">
        <f ca="1"/>
        <v>#NAME?</v>
      </c>
      <c r="AU6" t="e">
        <f ca="1"/>
        <v>#NAME?</v>
      </c>
      <c r="AV6" t="e">
        <f ca="1"/>
        <v>#NAME?</v>
      </c>
      <c r="AW6" t="e">
        <f ca="1"/>
        <v>#NAME?</v>
      </c>
    </row>
    <row r="7" spans="1:49" x14ac:dyDescent="0.35">
      <c r="A7" s="462" t="s">
        <v>99</v>
      </c>
      <c r="B7" s="439">
        <v>1</v>
      </c>
      <c r="C7" s="440">
        <v>1</v>
      </c>
      <c r="D7" s="440">
        <v>1</v>
      </c>
      <c r="E7" s="440">
        <v>1</v>
      </c>
      <c r="F7" s="440">
        <v>1</v>
      </c>
      <c r="G7" s="440">
        <v>1</v>
      </c>
      <c r="H7" s="440">
        <v>0</v>
      </c>
      <c r="I7" s="440">
        <v>1</v>
      </c>
      <c r="J7" s="440">
        <v>0</v>
      </c>
      <c r="K7" s="441">
        <v>0</v>
      </c>
      <c r="M7" s="462" t="str">
        <f t="shared" si="0"/>
        <v>C</v>
      </c>
      <c r="N7" t="e">
        <f ca="1">'Rasch E'!X12</f>
        <v>#NAME?</v>
      </c>
      <c r="O7" t="e">
        <f t="array" ref="O7" ca="1">1/SQRT(SUM(X7:AG7*(1-X7:AG7)))</f>
        <v>#NAME?</v>
      </c>
      <c r="P7" s="485">
        <f t="shared" si="1"/>
        <v>0.7</v>
      </c>
      <c r="R7" s="462">
        <v>3</v>
      </c>
      <c r="S7" t="e">
        <f ca="1"/>
        <v>#NAME?</v>
      </c>
      <c r="T7" t="e">
        <f ca="1"/>
        <v>#NAME?</v>
      </c>
      <c r="U7" s="485" t="e">
        <f ca="1"/>
        <v>#NAME?</v>
      </c>
      <c r="W7" t="s">
        <v>99</v>
      </c>
      <c r="X7" s="466" t="e">
        <f t="shared" ca="1" si="2"/>
        <v>#NAME?</v>
      </c>
      <c r="Y7" s="447" t="e">
        <f t="shared" ca="1" si="2"/>
        <v>#NAME?</v>
      </c>
      <c r="Z7" s="447" t="e">
        <f t="shared" ca="1" si="2"/>
        <v>#NAME?</v>
      </c>
      <c r="AA7" s="447" t="e">
        <f t="shared" ca="1" si="2"/>
        <v>#NAME?</v>
      </c>
      <c r="AB7" s="447" t="e">
        <f t="shared" ca="1" si="2"/>
        <v>#NAME?</v>
      </c>
      <c r="AC7" s="447" t="e">
        <f t="shared" ca="1" si="2"/>
        <v>#NAME?</v>
      </c>
      <c r="AD7" s="447" t="e">
        <f t="shared" ca="1" si="2"/>
        <v>#NAME?</v>
      </c>
      <c r="AE7" s="447" t="e">
        <f t="shared" ca="1" si="2"/>
        <v>#NAME?</v>
      </c>
      <c r="AF7" s="447" t="e">
        <f t="shared" ca="1" si="2"/>
        <v>#NAME?</v>
      </c>
      <c r="AG7" s="448" t="e">
        <f t="shared" ca="1" si="2"/>
        <v>#NAME?</v>
      </c>
      <c r="AH7" s="101" t="e">
        <f t="shared" ca="1" si="3"/>
        <v>#NAME?</v>
      </c>
      <c r="AI7" s="483" t="e">
        <f t="array" ref="AI7" ca="1">1/SQRT(SUM(X7:AG7*(1-X7:AG7)))</f>
        <v>#NAME?</v>
      </c>
      <c r="AK7" t="e">
        <f ca="1"/>
        <v>#NAME?</v>
      </c>
      <c r="AL7" t="e">
        <f ca="1"/>
        <v>#NAME?</v>
      </c>
      <c r="AM7" t="e">
        <f ca="1"/>
        <v>#NAME?</v>
      </c>
      <c r="AN7" t="e">
        <f ca="1"/>
        <v>#NAME?</v>
      </c>
      <c r="AO7" t="e">
        <f ca="1"/>
        <v>#NAME?</v>
      </c>
      <c r="AP7" t="e">
        <f ca="1"/>
        <v>#NAME?</v>
      </c>
      <c r="AQ7" t="e">
        <f ca="1"/>
        <v>#NAME?</v>
      </c>
      <c r="AR7" t="e">
        <f ca="1"/>
        <v>#NAME?</v>
      </c>
      <c r="AS7" t="e">
        <f ca="1"/>
        <v>#NAME?</v>
      </c>
      <c r="AT7" t="e">
        <f ca="1"/>
        <v>#NAME?</v>
      </c>
      <c r="AU7" t="e">
        <f ca="1"/>
        <v>#NAME?</v>
      </c>
      <c r="AV7" t="e">
        <f ca="1"/>
        <v>#NAME?</v>
      </c>
      <c r="AW7" t="e">
        <f ca="1"/>
        <v>#NAME?</v>
      </c>
    </row>
    <row r="8" spans="1:49" x14ac:dyDescent="0.35">
      <c r="A8" s="462" t="s">
        <v>100</v>
      </c>
      <c r="B8" s="439">
        <v>1</v>
      </c>
      <c r="C8" s="440">
        <v>1</v>
      </c>
      <c r="D8" s="440">
        <v>1</v>
      </c>
      <c r="E8" s="440">
        <v>1</v>
      </c>
      <c r="F8" s="440">
        <v>1</v>
      </c>
      <c r="G8" s="440">
        <v>1</v>
      </c>
      <c r="H8" s="440">
        <v>0</v>
      </c>
      <c r="I8" s="440">
        <v>1</v>
      </c>
      <c r="J8" s="440">
        <v>0</v>
      </c>
      <c r="K8" s="441">
        <v>0</v>
      </c>
      <c r="M8" s="462" t="str">
        <f t="shared" si="0"/>
        <v>D</v>
      </c>
      <c r="N8" t="e">
        <f ca="1">'Rasch E'!X13</f>
        <v>#NAME?</v>
      </c>
      <c r="O8" t="e">
        <f t="array" ref="O8" ca="1">1/SQRT(SUM(X8:AG8*(1-X8:AG8)))</f>
        <v>#NAME?</v>
      </c>
      <c r="P8" s="485">
        <f t="shared" si="1"/>
        <v>0.7</v>
      </c>
      <c r="R8" s="462">
        <v>4</v>
      </c>
      <c r="S8" t="e">
        <f ca="1"/>
        <v>#NAME?</v>
      </c>
      <c r="T8" t="e">
        <f ca="1"/>
        <v>#NAME?</v>
      </c>
      <c r="U8" s="485" t="e">
        <f ca="1"/>
        <v>#NAME?</v>
      </c>
      <c r="W8" t="s">
        <v>100</v>
      </c>
      <c r="X8" s="466" t="e">
        <f t="shared" ca="1" si="2"/>
        <v>#NAME?</v>
      </c>
      <c r="Y8" s="447" t="e">
        <f t="shared" ca="1" si="2"/>
        <v>#NAME?</v>
      </c>
      <c r="Z8" s="447" t="e">
        <f t="shared" ca="1" si="2"/>
        <v>#NAME?</v>
      </c>
      <c r="AA8" s="447" t="e">
        <f t="shared" ca="1" si="2"/>
        <v>#NAME?</v>
      </c>
      <c r="AB8" s="447" t="e">
        <f t="shared" ca="1" si="2"/>
        <v>#NAME?</v>
      </c>
      <c r="AC8" s="447" t="e">
        <f t="shared" ca="1" si="2"/>
        <v>#NAME?</v>
      </c>
      <c r="AD8" s="447" t="e">
        <f t="shared" ca="1" si="2"/>
        <v>#NAME?</v>
      </c>
      <c r="AE8" s="447" t="e">
        <f t="shared" ca="1" si="2"/>
        <v>#NAME?</v>
      </c>
      <c r="AF8" s="447" t="e">
        <f t="shared" ca="1" si="2"/>
        <v>#NAME?</v>
      </c>
      <c r="AG8" s="448" t="e">
        <f t="shared" ca="1" si="2"/>
        <v>#NAME?</v>
      </c>
      <c r="AH8" s="101" t="e">
        <f t="shared" ca="1" si="3"/>
        <v>#NAME?</v>
      </c>
      <c r="AI8" s="483" t="e">
        <f t="array" ref="AI8" ca="1">1/SQRT(SUM(X8:AG8*(1-X8:AG8)))</f>
        <v>#NAME?</v>
      </c>
      <c r="AK8" t="e">
        <f ca="1"/>
        <v>#NAME?</v>
      </c>
      <c r="AL8" t="e">
        <f ca="1"/>
        <v>#NAME?</v>
      </c>
      <c r="AM8" t="e">
        <f ca="1"/>
        <v>#NAME?</v>
      </c>
      <c r="AN8" t="e">
        <f ca="1"/>
        <v>#NAME?</v>
      </c>
      <c r="AO8" t="e">
        <f ca="1"/>
        <v>#NAME?</v>
      </c>
      <c r="AP8" t="e">
        <f ca="1"/>
        <v>#NAME?</v>
      </c>
      <c r="AQ8" t="e">
        <f ca="1"/>
        <v>#NAME?</v>
      </c>
      <c r="AR8" t="e">
        <f ca="1"/>
        <v>#NAME?</v>
      </c>
      <c r="AS8" t="e">
        <f ca="1"/>
        <v>#NAME?</v>
      </c>
      <c r="AT8" t="e">
        <f ca="1"/>
        <v>#NAME?</v>
      </c>
      <c r="AU8" t="e">
        <f ca="1"/>
        <v>#NAME?</v>
      </c>
      <c r="AV8" t="e">
        <f ca="1"/>
        <v>#NAME?</v>
      </c>
      <c r="AW8" t="e">
        <f ca="1"/>
        <v>#NAME?</v>
      </c>
    </row>
    <row r="9" spans="1:49" x14ac:dyDescent="0.35">
      <c r="A9" s="462" t="s">
        <v>536</v>
      </c>
      <c r="B9" s="439">
        <v>1</v>
      </c>
      <c r="C9" s="440">
        <v>1</v>
      </c>
      <c r="D9" s="440">
        <v>1</v>
      </c>
      <c r="E9" s="440">
        <v>1</v>
      </c>
      <c r="F9" s="440">
        <v>0</v>
      </c>
      <c r="G9" s="440">
        <v>1</v>
      </c>
      <c r="H9" s="440">
        <v>1</v>
      </c>
      <c r="I9" s="440">
        <v>0</v>
      </c>
      <c r="J9" s="440">
        <v>0</v>
      </c>
      <c r="K9" s="441">
        <v>0</v>
      </c>
      <c r="M9" s="462" t="str">
        <f t="shared" si="0"/>
        <v>E</v>
      </c>
      <c r="N9" t="e">
        <f ca="1">'Rasch E'!X14</f>
        <v>#NAME?</v>
      </c>
      <c r="O9" t="e">
        <f t="array" ref="O9" ca="1">1/SQRT(SUM(X9:AG9*(1-X9:AG9)))</f>
        <v>#NAME?</v>
      </c>
      <c r="P9" s="485">
        <f t="shared" si="1"/>
        <v>0.6</v>
      </c>
      <c r="R9" s="462">
        <v>5</v>
      </c>
      <c r="S9" t="e">
        <f ca="1"/>
        <v>#NAME?</v>
      </c>
      <c r="T9" t="e">
        <f ca="1"/>
        <v>#NAME?</v>
      </c>
      <c r="U9" s="485" t="e">
        <f ca="1"/>
        <v>#NAME?</v>
      </c>
      <c r="W9" t="s">
        <v>536</v>
      </c>
      <c r="X9" s="466" t="e">
        <f t="shared" ca="1" si="2"/>
        <v>#NAME?</v>
      </c>
      <c r="Y9" s="447" t="e">
        <f t="shared" ca="1" si="2"/>
        <v>#NAME?</v>
      </c>
      <c r="Z9" s="447" t="e">
        <f t="shared" ca="1" si="2"/>
        <v>#NAME?</v>
      </c>
      <c r="AA9" s="447" t="e">
        <f t="shared" ca="1" si="2"/>
        <v>#NAME?</v>
      </c>
      <c r="AB9" s="447" t="e">
        <f t="shared" ca="1" si="2"/>
        <v>#NAME?</v>
      </c>
      <c r="AC9" s="447" t="e">
        <f t="shared" ca="1" si="2"/>
        <v>#NAME?</v>
      </c>
      <c r="AD9" s="447" t="e">
        <f t="shared" ca="1" si="2"/>
        <v>#NAME?</v>
      </c>
      <c r="AE9" s="447" t="e">
        <f t="shared" ca="1" si="2"/>
        <v>#NAME?</v>
      </c>
      <c r="AF9" s="447" t="e">
        <f t="shared" ca="1" si="2"/>
        <v>#NAME?</v>
      </c>
      <c r="AG9" s="448" t="e">
        <f t="shared" ca="1" si="2"/>
        <v>#NAME?</v>
      </c>
      <c r="AH9" s="101" t="e">
        <f t="shared" ca="1" si="3"/>
        <v>#NAME?</v>
      </c>
      <c r="AI9" s="483" t="e">
        <f t="array" ref="AI9" ca="1">1/SQRT(SUM(X9:AG9*(1-X9:AG9)))</f>
        <v>#NAME?</v>
      </c>
      <c r="AK9" t="e">
        <f ca="1"/>
        <v>#NAME?</v>
      </c>
      <c r="AL9" t="e">
        <f ca="1"/>
        <v>#NAME?</v>
      </c>
      <c r="AM9" t="e">
        <f ca="1"/>
        <v>#NAME?</v>
      </c>
      <c r="AN9" t="e">
        <f ca="1"/>
        <v>#NAME?</v>
      </c>
      <c r="AO9" t="e">
        <f ca="1"/>
        <v>#NAME?</v>
      </c>
      <c r="AP9" t="e">
        <f ca="1"/>
        <v>#NAME?</v>
      </c>
      <c r="AQ9" t="e">
        <f ca="1"/>
        <v>#NAME?</v>
      </c>
      <c r="AR9" t="e">
        <f ca="1"/>
        <v>#NAME?</v>
      </c>
      <c r="AS9" t="e">
        <f ca="1"/>
        <v>#NAME?</v>
      </c>
      <c r="AT9" t="e">
        <f ca="1"/>
        <v>#NAME?</v>
      </c>
      <c r="AU9" t="e">
        <f ca="1"/>
        <v>#NAME?</v>
      </c>
      <c r="AV9" t="e">
        <f ca="1"/>
        <v>#NAME?</v>
      </c>
      <c r="AW9" t="e">
        <f ca="1"/>
        <v>#NAME?</v>
      </c>
    </row>
    <row r="10" spans="1:49" x14ac:dyDescent="0.35">
      <c r="A10" s="462" t="s">
        <v>101</v>
      </c>
      <c r="B10" s="439">
        <v>1</v>
      </c>
      <c r="C10" s="440">
        <v>1</v>
      </c>
      <c r="D10" s="440">
        <v>1</v>
      </c>
      <c r="E10" s="440">
        <v>1</v>
      </c>
      <c r="F10" s="440">
        <v>1</v>
      </c>
      <c r="G10" s="440">
        <v>0</v>
      </c>
      <c r="H10" s="440">
        <v>1</v>
      </c>
      <c r="I10" s="440">
        <v>0</v>
      </c>
      <c r="J10" s="440">
        <v>0</v>
      </c>
      <c r="K10" s="441">
        <v>0</v>
      </c>
      <c r="M10" s="462" t="str">
        <f t="shared" si="0"/>
        <v>F</v>
      </c>
      <c r="N10" t="e">
        <f ca="1">'Rasch E'!X15</f>
        <v>#NAME?</v>
      </c>
      <c r="O10" t="e">
        <f t="array" ref="O10" ca="1">1/SQRT(SUM(X10:AG10*(1-X10:AG10)))</f>
        <v>#NAME?</v>
      </c>
      <c r="P10" s="485">
        <f t="shared" si="1"/>
        <v>0.6</v>
      </c>
      <c r="R10" s="462">
        <v>6</v>
      </c>
      <c r="S10" t="e">
        <f ca="1"/>
        <v>#NAME?</v>
      </c>
      <c r="T10" t="e">
        <f ca="1"/>
        <v>#NAME?</v>
      </c>
      <c r="U10" s="485" t="e">
        <f ca="1"/>
        <v>#NAME?</v>
      </c>
      <c r="W10" t="s">
        <v>101</v>
      </c>
      <c r="X10" s="466" t="e">
        <f t="shared" ca="1" si="2"/>
        <v>#NAME?</v>
      </c>
      <c r="Y10" s="447" t="e">
        <f t="shared" ca="1" si="2"/>
        <v>#NAME?</v>
      </c>
      <c r="Z10" s="447" t="e">
        <f t="shared" ca="1" si="2"/>
        <v>#NAME?</v>
      </c>
      <c r="AA10" s="447" t="e">
        <f t="shared" ca="1" si="2"/>
        <v>#NAME?</v>
      </c>
      <c r="AB10" s="447" t="e">
        <f t="shared" ca="1" si="2"/>
        <v>#NAME?</v>
      </c>
      <c r="AC10" s="447" t="e">
        <f t="shared" ca="1" si="2"/>
        <v>#NAME?</v>
      </c>
      <c r="AD10" s="447" t="e">
        <f t="shared" ca="1" si="2"/>
        <v>#NAME?</v>
      </c>
      <c r="AE10" s="447" t="e">
        <f t="shared" ca="1" si="2"/>
        <v>#NAME?</v>
      </c>
      <c r="AF10" s="447" t="e">
        <f t="shared" ca="1" si="2"/>
        <v>#NAME?</v>
      </c>
      <c r="AG10" s="448" t="e">
        <f t="shared" ca="1" si="2"/>
        <v>#NAME?</v>
      </c>
      <c r="AH10" s="101" t="e">
        <f t="shared" ca="1" si="3"/>
        <v>#NAME?</v>
      </c>
      <c r="AI10" s="483" t="e">
        <f t="array" ref="AI10" ca="1">1/SQRT(SUM(X10:AG10*(1-X10:AG10)))</f>
        <v>#NAME?</v>
      </c>
      <c r="AK10" t="e">
        <f ca="1"/>
        <v>#NAME?</v>
      </c>
      <c r="AL10" t="e">
        <f ca="1"/>
        <v>#NAME?</v>
      </c>
      <c r="AM10" t="e">
        <f ca="1"/>
        <v>#NAME?</v>
      </c>
      <c r="AN10" t="e">
        <f ca="1"/>
        <v>#NAME?</v>
      </c>
      <c r="AO10" t="e">
        <f ca="1"/>
        <v>#NAME?</v>
      </c>
      <c r="AP10" t="e">
        <f ca="1"/>
        <v>#NAME?</v>
      </c>
      <c r="AQ10" t="e">
        <f ca="1"/>
        <v>#NAME?</v>
      </c>
      <c r="AR10" t="e">
        <f ca="1"/>
        <v>#NAME?</v>
      </c>
      <c r="AS10" t="e">
        <f ca="1"/>
        <v>#NAME?</v>
      </c>
      <c r="AT10" t="e">
        <f ca="1"/>
        <v>#NAME?</v>
      </c>
      <c r="AU10" t="e">
        <f ca="1"/>
        <v>#NAME?</v>
      </c>
      <c r="AV10" t="e">
        <f ca="1"/>
        <v>#NAME?</v>
      </c>
      <c r="AW10" t="e">
        <f ca="1"/>
        <v>#NAME?</v>
      </c>
    </row>
    <row r="11" spans="1:49" x14ac:dyDescent="0.35">
      <c r="A11" s="462" t="s">
        <v>281</v>
      </c>
      <c r="B11" s="439">
        <v>1</v>
      </c>
      <c r="C11" s="440">
        <v>1</v>
      </c>
      <c r="D11" s="440">
        <v>1</v>
      </c>
      <c r="E11" s="440">
        <v>1</v>
      </c>
      <c r="F11" s="440">
        <v>0</v>
      </c>
      <c r="G11" s="440">
        <v>0</v>
      </c>
      <c r="H11" s="440">
        <v>0</v>
      </c>
      <c r="I11" s="440">
        <v>0</v>
      </c>
      <c r="J11" s="440">
        <v>0</v>
      </c>
      <c r="K11" s="441">
        <v>0</v>
      </c>
      <c r="M11" s="462" t="str">
        <f t="shared" si="0"/>
        <v>G</v>
      </c>
      <c r="N11" t="e">
        <f ca="1">'Rasch E'!X16</f>
        <v>#NAME?</v>
      </c>
      <c r="O11" t="e">
        <f t="array" ref="O11" ca="1">1/SQRT(SUM(X11:AG11*(1-X11:AG11)))</f>
        <v>#NAME?</v>
      </c>
      <c r="P11" s="485">
        <f t="shared" si="1"/>
        <v>0.4</v>
      </c>
      <c r="R11" s="462">
        <v>7</v>
      </c>
      <c r="S11" t="e">
        <f ca="1"/>
        <v>#NAME?</v>
      </c>
      <c r="T11" t="e">
        <f ca="1"/>
        <v>#NAME?</v>
      </c>
      <c r="U11" s="485" t="e">
        <f ca="1"/>
        <v>#NAME?</v>
      </c>
      <c r="W11" t="s">
        <v>281</v>
      </c>
      <c r="X11" s="466" t="e">
        <f t="shared" ca="1" si="2"/>
        <v>#NAME?</v>
      </c>
      <c r="Y11" s="447" t="e">
        <f t="shared" ca="1" si="2"/>
        <v>#NAME?</v>
      </c>
      <c r="Z11" s="447" t="e">
        <f t="shared" ca="1" si="2"/>
        <v>#NAME?</v>
      </c>
      <c r="AA11" s="447" t="e">
        <f t="shared" ca="1" si="2"/>
        <v>#NAME?</v>
      </c>
      <c r="AB11" s="447" t="e">
        <f t="shared" ca="1" si="2"/>
        <v>#NAME?</v>
      </c>
      <c r="AC11" s="447" t="e">
        <f t="shared" ca="1" si="2"/>
        <v>#NAME?</v>
      </c>
      <c r="AD11" s="447" t="e">
        <f t="shared" ca="1" si="2"/>
        <v>#NAME?</v>
      </c>
      <c r="AE11" s="447" t="e">
        <f t="shared" ca="1" si="2"/>
        <v>#NAME?</v>
      </c>
      <c r="AF11" s="447" t="e">
        <f t="shared" ca="1" si="2"/>
        <v>#NAME?</v>
      </c>
      <c r="AG11" s="448" t="e">
        <f t="shared" ca="1" si="2"/>
        <v>#NAME?</v>
      </c>
      <c r="AH11" s="101" t="e">
        <f t="shared" ca="1" si="3"/>
        <v>#NAME?</v>
      </c>
      <c r="AI11" s="483" t="e">
        <f t="array" ref="AI11" ca="1">1/SQRT(SUM(X11:AG11*(1-X11:AG11)))</f>
        <v>#NAME?</v>
      </c>
      <c r="AK11" t="e">
        <f ca="1"/>
        <v>#NAME?</v>
      </c>
      <c r="AL11" t="e">
        <f ca="1"/>
        <v>#NAME?</v>
      </c>
      <c r="AM11" t="e">
        <f ca="1"/>
        <v>#NAME?</v>
      </c>
      <c r="AN11" t="e">
        <f ca="1"/>
        <v>#NAME?</v>
      </c>
      <c r="AO11" t="e">
        <f ca="1"/>
        <v>#NAME?</v>
      </c>
      <c r="AP11" t="e">
        <f ca="1"/>
        <v>#NAME?</v>
      </c>
      <c r="AQ11" t="e">
        <f ca="1"/>
        <v>#NAME?</v>
      </c>
      <c r="AR11" t="e">
        <f ca="1"/>
        <v>#NAME?</v>
      </c>
      <c r="AS11" t="e">
        <f ca="1"/>
        <v>#NAME?</v>
      </c>
      <c r="AT11" t="e">
        <f ca="1"/>
        <v>#NAME?</v>
      </c>
      <c r="AU11" t="e">
        <f ca="1"/>
        <v>#NAME?</v>
      </c>
      <c r="AV11" t="e">
        <f ca="1"/>
        <v>#NAME?</v>
      </c>
      <c r="AW11" t="e">
        <f ca="1"/>
        <v>#NAME?</v>
      </c>
    </row>
    <row r="12" spans="1:49" x14ac:dyDescent="0.35">
      <c r="A12" s="462" t="s">
        <v>537</v>
      </c>
      <c r="B12" s="439">
        <v>1</v>
      </c>
      <c r="C12" s="440">
        <v>0</v>
      </c>
      <c r="D12" s="440">
        <v>1</v>
      </c>
      <c r="E12" s="440">
        <v>0</v>
      </c>
      <c r="F12" s="440">
        <v>1</v>
      </c>
      <c r="G12" s="440">
        <v>0</v>
      </c>
      <c r="H12" s="440">
        <v>1</v>
      </c>
      <c r="I12" s="440">
        <v>0</v>
      </c>
      <c r="J12" s="440">
        <v>0</v>
      </c>
      <c r="K12" s="441">
        <v>0</v>
      </c>
      <c r="M12" s="462" t="str">
        <f t="shared" si="0"/>
        <v>H</v>
      </c>
      <c r="N12" t="e">
        <f ca="1">'Rasch E'!X17</f>
        <v>#NAME?</v>
      </c>
      <c r="O12" t="e">
        <f t="array" ref="O12" ca="1">1/SQRT(SUM(X12:AG12*(1-X12:AG12)))</f>
        <v>#NAME?</v>
      </c>
      <c r="P12" s="485">
        <f t="shared" si="1"/>
        <v>0.4</v>
      </c>
      <c r="R12" s="462">
        <v>8</v>
      </c>
      <c r="S12" t="e">
        <f ca="1"/>
        <v>#NAME?</v>
      </c>
      <c r="T12" t="e">
        <f ca="1"/>
        <v>#NAME?</v>
      </c>
      <c r="U12" s="485" t="e">
        <f ca="1"/>
        <v>#NAME?</v>
      </c>
      <c r="W12" t="s">
        <v>537</v>
      </c>
      <c r="X12" s="466" t="e">
        <f t="shared" ca="1" si="2"/>
        <v>#NAME?</v>
      </c>
      <c r="Y12" s="447" t="e">
        <f t="shared" ca="1" si="2"/>
        <v>#NAME?</v>
      </c>
      <c r="Z12" s="447" t="e">
        <f t="shared" ca="1" si="2"/>
        <v>#NAME?</v>
      </c>
      <c r="AA12" s="447" t="e">
        <f t="shared" ca="1" si="2"/>
        <v>#NAME?</v>
      </c>
      <c r="AB12" s="447" t="e">
        <f t="shared" ca="1" si="2"/>
        <v>#NAME?</v>
      </c>
      <c r="AC12" s="447" t="e">
        <f t="shared" ca="1" si="2"/>
        <v>#NAME?</v>
      </c>
      <c r="AD12" s="447" t="e">
        <f t="shared" ca="1" si="2"/>
        <v>#NAME?</v>
      </c>
      <c r="AE12" s="447" t="e">
        <f t="shared" ca="1" si="2"/>
        <v>#NAME?</v>
      </c>
      <c r="AF12" s="447" t="e">
        <f t="shared" ca="1" si="2"/>
        <v>#NAME?</v>
      </c>
      <c r="AG12" s="448" t="e">
        <f t="shared" ca="1" si="2"/>
        <v>#NAME?</v>
      </c>
      <c r="AH12" s="101" t="e">
        <f t="shared" ca="1" si="3"/>
        <v>#NAME?</v>
      </c>
      <c r="AI12" s="483" t="e">
        <f t="array" ref="AI12" ca="1">1/SQRT(SUM(X12:AG12*(1-X12:AG12)))</f>
        <v>#NAME?</v>
      </c>
      <c r="AK12" t="e">
        <f ca="1"/>
        <v>#NAME?</v>
      </c>
      <c r="AL12" t="e">
        <f ca="1"/>
        <v>#NAME?</v>
      </c>
      <c r="AM12" t="e">
        <f ca="1"/>
        <v>#NAME?</v>
      </c>
      <c r="AN12" t="e">
        <f ca="1"/>
        <v>#NAME?</v>
      </c>
      <c r="AO12" t="e">
        <f ca="1"/>
        <v>#NAME?</v>
      </c>
      <c r="AP12" t="e">
        <f ca="1"/>
        <v>#NAME?</v>
      </c>
      <c r="AQ12" t="e">
        <f ca="1"/>
        <v>#NAME?</v>
      </c>
      <c r="AR12" t="e">
        <f ca="1"/>
        <v>#NAME?</v>
      </c>
      <c r="AS12" t="e">
        <f ca="1"/>
        <v>#NAME?</v>
      </c>
      <c r="AT12" t="e">
        <f ca="1"/>
        <v>#NAME?</v>
      </c>
      <c r="AU12" t="e">
        <f ca="1"/>
        <v>#NAME?</v>
      </c>
      <c r="AV12" t="e">
        <f ca="1"/>
        <v>#NAME?</v>
      </c>
      <c r="AW12" t="e">
        <f ca="1"/>
        <v>#NAME?</v>
      </c>
    </row>
    <row r="13" spans="1:49" ht="15" thickBot="1" x14ac:dyDescent="0.4">
      <c r="A13" s="462" t="s">
        <v>905</v>
      </c>
      <c r="B13" s="442">
        <v>0</v>
      </c>
      <c r="C13" s="443">
        <v>1</v>
      </c>
      <c r="D13" s="443">
        <v>0</v>
      </c>
      <c r="E13" s="443">
        <v>1</v>
      </c>
      <c r="F13" s="443">
        <v>0</v>
      </c>
      <c r="G13" s="443">
        <v>0</v>
      </c>
      <c r="H13" s="443">
        <v>0</v>
      </c>
      <c r="I13" s="443">
        <v>0</v>
      </c>
      <c r="J13" s="443">
        <v>0</v>
      </c>
      <c r="K13" s="444">
        <v>0</v>
      </c>
      <c r="M13" s="462" t="str">
        <f t="shared" si="0"/>
        <v>I</v>
      </c>
      <c r="N13" s="159" t="e">
        <f ca="1">'Rasch E'!X18</f>
        <v>#NAME?</v>
      </c>
      <c r="O13" s="159" t="e">
        <f t="array" ref="O13" ca="1">1/SQRT(SUM(X13:AG13*(1-X13:AG13)))</f>
        <v>#NAME?</v>
      </c>
      <c r="P13" s="484">
        <f t="shared" si="1"/>
        <v>0.2</v>
      </c>
      <c r="R13" s="462">
        <v>9</v>
      </c>
      <c r="S13" t="e">
        <f ca="1"/>
        <v>#NAME?</v>
      </c>
      <c r="T13" t="e">
        <f ca="1"/>
        <v>#NAME?</v>
      </c>
      <c r="U13" s="485" t="e">
        <f ca="1"/>
        <v>#NAME?</v>
      </c>
      <c r="W13" t="s">
        <v>905</v>
      </c>
      <c r="X13" s="449" t="e">
        <f t="shared" ca="1" si="2"/>
        <v>#NAME?</v>
      </c>
      <c r="Y13" s="450" t="e">
        <f t="shared" ca="1" si="2"/>
        <v>#NAME?</v>
      </c>
      <c r="Z13" s="450" t="e">
        <f t="shared" ca="1" si="2"/>
        <v>#NAME?</v>
      </c>
      <c r="AA13" s="450" t="e">
        <f t="shared" ca="1" si="2"/>
        <v>#NAME?</v>
      </c>
      <c r="AB13" s="450" t="e">
        <f t="shared" ca="1" si="2"/>
        <v>#NAME?</v>
      </c>
      <c r="AC13" s="450" t="e">
        <f t="shared" ca="1" si="2"/>
        <v>#NAME?</v>
      </c>
      <c r="AD13" s="450" t="e">
        <f t="shared" ca="1" si="2"/>
        <v>#NAME?</v>
      </c>
      <c r="AE13" s="450" t="e">
        <f t="shared" ca="1" si="2"/>
        <v>#NAME?</v>
      </c>
      <c r="AF13" s="450" t="e">
        <f t="shared" ca="1" si="2"/>
        <v>#NAME?</v>
      </c>
      <c r="AG13" s="451" t="e">
        <f t="shared" ca="1" si="2"/>
        <v>#NAME?</v>
      </c>
      <c r="AH13" s="89" t="e">
        <f t="shared" ca="1" si="3"/>
        <v>#NAME?</v>
      </c>
      <c r="AI13" s="482" t="e">
        <f t="array" ref="AI13" ca="1">1/SQRT(SUM(X13:AG13*(1-X13:AG13)))</f>
        <v>#NAME?</v>
      </c>
      <c r="AK13" t="e">
        <f ca="1"/>
        <v>#NAME?</v>
      </c>
      <c r="AL13" t="e">
        <f ca="1"/>
        <v>#NAME?</v>
      </c>
      <c r="AM13" t="e">
        <f ca="1"/>
        <v>#NAME?</v>
      </c>
      <c r="AN13" t="e">
        <f ca="1"/>
        <v>#NAME?</v>
      </c>
      <c r="AO13" t="e">
        <f ca="1"/>
        <v>#NAME?</v>
      </c>
      <c r="AP13" t="e">
        <f ca="1"/>
        <v>#NAME?</v>
      </c>
      <c r="AQ13" t="e">
        <f ca="1"/>
        <v>#NAME?</v>
      </c>
      <c r="AR13" t="e">
        <f ca="1"/>
        <v>#NAME?</v>
      </c>
      <c r="AS13" t="e">
        <f ca="1"/>
        <v>#NAME?</v>
      </c>
      <c r="AT13" t="e">
        <f ca="1"/>
        <v>#NAME?</v>
      </c>
      <c r="AU13" t="e">
        <f ca="1"/>
        <v>#NAME?</v>
      </c>
      <c r="AV13" t="e">
        <f ca="1"/>
        <v>#NAME?</v>
      </c>
      <c r="AW13" t="e">
        <f ca="1"/>
        <v>#NAME?</v>
      </c>
    </row>
    <row r="14" spans="1:49" x14ac:dyDescent="0.35">
      <c r="R14" s="462">
        <v>10</v>
      </c>
      <c r="S14" s="159" t="e">
        <f ca="1"/>
        <v>#NAME?</v>
      </c>
      <c r="T14" s="159" t="e">
        <f ca="1"/>
        <v>#NAME?</v>
      </c>
      <c r="U14" s="484" t="e">
        <f ca="1"/>
        <v>#NAME?</v>
      </c>
      <c r="W14" t="s">
        <v>822</v>
      </c>
      <c r="X14" s="423" t="e">
        <f t="array" aca="1" ref="X14:AG14" ca="1">TRANSPOSE(S5:S14)</f>
        <v>#NAME?</v>
      </c>
      <c r="Y14" s="424" t="e">
        <f ca="1"/>
        <v>#NAME?</v>
      </c>
      <c r="Z14" s="424" t="e">
        <f ca="1"/>
        <v>#NAME?</v>
      </c>
      <c r="AA14" s="424" t="e">
        <f ca="1"/>
        <v>#NAME?</v>
      </c>
      <c r="AB14" s="424" t="e">
        <f ca="1"/>
        <v>#NAME?</v>
      </c>
      <c r="AC14" s="424" t="e">
        <f ca="1"/>
        <v>#NAME?</v>
      </c>
      <c r="AD14" s="424" t="e">
        <f ca="1"/>
        <v>#NAME?</v>
      </c>
      <c r="AE14" s="424" t="e">
        <f ca="1"/>
        <v>#NAME?</v>
      </c>
      <c r="AF14" s="424" t="e">
        <f ca="1"/>
        <v>#NAME?</v>
      </c>
      <c r="AG14" s="425" t="e">
        <f ca="1"/>
        <v>#NAME?</v>
      </c>
      <c r="AK14" t="e">
        <f ca="1"/>
        <v>#NAME?</v>
      </c>
      <c r="AL14" t="e">
        <f ca="1"/>
        <v>#NAME?</v>
      </c>
      <c r="AM14" t="e">
        <f ca="1"/>
        <v>#NAME?</v>
      </c>
      <c r="AN14" t="e">
        <f ca="1"/>
        <v>#NAME?</v>
      </c>
      <c r="AO14" t="e">
        <f ca="1"/>
        <v>#NAME?</v>
      </c>
      <c r="AP14" t="e">
        <f ca="1"/>
        <v>#NAME?</v>
      </c>
      <c r="AQ14" t="e">
        <f ca="1"/>
        <v>#NAME?</v>
      </c>
      <c r="AR14" t="e">
        <f ca="1"/>
        <v>#NAME?</v>
      </c>
      <c r="AS14" t="e">
        <f ca="1"/>
        <v>#NAME?</v>
      </c>
      <c r="AT14" t="e">
        <f ca="1"/>
        <v>#NAME?</v>
      </c>
      <c r="AU14" t="e">
        <f ca="1"/>
        <v>#NAME?</v>
      </c>
      <c r="AV14" t="e">
        <f ca="1"/>
        <v>#NAME?</v>
      </c>
      <c r="AW14" t="e">
        <f ca="1"/>
        <v>#NAME?</v>
      </c>
    </row>
    <row r="15" spans="1:49" x14ac:dyDescent="0.35">
      <c r="W15" t="s">
        <v>265</v>
      </c>
      <c r="X15" s="89" t="e">
        <f t="array" ref="X15" ca="1">1/SQRT(SUM(X5:X13*(1-X5:X13)))</f>
        <v>#NAME?</v>
      </c>
      <c r="Y15" s="159" t="e">
        <f t="array" ref="Y15" ca="1">1/SQRT(SUM(Y5:Y13*(1-Y5:Y13)))</f>
        <v>#NAME?</v>
      </c>
      <c r="Z15" s="159" t="e">
        <f t="array" ref="Z15" ca="1">1/SQRT(SUM(Z5:Z13*(1-Z5:Z13)))</f>
        <v>#NAME?</v>
      </c>
      <c r="AA15" s="159" t="e">
        <f t="array" ref="AA15" ca="1">1/SQRT(SUM(AA5:AA13*(1-AA5:AA13)))</f>
        <v>#NAME?</v>
      </c>
      <c r="AB15" s="159" t="e">
        <f t="array" ref="AB15" ca="1">1/SQRT(SUM(AB5:AB13*(1-AB5:AB13)))</f>
        <v>#NAME?</v>
      </c>
      <c r="AC15" s="159" t="e">
        <f t="array" ref="AC15" ca="1">1/SQRT(SUM(AC5:AC13*(1-AC5:AC13)))</f>
        <v>#NAME?</v>
      </c>
      <c r="AD15" s="159" t="e">
        <f t="array" ref="AD15" ca="1">1/SQRT(SUM(AD5:AD13*(1-AD5:AD13)))</f>
        <v>#NAME?</v>
      </c>
      <c r="AE15" s="159" t="e">
        <f t="array" ref="AE15" ca="1">1/SQRT(SUM(AE5:AE13*(1-AE5:AE13)))</f>
        <v>#NAME?</v>
      </c>
      <c r="AF15" s="159" t="e">
        <f t="array" ref="AF15" ca="1">1/SQRT(SUM(AF5:AF13*(1-AF5:AF13)))</f>
        <v>#NAME?</v>
      </c>
      <c r="AG15" s="93" t="e">
        <f t="array" ref="AG15" ca="1">1/SQRT(SUM(AG5:AG13*(1-AG5:AG13)))</f>
        <v>#NAME?</v>
      </c>
      <c r="AK15" t="e">
        <f ca="1"/>
        <v>#NAME?</v>
      </c>
      <c r="AL15" t="e">
        <f ca="1"/>
        <v>#NAME?</v>
      </c>
      <c r="AM15" t="e">
        <f ca="1"/>
        <v>#NAME?</v>
      </c>
      <c r="AN15" t="e">
        <f ca="1"/>
        <v>#NAME?</v>
      </c>
      <c r="AO15" t="e">
        <f ca="1"/>
        <v>#NAME?</v>
      </c>
      <c r="AP15" t="e">
        <f ca="1"/>
        <v>#NAME?</v>
      </c>
      <c r="AQ15" t="e">
        <f ca="1"/>
        <v>#NAME?</v>
      </c>
      <c r="AR15" t="e">
        <f ca="1"/>
        <v>#NAME?</v>
      </c>
      <c r="AS15" t="e">
        <f ca="1"/>
        <v>#NAME?</v>
      </c>
      <c r="AT15" t="e">
        <f ca="1"/>
        <v>#NAME?</v>
      </c>
      <c r="AU15" t="e">
        <f ca="1"/>
        <v>#NAME?</v>
      </c>
      <c r="AV15" t="e">
        <f ca="1"/>
        <v>#NAME?</v>
      </c>
      <c r="AW15" t="e">
        <f ca="1"/>
        <v>#NAME?</v>
      </c>
    </row>
    <row r="16" spans="1:49" x14ac:dyDescent="0.35">
      <c r="N16" s="460" t="s">
        <v>904</v>
      </c>
      <c r="O16" s="460" t="s">
        <v>731</v>
      </c>
      <c r="S16" s="460" t="s">
        <v>927</v>
      </c>
      <c r="T16" s="460" t="s">
        <v>731</v>
      </c>
    </row>
    <row r="17" spans="13:49" x14ac:dyDescent="0.35">
      <c r="M17" s="462" t="e">
        <f t="array" aca="1" ref="M17:O25" ca="1">RASCH_SUBJ(A4:K13,TRUE)</f>
        <v>#NAME?</v>
      </c>
      <c r="N17" t="e">
        <f ca="1"/>
        <v>#NAME?</v>
      </c>
      <c r="O17" t="e">
        <f ca="1"/>
        <v>#NAME?</v>
      </c>
      <c r="R17" s="462" t="e">
        <f t="array" aca="1" ref="R17:T26" ca="1">RASCH_ITEM(A4:K13,TRUE)</f>
        <v>#NAME?</v>
      </c>
      <c r="S17" t="e">
        <f ca="1"/>
        <v>#NAME?</v>
      </c>
      <c r="T17" t="e">
        <f ca="1"/>
        <v>#NAME?</v>
      </c>
      <c r="X17">
        <v>1</v>
      </c>
      <c r="Y17">
        <v>2</v>
      </c>
      <c r="Z17">
        <v>3</v>
      </c>
      <c r="AA17">
        <v>4</v>
      </c>
      <c r="AB17">
        <v>5</v>
      </c>
      <c r="AC17">
        <v>6</v>
      </c>
      <c r="AD17">
        <v>7</v>
      </c>
      <c r="AE17">
        <v>8</v>
      </c>
      <c r="AF17">
        <v>9</v>
      </c>
      <c r="AG17">
        <v>10</v>
      </c>
      <c r="AH17" s="6" t="s">
        <v>940</v>
      </c>
      <c r="AI17" s="6" t="s">
        <v>939</v>
      </c>
      <c r="AK17" t="e">
        <f t="array" aca="1" ref="AK17:AW28" ca="1">RASCH_FIT(B5:K13,M5:N13,R5:S14)</f>
        <v>#NAME?</v>
      </c>
      <c r="AL17" t="e">
        <f ca="1"/>
        <v>#NAME?</v>
      </c>
      <c r="AM17" t="e">
        <f ca="1"/>
        <v>#NAME?</v>
      </c>
      <c r="AN17" t="e">
        <f ca="1"/>
        <v>#NAME?</v>
      </c>
      <c r="AO17" t="e">
        <f ca="1"/>
        <v>#NAME?</v>
      </c>
      <c r="AP17" t="e">
        <f ca="1"/>
        <v>#NAME?</v>
      </c>
      <c r="AQ17" t="e">
        <f ca="1"/>
        <v>#NAME?</v>
      </c>
      <c r="AR17" t="e">
        <f ca="1"/>
        <v>#NAME?</v>
      </c>
      <c r="AS17" t="e">
        <f ca="1"/>
        <v>#NAME?</v>
      </c>
      <c r="AT17" t="e">
        <f ca="1"/>
        <v>#NAME?</v>
      </c>
      <c r="AU17" t="e">
        <f ca="1"/>
        <v>#NAME?</v>
      </c>
      <c r="AV17" t="e">
        <f ca="1"/>
        <v>#NAME?</v>
      </c>
      <c r="AW17" t="e">
        <f ca="1"/>
        <v>#NAME?</v>
      </c>
    </row>
    <row r="18" spans="13:49" x14ac:dyDescent="0.35">
      <c r="M18" s="462" t="e">
        <f ca="1"/>
        <v>#NAME?</v>
      </c>
      <c r="N18" t="e">
        <f ca="1"/>
        <v>#NAME?</v>
      </c>
      <c r="O18" t="e">
        <f ca="1"/>
        <v>#NAME?</v>
      </c>
      <c r="R18" s="462" t="e">
        <f ca="1"/>
        <v>#NAME?</v>
      </c>
      <c r="S18" t="e">
        <f ca="1"/>
        <v>#NAME?</v>
      </c>
      <c r="T18" t="e">
        <f ca="1"/>
        <v>#NAME?</v>
      </c>
      <c r="W18" t="s">
        <v>218</v>
      </c>
      <c r="X18" s="464" t="str">
        <f t="shared" ref="X18:X26" si="4">IF(ISNUMBER(B5),(B5-X5)^2/(X5*(1-X5)),"")</f>
        <v/>
      </c>
      <c r="Y18" s="467" t="e">
        <f t="shared" ref="Y18:Y26" ca="1" si="5">IF(ISNUMBER(C5),(C5-Y5)^2/(Y5*(1-Y5)),"")</f>
        <v>#NAME?</v>
      </c>
      <c r="Z18" s="467" t="e">
        <f t="shared" ref="Z18:Z26" ca="1" si="6">IF(ISNUMBER(D5),(D5-Z5)^2/(Z5*(1-Z5)),"")</f>
        <v>#NAME?</v>
      </c>
      <c r="AA18" s="467" t="e">
        <f t="shared" ref="AA18:AA26" ca="1" si="7">IF(ISNUMBER(E5),(E5-AA5)^2/(AA5*(1-AA5)),"")</f>
        <v>#NAME?</v>
      </c>
      <c r="AB18" s="467" t="e">
        <f t="shared" ref="AB18:AB26" ca="1" si="8">IF(ISNUMBER(F5),(F5-AB5)^2/(AB5*(1-AB5)),"")</f>
        <v>#NAME?</v>
      </c>
      <c r="AC18" s="467" t="e">
        <f t="shared" ref="AC18:AC26" ca="1" si="9">IF(ISNUMBER(G5),(G5-AC5)^2/(AC5*(1-AC5)),"")</f>
        <v>#NAME?</v>
      </c>
      <c r="AD18" s="467" t="e">
        <f t="shared" ref="AD18:AD26" ca="1" si="10">IF(ISNUMBER(H5),(H5-AD5)^2/(AD5*(1-AD5)),"")</f>
        <v>#NAME?</v>
      </c>
      <c r="AE18" s="467" t="e">
        <f t="shared" ref="AE18:AE26" ca="1" si="11">IF(ISNUMBER(I5),(I5-AE5)^2/(AE5*(1-AE5)),"")</f>
        <v>#NAME?</v>
      </c>
      <c r="AF18" s="467" t="e">
        <f t="shared" ref="AF18:AF26" ca="1" si="12">IF(ISNUMBER(J5),(J5-AF5)^2/(AF5*(1-AF5)),"")</f>
        <v>#NAME?</v>
      </c>
      <c r="AG18" s="465" t="e">
        <f t="shared" ref="AG18:AG26" ca="1" si="13">IF(ISNUMBER(K5),(K5-AG5)^2/(AG5*(1-AG5)),"")</f>
        <v>#NAME?</v>
      </c>
      <c r="AH18" s="423" t="e">
        <f t="shared" ref="AH18:AH26" ca="1" si="14">AVERAGE(X18:AG18)</f>
        <v>#NAME?</v>
      </c>
      <c r="AI18" s="473" t="e">
        <f t="array" aca="1" ref="AI18" ca="1">SUMSQ(IF(B5:K5&lt;&gt;"",B5:K5-X5:AG5,0))/SUM(X5:AG5*(1-X5:AG5))</f>
        <v>#NAME?</v>
      </c>
      <c r="AK18" t="e">
        <f ca="1"/>
        <v>#NAME?</v>
      </c>
      <c r="AL18" t="e">
        <f ca="1"/>
        <v>#NAME?</v>
      </c>
      <c r="AM18" t="e">
        <f ca="1"/>
        <v>#NAME?</v>
      </c>
      <c r="AN18" t="e">
        <f ca="1"/>
        <v>#NAME?</v>
      </c>
      <c r="AO18" t="e">
        <f ca="1"/>
        <v>#NAME?</v>
      </c>
      <c r="AP18" t="e">
        <f ca="1"/>
        <v>#NAME?</v>
      </c>
      <c r="AQ18" t="e">
        <f ca="1"/>
        <v>#NAME?</v>
      </c>
      <c r="AR18" t="e">
        <f ca="1"/>
        <v>#NAME?</v>
      </c>
      <c r="AS18" t="e">
        <f ca="1"/>
        <v>#NAME?</v>
      </c>
      <c r="AT18" t="e">
        <f ca="1"/>
        <v>#NAME?</v>
      </c>
      <c r="AU18" t="e">
        <f ca="1"/>
        <v>#NAME?</v>
      </c>
      <c r="AV18" t="e">
        <f ca="1"/>
        <v>#NAME?</v>
      </c>
      <c r="AW18" t="e">
        <f ca="1"/>
        <v>#NAME?</v>
      </c>
    </row>
    <row r="19" spans="13:49" x14ac:dyDescent="0.35">
      <c r="M19" s="462" t="e">
        <f ca="1"/>
        <v>#NAME?</v>
      </c>
      <c r="N19" t="e">
        <f ca="1"/>
        <v>#NAME?</v>
      </c>
      <c r="O19" t="e">
        <f ca="1"/>
        <v>#NAME?</v>
      </c>
      <c r="R19" s="462" t="e">
        <f ca="1"/>
        <v>#NAME?</v>
      </c>
      <c r="S19" t="e">
        <f ca="1"/>
        <v>#NAME?</v>
      </c>
      <c r="T19" t="e">
        <f ca="1"/>
        <v>#NAME?</v>
      </c>
      <c r="W19" t="s">
        <v>98</v>
      </c>
      <c r="X19" s="466" t="e">
        <f t="shared" ca="1" si="4"/>
        <v>#NAME?</v>
      </c>
      <c r="Y19" s="447" t="e">
        <f t="shared" ca="1" si="5"/>
        <v>#NAME?</v>
      </c>
      <c r="Z19" s="447" t="e">
        <f t="shared" ca="1" si="6"/>
        <v>#NAME?</v>
      </c>
      <c r="AA19" s="447" t="e">
        <f t="shared" ca="1" si="7"/>
        <v>#NAME?</v>
      </c>
      <c r="AB19" s="447" t="e">
        <f t="shared" ca="1" si="8"/>
        <v>#NAME?</v>
      </c>
      <c r="AC19" s="447" t="e">
        <f t="shared" ca="1" si="9"/>
        <v>#NAME?</v>
      </c>
      <c r="AD19" s="447" t="e">
        <f t="shared" ca="1" si="10"/>
        <v>#NAME?</v>
      </c>
      <c r="AE19" s="447" t="e">
        <f t="shared" ca="1" si="11"/>
        <v>#NAME?</v>
      </c>
      <c r="AF19" s="447" t="e">
        <f t="shared" ca="1" si="12"/>
        <v>#NAME?</v>
      </c>
      <c r="AG19" s="448" t="e">
        <f t="shared" ca="1" si="13"/>
        <v>#NAME?</v>
      </c>
      <c r="AH19" s="101" t="e">
        <f t="shared" ca="1" si="14"/>
        <v>#NAME?</v>
      </c>
      <c r="AI19" s="483" t="e">
        <f t="array" aca="1" ref="AI19" ca="1">SUMSQ(IF(B6:K6&lt;&gt;"",B6:K6-X6:AG6,0))/SUM(X6:AG6*(1-X6:AG6))</f>
        <v>#NAME?</v>
      </c>
      <c r="AK19" t="e">
        <f ca="1"/>
        <v>#NAME?</v>
      </c>
      <c r="AL19" t="e">
        <f ca="1"/>
        <v>#NAME?</v>
      </c>
      <c r="AM19" t="e">
        <f ca="1"/>
        <v>#NAME?</v>
      </c>
      <c r="AN19" t="e">
        <f ca="1"/>
        <v>#NAME?</v>
      </c>
      <c r="AO19" t="e">
        <f ca="1"/>
        <v>#NAME?</v>
      </c>
      <c r="AP19" t="e">
        <f ca="1"/>
        <v>#NAME?</v>
      </c>
      <c r="AQ19" t="e">
        <f ca="1"/>
        <v>#NAME?</v>
      </c>
      <c r="AR19" t="e">
        <f ca="1"/>
        <v>#NAME?</v>
      </c>
      <c r="AS19" t="e">
        <f ca="1"/>
        <v>#NAME?</v>
      </c>
      <c r="AT19" t="e">
        <f ca="1"/>
        <v>#NAME?</v>
      </c>
      <c r="AU19" t="e">
        <f ca="1"/>
        <v>#NAME?</v>
      </c>
      <c r="AV19" t="e">
        <f ca="1"/>
        <v>#NAME?</v>
      </c>
      <c r="AW19" t="e">
        <f ca="1"/>
        <v>#NAME?</v>
      </c>
    </row>
    <row r="20" spans="13:49" x14ac:dyDescent="0.35">
      <c r="M20" s="462" t="e">
        <f ca="1"/>
        <v>#NAME?</v>
      </c>
      <c r="N20" t="e">
        <f ca="1"/>
        <v>#NAME?</v>
      </c>
      <c r="O20" t="e">
        <f ca="1"/>
        <v>#NAME?</v>
      </c>
      <c r="R20" s="462" t="e">
        <f ca="1"/>
        <v>#NAME?</v>
      </c>
      <c r="S20" t="e">
        <f ca="1"/>
        <v>#NAME?</v>
      </c>
      <c r="T20" t="e">
        <f ca="1"/>
        <v>#NAME?</v>
      </c>
      <c r="W20" t="s">
        <v>99</v>
      </c>
      <c r="X20" s="466" t="e">
        <f t="shared" ca="1" si="4"/>
        <v>#NAME?</v>
      </c>
      <c r="Y20" s="447" t="e">
        <f t="shared" ca="1" si="5"/>
        <v>#NAME?</v>
      </c>
      <c r="Z20" s="447" t="e">
        <f t="shared" ca="1" si="6"/>
        <v>#NAME?</v>
      </c>
      <c r="AA20" s="447" t="e">
        <f t="shared" ca="1" si="7"/>
        <v>#NAME?</v>
      </c>
      <c r="AB20" s="447" t="e">
        <f t="shared" ca="1" si="8"/>
        <v>#NAME?</v>
      </c>
      <c r="AC20" s="447" t="e">
        <f t="shared" ca="1" si="9"/>
        <v>#NAME?</v>
      </c>
      <c r="AD20" s="447" t="e">
        <f t="shared" ca="1" si="10"/>
        <v>#NAME?</v>
      </c>
      <c r="AE20" s="447" t="e">
        <f t="shared" ca="1" si="11"/>
        <v>#NAME?</v>
      </c>
      <c r="AF20" s="447" t="e">
        <f t="shared" ca="1" si="12"/>
        <v>#NAME?</v>
      </c>
      <c r="AG20" s="448" t="e">
        <f t="shared" ca="1" si="13"/>
        <v>#NAME?</v>
      </c>
      <c r="AH20" s="101" t="e">
        <f t="shared" ca="1" si="14"/>
        <v>#NAME?</v>
      </c>
      <c r="AI20" s="483" t="e">
        <f t="array" aca="1" ref="AI20" ca="1">SUMSQ(IF(B7:K7&lt;&gt;"",B7:K7-X7:AG7,0))/SUM(X7:AG7*(1-X7:AG7))</f>
        <v>#NAME?</v>
      </c>
      <c r="AK20" t="e">
        <f ca="1"/>
        <v>#NAME?</v>
      </c>
      <c r="AL20" t="e">
        <f ca="1"/>
        <v>#NAME?</v>
      </c>
      <c r="AM20" t="e">
        <f ca="1"/>
        <v>#NAME?</v>
      </c>
      <c r="AN20" t="e">
        <f ca="1"/>
        <v>#NAME?</v>
      </c>
      <c r="AO20" t="e">
        <f ca="1"/>
        <v>#NAME?</v>
      </c>
      <c r="AP20" t="e">
        <f ca="1"/>
        <v>#NAME?</v>
      </c>
      <c r="AQ20" t="e">
        <f ca="1"/>
        <v>#NAME?</v>
      </c>
      <c r="AR20" t="e">
        <f ca="1"/>
        <v>#NAME?</v>
      </c>
      <c r="AS20" t="e">
        <f ca="1"/>
        <v>#NAME?</v>
      </c>
      <c r="AT20" t="e">
        <f ca="1"/>
        <v>#NAME?</v>
      </c>
      <c r="AU20" t="e">
        <f ca="1"/>
        <v>#NAME?</v>
      </c>
      <c r="AV20" t="e">
        <f ca="1"/>
        <v>#NAME?</v>
      </c>
      <c r="AW20" t="e">
        <f ca="1"/>
        <v>#NAME?</v>
      </c>
    </row>
    <row r="21" spans="13:49" x14ac:dyDescent="0.35">
      <c r="M21" s="462" t="e">
        <f ca="1"/>
        <v>#NAME?</v>
      </c>
      <c r="N21" t="e">
        <f ca="1"/>
        <v>#NAME?</v>
      </c>
      <c r="O21" t="e">
        <f ca="1"/>
        <v>#NAME?</v>
      </c>
      <c r="R21" s="462" t="e">
        <f ca="1"/>
        <v>#NAME?</v>
      </c>
      <c r="S21" t="e">
        <f ca="1"/>
        <v>#NAME?</v>
      </c>
      <c r="T21" t="e">
        <f ca="1"/>
        <v>#NAME?</v>
      </c>
      <c r="W21" t="s">
        <v>100</v>
      </c>
      <c r="X21" s="466" t="e">
        <f t="shared" ca="1" si="4"/>
        <v>#NAME?</v>
      </c>
      <c r="Y21" s="447" t="e">
        <f t="shared" ca="1" si="5"/>
        <v>#NAME?</v>
      </c>
      <c r="Z21" s="447" t="e">
        <f t="shared" ca="1" si="6"/>
        <v>#NAME?</v>
      </c>
      <c r="AA21" s="447" t="e">
        <f t="shared" ca="1" si="7"/>
        <v>#NAME?</v>
      </c>
      <c r="AB21" s="447" t="e">
        <f t="shared" ca="1" si="8"/>
        <v>#NAME?</v>
      </c>
      <c r="AC21" s="447" t="e">
        <f t="shared" ca="1" si="9"/>
        <v>#NAME?</v>
      </c>
      <c r="AD21" s="447" t="e">
        <f t="shared" ca="1" si="10"/>
        <v>#NAME?</v>
      </c>
      <c r="AE21" s="447" t="e">
        <f t="shared" ca="1" si="11"/>
        <v>#NAME?</v>
      </c>
      <c r="AF21" s="447" t="e">
        <f t="shared" ca="1" si="12"/>
        <v>#NAME?</v>
      </c>
      <c r="AG21" s="448" t="e">
        <f t="shared" ca="1" si="13"/>
        <v>#NAME?</v>
      </c>
      <c r="AH21" s="101" t="e">
        <f t="shared" ca="1" si="14"/>
        <v>#NAME?</v>
      </c>
      <c r="AI21" s="483" t="e">
        <f t="array" aca="1" ref="AI21" ca="1">SUMSQ(IF(B8:K8&lt;&gt;"",B8:K8-X8:AG8,0))/SUM(X8:AG8*(1-X8:AG8))</f>
        <v>#NAME?</v>
      </c>
      <c r="AK21" t="e">
        <f ca="1"/>
        <v>#NAME?</v>
      </c>
      <c r="AL21" t="e">
        <f ca="1"/>
        <v>#NAME?</v>
      </c>
      <c r="AM21" t="e">
        <f ca="1"/>
        <v>#NAME?</v>
      </c>
      <c r="AN21" t="e">
        <f ca="1"/>
        <v>#NAME?</v>
      </c>
      <c r="AO21" t="e">
        <f ca="1"/>
        <v>#NAME?</v>
      </c>
      <c r="AP21" t="e">
        <f ca="1"/>
        <v>#NAME?</v>
      </c>
      <c r="AQ21" t="e">
        <f ca="1"/>
        <v>#NAME?</v>
      </c>
      <c r="AR21" t="e">
        <f ca="1"/>
        <v>#NAME?</v>
      </c>
      <c r="AS21" t="e">
        <f ca="1"/>
        <v>#NAME?</v>
      </c>
      <c r="AT21" t="e">
        <f ca="1"/>
        <v>#NAME?</v>
      </c>
      <c r="AU21" t="e">
        <f ca="1"/>
        <v>#NAME?</v>
      </c>
      <c r="AV21" t="e">
        <f ca="1"/>
        <v>#NAME?</v>
      </c>
      <c r="AW21" t="e">
        <f ca="1"/>
        <v>#NAME?</v>
      </c>
    </row>
    <row r="22" spans="13:49" x14ac:dyDescent="0.35">
      <c r="M22" s="462" t="e">
        <f ca="1"/>
        <v>#NAME?</v>
      </c>
      <c r="N22" t="e">
        <f ca="1"/>
        <v>#NAME?</v>
      </c>
      <c r="O22" t="e">
        <f ca="1"/>
        <v>#NAME?</v>
      </c>
      <c r="R22" s="462" t="e">
        <f ca="1"/>
        <v>#NAME?</v>
      </c>
      <c r="S22" t="e">
        <f ca="1"/>
        <v>#NAME?</v>
      </c>
      <c r="T22" t="e">
        <f ca="1"/>
        <v>#NAME?</v>
      </c>
      <c r="W22" t="s">
        <v>536</v>
      </c>
      <c r="X22" s="466" t="e">
        <f t="shared" ca="1" si="4"/>
        <v>#NAME?</v>
      </c>
      <c r="Y22" s="447" t="e">
        <f t="shared" ca="1" si="5"/>
        <v>#NAME?</v>
      </c>
      <c r="Z22" s="447" t="e">
        <f t="shared" ca="1" si="6"/>
        <v>#NAME?</v>
      </c>
      <c r="AA22" s="447" t="e">
        <f t="shared" ca="1" si="7"/>
        <v>#NAME?</v>
      </c>
      <c r="AB22" s="447" t="e">
        <f t="shared" ca="1" si="8"/>
        <v>#NAME?</v>
      </c>
      <c r="AC22" s="447" t="e">
        <f t="shared" ca="1" si="9"/>
        <v>#NAME?</v>
      </c>
      <c r="AD22" s="447" t="e">
        <f t="shared" ca="1" si="10"/>
        <v>#NAME?</v>
      </c>
      <c r="AE22" s="447" t="e">
        <f t="shared" ca="1" si="11"/>
        <v>#NAME?</v>
      </c>
      <c r="AF22" s="447" t="e">
        <f t="shared" ca="1" si="12"/>
        <v>#NAME?</v>
      </c>
      <c r="AG22" s="448" t="e">
        <f t="shared" ca="1" si="13"/>
        <v>#NAME?</v>
      </c>
      <c r="AH22" s="101" t="e">
        <f t="shared" ca="1" si="14"/>
        <v>#NAME?</v>
      </c>
      <c r="AI22" s="483" t="e">
        <f t="array" aca="1" ref="AI22" ca="1">SUMSQ(IF(B9:K9&lt;&gt;"",B9:K9-X9:AG9,0))/SUM(X9:AG9*(1-X9:AG9))</f>
        <v>#NAME?</v>
      </c>
      <c r="AK22" t="e">
        <f ca="1"/>
        <v>#NAME?</v>
      </c>
      <c r="AL22" t="e">
        <f ca="1"/>
        <v>#NAME?</v>
      </c>
      <c r="AM22" t="e">
        <f ca="1"/>
        <v>#NAME?</v>
      </c>
      <c r="AN22" t="e">
        <f ca="1"/>
        <v>#NAME?</v>
      </c>
      <c r="AO22" t="e">
        <f ca="1"/>
        <v>#NAME?</v>
      </c>
      <c r="AP22" t="e">
        <f ca="1"/>
        <v>#NAME?</v>
      </c>
      <c r="AQ22" t="e">
        <f ca="1"/>
        <v>#NAME?</v>
      </c>
      <c r="AR22" t="e">
        <f ca="1"/>
        <v>#NAME?</v>
      </c>
      <c r="AS22" t="e">
        <f ca="1"/>
        <v>#NAME?</v>
      </c>
      <c r="AT22" t="e">
        <f ca="1"/>
        <v>#NAME?</v>
      </c>
      <c r="AU22" t="e">
        <f ca="1"/>
        <v>#NAME?</v>
      </c>
      <c r="AV22" t="e">
        <f ca="1"/>
        <v>#NAME?</v>
      </c>
      <c r="AW22" t="e">
        <f ca="1"/>
        <v>#NAME?</v>
      </c>
    </row>
    <row r="23" spans="13:49" x14ac:dyDescent="0.35">
      <c r="M23" s="462" t="e">
        <f ca="1"/>
        <v>#NAME?</v>
      </c>
      <c r="N23" t="e">
        <f ca="1"/>
        <v>#NAME?</v>
      </c>
      <c r="O23" t="e">
        <f ca="1"/>
        <v>#NAME?</v>
      </c>
      <c r="R23" s="462" t="e">
        <f ca="1"/>
        <v>#NAME?</v>
      </c>
      <c r="S23" t="e">
        <f ca="1"/>
        <v>#NAME?</v>
      </c>
      <c r="T23" t="e">
        <f ca="1"/>
        <v>#NAME?</v>
      </c>
      <c r="W23" t="s">
        <v>101</v>
      </c>
      <c r="X23" s="466" t="e">
        <f t="shared" ca="1" si="4"/>
        <v>#NAME?</v>
      </c>
      <c r="Y23" s="447" t="e">
        <f t="shared" ca="1" si="5"/>
        <v>#NAME?</v>
      </c>
      <c r="Z23" s="447" t="e">
        <f t="shared" ca="1" si="6"/>
        <v>#NAME?</v>
      </c>
      <c r="AA23" s="447" t="e">
        <f t="shared" ca="1" si="7"/>
        <v>#NAME?</v>
      </c>
      <c r="AB23" s="447" t="e">
        <f t="shared" ca="1" si="8"/>
        <v>#NAME?</v>
      </c>
      <c r="AC23" s="447" t="e">
        <f t="shared" ca="1" si="9"/>
        <v>#NAME?</v>
      </c>
      <c r="AD23" s="447" t="e">
        <f t="shared" ca="1" si="10"/>
        <v>#NAME?</v>
      </c>
      <c r="AE23" s="447" t="e">
        <f t="shared" ca="1" si="11"/>
        <v>#NAME?</v>
      </c>
      <c r="AF23" s="447" t="e">
        <f t="shared" ca="1" si="12"/>
        <v>#NAME?</v>
      </c>
      <c r="AG23" s="448" t="e">
        <f t="shared" ca="1" si="13"/>
        <v>#NAME?</v>
      </c>
      <c r="AH23" s="101" t="e">
        <f t="shared" ca="1" si="14"/>
        <v>#NAME?</v>
      </c>
      <c r="AI23" s="483" t="e">
        <f t="array" aca="1" ref="AI23" ca="1">SUMSQ(IF(B10:K10&lt;&gt;"",B10:K10-X10:AG10,0))/SUM(X10:AG10*(1-X10:AG10))</f>
        <v>#NAME?</v>
      </c>
      <c r="AK23" t="e">
        <f ca="1"/>
        <v>#NAME?</v>
      </c>
      <c r="AL23" t="e">
        <f ca="1"/>
        <v>#NAME?</v>
      </c>
      <c r="AM23" t="e">
        <f ca="1"/>
        <v>#NAME?</v>
      </c>
      <c r="AN23" t="e">
        <f ca="1"/>
        <v>#NAME?</v>
      </c>
      <c r="AO23" t="e">
        <f ca="1"/>
        <v>#NAME?</v>
      </c>
      <c r="AP23" t="e">
        <f ca="1"/>
        <v>#NAME?</v>
      </c>
      <c r="AQ23" t="e">
        <f ca="1"/>
        <v>#NAME?</v>
      </c>
      <c r="AR23" t="e">
        <f ca="1"/>
        <v>#NAME?</v>
      </c>
      <c r="AS23" t="e">
        <f ca="1"/>
        <v>#NAME?</v>
      </c>
      <c r="AT23" t="e">
        <f ca="1"/>
        <v>#NAME?</v>
      </c>
      <c r="AU23" t="e">
        <f ca="1"/>
        <v>#NAME?</v>
      </c>
      <c r="AV23" t="e">
        <f ca="1"/>
        <v>#NAME?</v>
      </c>
      <c r="AW23" t="e">
        <f ca="1"/>
        <v>#NAME?</v>
      </c>
    </row>
    <row r="24" spans="13:49" x14ac:dyDescent="0.35">
      <c r="M24" s="462" t="e">
        <f ca="1"/>
        <v>#NAME?</v>
      </c>
      <c r="N24" t="e">
        <f ca="1"/>
        <v>#NAME?</v>
      </c>
      <c r="O24" t="e">
        <f ca="1"/>
        <v>#NAME?</v>
      </c>
      <c r="R24" s="462" t="e">
        <f ca="1"/>
        <v>#NAME?</v>
      </c>
      <c r="S24" t="e">
        <f ca="1"/>
        <v>#NAME?</v>
      </c>
      <c r="T24" t="e">
        <f ca="1"/>
        <v>#NAME?</v>
      </c>
      <c r="W24" t="s">
        <v>281</v>
      </c>
      <c r="X24" s="466" t="e">
        <f t="shared" ca="1" si="4"/>
        <v>#NAME?</v>
      </c>
      <c r="Y24" s="447" t="e">
        <f t="shared" ca="1" si="5"/>
        <v>#NAME?</v>
      </c>
      <c r="Z24" s="447" t="e">
        <f t="shared" ca="1" si="6"/>
        <v>#NAME?</v>
      </c>
      <c r="AA24" s="447" t="e">
        <f t="shared" ca="1" si="7"/>
        <v>#NAME?</v>
      </c>
      <c r="AB24" s="447" t="e">
        <f t="shared" ca="1" si="8"/>
        <v>#NAME?</v>
      </c>
      <c r="AC24" s="447" t="e">
        <f t="shared" ca="1" si="9"/>
        <v>#NAME?</v>
      </c>
      <c r="AD24" s="447" t="e">
        <f t="shared" ca="1" si="10"/>
        <v>#NAME?</v>
      </c>
      <c r="AE24" s="447" t="e">
        <f t="shared" ca="1" si="11"/>
        <v>#NAME?</v>
      </c>
      <c r="AF24" s="447" t="e">
        <f t="shared" ca="1" si="12"/>
        <v>#NAME?</v>
      </c>
      <c r="AG24" s="448" t="e">
        <f t="shared" ca="1" si="13"/>
        <v>#NAME?</v>
      </c>
      <c r="AH24" s="101" t="e">
        <f t="shared" ca="1" si="14"/>
        <v>#NAME?</v>
      </c>
      <c r="AI24" s="483" t="e">
        <f t="array" aca="1" ref="AI24" ca="1">SUMSQ(IF(B11:K11&lt;&gt;"",B11:K11-X11:AG11,0))/SUM(X11:AG11*(1-X11:AG11))</f>
        <v>#NAME?</v>
      </c>
      <c r="AK24" t="e">
        <f ca="1"/>
        <v>#NAME?</v>
      </c>
      <c r="AL24" t="e">
        <f ca="1"/>
        <v>#NAME?</v>
      </c>
      <c r="AM24" t="e">
        <f ca="1"/>
        <v>#NAME?</v>
      </c>
      <c r="AN24" t="e">
        <f ca="1"/>
        <v>#NAME?</v>
      </c>
      <c r="AO24" t="e">
        <f ca="1"/>
        <v>#NAME?</v>
      </c>
      <c r="AP24" t="e">
        <f ca="1"/>
        <v>#NAME?</v>
      </c>
      <c r="AQ24" t="e">
        <f ca="1"/>
        <v>#NAME?</v>
      </c>
      <c r="AR24" t="e">
        <f ca="1"/>
        <v>#NAME?</v>
      </c>
      <c r="AS24" t="e">
        <f ca="1"/>
        <v>#NAME?</v>
      </c>
      <c r="AT24" t="e">
        <f ca="1"/>
        <v>#NAME?</v>
      </c>
      <c r="AU24" t="e">
        <f ca="1"/>
        <v>#NAME?</v>
      </c>
      <c r="AV24" t="e">
        <f ca="1"/>
        <v>#NAME?</v>
      </c>
      <c r="AW24" t="e">
        <f ca="1"/>
        <v>#NAME?</v>
      </c>
    </row>
    <row r="25" spans="13:49" x14ac:dyDescent="0.35">
      <c r="M25" s="462" t="e">
        <f ca="1"/>
        <v>#NAME?</v>
      </c>
      <c r="N25" s="159" t="e">
        <f ca="1"/>
        <v>#NAME?</v>
      </c>
      <c r="O25" s="159" t="e">
        <f ca="1"/>
        <v>#NAME?</v>
      </c>
      <c r="R25" s="462" t="e">
        <f ca="1"/>
        <v>#NAME?</v>
      </c>
      <c r="S25" t="e">
        <f ca="1"/>
        <v>#NAME?</v>
      </c>
      <c r="T25" t="e">
        <f ca="1"/>
        <v>#NAME?</v>
      </c>
      <c r="W25" t="s">
        <v>537</v>
      </c>
      <c r="X25" s="466" t="e">
        <f t="shared" ca="1" si="4"/>
        <v>#NAME?</v>
      </c>
      <c r="Y25" s="447" t="e">
        <f t="shared" ca="1" si="5"/>
        <v>#NAME?</v>
      </c>
      <c r="Z25" s="447" t="e">
        <f t="shared" ca="1" si="6"/>
        <v>#NAME?</v>
      </c>
      <c r="AA25" s="447" t="e">
        <f t="shared" ca="1" si="7"/>
        <v>#NAME?</v>
      </c>
      <c r="AB25" s="447" t="e">
        <f t="shared" ca="1" si="8"/>
        <v>#NAME?</v>
      </c>
      <c r="AC25" s="447" t="e">
        <f t="shared" ca="1" si="9"/>
        <v>#NAME?</v>
      </c>
      <c r="AD25" s="447" t="e">
        <f t="shared" ca="1" si="10"/>
        <v>#NAME?</v>
      </c>
      <c r="AE25" s="447" t="e">
        <f t="shared" ca="1" si="11"/>
        <v>#NAME?</v>
      </c>
      <c r="AF25" s="447" t="e">
        <f t="shared" ca="1" si="12"/>
        <v>#NAME?</v>
      </c>
      <c r="AG25" s="448" t="e">
        <f t="shared" ca="1" si="13"/>
        <v>#NAME?</v>
      </c>
      <c r="AH25" s="101" t="e">
        <f t="shared" ca="1" si="14"/>
        <v>#NAME?</v>
      </c>
      <c r="AI25" s="483" t="e">
        <f t="array" aca="1" ref="AI25" ca="1">SUMSQ(IF(B12:K12&lt;&gt;"",B12:K12-X12:AG12,0))/SUM(X12:AG12*(1-X12:AG12))</f>
        <v>#NAME?</v>
      </c>
      <c r="AK25" t="e">
        <f ca="1"/>
        <v>#NAME?</v>
      </c>
      <c r="AL25" t="e">
        <f ca="1"/>
        <v>#NAME?</v>
      </c>
      <c r="AM25" t="e">
        <f ca="1"/>
        <v>#NAME?</v>
      </c>
      <c r="AN25" t="e">
        <f ca="1"/>
        <v>#NAME?</v>
      </c>
      <c r="AO25" t="e">
        <f ca="1"/>
        <v>#NAME?</v>
      </c>
      <c r="AP25" t="e">
        <f ca="1"/>
        <v>#NAME?</v>
      </c>
      <c r="AQ25" t="e">
        <f ca="1"/>
        <v>#NAME?</v>
      </c>
      <c r="AR25" t="e">
        <f ca="1"/>
        <v>#NAME?</v>
      </c>
      <c r="AS25" t="e">
        <f ca="1"/>
        <v>#NAME?</v>
      </c>
      <c r="AT25" t="e">
        <f ca="1"/>
        <v>#NAME?</v>
      </c>
      <c r="AU25" t="e">
        <f ca="1"/>
        <v>#NAME?</v>
      </c>
      <c r="AV25" t="e">
        <f ca="1"/>
        <v>#NAME?</v>
      </c>
      <c r="AW25" t="e">
        <f ca="1"/>
        <v>#NAME?</v>
      </c>
    </row>
    <row r="26" spans="13:49" x14ac:dyDescent="0.35">
      <c r="R26" s="462" t="e">
        <f ca="1"/>
        <v>#NAME?</v>
      </c>
      <c r="S26" t="e">
        <f ca="1"/>
        <v>#NAME?</v>
      </c>
      <c r="T26" t="e">
        <f ca="1"/>
        <v>#NAME?</v>
      </c>
      <c r="W26" t="s">
        <v>905</v>
      </c>
      <c r="X26" s="466" t="e">
        <f t="shared" ca="1" si="4"/>
        <v>#NAME?</v>
      </c>
      <c r="Y26" s="447" t="e">
        <f t="shared" ca="1" si="5"/>
        <v>#NAME?</v>
      </c>
      <c r="Z26" s="447" t="e">
        <f t="shared" ca="1" si="6"/>
        <v>#NAME?</v>
      </c>
      <c r="AA26" s="447" t="e">
        <f t="shared" ca="1" si="7"/>
        <v>#NAME?</v>
      </c>
      <c r="AB26" s="447" t="e">
        <f t="shared" ca="1" si="8"/>
        <v>#NAME?</v>
      </c>
      <c r="AC26" s="447" t="e">
        <f t="shared" ca="1" si="9"/>
        <v>#NAME?</v>
      </c>
      <c r="AD26" s="447" t="e">
        <f t="shared" ca="1" si="10"/>
        <v>#NAME?</v>
      </c>
      <c r="AE26" s="447" t="e">
        <f t="shared" ca="1" si="11"/>
        <v>#NAME?</v>
      </c>
      <c r="AF26" s="447" t="e">
        <f t="shared" ca="1" si="12"/>
        <v>#NAME?</v>
      </c>
      <c r="AG26" s="448" t="e">
        <f t="shared" ca="1" si="13"/>
        <v>#NAME?</v>
      </c>
      <c r="AH26" s="89" t="e">
        <f t="shared" ca="1" si="14"/>
        <v>#NAME?</v>
      </c>
      <c r="AI26" s="482" t="e">
        <f t="array" aca="1" ref="AI26" ca="1">SUMSQ(IF(B13:K13&lt;&gt;"",B13:K13-X13:AG13,0))/SUM(X13:AG13*(1-X13:AG13))</f>
        <v>#NAME?</v>
      </c>
      <c r="AK26" t="e">
        <f ca="1"/>
        <v>#NAME?</v>
      </c>
      <c r="AL26" t="e">
        <f ca="1"/>
        <v>#NAME?</v>
      </c>
      <c r="AM26" t="e">
        <f ca="1"/>
        <v>#NAME?</v>
      </c>
      <c r="AN26" t="e">
        <f ca="1"/>
        <v>#NAME?</v>
      </c>
      <c r="AO26" t="e">
        <f ca="1"/>
        <v>#NAME?</v>
      </c>
      <c r="AP26" t="e">
        <f ca="1"/>
        <v>#NAME?</v>
      </c>
      <c r="AQ26" t="e">
        <f ca="1"/>
        <v>#NAME?</v>
      </c>
      <c r="AR26" t="e">
        <f ca="1"/>
        <v>#NAME?</v>
      </c>
      <c r="AS26" t="e">
        <f ca="1"/>
        <v>#NAME?</v>
      </c>
      <c r="AT26" t="e">
        <f ca="1"/>
        <v>#NAME?</v>
      </c>
      <c r="AU26" t="e">
        <f ca="1"/>
        <v>#NAME?</v>
      </c>
      <c r="AV26" t="e">
        <f ca="1"/>
        <v>#NAME?</v>
      </c>
      <c r="AW26" t="e">
        <f ca="1"/>
        <v>#NAME?</v>
      </c>
    </row>
    <row r="27" spans="13:49" x14ac:dyDescent="0.35">
      <c r="W27" t="s">
        <v>938</v>
      </c>
      <c r="X27" s="423" t="e">
        <f t="shared" ref="X27:AG27" ca="1" si="15">AVERAGE(X18:X26)</f>
        <v>#NAME?</v>
      </c>
      <c r="Y27" s="424" t="e">
        <f t="shared" ca="1" si="15"/>
        <v>#NAME?</v>
      </c>
      <c r="Z27" s="424" t="e">
        <f t="shared" ca="1" si="15"/>
        <v>#NAME?</v>
      </c>
      <c r="AA27" s="424" t="e">
        <f t="shared" ca="1" si="15"/>
        <v>#NAME?</v>
      </c>
      <c r="AB27" s="424" t="e">
        <f t="shared" ca="1" si="15"/>
        <v>#NAME?</v>
      </c>
      <c r="AC27" s="424" t="e">
        <f t="shared" ca="1" si="15"/>
        <v>#NAME?</v>
      </c>
      <c r="AD27" s="424" t="e">
        <f t="shared" ca="1" si="15"/>
        <v>#NAME?</v>
      </c>
      <c r="AE27" s="424" t="e">
        <f t="shared" ca="1" si="15"/>
        <v>#NAME?</v>
      </c>
      <c r="AF27" s="424" t="e">
        <f t="shared" ca="1" si="15"/>
        <v>#NAME?</v>
      </c>
      <c r="AG27" s="425" t="e">
        <f t="shared" ca="1" si="15"/>
        <v>#NAME?</v>
      </c>
      <c r="AK27" t="e">
        <f ca="1"/>
        <v>#NAME?</v>
      </c>
      <c r="AL27" t="e">
        <f ca="1"/>
        <v>#NAME?</v>
      </c>
      <c r="AM27" t="e">
        <f ca="1"/>
        <v>#NAME?</v>
      </c>
      <c r="AN27" t="e">
        <f ca="1"/>
        <v>#NAME?</v>
      </c>
      <c r="AO27" t="e">
        <f ca="1"/>
        <v>#NAME?</v>
      </c>
      <c r="AP27" t="e">
        <f ca="1"/>
        <v>#NAME?</v>
      </c>
      <c r="AQ27" t="e">
        <f ca="1"/>
        <v>#NAME?</v>
      </c>
      <c r="AR27" t="e">
        <f ca="1"/>
        <v>#NAME?</v>
      </c>
      <c r="AS27" t="e">
        <f ca="1"/>
        <v>#NAME?</v>
      </c>
      <c r="AT27" t="e">
        <f ca="1"/>
        <v>#NAME?</v>
      </c>
      <c r="AU27" t="e">
        <f ca="1"/>
        <v>#NAME?</v>
      </c>
      <c r="AV27" t="e">
        <f ca="1"/>
        <v>#NAME?</v>
      </c>
      <c r="AW27" t="e">
        <f ca="1"/>
        <v>#NAME?</v>
      </c>
    </row>
    <row r="28" spans="13:49" x14ac:dyDescent="0.35">
      <c r="W28" t="s">
        <v>937</v>
      </c>
      <c r="X28" s="89" t="e">
        <f t="array" aca="1" ref="X28" ca="1">SUMSQ(IF(B5:B13&lt;&gt;"",B5:B13-X5:X13,0))/SUM(X5:X13*(1-X5:X13))</f>
        <v>#NAME?</v>
      </c>
      <c r="Y28" s="159" t="e">
        <f t="array" aca="1" ref="Y28" ca="1">SUMSQ(IF(C5:C13&lt;&gt;"",C5:C13-Y5:Y13,0))/SUM(Y5:Y13*(1-Y5:Y13))</f>
        <v>#NAME?</v>
      </c>
      <c r="Z28" s="159" t="e">
        <f t="array" aca="1" ref="Z28" ca="1">SUMSQ(IF(D5:D13&lt;&gt;"",D5:D13-Z5:Z13,0))/SUM(Z5:Z13*(1-Z5:Z13))</f>
        <v>#NAME?</v>
      </c>
      <c r="AA28" s="159" t="e">
        <f t="array" aca="1" ref="AA28" ca="1">SUMSQ(IF(E5:E13&lt;&gt;"",E5:E13-AA5:AA13,0))/SUM(AA5:AA13*(1-AA5:AA13))</f>
        <v>#NAME?</v>
      </c>
      <c r="AB28" s="159" t="e">
        <f t="array" aca="1" ref="AB28" ca="1">SUMSQ(IF(F5:F13&lt;&gt;"",F5:F13-AB5:AB13,0))/SUM(AB5:AB13*(1-AB5:AB13))</f>
        <v>#NAME?</v>
      </c>
      <c r="AC28" s="159" t="e">
        <f t="array" aca="1" ref="AC28" ca="1">SUMSQ(IF(G5:G13&lt;&gt;"",G5:G13-AC5:AC13,0))/SUM(AC5:AC13*(1-AC5:AC13))</f>
        <v>#NAME?</v>
      </c>
      <c r="AD28" s="159" t="e">
        <f t="array" aca="1" ref="AD28" ca="1">SUMSQ(IF(H5:H13&lt;&gt;"",H5:H13-AD5:AD13,0))/SUM(AD5:AD13*(1-AD5:AD13))</f>
        <v>#NAME?</v>
      </c>
      <c r="AE28" s="159" t="e">
        <f t="array" aca="1" ref="AE28" ca="1">SUMSQ(IF(I5:I13&lt;&gt;"",I5:I13-AE5:AE13,0))/SUM(AE5:AE13*(1-AE5:AE13))</f>
        <v>#NAME?</v>
      </c>
      <c r="AF28" s="159" t="e">
        <f t="array" aca="1" ref="AF28" ca="1">SUMSQ(IF(J5:J13&lt;&gt;"",J5:J13-AF5:AF13,0))/SUM(AF5:AF13*(1-AF5:AF13))</f>
        <v>#NAME?</v>
      </c>
      <c r="AG28" s="93" t="e">
        <f t="array" aca="1" ref="AG28" ca="1">SUMSQ(IF(K5:K13&lt;&gt;"",K5:K13-AG5:AG13,0))/SUM(AG5:AG13*(1-AG5:AG13))</f>
        <v>#NAME?</v>
      </c>
      <c r="AK28" t="e">
        <f ca="1"/>
        <v>#NAME?</v>
      </c>
      <c r="AL28" t="e">
        <f ca="1"/>
        <v>#NAME?</v>
      </c>
      <c r="AM28" t="e">
        <f ca="1"/>
        <v>#NAME?</v>
      </c>
      <c r="AN28" t="e">
        <f ca="1"/>
        <v>#NAME?</v>
      </c>
      <c r="AO28" t="e">
        <f ca="1"/>
        <v>#NAME?</v>
      </c>
      <c r="AP28" t="e">
        <f ca="1"/>
        <v>#NAME?</v>
      </c>
      <c r="AQ28" t="e">
        <f ca="1"/>
        <v>#NAME?</v>
      </c>
      <c r="AR28" t="e">
        <f ca="1"/>
        <v>#NAME?</v>
      </c>
      <c r="AS28" t="e">
        <f ca="1"/>
        <v>#NAME?</v>
      </c>
      <c r="AT28" t="e">
        <f ca="1"/>
        <v>#NAME?</v>
      </c>
      <c r="AU28" t="e">
        <f ca="1"/>
        <v>#NAME?</v>
      </c>
      <c r="AV28" t="e">
        <f ca="1"/>
        <v>#NAME?</v>
      </c>
      <c r="AW28" t="e">
        <f ca="1"/>
        <v>#NAME?</v>
      </c>
    </row>
  </sheetData>
  <mergeCells count="1">
    <mergeCell ref="B3:K3"/>
  </mergeCells>
  <pageMargins left="0.7" right="0.7" top="0.75" bottom="0.75" header="0.3" footer="0.3"/>
  <pageSetup paperSize="9"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44"/>
  <dimension ref="A1:W13"/>
  <sheetViews>
    <sheetView workbookViewId="0">
      <selection activeCell="O16" sqref="O16"/>
    </sheetView>
  </sheetViews>
  <sheetFormatPr defaultRowHeight="14.5" x14ac:dyDescent="0.35"/>
  <cols>
    <col min="1" max="11" width="4.7265625" customWidth="1"/>
    <col min="12" max="12" width="5.1796875" customWidth="1"/>
    <col min="13" max="23" width="5.7265625" customWidth="1"/>
  </cols>
  <sheetData>
    <row r="1" spans="1:23" x14ac:dyDescent="0.35">
      <c r="A1" s="1" t="s">
        <v>901</v>
      </c>
    </row>
    <row r="3" spans="1:23" x14ac:dyDescent="0.35">
      <c r="B3" s="563" t="s">
        <v>902</v>
      </c>
      <c r="C3" s="563"/>
      <c r="D3" s="563"/>
      <c r="E3" s="563"/>
      <c r="F3" s="563"/>
      <c r="G3" s="563"/>
      <c r="H3" s="563"/>
      <c r="I3" s="563"/>
      <c r="J3" s="563"/>
      <c r="K3" s="563"/>
    </row>
    <row r="4" spans="1:23" ht="15" thickBot="1" x14ac:dyDescent="0.4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M4" t="e">
        <f t="array" aca="1" ref="M4:W13" ca="1">RASCH_INIT(A4:K13)</f>
        <v>#NAME?</v>
      </c>
      <c r="N4" t="e">
        <f ca="1"/>
        <v>#NAME?</v>
      </c>
      <c r="O4" t="e">
        <f ca="1"/>
        <v>#NAME?</v>
      </c>
      <c r="P4" t="e">
        <f ca="1"/>
        <v>#NAME?</v>
      </c>
      <c r="Q4" t="e">
        <f ca="1"/>
        <v>#NAME?</v>
      </c>
      <c r="R4" t="e">
        <f ca="1"/>
        <v>#NAME?</v>
      </c>
      <c r="S4" t="e">
        <f ca="1"/>
        <v>#NAME?</v>
      </c>
      <c r="T4" t="e">
        <f ca="1"/>
        <v>#NAME?</v>
      </c>
      <c r="U4" t="e">
        <f ca="1"/>
        <v>#NAME?</v>
      </c>
      <c r="V4" t="e">
        <f ca="1"/>
        <v>#NAME?</v>
      </c>
      <c r="W4" t="e">
        <f ca="1"/>
        <v>#NAME?</v>
      </c>
    </row>
    <row r="5" spans="1:23" x14ac:dyDescent="0.35">
      <c r="A5" s="462" t="s">
        <v>218</v>
      </c>
      <c r="B5" s="435"/>
      <c r="C5" s="436">
        <v>2</v>
      </c>
      <c r="D5" s="436">
        <v>2</v>
      </c>
      <c r="E5" s="436">
        <v>2</v>
      </c>
      <c r="F5" s="436">
        <v>2</v>
      </c>
      <c r="G5" s="436">
        <v>2</v>
      </c>
      <c r="H5" s="436">
        <v>2</v>
      </c>
      <c r="I5" s="436">
        <v>2</v>
      </c>
      <c r="J5" s="436">
        <v>2</v>
      </c>
      <c r="K5" s="437">
        <v>0</v>
      </c>
      <c r="M5" s="462" t="e">
        <f ca="1"/>
        <v>#NAME?</v>
      </c>
      <c r="N5" s="486" t="e">
        <f ca="1"/>
        <v>#NAME?</v>
      </c>
      <c r="O5" s="487" t="e">
        <f ca="1"/>
        <v>#NAME?</v>
      </c>
      <c r="P5" s="487" t="e">
        <f ca="1"/>
        <v>#NAME?</v>
      </c>
      <c r="Q5" s="487" t="e">
        <f ca="1"/>
        <v>#NAME?</v>
      </c>
      <c r="R5" s="487" t="e">
        <f ca="1"/>
        <v>#NAME?</v>
      </c>
      <c r="S5" s="487" t="e">
        <f ca="1"/>
        <v>#NAME?</v>
      </c>
      <c r="T5" s="488" t="e">
        <f ca="1"/>
        <v>#NAME?</v>
      </c>
      <c r="U5" t="e">
        <f ca="1"/>
        <v>#NAME?</v>
      </c>
      <c r="V5" t="e">
        <f ca="1"/>
        <v>#NAME?</v>
      </c>
      <c r="W5" t="e">
        <f ca="1"/>
        <v>#NAME?</v>
      </c>
    </row>
    <row r="6" spans="1:23" x14ac:dyDescent="0.35">
      <c r="A6" s="462" t="s">
        <v>98</v>
      </c>
      <c r="B6" s="439">
        <v>1</v>
      </c>
      <c r="C6" s="440">
        <v>2</v>
      </c>
      <c r="D6" s="440">
        <v>2</v>
      </c>
      <c r="E6" s="440">
        <v>0</v>
      </c>
      <c r="F6" s="440">
        <v>1</v>
      </c>
      <c r="G6" s="440">
        <v>1</v>
      </c>
      <c r="H6" s="440">
        <v>1</v>
      </c>
      <c r="I6" s="440">
        <v>1</v>
      </c>
      <c r="J6" s="440">
        <v>0</v>
      </c>
      <c r="K6" s="441">
        <v>0</v>
      </c>
      <c r="M6" s="462" t="e">
        <f ca="1"/>
        <v>#NAME?</v>
      </c>
      <c r="N6" s="489" t="e">
        <f ca="1"/>
        <v>#NAME?</v>
      </c>
      <c r="O6" s="490" t="e">
        <f ca="1"/>
        <v>#NAME?</v>
      </c>
      <c r="P6" s="490" t="e">
        <f ca="1"/>
        <v>#NAME?</v>
      </c>
      <c r="Q6" s="490" t="e">
        <f ca="1"/>
        <v>#NAME?</v>
      </c>
      <c r="R6" s="490" t="e">
        <f ca="1"/>
        <v>#NAME?</v>
      </c>
      <c r="S6" s="490" t="e">
        <f ca="1"/>
        <v>#NAME?</v>
      </c>
      <c r="T6" s="491" t="e">
        <f ca="1"/>
        <v>#NAME?</v>
      </c>
      <c r="U6" t="e">
        <f ca="1"/>
        <v>#NAME?</v>
      </c>
      <c r="V6" t="e">
        <f ca="1"/>
        <v>#NAME?</v>
      </c>
      <c r="W6" t="e">
        <f ca="1"/>
        <v>#NAME?</v>
      </c>
    </row>
    <row r="7" spans="1:23" x14ac:dyDescent="0.35">
      <c r="A7" s="462" t="s">
        <v>99</v>
      </c>
      <c r="B7" s="439">
        <v>1</v>
      </c>
      <c r="C7" s="440">
        <v>2</v>
      </c>
      <c r="D7" s="440">
        <v>2</v>
      </c>
      <c r="E7" s="440">
        <v>1</v>
      </c>
      <c r="F7" s="440">
        <v>1</v>
      </c>
      <c r="G7" s="440">
        <v>1</v>
      </c>
      <c r="H7" s="440">
        <v>0</v>
      </c>
      <c r="I7" s="440">
        <v>1</v>
      </c>
      <c r="J7" s="440">
        <v>0</v>
      </c>
      <c r="K7" s="441">
        <v>0</v>
      </c>
      <c r="M7" s="462" t="e">
        <f ca="1"/>
        <v>#NAME?</v>
      </c>
      <c r="N7" s="489" t="e">
        <f ca="1"/>
        <v>#NAME?</v>
      </c>
      <c r="O7" s="490" t="e">
        <f ca="1"/>
        <v>#NAME?</v>
      </c>
      <c r="P7" s="490" t="e">
        <f ca="1"/>
        <v>#NAME?</v>
      </c>
      <c r="Q7" s="490" t="e">
        <f ca="1"/>
        <v>#NAME?</v>
      </c>
      <c r="R7" s="490" t="e">
        <f ca="1"/>
        <v>#NAME?</v>
      </c>
      <c r="S7" s="490" t="e">
        <f ca="1"/>
        <v>#NAME?</v>
      </c>
      <c r="T7" s="491" t="e">
        <f ca="1"/>
        <v>#NAME?</v>
      </c>
      <c r="U7" t="e">
        <f ca="1"/>
        <v>#NAME?</v>
      </c>
      <c r="V7" t="e">
        <f ca="1"/>
        <v>#NAME?</v>
      </c>
      <c r="W7" t="e">
        <f ca="1"/>
        <v>#NAME?</v>
      </c>
    </row>
    <row r="8" spans="1:23" x14ac:dyDescent="0.35">
      <c r="A8" s="462" t="s">
        <v>100</v>
      </c>
      <c r="B8" s="439">
        <v>1</v>
      </c>
      <c r="C8" s="440">
        <v>2</v>
      </c>
      <c r="D8" s="440">
        <v>2</v>
      </c>
      <c r="E8" s="440">
        <v>1</v>
      </c>
      <c r="F8" s="440">
        <v>1</v>
      </c>
      <c r="G8" s="440">
        <v>1</v>
      </c>
      <c r="H8" s="440">
        <v>0</v>
      </c>
      <c r="I8" s="440">
        <v>1</v>
      </c>
      <c r="J8" s="440">
        <v>0</v>
      </c>
      <c r="K8" s="441">
        <v>0</v>
      </c>
      <c r="M8" s="462" t="e">
        <f ca="1"/>
        <v>#NAME?</v>
      </c>
      <c r="N8" s="489" t="e">
        <f ca="1"/>
        <v>#NAME?</v>
      </c>
      <c r="O8" s="490" t="e">
        <f ca="1"/>
        <v>#NAME?</v>
      </c>
      <c r="P8" s="490" t="e">
        <f ca="1"/>
        <v>#NAME?</v>
      </c>
      <c r="Q8" s="490" t="e">
        <f ca="1"/>
        <v>#NAME?</v>
      </c>
      <c r="R8" s="490" t="e">
        <f ca="1"/>
        <v>#NAME?</v>
      </c>
      <c r="S8" s="490" t="e">
        <f ca="1"/>
        <v>#NAME?</v>
      </c>
      <c r="T8" s="491" t="e">
        <f ca="1"/>
        <v>#NAME?</v>
      </c>
      <c r="U8" t="e">
        <f ca="1"/>
        <v>#NAME?</v>
      </c>
      <c r="V8" t="e">
        <f ca="1"/>
        <v>#NAME?</v>
      </c>
      <c r="W8" t="e">
        <f ca="1"/>
        <v>#NAME?</v>
      </c>
    </row>
    <row r="9" spans="1:23" x14ac:dyDescent="0.35">
      <c r="A9" s="462" t="s">
        <v>536</v>
      </c>
      <c r="B9" s="439">
        <v>1</v>
      </c>
      <c r="C9" s="440">
        <v>2</v>
      </c>
      <c r="D9" s="440">
        <v>2</v>
      </c>
      <c r="E9" s="440">
        <v>1</v>
      </c>
      <c r="F9" s="440">
        <v>0</v>
      </c>
      <c r="G9" s="440">
        <v>1</v>
      </c>
      <c r="H9" s="440">
        <v>1</v>
      </c>
      <c r="I9" s="440">
        <v>0</v>
      </c>
      <c r="J9" s="440">
        <v>0</v>
      </c>
      <c r="K9" s="441">
        <v>0</v>
      </c>
      <c r="M9" s="462" t="e">
        <f ca="1"/>
        <v>#NAME?</v>
      </c>
      <c r="N9" s="489" t="e">
        <f ca="1"/>
        <v>#NAME?</v>
      </c>
      <c r="O9" s="490" t="e">
        <f ca="1"/>
        <v>#NAME?</v>
      </c>
      <c r="P9" s="490" t="e">
        <f ca="1"/>
        <v>#NAME?</v>
      </c>
      <c r="Q9" s="490" t="e">
        <f ca="1"/>
        <v>#NAME?</v>
      </c>
      <c r="R9" s="490" t="e">
        <f ca="1"/>
        <v>#NAME?</v>
      </c>
      <c r="S9" s="490" t="e">
        <f ca="1"/>
        <v>#NAME?</v>
      </c>
      <c r="T9" s="491" t="e">
        <f ca="1"/>
        <v>#NAME?</v>
      </c>
      <c r="U9" t="e">
        <f ca="1"/>
        <v>#NAME?</v>
      </c>
      <c r="V9" t="e">
        <f ca="1"/>
        <v>#NAME?</v>
      </c>
      <c r="W9" t="e">
        <f ca="1"/>
        <v>#NAME?</v>
      </c>
    </row>
    <row r="10" spans="1:23" x14ac:dyDescent="0.35">
      <c r="A10" s="462" t="s">
        <v>101</v>
      </c>
      <c r="B10" s="439">
        <v>1</v>
      </c>
      <c r="C10" s="440">
        <v>1</v>
      </c>
      <c r="D10" s="440">
        <v>2</v>
      </c>
      <c r="E10" s="440">
        <v>1</v>
      </c>
      <c r="F10" s="440">
        <v>1</v>
      </c>
      <c r="G10" s="440">
        <v>0</v>
      </c>
      <c r="H10" s="440">
        <v>1</v>
      </c>
      <c r="I10" s="440">
        <v>0</v>
      </c>
      <c r="J10" s="440">
        <v>0</v>
      </c>
      <c r="K10" s="441">
        <v>0</v>
      </c>
      <c r="M10" s="462" t="e">
        <f ca="1"/>
        <v>#NAME?</v>
      </c>
      <c r="N10" s="489" t="e">
        <f ca="1"/>
        <v>#NAME?</v>
      </c>
      <c r="O10" s="490" t="e">
        <f ca="1"/>
        <v>#NAME?</v>
      </c>
      <c r="P10" s="490" t="e">
        <f ca="1"/>
        <v>#NAME?</v>
      </c>
      <c r="Q10" s="490" t="e">
        <f ca="1"/>
        <v>#NAME?</v>
      </c>
      <c r="R10" s="490" t="e">
        <f ca="1"/>
        <v>#NAME?</v>
      </c>
      <c r="S10" s="490" t="e">
        <f ca="1"/>
        <v>#NAME?</v>
      </c>
      <c r="T10" s="491" t="e">
        <f ca="1"/>
        <v>#NAME?</v>
      </c>
      <c r="U10" t="e">
        <f ca="1"/>
        <v>#NAME?</v>
      </c>
      <c r="V10" t="e">
        <f ca="1"/>
        <v>#NAME?</v>
      </c>
      <c r="W10" t="e">
        <f ca="1"/>
        <v>#NAME?</v>
      </c>
    </row>
    <row r="11" spans="1:23" ht="15" thickBot="1" x14ac:dyDescent="0.4">
      <c r="A11" s="462" t="s">
        <v>281</v>
      </c>
      <c r="B11" s="439">
        <v>1</v>
      </c>
      <c r="C11" s="440">
        <v>1</v>
      </c>
      <c r="D11" s="440">
        <v>2</v>
      </c>
      <c r="E11" s="440">
        <v>1</v>
      </c>
      <c r="F11" s="440">
        <v>0</v>
      </c>
      <c r="G11" s="440">
        <v>0</v>
      </c>
      <c r="H11" s="440">
        <v>0</v>
      </c>
      <c r="I11" s="440">
        <v>0</v>
      </c>
      <c r="J11" s="440">
        <v>0</v>
      </c>
      <c r="K11" s="441">
        <v>0</v>
      </c>
      <c r="M11" s="462" t="e">
        <f ca="1"/>
        <v>#NAME?</v>
      </c>
      <c r="N11" s="492" t="e">
        <f ca="1"/>
        <v>#NAME?</v>
      </c>
      <c r="O11" s="493" t="e">
        <f ca="1"/>
        <v>#NAME?</v>
      </c>
      <c r="P11" s="493" t="e">
        <f ca="1"/>
        <v>#NAME?</v>
      </c>
      <c r="Q11" s="493" t="e">
        <f ca="1"/>
        <v>#NAME?</v>
      </c>
      <c r="R11" s="493" t="e">
        <f ca="1"/>
        <v>#NAME?</v>
      </c>
      <c r="S11" s="493" t="e">
        <f ca="1"/>
        <v>#NAME?</v>
      </c>
      <c r="T11" s="494" t="e">
        <f ca="1"/>
        <v>#NAME?</v>
      </c>
      <c r="U11" t="e">
        <f ca="1"/>
        <v>#NAME?</v>
      </c>
      <c r="V11" t="e">
        <f ca="1"/>
        <v>#NAME?</v>
      </c>
      <c r="W11" t="e">
        <f ca="1"/>
        <v>#NAME?</v>
      </c>
    </row>
    <row r="12" spans="1:23" x14ac:dyDescent="0.35">
      <c r="A12" s="462" t="s">
        <v>537</v>
      </c>
      <c r="B12" s="439">
        <v>1</v>
      </c>
      <c r="C12" s="440">
        <v>0</v>
      </c>
      <c r="D12" s="440">
        <v>2</v>
      </c>
      <c r="E12" s="440">
        <v>0</v>
      </c>
      <c r="F12" s="440">
        <v>1</v>
      </c>
      <c r="G12" s="440">
        <v>0</v>
      </c>
      <c r="H12" s="440">
        <v>1</v>
      </c>
      <c r="I12" s="440">
        <v>0</v>
      </c>
      <c r="J12" s="440">
        <v>0</v>
      </c>
      <c r="K12" s="441">
        <v>0</v>
      </c>
      <c r="M12" t="e">
        <f ca="1"/>
        <v>#NAME?</v>
      </c>
      <c r="N12" t="e">
        <f ca="1"/>
        <v>#NAME?</v>
      </c>
      <c r="O12" t="e">
        <f ca="1"/>
        <v>#NAME?</v>
      </c>
      <c r="P12" t="e">
        <f ca="1"/>
        <v>#NAME?</v>
      </c>
      <c r="Q12" t="e">
        <f ca="1"/>
        <v>#NAME?</v>
      </c>
      <c r="R12" t="e">
        <f ca="1"/>
        <v>#NAME?</v>
      </c>
      <c r="S12" t="e">
        <f ca="1"/>
        <v>#NAME?</v>
      </c>
      <c r="T12" t="e">
        <f ca="1"/>
        <v>#NAME?</v>
      </c>
      <c r="U12" t="e">
        <f ca="1"/>
        <v>#NAME?</v>
      </c>
      <c r="V12" t="e">
        <f ca="1"/>
        <v>#NAME?</v>
      </c>
      <c r="W12" t="e">
        <f ca="1"/>
        <v>#NAME?</v>
      </c>
    </row>
    <row r="13" spans="1:23" ht="15" thickBot="1" x14ac:dyDescent="0.4">
      <c r="A13" s="462" t="s">
        <v>905</v>
      </c>
      <c r="B13" s="442">
        <v>0</v>
      </c>
      <c r="C13" s="443">
        <v>0</v>
      </c>
      <c r="D13" s="443">
        <v>0</v>
      </c>
      <c r="E13" s="443">
        <v>0</v>
      </c>
      <c r="F13" s="443">
        <v>0</v>
      </c>
      <c r="G13" s="443">
        <v>0</v>
      </c>
      <c r="H13" s="443">
        <v>0</v>
      </c>
      <c r="I13" s="443">
        <v>0</v>
      </c>
      <c r="J13" s="443">
        <v>0</v>
      </c>
      <c r="K13" s="444">
        <v>0</v>
      </c>
      <c r="M13" t="e">
        <f ca="1"/>
        <v>#NAME?</v>
      </c>
      <c r="N13" t="e">
        <f ca="1"/>
        <v>#NAME?</v>
      </c>
      <c r="O13" t="e">
        <f ca="1"/>
        <v>#NAME?</v>
      </c>
      <c r="P13" t="e">
        <f ca="1"/>
        <v>#NAME?</v>
      </c>
      <c r="Q13" t="e">
        <f ca="1"/>
        <v>#NAME?</v>
      </c>
      <c r="R13" t="e">
        <f ca="1"/>
        <v>#NAME?</v>
      </c>
      <c r="S13" t="e">
        <f ca="1"/>
        <v>#NAME?</v>
      </c>
      <c r="T13" t="e">
        <f ca="1"/>
        <v>#NAME?</v>
      </c>
      <c r="U13" t="e">
        <f ca="1"/>
        <v>#NAME?</v>
      </c>
      <c r="V13" t="e">
        <f ca="1"/>
        <v>#NAME?</v>
      </c>
      <c r="W13" t="e">
        <f ca="1"/>
        <v>#NAME?</v>
      </c>
    </row>
  </sheetData>
  <mergeCells count="1"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45"/>
  <dimension ref="A1:AZ77"/>
  <sheetViews>
    <sheetView workbookViewId="0"/>
  </sheetViews>
  <sheetFormatPr defaultRowHeight="14.5" x14ac:dyDescent="0.35"/>
  <cols>
    <col min="1" max="1" width="4.26953125" style="496" customWidth="1"/>
    <col min="2" max="10" width="4.7265625" customWidth="1"/>
    <col min="11" max="13" width="4.7265625" style="495" customWidth="1"/>
    <col min="14" max="14" width="3.54296875" customWidth="1"/>
    <col min="17" max="17" width="2.81640625" customWidth="1"/>
    <col min="18" max="18" width="33.54296875" customWidth="1"/>
    <col min="20" max="21" width="5.453125" style="462" customWidth="1"/>
    <col min="27" max="27" width="5.54296875" customWidth="1"/>
    <col min="28" max="28" width="5.453125" customWidth="1"/>
    <col min="29" max="29" width="5.453125" style="462" customWidth="1"/>
    <col min="40" max="40" width="4.81640625" customWidth="1"/>
    <col min="46" max="46" width="6.7265625" customWidth="1"/>
    <col min="49" max="49" width="4.81640625" customWidth="1"/>
    <col min="50" max="50" width="6.7265625" customWidth="1"/>
  </cols>
  <sheetData>
    <row r="1" spans="1:52" x14ac:dyDescent="0.35">
      <c r="A1" s="514" t="s">
        <v>958</v>
      </c>
      <c r="AJ1" t="s">
        <v>957</v>
      </c>
    </row>
    <row r="3" spans="1:52" s="495" customFormat="1" x14ac:dyDescent="0.35">
      <c r="A3" s="496"/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 s="513" t="s">
        <v>947</v>
      </c>
      <c r="M3" s="513" t="s">
        <v>86</v>
      </c>
      <c r="T3" s="512" t="s">
        <v>956</v>
      </c>
      <c r="U3" s="512" t="s">
        <v>951</v>
      </c>
      <c r="V3" s="512" t="s">
        <v>86</v>
      </c>
      <c r="W3" s="512" t="s">
        <v>953</v>
      </c>
      <c r="X3" s="512" t="s">
        <v>955</v>
      </c>
      <c r="Y3" s="512" t="s">
        <v>42</v>
      </c>
      <c r="Z3" s="512" t="s">
        <v>573</v>
      </c>
      <c r="AA3"/>
      <c r="AB3" s="512" t="s">
        <v>954</v>
      </c>
      <c r="AC3" s="512" t="s">
        <v>951</v>
      </c>
      <c r="AD3" s="512" t="s">
        <v>86</v>
      </c>
      <c r="AE3" s="512" t="s">
        <v>953</v>
      </c>
      <c r="AF3" s="512" t="s">
        <v>952</v>
      </c>
      <c r="AG3" s="512" t="s">
        <v>40</v>
      </c>
      <c r="AH3" s="512" t="s">
        <v>573</v>
      </c>
      <c r="AJ3" s="512" t="e">
        <f t="array" aca="1" ref="AJ3:AM12" ca="1">PROX_SUBJ(A3:K12)</f>
        <v>#NAME?</v>
      </c>
      <c r="AK3" s="512" t="e">
        <f ca="1"/>
        <v>#NAME?</v>
      </c>
      <c r="AL3" s="512" t="e">
        <f ca="1"/>
        <v>#NAME?</v>
      </c>
      <c r="AM3" s="512" t="e">
        <f ca="1"/>
        <v>#NAME?</v>
      </c>
      <c r="AO3" s="512" t="e">
        <f t="array" aca="1" ref="AO3:AR13" ca="1">PROX_ITEM(A3:K12)</f>
        <v>#NAME?</v>
      </c>
      <c r="AP3" s="512" t="e">
        <f ca="1"/>
        <v>#NAME?</v>
      </c>
      <c r="AQ3" s="512" t="e">
        <f ca="1"/>
        <v>#NAME?</v>
      </c>
      <c r="AR3" s="512" t="e">
        <f ca="1"/>
        <v>#NAME?</v>
      </c>
      <c r="AT3" s="512" t="s">
        <v>951</v>
      </c>
      <c r="AU3" s="512" t="s">
        <v>904</v>
      </c>
      <c r="AV3" s="512" t="s">
        <v>265</v>
      </c>
      <c r="AX3" s="512" t="s">
        <v>951</v>
      </c>
      <c r="AY3" s="512" t="s">
        <v>927</v>
      </c>
      <c r="AZ3" s="512" t="s">
        <v>265</v>
      </c>
    </row>
    <row r="4" spans="1:52" x14ac:dyDescent="0.35">
      <c r="A4" s="462" t="s">
        <v>218</v>
      </c>
      <c r="B4" s="511"/>
      <c r="C4" s="510">
        <v>1</v>
      </c>
      <c r="D4" s="510">
        <v>1</v>
      </c>
      <c r="E4" s="510">
        <v>1</v>
      </c>
      <c r="F4" s="510">
        <v>1</v>
      </c>
      <c r="G4" s="510">
        <v>1</v>
      </c>
      <c r="H4" s="510">
        <v>1</v>
      </c>
      <c r="I4" s="510">
        <v>1</v>
      </c>
      <c r="J4" s="510">
        <v>0</v>
      </c>
      <c r="K4" s="509">
        <v>1</v>
      </c>
      <c r="L4" s="495">
        <f t="shared" ref="L4:L12" si="0">SUM(B4:K4)</f>
        <v>8</v>
      </c>
      <c r="M4" s="495">
        <f t="shared" ref="M4:M12" si="1">L4/(COUNT(B4:K4)*P$4)</f>
        <v>0.88888888888888884</v>
      </c>
      <c r="O4" t="s">
        <v>271</v>
      </c>
      <c r="P4" s="508">
        <f>MAX(B4:K12)</f>
        <v>1</v>
      </c>
      <c r="Q4" s="4"/>
      <c r="R4" s="497" t="e" cm="1">
        <f t="array" aca="1" ref="R4" ca="1">FTEXT(P4)</f>
        <v>#NAME?</v>
      </c>
      <c r="T4" s="299">
        <f t="array" ref="T4:T13">TRANSPOSE(B3:K3)</f>
        <v>1</v>
      </c>
      <c r="U4" s="299">
        <f t="array" ref="U4:V13">TRANSPOSE(B13:K14)</f>
        <v>7</v>
      </c>
      <c r="V4" s="4">
        <v>0.875</v>
      </c>
      <c r="W4" s="4">
        <f t="shared" ref="W4:W13" si="2">LN((1-V4)/V4)</f>
        <v>-1.9459101490553135</v>
      </c>
      <c r="X4" s="4">
        <f t="shared" ref="X4:X13" si="3">W4-P$12</f>
        <v>-1.5344137641128299</v>
      </c>
      <c r="Y4" s="4">
        <f t="shared" ref="Y4:Y13" si="4">X4*P$14</f>
        <v>-2.1689282321465759</v>
      </c>
      <c r="Z4" s="4">
        <f t="shared" ref="Z4:Z13" si="5">P$14/SQRT(P$11*V4*(1-V4))</f>
        <v>1.4246966677545778</v>
      </c>
      <c r="AB4" s="299" t="str">
        <f t="shared" ref="AB4:AB12" si="6">A4</f>
        <v>A</v>
      </c>
      <c r="AC4" s="299">
        <f t="shared" ref="AC4:AC12" si="7">L4</f>
        <v>8</v>
      </c>
      <c r="AD4" s="4">
        <f t="shared" ref="AD4:AD12" si="8">AC4/COUNT(B4:K4)</f>
        <v>0.88888888888888884</v>
      </c>
      <c r="AE4" s="4">
        <f t="shared" ref="AE4:AE12" si="9">LN(AD4/(1-AD4))</f>
        <v>2.0794415416798353</v>
      </c>
      <c r="AF4" s="4">
        <f t="shared" ref="AF4:AF12" si="10">AE4</f>
        <v>2.0794415416798353</v>
      </c>
      <c r="AG4" s="4">
        <f t="shared" ref="AG4:AG12" si="11">AF4*P$8</f>
        <v>3.3905307574777042</v>
      </c>
      <c r="AH4" s="4">
        <f t="shared" ref="AH4:AH12" si="12">P$8/SQRT(P$6*AD4*(1-AD4))</f>
        <v>1.6406596173556103</v>
      </c>
      <c r="AJ4" s="299" t="e">
        <f ca="1"/>
        <v>#NAME?</v>
      </c>
      <c r="AK4" s="4" t="e">
        <f ca="1"/>
        <v>#NAME?</v>
      </c>
      <c r="AL4" s="4" t="e">
        <f ca="1"/>
        <v>#NAME?</v>
      </c>
      <c r="AM4" s="500" t="e">
        <f ca="1"/>
        <v>#NAME?</v>
      </c>
      <c r="AO4" s="299" t="e">
        <f ca="1"/>
        <v>#NAME?</v>
      </c>
      <c r="AP4" s="4" t="e">
        <f ca="1"/>
        <v>#NAME?</v>
      </c>
      <c r="AQ4" s="4" t="e">
        <f ca="1"/>
        <v>#NAME?</v>
      </c>
      <c r="AR4" s="500" t="e">
        <f ca="1"/>
        <v>#NAME?</v>
      </c>
      <c r="AT4" s="462">
        <v>1</v>
      </c>
      <c r="AU4" t="e">
        <f t="array" aca="1" ref="AU4:AV12" ca="1">PROXX_SUBJ(B4:K12,AT4:AT12)</f>
        <v>#NAME?</v>
      </c>
      <c r="AV4" t="e">
        <f ca="1"/>
        <v>#NAME?</v>
      </c>
      <c r="AX4" s="462">
        <v>1</v>
      </c>
      <c r="AY4" t="e">
        <f t="array" aca="1" ref="AY4:AZ11" ca="1">PROXX_ITEM(B4:K12,AX4:AX11)</f>
        <v>#NAME?</v>
      </c>
      <c r="AZ4" t="e">
        <f ca="1"/>
        <v>#NAME?</v>
      </c>
    </row>
    <row r="5" spans="1:52" x14ac:dyDescent="0.35">
      <c r="A5" s="462" t="s">
        <v>98</v>
      </c>
      <c r="B5" s="507">
        <v>1</v>
      </c>
      <c r="C5" s="440">
        <v>1</v>
      </c>
      <c r="D5" s="440">
        <v>1</v>
      </c>
      <c r="E5" s="440">
        <v>0</v>
      </c>
      <c r="F5" s="440">
        <v>1</v>
      </c>
      <c r="G5" s="440">
        <v>1</v>
      </c>
      <c r="H5" s="440">
        <v>1</v>
      </c>
      <c r="I5" s="440">
        <v>1</v>
      </c>
      <c r="J5" s="440">
        <v>1</v>
      </c>
      <c r="K5" s="506">
        <v>0</v>
      </c>
      <c r="L5" s="495">
        <f t="shared" si="0"/>
        <v>8</v>
      </c>
      <c r="M5" s="495">
        <f t="shared" si="1"/>
        <v>0.8</v>
      </c>
      <c r="O5" t="s">
        <v>51</v>
      </c>
      <c r="P5" s="100">
        <f>COUNTA(B3:K3)</f>
        <v>10</v>
      </c>
      <c r="Q5" s="4"/>
      <c r="R5" s="497" t="e" cm="1">
        <f t="array" aca="1" ref="R5" ca="1">FTEXT(P5)</f>
        <v>#NAME?</v>
      </c>
      <c r="T5" s="299">
        <v>2</v>
      </c>
      <c r="U5" s="299">
        <v>8</v>
      </c>
      <c r="V5" s="4">
        <v>0.88888888888888884</v>
      </c>
      <c r="W5" s="4">
        <f t="shared" si="2"/>
        <v>-2.0794415416798353</v>
      </c>
      <c r="X5" s="4">
        <f t="shared" si="3"/>
        <v>-1.6679451567373518</v>
      </c>
      <c r="Y5" s="4">
        <f t="shared" si="4"/>
        <v>-2.3576778472209869</v>
      </c>
      <c r="Z5" s="4">
        <f t="shared" si="5"/>
        <v>1.4992669155420379</v>
      </c>
      <c r="AB5" s="299" t="str">
        <f t="shared" si="6"/>
        <v>B</v>
      </c>
      <c r="AC5" s="299">
        <f t="shared" si="7"/>
        <v>8</v>
      </c>
      <c r="AD5" s="4">
        <f t="shared" si="8"/>
        <v>0.8</v>
      </c>
      <c r="AE5" s="4">
        <f t="shared" si="9"/>
        <v>1.3862943611198908</v>
      </c>
      <c r="AF5" s="4">
        <f t="shared" si="10"/>
        <v>1.3862943611198908</v>
      </c>
      <c r="AG5" s="4">
        <f t="shared" si="11"/>
        <v>2.2603538383184705</v>
      </c>
      <c r="AH5" s="4">
        <f t="shared" si="12"/>
        <v>1.2890239345011987</v>
      </c>
      <c r="AJ5" s="299" t="e">
        <f ca="1"/>
        <v>#NAME?</v>
      </c>
      <c r="AK5" s="4" t="e">
        <f ca="1"/>
        <v>#NAME?</v>
      </c>
      <c r="AL5" s="4" t="e">
        <f ca="1"/>
        <v>#NAME?</v>
      </c>
      <c r="AM5" s="500" t="e">
        <f ca="1"/>
        <v>#NAME?</v>
      </c>
      <c r="AO5" s="299" t="e">
        <f ca="1"/>
        <v>#NAME?</v>
      </c>
      <c r="AP5" s="4" t="e">
        <f ca="1"/>
        <v>#NAME?</v>
      </c>
      <c r="AQ5" s="4" t="e">
        <f ca="1"/>
        <v>#NAME?</v>
      </c>
      <c r="AR5" s="500" t="e">
        <f ca="1"/>
        <v>#NAME?</v>
      </c>
      <c r="AT5" s="462">
        <f t="shared" ref="AT5:AT11" si="13">AT4+1</f>
        <v>2</v>
      </c>
      <c r="AU5" t="e">
        <f ca="1"/>
        <v>#NAME?</v>
      </c>
      <c r="AV5" t="e">
        <f ca="1"/>
        <v>#NAME?</v>
      </c>
      <c r="AX5" s="462">
        <f t="shared" ref="AX5:AX11" si="14">AX4+1</f>
        <v>2</v>
      </c>
      <c r="AY5" t="e">
        <f ca="1"/>
        <v>#NAME?</v>
      </c>
      <c r="AZ5" t="e">
        <f ca="1"/>
        <v>#NAME?</v>
      </c>
    </row>
    <row r="6" spans="1:52" x14ac:dyDescent="0.35">
      <c r="A6" s="462" t="s">
        <v>99</v>
      </c>
      <c r="B6" s="507">
        <v>1</v>
      </c>
      <c r="C6" s="440">
        <v>1</v>
      </c>
      <c r="D6" s="440">
        <v>1</v>
      </c>
      <c r="E6" s="440">
        <v>1</v>
      </c>
      <c r="F6" s="440">
        <v>1</v>
      </c>
      <c r="G6" s="440">
        <v>1</v>
      </c>
      <c r="H6" s="440">
        <v>0</v>
      </c>
      <c r="I6" s="440">
        <v>1</v>
      </c>
      <c r="J6" s="440">
        <v>0</v>
      </c>
      <c r="K6" s="506">
        <v>0</v>
      </c>
      <c r="L6" s="495">
        <f t="shared" si="0"/>
        <v>7</v>
      </c>
      <c r="M6" s="495">
        <f t="shared" si="1"/>
        <v>0.7</v>
      </c>
      <c r="O6" t="s">
        <v>950</v>
      </c>
      <c r="P6" s="100">
        <f>P4*P5</f>
        <v>10</v>
      </c>
      <c r="Q6" s="4"/>
      <c r="R6" s="497" t="e" cm="1">
        <f t="array" aca="1" ref="R6" ca="1">FTEXT(P6)</f>
        <v>#NAME?</v>
      </c>
      <c r="T6" s="299">
        <v>3</v>
      </c>
      <c r="U6" s="299">
        <v>8</v>
      </c>
      <c r="V6" s="4">
        <v>0.88888888888888884</v>
      </c>
      <c r="W6" s="4">
        <f t="shared" si="2"/>
        <v>-2.0794415416798353</v>
      </c>
      <c r="X6" s="4">
        <f t="shared" si="3"/>
        <v>-1.6679451567373518</v>
      </c>
      <c r="Y6" s="4">
        <f t="shared" si="4"/>
        <v>-2.3576778472209869</v>
      </c>
      <c r="Z6" s="4">
        <f t="shared" si="5"/>
        <v>1.4992669155420379</v>
      </c>
      <c r="AB6" s="299" t="str">
        <f t="shared" si="6"/>
        <v>C</v>
      </c>
      <c r="AC6" s="299">
        <f t="shared" si="7"/>
        <v>7</v>
      </c>
      <c r="AD6" s="4">
        <f t="shared" si="8"/>
        <v>0.7</v>
      </c>
      <c r="AE6" s="4">
        <f t="shared" si="9"/>
        <v>0.84729786038720345</v>
      </c>
      <c r="AF6" s="4">
        <f t="shared" si="10"/>
        <v>0.84729786038720345</v>
      </c>
      <c r="AG6" s="4">
        <f t="shared" si="11"/>
        <v>1.381519700749624</v>
      </c>
      <c r="AH6" s="4">
        <f t="shared" si="12"/>
        <v>1.1251523338021983</v>
      </c>
      <c r="AJ6" s="299" t="e">
        <f ca="1"/>
        <v>#NAME?</v>
      </c>
      <c r="AK6" s="4" t="e">
        <f ca="1"/>
        <v>#NAME?</v>
      </c>
      <c r="AL6" s="4" t="e">
        <f ca="1"/>
        <v>#NAME?</v>
      </c>
      <c r="AM6" s="500" t="e">
        <f ca="1"/>
        <v>#NAME?</v>
      </c>
      <c r="AO6" s="299" t="e">
        <f ca="1"/>
        <v>#NAME?</v>
      </c>
      <c r="AP6" s="4" t="e">
        <f ca="1"/>
        <v>#NAME?</v>
      </c>
      <c r="AQ6" s="4" t="e">
        <f ca="1"/>
        <v>#NAME?</v>
      </c>
      <c r="AR6" s="500" t="e">
        <f ca="1"/>
        <v>#NAME?</v>
      </c>
      <c r="AT6" s="462">
        <f t="shared" si="13"/>
        <v>3</v>
      </c>
      <c r="AU6" t="e">
        <f ca="1"/>
        <v>#NAME?</v>
      </c>
      <c r="AV6" t="e">
        <f ca="1"/>
        <v>#NAME?</v>
      </c>
      <c r="AX6" s="462">
        <f t="shared" si="14"/>
        <v>3</v>
      </c>
      <c r="AY6" t="e">
        <f ca="1"/>
        <v>#NAME?</v>
      </c>
      <c r="AZ6" t="e">
        <f ca="1"/>
        <v>#NAME?</v>
      </c>
    </row>
    <row r="7" spans="1:52" x14ac:dyDescent="0.35">
      <c r="A7" s="462" t="s">
        <v>100</v>
      </c>
      <c r="B7" s="507">
        <v>1</v>
      </c>
      <c r="C7" s="440">
        <v>1</v>
      </c>
      <c r="D7" s="440">
        <v>1</v>
      </c>
      <c r="E7" s="440">
        <v>1</v>
      </c>
      <c r="F7" s="440">
        <v>1</v>
      </c>
      <c r="G7" s="440">
        <v>1</v>
      </c>
      <c r="H7" s="440">
        <v>0</v>
      </c>
      <c r="I7" s="440">
        <v>1</v>
      </c>
      <c r="J7" s="440">
        <v>0</v>
      </c>
      <c r="K7" s="506">
        <v>0</v>
      </c>
      <c r="L7" s="495">
        <f t="shared" si="0"/>
        <v>7</v>
      </c>
      <c r="M7" s="495">
        <f t="shared" si="1"/>
        <v>0.7</v>
      </c>
      <c r="O7" t="s">
        <v>949</v>
      </c>
      <c r="P7" s="100">
        <f>VAR(AF4:AF12)</f>
        <v>1.0848176412103725</v>
      </c>
      <c r="Q7" s="4"/>
      <c r="R7" s="497" t="e" cm="1">
        <f t="array" aca="1" ref="R7" ca="1">FTEXT(P7)</f>
        <v>#NAME?</v>
      </c>
      <c r="T7" s="299">
        <v>4</v>
      </c>
      <c r="U7" s="299">
        <v>7</v>
      </c>
      <c r="V7" s="4">
        <v>0.77777777777777779</v>
      </c>
      <c r="W7" s="4">
        <f t="shared" si="2"/>
        <v>-1.2527629684953681</v>
      </c>
      <c r="X7" s="4">
        <f t="shared" si="3"/>
        <v>-0.84126658355288453</v>
      </c>
      <c r="Y7" s="4">
        <f t="shared" si="4"/>
        <v>-1.1891491633512068</v>
      </c>
      <c r="Z7" s="4">
        <f t="shared" si="5"/>
        <v>1.1333392592660323</v>
      </c>
      <c r="AB7" s="299" t="str">
        <f t="shared" si="6"/>
        <v>D</v>
      </c>
      <c r="AC7" s="299">
        <f t="shared" si="7"/>
        <v>7</v>
      </c>
      <c r="AD7" s="4">
        <f t="shared" si="8"/>
        <v>0.7</v>
      </c>
      <c r="AE7" s="4">
        <f t="shared" si="9"/>
        <v>0.84729786038720345</v>
      </c>
      <c r="AF7" s="4">
        <f t="shared" si="10"/>
        <v>0.84729786038720345</v>
      </c>
      <c r="AG7" s="4">
        <f t="shared" si="11"/>
        <v>1.381519700749624</v>
      </c>
      <c r="AH7" s="4">
        <f t="shared" si="12"/>
        <v>1.1251523338021983</v>
      </c>
      <c r="AJ7" s="299" t="e">
        <f ca="1"/>
        <v>#NAME?</v>
      </c>
      <c r="AK7" s="4" t="e">
        <f ca="1"/>
        <v>#NAME?</v>
      </c>
      <c r="AL7" s="4" t="e">
        <f ca="1"/>
        <v>#NAME?</v>
      </c>
      <c r="AM7" s="500" t="e">
        <f ca="1"/>
        <v>#NAME?</v>
      </c>
      <c r="AO7" s="299" t="e">
        <f ca="1"/>
        <v>#NAME?</v>
      </c>
      <c r="AP7" s="4" t="e">
        <f ca="1"/>
        <v>#NAME?</v>
      </c>
      <c r="AQ7" s="4" t="e">
        <f ca="1"/>
        <v>#NAME?</v>
      </c>
      <c r="AR7" s="500" t="e">
        <f ca="1"/>
        <v>#NAME?</v>
      </c>
      <c r="AT7" s="462">
        <f t="shared" si="13"/>
        <v>4</v>
      </c>
      <c r="AU7" t="e">
        <f ca="1"/>
        <v>#NAME?</v>
      </c>
      <c r="AV7" t="e">
        <f ca="1"/>
        <v>#NAME?</v>
      </c>
      <c r="AX7" s="462">
        <f t="shared" si="14"/>
        <v>4</v>
      </c>
      <c r="AY7" t="e">
        <f ca="1"/>
        <v>#NAME?</v>
      </c>
      <c r="AZ7" t="e">
        <f ca="1"/>
        <v>#NAME?</v>
      </c>
    </row>
    <row r="8" spans="1:52" x14ac:dyDescent="0.35">
      <c r="A8" s="462" t="s">
        <v>536</v>
      </c>
      <c r="B8" s="507">
        <v>1</v>
      </c>
      <c r="C8" s="440">
        <v>1</v>
      </c>
      <c r="D8" s="440">
        <v>1</v>
      </c>
      <c r="E8" s="440">
        <v>1</v>
      </c>
      <c r="F8" s="440">
        <v>0</v>
      </c>
      <c r="G8" s="440">
        <v>1</v>
      </c>
      <c r="H8" s="440">
        <v>1</v>
      </c>
      <c r="I8" s="440">
        <v>0</v>
      </c>
      <c r="J8" s="440">
        <v>0</v>
      </c>
      <c r="K8" s="506">
        <v>0</v>
      </c>
      <c r="L8" s="495">
        <f t="shared" si="0"/>
        <v>6</v>
      </c>
      <c r="M8" s="495">
        <f t="shared" si="1"/>
        <v>0.6</v>
      </c>
      <c r="O8" t="s">
        <v>344</v>
      </c>
      <c r="P8" s="94">
        <f>SQRT((1+P13/2.89)/(1-P7*P13/8.35))</f>
        <v>1.6305006365981953</v>
      </c>
      <c r="Q8" s="4"/>
      <c r="R8" s="497" t="e" cm="1">
        <f t="array" aca="1" ref="R8" ca="1">FTEXT(P8)</f>
        <v>#NAME?</v>
      </c>
      <c r="T8" s="299">
        <v>5</v>
      </c>
      <c r="U8" s="299">
        <v>6</v>
      </c>
      <c r="V8" s="4">
        <v>0.66666666666666663</v>
      </c>
      <c r="W8" s="4">
        <f t="shared" si="2"/>
        <v>-0.69314718055994506</v>
      </c>
      <c r="X8" s="4">
        <f t="shared" si="3"/>
        <v>-0.28165079561746148</v>
      </c>
      <c r="Y8" s="4">
        <f t="shared" si="4"/>
        <v>-0.39811970963024906</v>
      </c>
      <c r="Z8" s="4">
        <f t="shared" si="5"/>
        <v>0.99951127702802545</v>
      </c>
      <c r="AB8" s="299" t="str">
        <f t="shared" si="6"/>
        <v>E</v>
      </c>
      <c r="AC8" s="299">
        <f t="shared" si="7"/>
        <v>6</v>
      </c>
      <c r="AD8" s="4">
        <f t="shared" si="8"/>
        <v>0.6</v>
      </c>
      <c r="AE8" s="4">
        <f t="shared" si="9"/>
        <v>0.40546510810816422</v>
      </c>
      <c r="AF8" s="4">
        <f t="shared" si="10"/>
        <v>0.40546510810816422</v>
      </c>
      <c r="AG8" s="4">
        <f t="shared" si="11"/>
        <v>0.66111111688871782</v>
      </c>
      <c r="AH8" s="4">
        <f t="shared" si="12"/>
        <v>1.0524836352542337</v>
      </c>
      <c r="AJ8" s="299" t="e">
        <f ca="1"/>
        <v>#NAME?</v>
      </c>
      <c r="AK8" s="4" t="e">
        <f ca="1"/>
        <v>#NAME?</v>
      </c>
      <c r="AL8" s="4" t="e">
        <f ca="1"/>
        <v>#NAME?</v>
      </c>
      <c r="AM8" s="500" t="e">
        <f ca="1"/>
        <v>#NAME?</v>
      </c>
      <c r="AO8" s="299" t="e">
        <f ca="1"/>
        <v>#NAME?</v>
      </c>
      <c r="AP8" s="4" t="e">
        <f ca="1"/>
        <v>#NAME?</v>
      </c>
      <c r="AQ8" s="4" t="e">
        <f ca="1"/>
        <v>#NAME?</v>
      </c>
      <c r="AR8" s="500" t="e">
        <f ca="1"/>
        <v>#NAME?</v>
      </c>
      <c r="AT8" s="462">
        <f t="shared" si="13"/>
        <v>5</v>
      </c>
      <c r="AU8" t="e">
        <f ca="1"/>
        <v>#NAME?</v>
      </c>
      <c r="AV8" t="e">
        <f ca="1"/>
        <v>#NAME?</v>
      </c>
      <c r="AX8" s="462">
        <f t="shared" si="14"/>
        <v>5</v>
      </c>
      <c r="AY8" t="e">
        <f ca="1"/>
        <v>#NAME?</v>
      </c>
      <c r="AZ8" t="e">
        <f ca="1"/>
        <v>#NAME?</v>
      </c>
    </row>
    <row r="9" spans="1:52" x14ac:dyDescent="0.35">
      <c r="A9" s="462" t="s">
        <v>101</v>
      </c>
      <c r="B9" s="507">
        <v>1</v>
      </c>
      <c r="C9" s="440">
        <v>1</v>
      </c>
      <c r="D9" s="440">
        <v>1</v>
      </c>
      <c r="E9" s="440">
        <v>1</v>
      </c>
      <c r="F9" s="440">
        <v>1</v>
      </c>
      <c r="G9" s="440">
        <v>0</v>
      </c>
      <c r="H9" s="440">
        <v>1</v>
      </c>
      <c r="I9" s="440">
        <v>0</v>
      </c>
      <c r="J9" s="440">
        <v>0</v>
      </c>
      <c r="K9" s="506">
        <v>0</v>
      </c>
      <c r="L9" s="495">
        <f t="shared" si="0"/>
        <v>6</v>
      </c>
      <c r="M9" s="495">
        <f t="shared" si="1"/>
        <v>0.6</v>
      </c>
      <c r="T9" s="299">
        <v>6</v>
      </c>
      <c r="U9" s="299">
        <v>5</v>
      </c>
      <c r="V9" s="4">
        <v>0.55555555555555558</v>
      </c>
      <c r="W9" s="4">
        <f t="shared" si="2"/>
        <v>-0.22314355131420985</v>
      </c>
      <c r="X9" s="4">
        <f t="shared" si="3"/>
        <v>0.18835283362827374</v>
      </c>
      <c r="Y9" s="4">
        <f t="shared" si="4"/>
        <v>0.26624095013731247</v>
      </c>
      <c r="Z9" s="4">
        <f t="shared" si="5"/>
        <v>0.94821965472962799</v>
      </c>
      <c r="AB9" s="299" t="str">
        <f t="shared" si="6"/>
        <v>F</v>
      </c>
      <c r="AC9" s="299">
        <f t="shared" si="7"/>
        <v>6</v>
      </c>
      <c r="AD9" s="4">
        <f t="shared" si="8"/>
        <v>0.6</v>
      </c>
      <c r="AE9" s="4">
        <f t="shared" si="9"/>
        <v>0.40546510810816422</v>
      </c>
      <c r="AF9" s="4">
        <f t="shared" si="10"/>
        <v>0.40546510810816422</v>
      </c>
      <c r="AG9" s="4">
        <f t="shared" si="11"/>
        <v>0.66111111688871782</v>
      </c>
      <c r="AH9" s="4">
        <f t="shared" si="12"/>
        <v>1.0524836352542337</v>
      </c>
      <c r="AJ9" s="299" t="e">
        <f ca="1"/>
        <v>#NAME?</v>
      </c>
      <c r="AK9" s="4" t="e">
        <f ca="1"/>
        <v>#NAME?</v>
      </c>
      <c r="AL9" s="4" t="e">
        <f ca="1"/>
        <v>#NAME?</v>
      </c>
      <c r="AM9" s="500" t="e">
        <f ca="1"/>
        <v>#NAME?</v>
      </c>
      <c r="AO9" s="299" t="e">
        <f ca="1"/>
        <v>#NAME?</v>
      </c>
      <c r="AP9" s="4" t="e">
        <f ca="1"/>
        <v>#NAME?</v>
      </c>
      <c r="AQ9" s="4" t="e">
        <f ca="1"/>
        <v>#NAME?</v>
      </c>
      <c r="AR9" s="500" t="e">
        <f ca="1"/>
        <v>#NAME?</v>
      </c>
      <c r="AT9" s="462">
        <f t="shared" si="13"/>
        <v>6</v>
      </c>
      <c r="AU9" t="e">
        <f ca="1"/>
        <v>#NAME?</v>
      </c>
      <c r="AV9" t="e">
        <f ca="1"/>
        <v>#NAME?</v>
      </c>
      <c r="AX9" s="462">
        <f t="shared" si="14"/>
        <v>6</v>
      </c>
      <c r="AY9" t="e">
        <f ca="1"/>
        <v>#NAME?</v>
      </c>
      <c r="AZ9" t="e">
        <f ca="1"/>
        <v>#NAME?</v>
      </c>
    </row>
    <row r="10" spans="1:52" x14ac:dyDescent="0.35">
      <c r="A10" s="462" t="s">
        <v>281</v>
      </c>
      <c r="B10" s="507">
        <v>1</v>
      </c>
      <c r="C10" s="440">
        <v>1</v>
      </c>
      <c r="D10" s="440">
        <v>1</v>
      </c>
      <c r="E10" s="440">
        <v>1</v>
      </c>
      <c r="F10" s="440">
        <v>0</v>
      </c>
      <c r="G10" s="440">
        <v>0</v>
      </c>
      <c r="H10" s="440">
        <v>0</v>
      </c>
      <c r="I10" s="440">
        <v>0</v>
      </c>
      <c r="J10" s="440">
        <v>0</v>
      </c>
      <c r="K10" s="506">
        <v>0</v>
      </c>
      <c r="L10" s="495">
        <f t="shared" si="0"/>
        <v>4</v>
      </c>
      <c r="M10" s="495">
        <f t="shared" si="1"/>
        <v>0.4</v>
      </c>
      <c r="O10" t="s">
        <v>31</v>
      </c>
      <c r="P10" s="426">
        <f>COUNTA(A4:A12)</f>
        <v>9</v>
      </c>
      <c r="Q10" s="4"/>
      <c r="R10" s="497" t="e" cm="1">
        <f t="array" aca="1" ref="R10" ca="1">FTEXT(P10)</f>
        <v>#NAME?</v>
      </c>
      <c r="T10" s="299">
        <v>7</v>
      </c>
      <c r="U10" s="299">
        <v>5</v>
      </c>
      <c r="V10" s="4">
        <v>0.55555555555555558</v>
      </c>
      <c r="W10" s="4">
        <f t="shared" si="2"/>
        <v>-0.22314355131420985</v>
      </c>
      <c r="X10" s="4">
        <f t="shared" si="3"/>
        <v>0.18835283362827374</v>
      </c>
      <c r="Y10" s="4">
        <f t="shared" si="4"/>
        <v>0.26624095013731247</v>
      </c>
      <c r="Z10" s="4">
        <f t="shared" si="5"/>
        <v>0.94821965472962799</v>
      </c>
      <c r="AB10" s="299" t="str">
        <f t="shared" si="6"/>
        <v>G</v>
      </c>
      <c r="AC10" s="299">
        <f t="shared" si="7"/>
        <v>4</v>
      </c>
      <c r="AD10" s="4">
        <f t="shared" si="8"/>
        <v>0.4</v>
      </c>
      <c r="AE10" s="4">
        <f t="shared" si="9"/>
        <v>-0.40546510810816427</v>
      </c>
      <c r="AF10" s="4">
        <f t="shared" si="10"/>
        <v>-0.40546510810816427</v>
      </c>
      <c r="AG10" s="4">
        <f t="shared" si="11"/>
        <v>-0.66111111688871793</v>
      </c>
      <c r="AH10" s="4">
        <f t="shared" si="12"/>
        <v>1.0524836352542337</v>
      </c>
      <c r="AJ10" s="299" t="e">
        <f ca="1"/>
        <v>#NAME?</v>
      </c>
      <c r="AK10" s="4" t="e">
        <f ca="1"/>
        <v>#NAME?</v>
      </c>
      <c r="AL10" s="4" t="e">
        <f ca="1"/>
        <v>#NAME?</v>
      </c>
      <c r="AM10" s="500" t="e">
        <f ca="1"/>
        <v>#NAME?</v>
      </c>
      <c r="AO10" s="299" t="e">
        <f ca="1"/>
        <v>#NAME?</v>
      </c>
      <c r="AP10" s="4" t="e">
        <f ca="1"/>
        <v>#NAME?</v>
      </c>
      <c r="AQ10" s="4" t="e">
        <f ca="1"/>
        <v>#NAME?</v>
      </c>
      <c r="AR10" s="500" t="e">
        <f ca="1"/>
        <v>#NAME?</v>
      </c>
      <c r="AT10" s="462">
        <f t="shared" si="13"/>
        <v>7</v>
      </c>
      <c r="AU10" t="e">
        <f ca="1"/>
        <v>#NAME?</v>
      </c>
      <c r="AV10" t="e">
        <f ca="1"/>
        <v>#NAME?</v>
      </c>
      <c r="AX10" s="462">
        <f t="shared" si="14"/>
        <v>7</v>
      </c>
      <c r="AY10" t="e">
        <f ca="1"/>
        <v>#NAME?</v>
      </c>
      <c r="AZ10" t="e">
        <f ca="1"/>
        <v>#NAME?</v>
      </c>
    </row>
    <row r="11" spans="1:52" x14ac:dyDescent="0.35">
      <c r="A11" s="462" t="s">
        <v>537</v>
      </c>
      <c r="B11" s="507">
        <v>1</v>
      </c>
      <c r="C11" s="440">
        <v>0</v>
      </c>
      <c r="D11" s="440">
        <v>1</v>
      </c>
      <c r="E11" s="440">
        <v>0</v>
      </c>
      <c r="F11" s="440">
        <v>1</v>
      </c>
      <c r="G11" s="440">
        <v>0</v>
      </c>
      <c r="H11" s="440">
        <v>1</v>
      </c>
      <c r="I11" s="440">
        <v>0</v>
      </c>
      <c r="J11" s="440">
        <v>0</v>
      </c>
      <c r="K11" s="506">
        <v>0</v>
      </c>
      <c r="L11" s="495">
        <f t="shared" si="0"/>
        <v>4</v>
      </c>
      <c r="M11" s="495">
        <f t="shared" si="1"/>
        <v>0.4</v>
      </c>
      <c r="O11" t="s">
        <v>735</v>
      </c>
      <c r="P11" s="505">
        <f>P4*P10</f>
        <v>9</v>
      </c>
      <c r="Q11" s="504"/>
      <c r="R11" s="497" t="e" cm="1">
        <f t="array" aca="1" ref="R11" ca="1">FTEXT(P11)</f>
        <v>#NAME?</v>
      </c>
      <c r="T11" s="299">
        <v>8</v>
      </c>
      <c r="U11" s="299">
        <v>4</v>
      </c>
      <c r="V11" s="4">
        <v>0.44444444444444442</v>
      </c>
      <c r="W11" s="4">
        <f t="shared" si="2"/>
        <v>0.22314355131420993</v>
      </c>
      <c r="X11" s="4">
        <f t="shared" si="3"/>
        <v>0.63463993625669346</v>
      </c>
      <c r="Y11" s="4">
        <f t="shared" si="4"/>
        <v>0.89707776819292695</v>
      </c>
      <c r="Z11" s="4">
        <f t="shared" si="5"/>
        <v>0.94821965472962799</v>
      </c>
      <c r="AB11" s="299" t="str">
        <f t="shared" si="6"/>
        <v>H</v>
      </c>
      <c r="AC11" s="299">
        <f t="shared" si="7"/>
        <v>4</v>
      </c>
      <c r="AD11" s="4">
        <f t="shared" si="8"/>
        <v>0.4</v>
      </c>
      <c r="AE11" s="4">
        <f t="shared" si="9"/>
        <v>-0.40546510810816427</v>
      </c>
      <c r="AF11" s="4">
        <f t="shared" si="10"/>
        <v>-0.40546510810816427</v>
      </c>
      <c r="AG11" s="4">
        <f t="shared" si="11"/>
        <v>-0.66111111688871793</v>
      </c>
      <c r="AH11" s="4">
        <f t="shared" si="12"/>
        <v>1.0524836352542337</v>
      </c>
      <c r="AJ11" s="299" t="e">
        <f ca="1"/>
        <v>#NAME?</v>
      </c>
      <c r="AK11" s="4" t="e">
        <f ca="1"/>
        <v>#NAME?</v>
      </c>
      <c r="AL11" s="4" t="e">
        <f ca="1"/>
        <v>#NAME?</v>
      </c>
      <c r="AM11" s="500" t="e">
        <f ca="1"/>
        <v>#NAME?</v>
      </c>
      <c r="AO11" s="299" t="e">
        <f ca="1"/>
        <v>#NAME?</v>
      </c>
      <c r="AP11" s="4" t="e">
        <f ca="1"/>
        <v>#NAME?</v>
      </c>
      <c r="AQ11" s="4" t="e">
        <f ca="1"/>
        <v>#NAME?</v>
      </c>
      <c r="AR11" s="500" t="e">
        <f ca="1"/>
        <v>#NAME?</v>
      </c>
      <c r="AT11" s="299">
        <f t="shared" si="13"/>
        <v>8</v>
      </c>
      <c r="AU11" s="4" t="e">
        <f ca="1"/>
        <v>#NAME?</v>
      </c>
      <c r="AV11" s="4" t="e">
        <f ca="1"/>
        <v>#NAME?</v>
      </c>
      <c r="AX11" s="463">
        <f t="shared" si="14"/>
        <v>8</v>
      </c>
      <c r="AY11" s="159" t="e">
        <f ca="1"/>
        <v>#NAME?</v>
      </c>
      <c r="AZ11" s="159" t="e">
        <f ca="1"/>
        <v>#NAME?</v>
      </c>
    </row>
    <row r="12" spans="1:52" x14ac:dyDescent="0.35">
      <c r="A12" s="462" t="s">
        <v>905</v>
      </c>
      <c r="B12" s="503">
        <v>0</v>
      </c>
      <c r="C12" s="502">
        <v>1</v>
      </c>
      <c r="D12" s="502">
        <v>0</v>
      </c>
      <c r="E12" s="502">
        <v>1</v>
      </c>
      <c r="F12" s="502">
        <v>0</v>
      </c>
      <c r="G12" s="502">
        <v>0</v>
      </c>
      <c r="H12" s="502">
        <v>0</v>
      </c>
      <c r="I12" s="502">
        <v>0</v>
      </c>
      <c r="J12" s="502">
        <v>0</v>
      </c>
      <c r="K12" s="501">
        <v>0</v>
      </c>
      <c r="L12" s="495">
        <f t="shared" si="0"/>
        <v>2</v>
      </c>
      <c r="M12" s="495">
        <f t="shared" si="1"/>
        <v>0.2</v>
      </c>
      <c r="O12" t="s">
        <v>948</v>
      </c>
      <c r="P12" s="100">
        <f>AVERAGE(W4:W13)</f>
        <v>-0.41149638494248358</v>
      </c>
      <c r="Q12" s="4"/>
      <c r="R12" s="497" t="e" cm="1">
        <f t="array" aca="1" ref="R12" ca="1">FTEXT(P12)</f>
        <v>#NAME?</v>
      </c>
      <c r="T12" s="299">
        <v>9</v>
      </c>
      <c r="U12" s="299">
        <v>1</v>
      </c>
      <c r="V12" s="4">
        <v>0.1111111111111111</v>
      </c>
      <c r="W12" s="4">
        <f t="shared" si="2"/>
        <v>2.0794415416798357</v>
      </c>
      <c r="X12" s="4">
        <f t="shared" si="3"/>
        <v>2.4909379266223195</v>
      </c>
      <c r="Y12" s="4">
        <f t="shared" si="4"/>
        <v>3.520996565551227</v>
      </c>
      <c r="Z12" s="4">
        <f t="shared" si="5"/>
        <v>1.4992669155420384</v>
      </c>
      <c r="AB12" s="463" t="str">
        <f t="shared" si="6"/>
        <v>I</v>
      </c>
      <c r="AC12" s="463">
        <f t="shared" si="7"/>
        <v>2</v>
      </c>
      <c r="AD12" s="159">
        <f t="shared" si="8"/>
        <v>0.2</v>
      </c>
      <c r="AE12" s="159">
        <f t="shared" si="9"/>
        <v>-1.3862943611198906</v>
      </c>
      <c r="AF12" s="159">
        <f t="shared" si="10"/>
        <v>-1.3862943611198906</v>
      </c>
      <c r="AG12" s="159">
        <f t="shared" si="11"/>
        <v>-2.26035383831847</v>
      </c>
      <c r="AH12" s="159">
        <f t="shared" si="12"/>
        <v>1.2890239345011985</v>
      </c>
      <c r="AJ12" s="463" t="e">
        <f ca="1"/>
        <v>#NAME?</v>
      </c>
      <c r="AK12" s="159" t="e">
        <f ca="1"/>
        <v>#NAME?</v>
      </c>
      <c r="AL12" s="159" t="e">
        <f ca="1"/>
        <v>#NAME?</v>
      </c>
      <c r="AM12" s="498" t="e">
        <f ca="1"/>
        <v>#NAME?</v>
      </c>
      <c r="AO12" s="299" t="e">
        <f ca="1"/>
        <v>#NAME?</v>
      </c>
      <c r="AP12" s="4" t="e">
        <f ca="1"/>
        <v>#NAME?</v>
      </c>
      <c r="AQ12" s="4" t="e">
        <f ca="1"/>
        <v>#NAME?</v>
      </c>
      <c r="AR12" s="500" t="e">
        <f ca="1"/>
        <v>#NAME?</v>
      </c>
      <c r="AT12" s="463">
        <v>9</v>
      </c>
      <c r="AU12" s="159" t="e">
        <f ca="1"/>
        <v>#NAME?</v>
      </c>
      <c r="AV12" s="159" t="e">
        <f ca="1"/>
        <v>#NAME?</v>
      </c>
    </row>
    <row r="13" spans="1:52" x14ac:dyDescent="0.35">
      <c r="A13" s="496" t="s">
        <v>947</v>
      </c>
      <c r="B13" s="499">
        <f t="shared" ref="B13:K13" si="15">SUM(B4:B12)</f>
        <v>7</v>
      </c>
      <c r="C13" s="499">
        <f t="shared" si="15"/>
        <v>8</v>
      </c>
      <c r="D13" s="499">
        <f t="shared" si="15"/>
        <v>8</v>
      </c>
      <c r="E13" s="499">
        <f t="shared" si="15"/>
        <v>7</v>
      </c>
      <c r="F13" s="499">
        <f t="shared" si="15"/>
        <v>6</v>
      </c>
      <c r="G13" s="499">
        <f t="shared" si="15"/>
        <v>5</v>
      </c>
      <c r="H13" s="499">
        <f t="shared" si="15"/>
        <v>5</v>
      </c>
      <c r="I13" s="499">
        <f t="shared" si="15"/>
        <v>4</v>
      </c>
      <c r="J13" s="499">
        <f t="shared" si="15"/>
        <v>1</v>
      </c>
      <c r="K13" s="499">
        <f t="shared" si="15"/>
        <v>1</v>
      </c>
      <c r="O13" t="s">
        <v>946</v>
      </c>
      <c r="P13" s="100">
        <f>VAR(X4:X13)</f>
        <v>2.3987588070750299</v>
      </c>
      <c r="Q13" s="4"/>
      <c r="R13" s="497" t="e" cm="1">
        <f t="array" aca="1" ref="R13" ca="1">FTEXT(P13)</f>
        <v>#NAME?</v>
      </c>
      <c r="T13" s="463">
        <v>10</v>
      </c>
      <c r="U13" s="463">
        <v>1</v>
      </c>
      <c r="V13" s="159">
        <v>0.1111111111111111</v>
      </c>
      <c r="W13" s="159">
        <f t="shared" si="2"/>
        <v>2.0794415416798357</v>
      </c>
      <c r="X13" s="159">
        <f t="shared" si="3"/>
        <v>2.4909379266223195</v>
      </c>
      <c r="Y13" s="159">
        <f t="shared" si="4"/>
        <v>3.520996565551227</v>
      </c>
      <c r="Z13" s="159">
        <f t="shared" si="5"/>
        <v>1.4992669155420384</v>
      </c>
      <c r="AB13" s="4"/>
      <c r="AC13" s="4"/>
      <c r="AD13" s="4"/>
      <c r="AE13" s="4"/>
      <c r="AF13" s="4"/>
      <c r="AG13" s="4"/>
      <c r="AI13" s="4"/>
      <c r="AO13" s="463" t="e">
        <f ca="1"/>
        <v>#NAME?</v>
      </c>
      <c r="AP13" s="159" t="e">
        <f ca="1"/>
        <v>#NAME?</v>
      </c>
      <c r="AQ13" s="159" t="e">
        <f ca="1"/>
        <v>#NAME?</v>
      </c>
      <c r="AR13" s="498" t="e">
        <f ca="1"/>
        <v>#NAME?</v>
      </c>
    </row>
    <row r="14" spans="1:52" x14ac:dyDescent="0.35">
      <c r="A14" s="496" t="s">
        <v>86</v>
      </c>
      <c r="B14">
        <f t="shared" ref="B14:K14" si="16">B13/(COUNT(B4:B12)*$P4)</f>
        <v>0.875</v>
      </c>
      <c r="C14">
        <f t="shared" si="16"/>
        <v>0.88888888888888884</v>
      </c>
      <c r="D14">
        <f t="shared" si="16"/>
        <v>0.88888888888888884</v>
      </c>
      <c r="E14">
        <f t="shared" si="16"/>
        <v>0.77777777777777779</v>
      </c>
      <c r="F14">
        <f t="shared" si="16"/>
        <v>0.66666666666666663</v>
      </c>
      <c r="G14">
        <f t="shared" si="16"/>
        <v>0.55555555555555558</v>
      </c>
      <c r="H14">
        <f t="shared" si="16"/>
        <v>0.55555555555555558</v>
      </c>
      <c r="I14">
        <f t="shared" si="16"/>
        <v>0.44444444444444442</v>
      </c>
      <c r="J14">
        <f t="shared" si="16"/>
        <v>0.1111111111111111</v>
      </c>
      <c r="K14">
        <f t="shared" si="16"/>
        <v>0.1111111111111111</v>
      </c>
      <c r="O14" t="s">
        <v>945</v>
      </c>
      <c r="P14" s="94">
        <f>SQRT((1+P7/2.89)/(1-P7*P13/8.35))</f>
        <v>1.4135224037178855</v>
      </c>
      <c r="Q14" s="4"/>
      <c r="R14" s="497" t="e" cm="1">
        <f t="array" aca="1" ref="R14" ca="1">FTEXT(P14)</f>
        <v>#NAME?</v>
      </c>
      <c r="T14" s="299"/>
      <c r="U14" s="299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52" x14ac:dyDescent="0.35">
      <c r="K15"/>
      <c r="T15"/>
      <c r="U15"/>
      <c r="AC15" s="4"/>
      <c r="AD15" s="4"/>
      <c r="AE15" s="4"/>
      <c r="AF15" s="4"/>
      <c r="AG15" s="4"/>
      <c r="AH15" s="4"/>
      <c r="AI15" s="4"/>
    </row>
    <row r="16" spans="1:52" x14ac:dyDescent="0.35">
      <c r="K16"/>
      <c r="T16"/>
      <c r="U16"/>
      <c r="AC16" s="4"/>
      <c r="AD16" s="4"/>
      <c r="AE16" s="4"/>
      <c r="AF16" s="4"/>
      <c r="AG16" s="4"/>
      <c r="AH16" s="4"/>
      <c r="AI16" s="4"/>
    </row>
    <row r="17" spans="11:35" x14ac:dyDescent="0.35">
      <c r="K17"/>
      <c r="T17"/>
      <c r="U17"/>
      <c r="AC17" s="4"/>
      <c r="AD17" s="4"/>
      <c r="AE17" s="4"/>
      <c r="AF17" s="4"/>
      <c r="AG17" s="4"/>
      <c r="AH17" s="4"/>
      <c r="AI17" s="4"/>
    </row>
    <row r="18" spans="11:35" x14ac:dyDescent="0.35">
      <c r="T18"/>
      <c r="U18"/>
      <c r="AC18" s="4"/>
      <c r="AD18" s="4"/>
      <c r="AE18" s="4"/>
      <c r="AF18" s="4"/>
      <c r="AG18" s="4"/>
      <c r="AH18" s="4"/>
      <c r="AI18" s="4"/>
    </row>
    <row r="19" spans="11:35" x14ac:dyDescent="0.35">
      <c r="N19" s="495"/>
      <c r="T19"/>
      <c r="U19"/>
      <c r="AC19" s="4"/>
      <c r="AD19" s="4"/>
      <c r="AE19" s="4"/>
      <c r="AF19" s="4"/>
      <c r="AG19" s="4"/>
      <c r="AH19" s="4"/>
      <c r="AI19" s="4"/>
    </row>
    <row r="20" spans="11:35" x14ac:dyDescent="0.35">
      <c r="N20" s="495"/>
      <c r="T20"/>
      <c r="U20"/>
      <c r="AC20" s="4"/>
      <c r="AD20" s="4"/>
      <c r="AE20" s="4"/>
      <c r="AF20" s="4"/>
      <c r="AG20" s="4"/>
      <c r="AH20" s="4"/>
      <c r="AI20" s="4"/>
    </row>
    <row r="21" spans="11:35" x14ac:dyDescent="0.35">
      <c r="N21" s="495"/>
      <c r="T21"/>
      <c r="U21"/>
      <c r="AC21" s="4"/>
      <c r="AD21" s="4"/>
      <c r="AE21" s="4"/>
      <c r="AF21" s="4"/>
      <c r="AG21" s="4"/>
      <c r="AH21" s="4"/>
      <c r="AI21" s="4"/>
    </row>
    <row r="22" spans="11:35" x14ac:dyDescent="0.35">
      <c r="N22" s="495"/>
      <c r="T22"/>
      <c r="U22"/>
      <c r="AC22" s="4"/>
      <c r="AD22" s="4"/>
      <c r="AE22" s="4"/>
      <c r="AF22" s="4"/>
      <c r="AG22" s="4"/>
      <c r="AH22" s="4"/>
      <c r="AI22" s="4"/>
    </row>
    <row r="23" spans="11:35" x14ac:dyDescent="0.35">
      <c r="N23" s="495"/>
      <c r="T23"/>
      <c r="U23"/>
      <c r="AC23" s="4"/>
      <c r="AD23" s="4"/>
      <c r="AE23" s="4"/>
      <c r="AF23" s="4"/>
      <c r="AG23" s="4"/>
      <c r="AH23" s="4"/>
      <c r="AI23" s="4"/>
    </row>
    <row r="24" spans="11:35" x14ac:dyDescent="0.35">
      <c r="T24"/>
      <c r="U24"/>
      <c r="AC24" s="4"/>
      <c r="AD24" s="4"/>
      <c r="AE24" s="4"/>
      <c r="AF24" s="4"/>
      <c r="AG24" s="4"/>
      <c r="AH24" s="4"/>
      <c r="AI24" s="4"/>
    </row>
    <row r="25" spans="11:35" x14ac:dyDescent="0.35">
      <c r="T25"/>
      <c r="U25"/>
      <c r="AC25" s="4"/>
      <c r="AD25" s="4"/>
      <c r="AE25" s="4"/>
      <c r="AF25" s="4"/>
      <c r="AG25" s="4"/>
      <c r="AH25" s="4"/>
      <c r="AI25" s="4"/>
    </row>
    <row r="26" spans="11:35" x14ac:dyDescent="0.35">
      <c r="T26"/>
      <c r="U26"/>
      <c r="AC26" s="4"/>
      <c r="AD26" s="4"/>
      <c r="AE26" s="4"/>
      <c r="AF26" s="4"/>
      <c r="AG26" s="4"/>
      <c r="AH26" s="4"/>
      <c r="AI26" s="4"/>
    </row>
    <row r="27" spans="11:35" x14ac:dyDescent="0.35">
      <c r="T27"/>
      <c r="U27"/>
      <c r="AC27" s="4"/>
      <c r="AD27" s="4"/>
      <c r="AE27" s="4"/>
      <c r="AF27" s="4"/>
      <c r="AG27" s="4"/>
      <c r="AH27" s="4"/>
      <c r="AI27" s="4"/>
    </row>
    <row r="28" spans="11:35" x14ac:dyDescent="0.35">
      <c r="AB28" s="4"/>
      <c r="AC28" s="4"/>
      <c r="AD28" s="4"/>
      <c r="AE28" s="4"/>
      <c r="AF28" s="4"/>
      <c r="AG28" s="4"/>
      <c r="AH28" s="4"/>
      <c r="AI28" s="4"/>
    </row>
    <row r="29" spans="11:35" x14ac:dyDescent="0.35">
      <c r="AB29" s="4"/>
      <c r="AC29" s="4"/>
      <c r="AD29" s="4"/>
      <c r="AE29" s="4"/>
      <c r="AF29" s="4"/>
      <c r="AG29" s="4"/>
      <c r="AH29" s="4"/>
      <c r="AI29" s="4"/>
    </row>
    <row r="30" spans="11:35" x14ac:dyDescent="0.35">
      <c r="AB30" s="4"/>
      <c r="AC30" s="4"/>
      <c r="AD30" s="4"/>
      <c r="AE30" s="4"/>
      <c r="AF30" s="4"/>
      <c r="AG30" s="4"/>
      <c r="AH30" s="4"/>
      <c r="AI30" s="4"/>
    </row>
    <row r="31" spans="11:35" x14ac:dyDescent="0.35">
      <c r="AC31" s="4"/>
      <c r="AD31" s="4"/>
      <c r="AE31" s="4"/>
      <c r="AF31" s="4"/>
    </row>
    <row r="32" spans="11:35" x14ac:dyDescent="0.35">
      <c r="AC32" s="4"/>
      <c r="AD32" s="4"/>
      <c r="AE32" s="4"/>
      <c r="AF32" s="4"/>
    </row>
    <row r="33" spans="29:35" x14ac:dyDescent="0.35">
      <c r="AC33"/>
    </row>
    <row r="34" spans="29:35" x14ac:dyDescent="0.35">
      <c r="AC34"/>
    </row>
    <row r="35" spans="29:35" x14ac:dyDescent="0.35">
      <c r="AC35"/>
    </row>
    <row r="36" spans="29:35" x14ac:dyDescent="0.35">
      <c r="AC36"/>
    </row>
    <row r="37" spans="29:35" x14ac:dyDescent="0.35">
      <c r="AC37"/>
    </row>
    <row r="38" spans="29:35" x14ac:dyDescent="0.35">
      <c r="AC38"/>
    </row>
    <row r="39" spans="29:35" x14ac:dyDescent="0.35">
      <c r="AC39"/>
    </row>
    <row r="40" spans="29:35" x14ac:dyDescent="0.35">
      <c r="AC40"/>
    </row>
    <row r="41" spans="29:35" x14ac:dyDescent="0.35">
      <c r="AC41"/>
    </row>
    <row r="42" spans="29:35" x14ac:dyDescent="0.35">
      <c r="AC42"/>
    </row>
    <row r="43" spans="29:35" x14ac:dyDescent="0.35">
      <c r="AG43" t="e">
        <f>SUMPRODUCT(AG4:AG41,#REF!)</f>
        <v>#REF!</v>
      </c>
      <c r="AH43" t="e">
        <f>SUMPRODUCT(AG4:AG41^2,#REF!)</f>
        <v>#REF!</v>
      </c>
    </row>
    <row r="44" spans="29:35" x14ac:dyDescent="0.35">
      <c r="AG44" t="e">
        <f>AG43/74</f>
        <v>#REF!</v>
      </c>
      <c r="AH44" t="e">
        <f>AH43/74</f>
        <v>#REF!</v>
      </c>
      <c r="AI44" t="e">
        <f>AH44-AG44^2</f>
        <v>#REF!</v>
      </c>
    </row>
    <row r="46" spans="29:35" x14ac:dyDescent="0.35">
      <c r="AH46" t="e">
        <f>SUMPRODUCT(#REF!,AH13:AH41^2)</f>
        <v>#REF!</v>
      </c>
    </row>
    <row r="47" spans="29:35" x14ac:dyDescent="0.35">
      <c r="AH47" t="e">
        <f>AH46/P10</f>
        <v>#REF!</v>
      </c>
    </row>
    <row r="77" spans="34:34" x14ac:dyDescent="0.35">
      <c r="AH77" t="e">
        <f>VAR(#REF!)</f>
        <v>#REF!</v>
      </c>
    </row>
  </sheetData>
  <pageMargins left="0.7" right="0.7" top="0.75" bottom="0.75" header="0.3" footer="0.3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52C3E-9555-4BB2-A300-664738D998E4}">
  <sheetPr codeName="Sheet36"/>
  <dimension ref="A1:BV139"/>
  <sheetViews>
    <sheetView workbookViewId="0"/>
  </sheetViews>
  <sheetFormatPr defaultRowHeight="14.5" x14ac:dyDescent="0.35"/>
  <cols>
    <col min="1" max="74" width="5.6328125" customWidth="1"/>
  </cols>
  <sheetData>
    <row r="1" spans="1:74" x14ac:dyDescent="0.35">
      <c r="A1" s="1" t="s">
        <v>901</v>
      </c>
      <c r="BF1" t="s">
        <v>995</v>
      </c>
    </row>
    <row r="3" spans="1:74" x14ac:dyDescent="0.35">
      <c r="B3" s="563" t="s">
        <v>902</v>
      </c>
      <c r="C3" s="563"/>
      <c r="D3" s="563"/>
      <c r="E3" s="563"/>
      <c r="F3" s="563"/>
      <c r="G3" s="563"/>
      <c r="H3" s="563"/>
      <c r="I3" s="563"/>
      <c r="J3" s="563"/>
      <c r="K3" s="563"/>
      <c r="BF3" t="s">
        <v>914</v>
      </c>
      <c r="BG3" s="522">
        <v>100</v>
      </c>
    </row>
    <row r="4" spans="1:74" x14ac:dyDescent="0.35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s="521"/>
      <c r="M4" s="521" t="s">
        <v>904</v>
      </c>
      <c r="BF4" t="s">
        <v>915</v>
      </c>
      <c r="BG4" s="147">
        <v>1E-3</v>
      </c>
    </row>
    <row r="5" spans="1:74" x14ac:dyDescent="0.35">
      <c r="A5" t="s">
        <v>218</v>
      </c>
      <c r="B5" s="523">
        <v>2</v>
      </c>
      <c r="C5" s="524">
        <v>2</v>
      </c>
      <c r="D5" s="524">
        <v>2</v>
      </c>
      <c r="E5" s="524">
        <v>1</v>
      </c>
      <c r="F5" s="524">
        <v>2</v>
      </c>
      <c r="G5" s="524">
        <v>2</v>
      </c>
      <c r="H5" s="524">
        <v>2</v>
      </c>
      <c r="I5" s="524">
        <v>1</v>
      </c>
      <c r="J5" s="524">
        <v>0</v>
      </c>
      <c r="K5" s="525">
        <v>1</v>
      </c>
      <c r="M5" s="526">
        <v>0</v>
      </c>
      <c r="O5" t="s">
        <v>996</v>
      </c>
      <c r="Q5" s="249">
        <v>10</v>
      </c>
      <c r="BF5" t="s">
        <v>916</v>
      </c>
      <c r="BG5" s="155">
        <v>1.3</v>
      </c>
    </row>
    <row r="6" spans="1:74" x14ac:dyDescent="0.35">
      <c r="A6" t="s">
        <v>98</v>
      </c>
      <c r="B6" s="527">
        <v>2</v>
      </c>
      <c r="C6" s="528">
        <v>1</v>
      </c>
      <c r="D6" s="528">
        <v>2</v>
      </c>
      <c r="E6" s="528">
        <v>1</v>
      </c>
      <c r="F6" s="528">
        <v>1</v>
      </c>
      <c r="G6" s="528">
        <v>2</v>
      </c>
      <c r="H6" s="528">
        <v>1</v>
      </c>
      <c r="I6" s="528">
        <v>1</v>
      </c>
      <c r="J6" s="528">
        <v>1</v>
      </c>
      <c r="K6" s="529">
        <v>0</v>
      </c>
      <c r="M6" s="530">
        <v>0</v>
      </c>
    </row>
    <row r="7" spans="1:74" x14ac:dyDescent="0.35">
      <c r="A7" t="s">
        <v>99</v>
      </c>
      <c r="B7" s="527"/>
      <c r="C7" s="528">
        <v>1</v>
      </c>
      <c r="D7" s="528">
        <v>2</v>
      </c>
      <c r="E7" s="528">
        <v>1</v>
      </c>
      <c r="F7" s="528">
        <v>2</v>
      </c>
      <c r="G7" s="528">
        <v>1</v>
      </c>
      <c r="H7" s="528">
        <v>0</v>
      </c>
      <c r="I7" s="528">
        <v>2</v>
      </c>
      <c r="J7" s="528">
        <v>0</v>
      </c>
      <c r="K7" s="529">
        <v>0</v>
      </c>
      <c r="M7" s="530">
        <v>0</v>
      </c>
      <c r="O7" t="s">
        <v>997</v>
      </c>
      <c r="Q7" s="249">
        <v>0</v>
      </c>
      <c r="AR7" t="e">
        <f t="array" aca="1" ref="AR7:BD18" ca="1">UCON(A4:K13)</f>
        <v>#NAME?</v>
      </c>
      <c r="AS7" t="e">
        <f ca="1"/>
        <v>#NAME?</v>
      </c>
      <c r="AT7" t="e">
        <f ca="1"/>
        <v>#NAME?</v>
      </c>
      <c r="AU7" t="e">
        <f ca="1"/>
        <v>#NAME?</v>
      </c>
      <c r="AV7" t="e">
        <f ca="1"/>
        <v>#NAME?</v>
      </c>
      <c r="AW7" t="e">
        <f ca="1"/>
        <v>#NAME?</v>
      </c>
      <c r="AX7" t="e">
        <f ca="1"/>
        <v>#NAME?</v>
      </c>
      <c r="AY7" t="e">
        <f ca="1"/>
        <v>#NAME?</v>
      </c>
      <c r="AZ7" t="e">
        <f ca="1"/>
        <v>#NAME?</v>
      </c>
      <c r="BA7" t="e">
        <f ca="1"/>
        <v>#NAME?</v>
      </c>
      <c r="BB7" t="e">
        <f ca="1"/>
        <v>#NAME?</v>
      </c>
      <c r="BC7" s="6" t="e">
        <f ca="1"/>
        <v>#NAME?</v>
      </c>
      <c r="BD7" s="6" t="e">
        <f ca="1"/>
        <v>#NAME?</v>
      </c>
      <c r="BF7" t="e">
        <f t="array" aca="1" ref="BF7:BR18" ca="1">UCON(A4:K13,TRUE,BG3,BG4)</f>
        <v>#NAME?</v>
      </c>
      <c r="BG7" t="e">
        <f ca="1"/>
        <v>#NAME?</v>
      </c>
      <c r="BH7" t="e">
        <f ca="1"/>
        <v>#NAME?</v>
      </c>
      <c r="BI7" t="e">
        <f ca="1"/>
        <v>#NAME?</v>
      </c>
      <c r="BJ7" t="e">
        <f ca="1"/>
        <v>#NAME?</v>
      </c>
      <c r="BK7" t="e">
        <f ca="1"/>
        <v>#NAME?</v>
      </c>
      <c r="BL7" t="e">
        <f ca="1"/>
        <v>#NAME?</v>
      </c>
      <c r="BM7" t="e">
        <f ca="1"/>
        <v>#NAME?</v>
      </c>
      <c r="BN7" t="e">
        <f ca="1"/>
        <v>#NAME?</v>
      </c>
      <c r="BO7" t="e">
        <f ca="1"/>
        <v>#NAME?</v>
      </c>
      <c r="BP7" t="e">
        <f ca="1"/>
        <v>#NAME?</v>
      </c>
      <c r="BQ7" s="6" t="e">
        <f ca="1"/>
        <v>#NAME?</v>
      </c>
      <c r="BR7" s="6" t="e">
        <f ca="1"/>
        <v>#NAME?</v>
      </c>
      <c r="BT7" t="e">
        <f t="array" aca="1" ref="BT7:BV15" ca="1">UCON_SUBJ(A4:K13)</f>
        <v>#NAME?</v>
      </c>
      <c r="BU7" s="423" t="e">
        <f ca="1"/>
        <v>#NAME?</v>
      </c>
      <c r="BV7" s="425" t="e">
        <f ca="1"/>
        <v>#NAME?</v>
      </c>
    </row>
    <row r="8" spans="1:74" x14ac:dyDescent="0.35">
      <c r="A8" t="s">
        <v>100</v>
      </c>
      <c r="B8" s="527">
        <v>1</v>
      </c>
      <c r="C8" s="528">
        <v>2</v>
      </c>
      <c r="D8" s="528">
        <v>2</v>
      </c>
      <c r="E8" s="528">
        <v>1</v>
      </c>
      <c r="F8" s="528">
        <v>1</v>
      </c>
      <c r="G8" s="528">
        <v>1</v>
      </c>
      <c r="H8" s="528">
        <v>0</v>
      </c>
      <c r="I8" s="528">
        <v>1</v>
      </c>
      <c r="J8" s="528">
        <v>0</v>
      </c>
      <c r="K8" s="529">
        <v>0</v>
      </c>
      <c r="M8" s="530">
        <v>0</v>
      </c>
      <c r="AR8" t="e">
        <f ca="1"/>
        <v>#NAME?</v>
      </c>
      <c r="AS8" s="423" t="e">
        <f ca="1"/>
        <v>#NAME?</v>
      </c>
      <c r="AT8" s="424" t="e">
        <f ca="1"/>
        <v>#NAME?</v>
      </c>
      <c r="AU8" s="424" t="e">
        <f ca="1"/>
        <v>#NAME?</v>
      </c>
      <c r="AV8" s="424" t="e">
        <f ca="1"/>
        <v>#NAME?</v>
      </c>
      <c r="AW8" s="424" t="e">
        <f ca="1"/>
        <v>#NAME?</v>
      </c>
      <c r="AX8" s="424" t="e">
        <f ca="1"/>
        <v>#NAME?</v>
      </c>
      <c r="AY8" s="424" t="e">
        <f ca="1"/>
        <v>#NAME?</v>
      </c>
      <c r="AZ8" s="424" t="e">
        <f ca="1"/>
        <v>#NAME?</v>
      </c>
      <c r="BA8" s="424" t="e">
        <f ca="1"/>
        <v>#NAME?</v>
      </c>
      <c r="BB8" s="424" t="e">
        <f ca="1"/>
        <v>#NAME?</v>
      </c>
      <c r="BC8" s="423" t="e">
        <f ca="1"/>
        <v>#NAME?</v>
      </c>
      <c r="BD8" s="425" t="e">
        <f ca="1"/>
        <v>#NAME?</v>
      </c>
      <c r="BF8" t="e">
        <f ca="1"/>
        <v>#NAME?</v>
      </c>
      <c r="BG8" s="419" t="e">
        <f ca="1"/>
        <v>#NAME?</v>
      </c>
      <c r="BH8" s="420" t="e">
        <f ca="1"/>
        <v>#NAME?</v>
      </c>
      <c r="BI8" s="420" t="e">
        <f ca="1"/>
        <v>#NAME?</v>
      </c>
      <c r="BJ8" s="420" t="e">
        <f ca="1"/>
        <v>#NAME?</v>
      </c>
      <c r="BK8" s="420" t="e">
        <f ca="1"/>
        <v>#NAME?</v>
      </c>
      <c r="BL8" s="420" t="e">
        <f ca="1"/>
        <v>#NAME?</v>
      </c>
      <c r="BM8" s="420" t="e">
        <f ca="1"/>
        <v>#NAME?</v>
      </c>
      <c r="BN8" s="420" t="e">
        <f ca="1"/>
        <v>#NAME?</v>
      </c>
      <c r="BO8" s="420" t="e">
        <f ca="1"/>
        <v>#NAME?</v>
      </c>
      <c r="BP8" s="421" t="e">
        <f ca="1"/>
        <v>#NAME?</v>
      </c>
      <c r="BQ8" s="419" t="e">
        <f ca="1"/>
        <v>#NAME?</v>
      </c>
      <c r="BR8" s="421" t="e">
        <f ca="1"/>
        <v>#NAME?</v>
      </c>
      <c r="BT8" t="e">
        <f ca="1"/>
        <v>#NAME?</v>
      </c>
      <c r="BU8" s="101" t="e">
        <f ca="1"/>
        <v>#NAME?</v>
      </c>
      <c r="BV8" s="102" t="e">
        <f ca="1"/>
        <v>#NAME?</v>
      </c>
    </row>
    <row r="9" spans="1:74" x14ac:dyDescent="0.35">
      <c r="A9" t="s">
        <v>536</v>
      </c>
      <c r="B9" s="527">
        <v>1</v>
      </c>
      <c r="C9" s="528">
        <v>1</v>
      </c>
      <c r="D9" s="528">
        <v>1</v>
      </c>
      <c r="E9" s="528">
        <v>2</v>
      </c>
      <c r="F9" s="528">
        <v>0</v>
      </c>
      <c r="G9" s="528">
        <v>2</v>
      </c>
      <c r="H9" s="528">
        <v>1</v>
      </c>
      <c r="I9" s="528">
        <v>0</v>
      </c>
      <c r="J9" s="528">
        <v>0</v>
      </c>
      <c r="K9" s="529">
        <v>0</v>
      </c>
      <c r="M9" s="530">
        <v>0</v>
      </c>
      <c r="AR9" t="e">
        <f ca="1"/>
        <v>#NAME?</v>
      </c>
      <c r="AS9" s="101" t="e">
        <f ca="1"/>
        <v>#NAME?</v>
      </c>
      <c r="AT9" t="e">
        <f ca="1"/>
        <v>#NAME?</v>
      </c>
      <c r="AU9" t="e">
        <f ca="1"/>
        <v>#NAME?</v>
      </c>
      <c r="AV9" t="e">
        <f ca="1"/>
        <v>#NAME?</v>
      </c>
      <c r="AW9" t="e">
        <f ca="1"/>
        <v>#NAME?</v>
      </c>
      <c r="AX9" t="e">
        <f ca="1"/>
        <v>#NAME?</v>
      </c>
      <c r="AY9" t="e">
        <f ca="1"/>
        <v>#NAME?</v>
      </c>
      <c r="AZ9" t="e">
        <f ca="1"/>
        <v>#NAME?</v>
      </c>
      <c r="BA9" t="e">
        <f ca="1"/>
        <v>#NAME?</v>
      </c>
      <c r="BB9" t="e">
        <f ca="1"/>
        <v>#NAME?</v>
      </c>
      <c r="BC9" s="101" t="e">
        <f ca="1"/>
        <v>#NAME?</v>
      </c>
      <c r="BD9" s="102" t="e">
        <f ca="1"/>
        <v>#NAME?</v>
      </c>
      <c r="BF9" t="e">
        <f ca="1"/>
        <v>#NAME?</v>
      </c>
      <c r="BG9" s="99" t="e">
        <f ca="1"/>
        <v>#NAME?</v>
      </c>
      <c r="BH9" t="e">
        <f ca="1"/>
        <v>#NAME?</v>
      </c>
      <c r="BI9" t="e">
        <f ca="1"/>
        <v>#NAME?</v>
      </c>
      <c r="BJ9" t="e">
        <f ca="1"/>
        <v>#NAME?</v>
      </c>
      <c r="BK9" t="e">
        <f ca="1"/>
        <v>#NAME?</v>
      </c>
      <c r="BL9" t="e">
        <f ca="1"/>
        <v>#NAME?</v>
      </c>
      <c r="BM9" t="e">
        <f ca="1"/>
        <v>#NAME?</v>
      </c>
      <c r="BN9" t="e">
        <f ca="1"/>
        <v>#NAME?</v>
      </c>
      <c r="BO9" t="e">
        <f ca="1"/>
        <v>#NAME?</v>
      </c>
      <c r="BP9" s="32" t="e">
        <f ca="1"/>
        <v>#NAME?</v>
      </c>
      <c r="BQ9" s="99" t="e">
        <f ca="1"/>
        <v>#NAME?</v>
      </c>
      <c r="BR9" s="32" t="e">
        <f ca="1"/>
        <v>#NAME?</v>
      </c>
      <c r="BT9" t="e">
        <f ca="1"/>
        <v>#NAME?</v>
      </c>
      <c r="BU9" s="101" t="e">
        <f ca="1"/>
        <v>#NAME?</v>
      </c>
      <c r="BV9" s="102" t="e">
        <f ca="1"/>
        <v>#NAME?</v>
      </c>
    </row>
    <row r="10" spans="1:74" x14ac:dyDescent="0.35">
      <c r="A10" t="s">
        <v>101</v>
      </c>
      <c r="B10" s="527">
        <v>2</v>
      </c>
      <c r="C10" s="528">
        <v>2</v>
      </c>
      <c r="D10" s="528">
        <v>1</v>
      </c>
      <c r="E10" s="528">
        <v>1</v>
      </c>
      <c r="F10" s="528">
        <v>0</v>
      </c>
      <c r="G10" s="528">
        <v>0</v>
      </c>
      <c r="H10" s="528">
        <v>1</v>
      </c>
      <c r="I10" s="528">
        <v>0</v>
      </c>
      <c r="J10" s="528">
        <v>0</v>
      </c>
      <c r="K10" s="529">
        <v>0</v>
      </c>
      <c r="M10" s="530">
        <v>0</v>
      </c>
      <c r="AR10" t="e">
        <f ca="1"/>
        <v>#NAME?</v>
      </c>
      <c r="AS10" s="101" t="e">
        <f ca="1"/>
        <v>#NAME?</v>
      </c>
      <c r="AT10" t="e">
        <f ca="1"/>
        <v>#NAME?</v>
      </c>
      <c r="AU10" t="e">
        <f ca="1"/>
        <v>#NAME?</v>
      </c>
      <c r="AV10" t="e">
        <f ca="1"/>
        <v>#NAME?</v>
      </c>
      <c r="AW10" t="e">
        <f ca="1"/>
        <v>#NAME?</v>
      </c>
      <c r="AX10" t="e">
        <f ca="1"/>
        <v>#NAME?</v>
      </c>
      <c r="AY10" t="e">
        <f ca="1"/>
        <v>#NAME?</v>
      </c>
      <c r="AZ10" t="e">
        <f ca="1"/>
        <v>#NAME?</v>
      </c>
      <c r="BA10" t="e">
        <f ca="1"/>
        <v>#NAME?</v>
      </c>
      <c r="BB10" t="e">
        <f ca="1"/>
        <v>#NAME?</v>
      </c>
      <c r="BC10" s="101" t="e">
        <f ca="1"/>
        <v>#NAME?</v>
      </c>
      <c r="BD10" s="102" t="e">
        <f ca="1"/>
        <v>#NAME?</v>
      </c>
      <c r="BF10" t="e">
        <f ca="1"/>
        <v>#NAME?</v>
      </c>
      <c r="BG10" s="99" t="e">
        <f ca="1"/>
        <v>#NAME?</v>
      </c>
      <c r="BH10" t="e">
        <f ca="1"/>
        <v>#NAME?</v>
      </c>
      <c r="BI10" t="e">
        <f ca="1"/>
        <v>#NAME?</v>
      </c>
      <c r="BJ10" t="e">
        <f ca="1"/>
        <v>#NAME?</v>
      </c>
      <c r="BK10" t="e">
        <f ca="1"/>
        <v>#NAME?</v>
      </c>
      <c r="BL10" t="e">
        <f ca="1"/>
        <v>#NAME?</v>
      </c>
      <c r="BM10" t="e">
        <f ca="1"/>
        <v>#NAME?</v>
      </c>
      <c r="BN10" t="e">
        <f ca="1"/>
        <v>#NAME?</v>
      </c>
      <c r="BO10" t="e">
        <f ca="1"/>
        <v>#NAME?</v>
      </c>
      <c r="BP10" s="32" t="e">
        <f ca="1"/>
        <v>#NAME?</v>
      </c>
      <c r="BQ10" s="99" t="e">
        <f ca="1"/>
        <v>#NAME?</v>
      </c>
      <c r="BR10" s="32" t="e">
        <f ca="1"/>
        <v>#NAME?</v>
      </c>
      <c r="BT10" t="e">
        <f ca="1"/>
        <v>#NAME?</v>
      </c>
      <c r="BU10" s="101" t="e">
        <f ca="1"/>
        <v>#NAME?</v>
      </c>
      <c r="BV10" s="102" t="e">
        <f ca="1"/>
        <v>#NAME?</v>
      </c>
    </row>
    <row r="11" spans="1:74" x14ac:dyDescent="0.35">
      <c r="A11" t="s">
        <v>281</v>
      </c>
      <c r="B11" s="527">
        <v>1</v>
      </c>
      <c r="C11" s="528">
        <v>2</v>
      </c>
      <c r="D11" s="528">
        <v>0</v>
      </c>
      <c r="E11" s="528">
        <v>1</v>
      </c>
      <c r="F11" s="528">
        <v>1</v>
      </c>
      <c r="G11" s="528">
        <v>0</v>
      </c>
      <c r="H11" s="528">
        <v>0</v>
      </c>
      <c r="I11" s="528">
        <v>0</v>
      </c>
      <c r="J11" s="528">
        <v>1</v>
      </c>
      <c r="K11" s="529">
        <v>0</v>
      </c>
      <c r="M11" s="530">
        <v>0</v>
      </c>
      <c r="AR11" t="e">
        <f ca="1"/>
        <v>#NAME?</v>
      </c>
      <c r="AS11" s="101" t="e">
        <f ca="1"/>
        <v>#NAME?</v>
      </c>
      <c r="AT11" t="e">
        <f ca="1"/>
        <v>#NAME?</v>
      </c>
      <c r="AU11" t="e">
        <f ca="1"/>
        <v>#NAME?</v>
      </c>
      <c r="AV11" t="e">
        <f ca="1"/>
        <v>#NAME?</v>
      </c>
      <c r="AW11" t="e">
        <f ca="1"/>
        <v>#NAME?</v>
      </c>
      <c r="AX11" t="e">
        <f ca="1"/>
        <v>#NAME?</v>
      </c>
      <c r="AY11" t="e">
        <f ca="1"/>
        <v>#NAME?</v>
      </c>
      <c r="AZ11" t="e">
        <f ca="1"/>
        <v>#NAME?</v>
      </c>
      <c r="BA11" t="e">
        <f ca="1"/>
        <v>#NAME?</v>
      </c>
      <c r="BB11" t="e">
        <f ca="1"/>
        <v>#NAME?</v>
      </c>
      <c r="BC11" s="101" t="e">
        <f ca="1"/>
        <v>#NAME?</v>
      </c>
      <c r="BD11" s="102" t="e">
        <f ca="1"/>
        <v>#NAME?</v>
      </c>
      <c r="BF11" t="e">
        <f ca="1"/>
        <v>#NAME?</v>
      </c>
      <c r="BG11" s="99" t="e">
        <f ca="1"/>
        <v>#NAME?</v>
      </c>
      <c r="BH11" t="e">
        <f ca="1"/>
        <v>#NAME?</v>
      </c>
      <c r="BI11" t="e">
        <f ca="1"/>
        <v>#NAME?</v>
      </c>
      <c r="BJ11" t="e">
        <f ca="1"/>
        <v>#NAME?</v>
      </c>
      <c r="BK11" t="e">
        <f ca="1"/>
        <v>#NAME?</v>
      </c>
      <c r="BL11" t="e">
        <f ca="1"/>
        <v>#NAME?</v>
      </c>
      <c r="BM11" t="e">
        <f ca="1"/>
        <v>#NAME?</v>
      </c>
      <c r="BN11" t="e">
        <f ca="1"/>
        <v>#NAME?</v>
      </c>
      <c r="BO11" t="e">
        <f ca="1"/>
        <v>#NAME?</v>
      </c>
      <c r="BP11" s="32" t="e">
        <f ca="1"/>
        <v>#NAME?</v>
      </c>
      <c r="BQ11" s="99" t="e">
        <f ca="1"/>
        <v>#NAME?</v>
      </c>
      <c r="BR11" s="32" t="e">
        <f ca="1"/>
        <v>#NAME?</v>
      </c>
      <c r="BT11" t="e">
        <f ca="1"/>
        <v>#NAME?</v>
      </c>
      <c r="BU11" s="101" t="e">
        <f ca="1"/>
        <v>#NAME?</v>
      </c>
      <c r="BV11" s="102" t="e">
        <f ca="1"/>
        <v>#NAME?</v>
      </c>
    </row>
    <row r="12" spans="1:74" x14ac:dyDescent="0.35">
      <c r="A12" t="s">
        <v>537</v>
      </c>
      <c r="B12" s="527">
        <v>1</v>
      </c>
      <c r="C12" s="528">
        <v>0</v>
      </c>
      <c r="D12" s="528">
        <v>1</v>
      </c>
      <c r="E12" s="528">
        <v>0</v>
      </c>
      <c r="F12" s="528">
        <v>1</v>
      </c>
      <c r="G12" s="528">
        <v>0</v>
      </c>
      <c r="H12" s="528">
        <v>1</v>
      </c>
      <c r="I12" s="528">
        <v>0</v>
      </c>
      <c r="J12" s="528">
        <v>1</v>
      </c>
      <c r="K12" s="529">
        <v>0</v>
      </c>
      <c r="M12" s="530">
        <v>0</v>
      </c>
      <c r="AR12" t="e">
        <f ca="1"/>
        <v>#NAME?</v>
      </c>
      <c r="AS12" s="101" t="e">
        <f ca="1"/>
        <v>#NAME?</v>
      </c>
      <c r="AT12" t="e">
        <f ca="1"/>
        <v>#NAME?</v>
      </c>
      <c r="AU12" t="e">
        <f ca="1"/>
        <v>#NAME?</v>
      </c>
      <c r="AV12" t="e">
        <f ca="1"/>
        <v>#NAME?</v>
      </c>
      <c r="AW12" t="e">
        <f ca="1"/>
        <v>#NAME?</v>
      </c>
      <c r="AX12" t="e">
        <f ca="1"/>
        <v>#NAME?</v>
      </c>
      <c r="AY12" t="e">
        <f ca="1"/>
        <v>#NAME?</v>
      </c>
      <c r="AZ12" t="e">
        <f ca="1"/>
        <v>#NAME?</v>
      </c>
      <c r="BA12" t="e">
        <f ca="1"/>
        <v>#NAME?</v>
      </c>
      <c r="BB12" t="e">
        <f ca="1"/>
        <v>#NAME?</v>
      </c>
      <c r="BC12" s="101" t="e">
        <f ca="1"/>
        <v>#NAME?</v>
      </c>
      <c r="BD12" s="102" t="e">
        <f ca="1"/>
        <v>#NAME?</v>
      </c>
      <c r="BF12" t="e">
        <f ca="1"/>
        <v>#NAME?</v>
      </c>
      <c r="BG12" s="99" t="e">
        <f ca="1"/>
        <v>#NAME?</v>
      </c>
      <c r="BH12" t="e">
        <f ca="1"/>
        <v>#NAME?</v>
      </c>
      <c r="BI12" t="e">
        <f ca="1"/>
        <v>#NAME?</v>
      </c>
      <c r="BJ12" t="e">
        <f ca="1"/>
        <v>#NAME?</v>
      </c>
      <c r="BK12" t="e">
        <f ca="1"/>
        <v>#NAME?</v>
      </c>
      <c r="BL12" t="e">
        <f ca="1"/>
        <v>#NAME?</v>
      </c>
      <c r="BM12" t="e">
        <f ca="1"/>
        <v>#NAME?</v>
      </c>
      <c r="BN12" t="e">
        <f ca="1"/>
        <v>#NAME?</v>
      </c>
      <c r="BO12" t="e">
        <f ca="1"/>
        <v>#NAME?</v>
      </c>
      <c r="BP12" s="32" t="e">
        <f ca="1"/>
        <v>#NAME?</v>
      </c>
      <c r="BQ12" s="99" t="e">
        <f ca="1"/>
        <v>#NAME?</v>
      </c>
      <c r="BR12" s="32" t="e">
        <f ca="1"/>
        <v>#NAME?</v>
      </c>
      <c r="BT12" t="e">
        <f ca="1"/>
        <v>#NAME?</v>
      </c>
      <c r="BU12" s="101" t="e">
        <f ca="1"/>
        <v>#NAME?</v>
      </c>
      <c r="BV12" s="102" t="e">
        <f ca="1"/>
        <v>#NAME?</v>
      </c>
    </row>
    <row r="13" spans="1:74" x14ac:dyDescent="0.35">
      <c r="A13" t="s">
        <v>905</v>
      </c>
      <c r="B13" s="531">
        <v>1</v>
      </c>
      <c r="C13" s="532">
        <v>1</v>
      </c>
      <c r="D13" s="532">
        <v>0</v>
      </c>
      <c r="E13" s="532">
        <v>1</v>
      </c>
      <c r="F13" s="532">
        <v>0</v>
      </c>
      <c r="G13" s="532">
        <v>0</v>
      </c>
      <c r="H13" s="532">
        <v>0</v>
      </c>
      <c r="I13" s="532">
        <v>0</v>
      </c>
      <c r="J13" s="532">
        <v>0</v>
      </c>
      <c r="K13" s="533">
        <v>1</v>
      </c>
      <c r="M13" s="534">
        <v>0</v>
      </c>
      <c r="AR13" t="e">
        <f ca="1"/>
        <v>#NAME?</v>
      </c>
      <c r="AS13" s="101" t="e">
        <f ca="1"/>
        <v>#NAME?</v>
      </c>
      <c r="AT13" t="e">
        <f ca="1"/>
        <v>#NAME?</v>
      </c>
      <c r="AU13" t="e">
        <f ca="1"/>
        <v>#NAME?</v>
      </c>
      <c r="AV13" t="e">
        <f ca="1"/>
        <v>#NAME?</v>
      </c>
      <c r="AW13" t="e">
        <f ca="1"/>
        <v>#NAME?</v>
      </c>
      <c r="AX13" t="e">
        <f ca="1"/>
        <v>#NAME?</v>
      </c>
      <c r="AY13" t="e">
        <f ca="1"/>
        <v>#NAME?</v>
      </c>
      <c r="AZ13" t="e">
        <f ca="1"/>
        <v>#NAME?</v>
      </c>
      <c r="BA13" t="e">
        <f ca="1"/>
        <v>#NAME?</v>
      </c>
      <c r="BB13" t="e">
        <f ca="1"/>
        <v>#NAME?</v>
      </c>
      <c r="BC13" s="101" t="e">
        <f ca="1"/>
        <v>#NAME?</v>
      </c>
      <c r="BD13" s="102" t="e">
        <f ca="1"/>
        <v>#NAME?</v>
      </c>
      <c r="BF13" t="e">
        <f ca="1"/>
        <v>#NAME?</v>
      </c>
      <c r="BG13" s="99" t="e">
        <f ca="1"/>
        <v>#NAME?</v>
      </c>
      <c r="BH13" t="e">
        <f ca="1"/>
        <v>#NAME?</v>
      </c>
      <c r="BI13" t="e">
        <f ca="1"/>
        <v>#NAME?</v>
      </c>
      <c r="BJ13" t="e">
        <f ca="1"/>
        <v>#NAME?</v>
      </c>
      <c r="BK13" t="e">
        <f ca="1"/>
        <v>#NAME?</v>
      </c>
      <c r="BL13" t="e">
        <f ca="1"/>
        <v>#NAME?</v>
      </c>
      <c r="BM13" t="e">
        <f ca="1"/>
        <v>#NAME?</v>
      </c>
      <c r="BN13" t="e">
        <f ca="1"/>
        <v>#NAME?</v>
      </c>
      <c r="BO13" t="e">
        <f ca="1"/>
        <v>#NAME?</v>
      </c>
      <c r="BP13" s="32" t="e">
        <f ca="1"/>
        <v>#NAME?</v>
      </c>
      <c r="BQ13" s="99" t="e">
        <f ca="1"/>
        <v>#NAME?</v>
      </c>
      <c r="BR13" s="32" t="e">
        <f ca="1"/>
        <v>#NAME?</v>
      </c>
      <c r="BT13" t="e">
        <f ca="1"/>
        <v>#NAME?</v>
      </c>
      <c r="BU13" s="101" t="e">
        <f ca="1"/>
        <v>#NAME?</v>
      </c>
      <c r="BV13" s="102" t="e">
        <f ca="1"/>
        <v>#NAME?</v>
      </c>
    </row>
    <row r="14" spans="1:74" x14ac:dyDescent="0.35">
      <c r="AR14" t="e">
        <f ca="1"/>
        <v>#NAME?</v>
      </c>
      <c r="AS14" s="101" t="e">
        <f ca="1"/>
        <v>#NAME?</v>
      </c>
      <c r="AT14" t="e">
        <f ca="1"/>
        <v>#NAME?</v>
      </c>
      <c r="AU14" t="e">
        <f ca="1"/>
        <v>#NAME?</v>
      </c>
      <c r="AV14" t="e">
        <f ca="1"/>
        <v>#NAME?</v>
      </c>
      <c r="AW14" t="e">
        <f ca="1"/>
        <v>#NAME?</v>
      </c>
      <c r="AX14" t="e">
        <f ca="1"/>
        <v>#NAME?</v>
      </c>
      <c r="AY14" t="e">
        <f ca="1"/>
        <v>#NAME?</v>
      </c>
      <c r="AZ14" t="e">
        <f ca="1"/>
        <v>#NAME?</v>
      </c>
      <c r="BA14" t="e">
        <f ca="1"/>
        <v>#NAME?</v>
      </c>
      <c r="BB14" t="e">
        <f ca="1"/>
        <v>#NAME?</v>
      </c>
      <c r="BC14" s="101" t="e">
        <f ca="1"/>
        <v>#NAME?</v>
      </c>
      <c r="BD14" s="102" t="e">
        <f ca="1"/>
        <v>#NAME?</v>
      </c>
      <c r="BF14" t="e">
        <f ca="1"/>
        <v>#NAME?</v>
      </c>
      <c r="BG14" s="99" t="e">
        <f ca="1"/>
        <v>#NAME?</v>
      </c>
      <c r="BH14" t="e">
        <f ca="1"/>
        <v>#NAME?</v>
      </c>
      <c r="BI14" t="e">
        <f ca="1"/>
        <v>#NAME?</v>
      </c>
      <c r="BJ14" t="e">
        <f ca="1"/>
        <v>#NAME?</v>
      </c>
      <c r="BK14" t="e">
        <f ca="1"/>
        <v>#NAME?</v>
      </c>
      <c r="BL14" t="e">
        <f ca="1"/>
        <v>#NAME?</v>
      </c>
      <c r="BM14" t="e">
        <f ca="1"/>
        <v>#NAME?</v>
      </c>
      <c r="BN14" t="e">
        <f ca="1"/>
        <v>#NAME?</v>
      </c>
      <c r="BO14" t="e">
        <f ca="1"/>
        <v>#NAME?</v>
      </c>
      <c r="BP14" s="32" t="e">
        <f ca="1"/>
        <v>#NAME?</v>
      </c>
      <c r="BQ14" s="99" t="e">
        <f ca="1"/>
        <v>#NAME?</v>
      </c>
      <c r="BR14" s="32" t="e">
        <f ca="1"/>
        <v>#NAME?</v>
      </c>
      <c r="BT14" t="e">
        <f ca="1"/>
        <v>#NAME?</v>
      </c>
      <c r="BU14" s="101" t="e">
        <f ca="1"/>
        <v>#NAME?</v>
      </c>
      <c r="BV14" s="102" t="e">
        <f ca="1"/>
        <v>#NAME?</v>
      </c>
    </row>
    <row r="15" spans="1:74" x14ac:dyDescent="0.35">
      <c r="A15" t="s">
        <v>998</v>
      </c>
      <c r="B15" s="535">
        <v>0</v>
      </c>
      <c r="C15" s="535">
        <v>0</v>
      </c>
      <c r="D15" s="535">
        <v>0</v>
      </c>
      <c r="E15" s="535">
        <v>0</v>
      </c>
      <c r="F15" s="535">
        <v>0</v>
      </c>
      <c r="G15" s="535">
        <v>0</v>
      </c>
      <c r="H15" s="535">
        <v>0</v>
      </c>
      <c r="I15" s="535">
        <v>0</v>
      </c>
      <c r="J15" s="535">
        <v>0</v>
      </c>
      <c r="K15" s="535">
        <v>0</v>
      </c>
      <c r="L15" s="536">
        <f>AVERAGE(B15:K15)</f>
        <v>0</v>
      </c>
      <c r="AR15" t="e">
        <f ca="1"/>
        <v>#NAME?</v>
      </c>
      <c r="AS15" s="101" t="e">
        <f ca="1"/>
        <v>#NAME?</v>
      </c>
      <c r="AT15" t="e">
        <f ca="1"/>
        <v>#NAME?</v>
      </c>
      <c r="AU15" t="e">
        <f ca="1"/>
        <v>#NAME?</v>
      </c>
      <c r="AV15" t="e">
        <f ca="1"/>
        <v>#NAME?</v>
      </c>
      <c r="AW15" t="e">
        <f ca="1"/>
        <v>#NAME?</v>
      </c>
      <c r="AX15" t="e">
        <f ca="1"/>
        <v>#NAME?</v>
      </c>
      <c r="AY15" t="e">
        <f ca="1"/>
        <v>#NAME?</v>
      </c>
      <c r="AZ15" t="e">
        <f ca="1"/>
        <v>#NAME?</v>
      </c>
      <c r="BA15" t="e">
        <f ca="1"/>
        <v>#NAME?</v>
      </c>
      <c r="BB15" t="e">
        <f ca="1"/>
        <v>#NAME?</v>
      </c>
      <c r="BC15" s="101" t="e">
        <f ca="1"/>
        <v>#NAME?</v>
      </c>
      <c r="BD15" s="102" t="e">
        <f ca="1"/>
        <v>#NAME?</v>
      </c>
      <c r="BF15" t="e">
        <f ca="1"/>
        <v>#NAME?</v>
      </c>
      <c r="BG15" s="99" t="e">
        <f ca="1"/>
        <v>#NAME?</v>
      </c>
      <c r="BH15" t="e">
        <f ca="1"/>
        <v>#NAME?</v>
      </c>
      <c r="BI15" t="e">
        <f ca="1"/>
        <v>#NAME?</v>
      </c>
      <c r="BJ15" t="e">
        <f ca="1"/>
        <v>#NAME?</v>
      </c>
      <c r="BK15" t="e">
        <f ca="1"/>
        <v>#NAME?</v>
      </c>
      <c r="BL15" t="e">
        <f ca="1"/>
        <v>#NAME?</v>
      </c>
      <c r="BM15" t="e">
        <f ca="1"/>
        <v>#NAME?</v>
      </c>
      <c r="BN15" t="e">
        <f ca="1"/>
        <v>#NAME?</v>
      </c>
      <c r="BO15" t="e">
        <f ca="1"/>
        <v>#NAME?</v>
      </c>
      <c r="BP15" s="32" t="e">
        <f ca="1"/>
        <v>#NAME?</v>
      </c>
      <c r="BQ15" s="99" t="e">
        <f ca="1"/>
        <v>#NAME?</v>
      </c>
      <c r="BR15" s="32" t="e">
        <f ca="1"/>
        <v>#NAME?</v>
      </c>
      <c r="BT15" t="e">
        <f ca="1"/>
        <v>#NAME?</v>
      </c>
      <c r="BU15" s="89" t="e">
        <f ca="1"/>
        <v>#NAME?</v>
      </c>
      <c r="BV15" s="93" t="e">
        <f ca="1"/>
        <v>#NAME?</v>
      </c>
    </row>
    <row r="16" spans="1:74" x14ac:dyDescent="0.35">
      <c r="A16" t="s">
        <v>822</v>
      </c>
      <c r="B16" s="537">
        <v>0</v>
      </c>
      <c r="C16" s="538">
        <v>0</v>
      </c>
      <c r="D16" s="538">
        <v>0</v>
      </c>
      <c r="E16" s="538">
        <v>0</v>
      </c>
      <c r="F16" s="538">
        <v>0</v>
      </c>
      <c r="G16" s="538">
        <v>0</v>
      </c>
      <c r="H16" s="538">
        <v>0</v>
      </c>
      <c r="I16" s="538">
        <v>0</v>
      </c>
      <c r="J16" s="538">
        <v>0</v>
      </c>
      <c r="K16" s="539">
        <v>0</v>
      </c>
      <c r="AR16" t="e">
        <f ca="1"/>
        <v>#NAME?</v>
      </c>
      <c r="AS16" s="101" t="e">
        <f ca="1"/>
        <v>#NAME?</v>
      </c>
      <c r="AT16" t="e">
        <f ca="1"/>
        <v>#NAME?</v>
      </c>
      <c r="AU16" t="e">
        <f ca="1"/>
        <v>#NAME?</v>
      </c>
      <c r="AV16" t="e">
        <f ca="1"/>
        <v>#NAME?</v>
      </c>
      <c r="AW16" t="e">
        <f ca="1"/>
        <v>#NAME?</v>
      </c>
      <c r="AX16" t="e">
        <f ca="1"/>
        <v>#NAME?</v>
      </c>
      <c r="AY16" t="e">
        <f ca="1"/>
        <v>#NAME?</v>
      </c>
      <c r="AZ16" t="e">
        <f ca="1"/>
        <v>#NAME?</v>
      </c>
      <c r="BA16" t="e">
        <f ca="1"/>
        <v>#NAME?</v>
      </c>
      <c r="BB16" t="e">
        <f ca="1"/>
        <v>#NAME?</v>
      </c>
      <c r="BC16" s="101" t="e">
        <f ca="1"/>
        <v>#NAME?</v>
      </c>
      <c r="BD16" s="102" t="e">
        <f ca="1"/>
        <v>#NAME?</v>
      </c>
      <c r="BF16" t="e">
        <f ca="1"/>
        <v>#NAME?</v>
      </c>
      <c r="BG16" s="156" t="e">
        <f ca="1"/>
        <v>#NAME?</v>
      </c>
      <c r="BH16" s="157" t="e">
        <f ca="1"/>
        <v>#NAME?</v>
      </c>
      <c r="BI16" s="157" t="e">
        <f ca="1"/>
        <v>#NAME?</v>
      </c>
      <c r="BJ16" s="157" t="e">
        <f ca="1"/>
        <v>#NAME?</v>
      </c>
      <c r="BK16" s="157" t="e">
        <f ca="1"/>
        <v>#NAME?</v>
      </c>
      <c r="BL16" s="157" t="e">
        <f ca="1"/>
        <v>#NAME?</v>
      </c>
      <c r="BM16" s="157" t="e">
        <f ca="1"/>
        <v>#NAME?</v>
      </c>
      <c r="BN16" s="157" t="e">
        <f ca="1"/>
        <v>#NAME?</v>
      </c>
      <c r="BO16" s="157" t="e">
        <f ca="1"/>
        <v>#NAME?</v>
      </c>
      <c r="BP16" s="158" t="e">
        <f ca="1"/>
        <v>#NAME?</v>
      </c>
      <c r="BQ16" s="156" t="e">
        <f ca="1"/>
        <v>#NAME?</v>
      </c>
      <c r="BR16" s="158" t="e">
        <f ca="1"/>
        <v>#NAME?</v>
      </c>
    </row>
    <row r="17" spans="1:74" x14ac:dyDescent="0.35">
      <c r="AR17" t="e">
        <f ca="1"/>
        <v>#NAME?</v>
      </c>
      <c r="AS17" s="423" t="e">
        <f ca="1"/>
        <v>#NAME?</v>
      </c>
      <c r="AT17" s="424" t="e">
        <f ca="1"/>
        <v>#NAME?</v>
      </c>
      <c r="AU17" s="424" t="e">
        <f ca="1"/>
        <v>#NAME?</v>
      </c>
      <c r="AV17" s="424" t="e">
        <f ca="1"/>
        <v>#NAME?</v>
      </c>
      <c r="AW17" s="424" t="e">
        <f ca="1"/>
        <v>#NAME?</v>
      </c>
      <c r="AX17" s="424" t="e">
        <f ca="1"/>
        <v>#NAME?</v>
      </c>
      <c r="AY17" s="424" t="e">
        <f ca="1"/>
        <v>#NAME?</v>
      </c>
      <c r="AZ17" s="424" t="e">
        <f ca="1"/>
        <v>#NAME?</v>
      </c>
      <c r="BA17" s="424" t="e">
        <f ca="1"/>
        <v>#NAME?</v>
      </c>
      <c r="BB17" s="424" t="e">
        <f ca="1"/>
        <v>#NAME?</v>
      </c>
      <c r="BC17" s="423" t="e">
        <f ca="1"/>
        <v>#NAME?</v>
      </c>
      <c r="BD17" s="425" t="e">
        <f ca="1"/>
        <v>#NAME?</v>
      </c>
      <c r="BF17" t="e">
        <f ca="1"/>
        <v>#NAME?</v>
      </c>
      <c r="BG17" s="419" t="e">
        <f ca="1"/>
        <v>#NAME?</v>
      </c>
      <c r="BH17" s="420" t="e">
        <f ca="1"/>
        <v>#NAME?</v>
      </c>
      <c r="BI17" s="420" t="e">
        <f ca="1"/>
        <v>#NAME?</v>
      </c>
      <c r="BJ17" s="420" t="e">
        <f ca="1"/>
        <v>#NAME?</v>
      </c>
      <c r="BK17" s="420" t="e">
        <f ca="1"/>
        <v>#NAME?</v>
      </c>
      <c r="BL17" s="420" t="e">
        <f ca="1"/>
        <v>#NAME?</v>
      </c>
      <c r="BM17" s="420" t="e">
        <f ca="1"/>
        <v>#NAME?</v>
      </c>
      <c r="BN17" s="420" t="e">
        <f ca="1"/>
        <v>#NAME?</v>
      </c>
      <c r="BO17" s="420" t="e">
        <f ca="1"/>
        <v>#NAME?</v>
      </c>
      <c r="BP17" s="421" t="e">
        <f ca="1"/>
        <v>#NAME?</v>
      </c>
      <c r="BQ17" s="452" t="e">
        <f ca="1"/>
        <v>#NAME?</v>
      </c>
      <c r="BR17" s="421" t="e">
        <f ca="1"/>
        <v>#NAME?</v>
      </c>
      <c r="BT17" t="e">
        <f t="array" aca="1" ref="BT17:BV26" ca="1">UCON_ITEM(A4:K13)</f>
        <v>#NAME?</v>
      </c>
      <c r="BU17" s="423" t="e">
        <f ca="1"/>
        <v>#NAME?</v>
      </c>
      <c r="BV17" s="425" t="e">
        <f ca="1"/>
        <v>#NAME?</v>
      </c>
    </row>
    <row r="18" spans="1:74" x14ac:dyDescent="0.35">
      <c r="AR18" t="e">
        <f ca="1"/>
        <v>#NAME?</v>
      </c>
      <c r="AS18" s="89" t="e">
        <f ca="1"/>
        <v>#NAME?</v>
      </c>
      <c r="AT18" s="159" t="e">
        <f ca="1"/>
        <v>#NAME?</v>
      </c>
      <c r="AU18" s="159" t="e">
        <f ca="1"/>
        <v>#NAME?</v>
      </c>
      <c r="AV18" s="159" t="e">
        <f ca="1"/>
        <v>#NAME?</v>
      </c>
      <c r="AW18" s="159" t="e">
        <f ca="1"/>
        <v>#NAME?</v>
      </c>
      <c r="AX18" s="159" t="e">
        <f ca="1"/>
        <v>#NAME?</v>
      </c>
      <c r="AY18" s="159" t="e">
        <f ca="1"/>
        <v>#NAME?</v>
      </c>
      <c r="AZ18" s="159" t="e">
        <f ca="1"/>
        <v>#NAME?</v>
      </c>
      <c r="BA18" s="159" t="e">
        <f ca="1"/>
        <v>#NAME?</v>
      </c>
      <c r="BB18" s="159" t="e">
        <f ca="1"/>
        <v>#NAME?</v>
      </c>
      <c r="BC18" s="89" t="e">
        <f ca="1"/>
        <v>#NAME?</v>
      </c>
      <c r="BD18" s="93" t="e">
        <f ca="1"/>
        <v>#NAME?</v>
      </c>
      <c r="BF18" t="e">
        <f ca="1"/>
        <v>#NAME?</v>
      </c>
      <c r="BG18" s="156" t="e">
        <f ca="1"/>
        <v>#NAME?</v>
      </c>
      <c r="BH18" s="157" t="e">
        <f ca="1"/>
        <v>#NAME?</v>
      </c>
      <c r="BI18" s="157" t="e">
        <f ca="1"/>
        <v>#NAME?</v>
      </c>
      <c r="BJ18" s="157" t="e">
        <f ca="1"/>
        <v>#NAME?</v>
      </c>
      <c r="BK18" s="157" t="e">
        <f ca="1"/>
        <v>#NAME?</v>
      </c>
      <c r="BL18" s="157" t="e">
        <f ca="1"/>
        <v>#NAME?</v>
      </c>
      <c r="BM18" s="157" t="e">
        <f ca="1"/>
        <v>#NAME?</v>
      </c>
      <c r="BN18" s="157" t="e">
        <f ca="1"/>
        <v>#NAME?</v>
      </c>
      <c r="BO18" s="157" t="e">
        <f ca="1"/>
        <v>#NAME?</v>
      </c>
      <c r="BP18" s="158" t="e">
        <f ca="1"/>
        <v>#NAME?</v>
      </c>
      <c r="BQ18" s="453" t="e">
        <f ca="1"/>
        <v>#NAME?</v>
      </c>
      <c r="BR18" s="158" t="e">
        <f ca="1"/>
        <v>#NAME?</v>
      </c>
      <c r="BT18" t="e">
        <f ca="1"/>
        <v>#NAME?</v>
      </c>
      <c r="BU18" s="101" t="e">
        <f ca="1"/>
        <v>#NAME?</v>
      </c>
      <c r="BV18" s="102" t="e">
        <f ca="1"/>
        <v>#NAME?</v>
      </c>
    </row>
    <row r="19" spans="1:74" x14ac:dyDescent="0.35">
      <c r="A19" t="s">
        <v>312</v>
      </c>
      <c r="B19">
        <v>1</v>
      </c>
      <c r="BT19" t="e">
        <f ca="1"/>
        <v>#NAME?</v>
      </c>
      <c r="BU19" s="101" t="e">
        <f ca="1"/>
        <v>#NAME?</v>
      </c>
      <c r="BV19" s="102" t="e">
        <f ca="1"/>
        <v>#NAME?</v>
      </c>
    </row>
    <row r="20" spans="1:74" x14ac:dyDescent="0.35">
      <c r="E20" s="521"/>
      <c r="F20" s="563" t="s">
        <v>999</v>
      </c>
      <c r="G20" s="563"/>
      <c r="H20" s="563"/>
      <c r="I20" s="563"/>
      <c r="J20" s="563"/>
      <c r="K20" s="563"/>
      <c r="L20" s="563"/>
      <c r="M20" s="563"/>
      <c r="N20" s="563"/>
      <c r="O20" s="563"/>
      <c r="Q20" s="563" t="s">
        <v>1000</v>
      </c>
      <c r="R20" s="563"/>
      <c r="S20" s="563"/>
      <c r="T20" s="563"/>
      <c r="U20" s="563"/>
      <c r="V20" s="563"/>
      <c r="W20" s="563"/>
      <c r="X20" s="563"/>
      <c r="Y20" s="563"/>
      <c r="Z20" s="563"/>
      <c r="AA20" s="521"/>
      <c r="AR20" t="e">
        <f t="array" aca="1" ref="AR20:BD31" ca="1">UCONFIT(A4:K13)</f>
        <v>#NAME?</v>
      </c>
      <c r="AS20" t="e">
        <f ca="1"/>
        <v>#NAME?</v>
      </c>
      <c r="AT20" t="e">
        <f ca="1"/>
        <v>#NAME?</v>
      </c>
      <c r="AU20" t="e">
        <f ca="1"/>
        <v>#NAME?</v>
      </c>
      <c r="AV20" t="e">
        <f ca="1"/>
        <v>#NAME?</v>
      </c>
      <c r="AW20" t="e">
        <f ca="1"/>
        <v>#NAME?</v>
      </c>
      <c r="AX20" t="e">
        <f ca="1"/>
        <v>#NAME?</v>
      </c>
      <c r="AY20" t="e">
        <f ca="1"/>
        <v>#NAME?</v>
      </c>
      <c r="AZ20" t="e">
        <f ca="1"/>
        <v>#NAME?</v>
      </c>
      <c r="BA20" t="e">
        <f ca="1"/>
        <v>#NAME?</v>
      </c>
      <c r="BB20" t="e">
        <f ca="1"/>
        <v>#NAME?</v>
      </c>
      <c r="BC20" t="e">
        <f ca="1"/>
        <v>#NAME?</v>
      </c>
      <c r="BD20" t="e">
        <f ca="1"/>
        <v>#NAME?</v>
      </c>
      <c r="BF20" t="e">
        <f t="array" aca="1" ref="BF20:BR31" ca="1">UCONFIT(A4:K13,TRUE,BG3,BG4)</f>
        <v>#NAME?</v>
      </c>
      <c r="BG20" t="e">
        <f ca="1"/>
        <v>#NAME?</v>
      </c>
      <c r="BH20" t="e">
        <f ca="1"/>
        <v>#NAME?</v>
      </c>
      <c r="BI20" t="e">
        <f ca="1"/>
        <v>#NAME?</v>
      </c>
      <c r="BJ20" t="e">
        <f ca="1"/>
        <v>#NAME?</v>
      </c>
      <c r="BK20" t="e">
        <f ca="1"/>
        <v>#NAME?</v>
      </c>
      <c r="BL20" t="e">
        <f ca="1"/>
        <v>#NAME?</v>
      </c>
      <c r="BM20" t="e">
        <f ca="1"/>
        <v>#NAME?</v>
      </c>
      <c r="BN20" t="e">
        <f ca="1"/>
        <v>#NAME?</v>
      </c>
      <c r="BO20" t="e">
        <f ca="1"/>
        <v>#NAME?</v>
      </c>
      <c r="BP20" t="e">
        <f ca="1"/>
        <v>#NAME?</v>
      </c>
      <c r="BQ20" s="6" t="e">
        <f ca="1"/>
        <v>#NAME?</v>
      </c>
      <c r="BR20" s="6" t="e">
        <f ca="1"/>
        <v>#NAME?</v>
      </c>
      <c r="BT20" t="e">
        <f ca="1"/>
        <v>#NAME?</v>
      </c>
      <c r="BU20" s="101" t="e">
        <f ca="1"/>
        <v>#NAME?</v>
      </c>
      <c r="BV20" s="102" t="e">
        <f ca="1"/>
        <v>#NAME?</v>
      </c>
    </row>
    <row r="21" spans="1:74" x14ac:dyDescent="0.35">
      <c r="B21" s="6" t="s">
        <v>28</v>
      </c>
      <c r="F21">
        <v>1</v>
      </c>
      <c r="G21">
        <v>2</v>
      </c>
      <c r="H21">
        <v>3</v>
      </c>
      <c r="I21">
        <v>4</v>
      </c>
      <c r="J21">
        <v>5</v>
      </c>
      <c r="K21">
        <v>6</v>
      </c>
      <c r="L21">
        <v>7</v>
      </c>
      <c r="M21">
        <v>8</v>
      </c>
      <c r="N21">
        <v>9</v>
      </c>
      <c r="O21">
        <v>10</v>
      </c>
      <c r="Q21">
        <v>1</v>
      </c>
      <c r="R21">
        <v>2</v>
      </c>
      <c r="S21">
        <v>3</v>
      </c>
      <c r="T21">
        <v>4</v>
      </c>
      <c r="U21">
        <v>5</v>
      </c>
      <c r="V21">
        <v>6</v>
      </c>
      <c r="W21">
        <v>7</v>
      </c>
      <c r="X21">
        <v>8</v>
      </c>
      <c r="Y21">
        <v>9</v>
      </c>
      <c r="Z21">
        <v>10</v>
      </c>
      <c r="AA21" s="521"/>
      <c r="AR21" t="e">
        <f ca="1"/>
        <v>#NAME?</v>
      </c>
      <c r="AS21" s="423" t="e">
        <f ca="1"/>
        <v>#NAME?</v>
      </c>
      <c r="AT21" s="424" t="e">
        <f ca="1"/>
        <v>#NAME?</v>
      </c>
      <c r="AU21" s="424" t="e">
        <f ca="1"/>
        <v>#NAME?</v>
      </c>
      <c r="AV21" s="424" t="e">
        <f ca="1"/>
        <v>#NAME?</v>
      </c>
      <c r="AW21" s="424" t="e">
        <f ca="1"/>
        <v>#NAME?</v>
      </c>
      <c r="AX21" s="424" t="e">
        <f ca="1"/>
        <v>#NAME?</v>
      </c>
      <c r="AY21" s="424" t="e">
        <f ca="1"/>
        <v>#NAME?</v>
      </c>
      <c r="AZ21" s="424" t="e">
        <f ca="1"/>
        <v>#NAME?</v>
      </c>
      <c r="BA21" s="424" t="e">
        <f ca="1"/>
        <v>#NAME?</v>
      </c>
      <c r="BB21" s="424" t="e">
        <f ca="1"/>
        <v>#NAME?</v>
      </c>
      <c r="BC21" s="423" t="e">
        <f ca="1"/>
        <v>#NAME?</v>
      </c>
      <c r="BD21" s="425" t="e">
        <f ca="1"/>
        <v>#NAME?</v>
      </c>
      <c r="BF21" t="e">
        <f ca="1"/>
        <v>#NAME?</v>
      </c>
      <c r="BG21" s="419" t="e">
        <f ca="1"/>
        <v>#NAME?</v>
      </c>
      <c r="BH21" s="420" t="e">
        <f ca="1"/>
        <v>#NAME?</v>
      </c>
      <c r="BI21" s="420" t="e">
        <f ca="1"/>
        <v>#NAME?</v>
      </c>
      <c r="BJ21" s="420" t="e">
        <f ca="1"/>
        <v>#NAME?</v>
      </c>
      <c r="BK21" s="420" t="e">
        <f ca="1"/>
        <v>#NAME?</v>
      </c>
      <c r="BL21" s="420" t="e">
        <f ca="1"/>
        <v>#NAME?</v>
      </c>
      <c r="BM21" s="420" t="e">
        <f ca="1"/>
        <v>#NAME?</v>
      </c>
      <c r="BN21" s="420" t="e">
        <f ca="1"/>
        <v>#NAME?</v>
      </c>
      <c r="BO21" s="458" t="e">
        <f ca="1"/>
        <v>#NAME?</v>
      </c>
      <c r="BP21" s="421" t="e">
        <f ca="1"/>
        <v>#NAME?</v>
      </c>
      <c r="BQ21" s="419" t="e">
        <f ca="1"/>
        <v>#NAME?</v>
      </c>
      <c r="BR21" s="421" t="e">
        <f ca="1"/>
        <v>#NAME?</v>
      </c>
      <c r="BT21" t="e">
        <f ca="1"/>
        <v>#NAME?</v>
      </c>
      <c r="BU21" s="101" t="e">
        <f ca="1"/>
        <v>#NAME?</v>
      </c>
      <c r="BV21" s="102" t="e">
        <f ca="1"/>
        <v>#NAME?</v>
      </c>
    </row>
    <row r="22" spans="1:74" x14ac:dyDescent="0.35">
      <c r="A22">
        <v>0</v>
      </c>
      <c r="B22" s="426">
        <f>COUNTIF($B$5:$K$13,A22)</f>
        <v>33</v>
      </c>
      <c r="E22" t="s">
        <v>218</v>
      </c>
      <c r="F22" s="544">
        <f t="shared" ref="F22:O30" si="0">IF(ISNUMBER(B5),EXP($M5-B$16-$B$29)/(1+EXP($M5-B$16-$B$29)+EXP(2*($M5-B$16))),"")</f>
        <v>0.33333333333333331</v>
      </c>
      <c r="G22" s="545">
        <f t="shared" si="0"/>
        <v>0.33333333333333331</v>
      </c>
      <c r="H22" s="545">
        <f t="shared" si="0"/>
        <v>0.33333333333333331</v>
      </c>
      <c r="I22" s="545">
        <f t="shared" si="0"/>
        <v>0.33333333333333331</v>
      </c>
      <c r="J22" s="545">
        <f t="shared" si="0"/>
        <v>0.33333333333333331</v>
      </c>
      <c r="K22" s="545">
        <f t="shared" si="0"/>
        <v>0.33333333333333331</v>
      </c>
      <c r="L22" s="545">
        <f t="shared" si="0"/>
        <v>0.33333333333333331</v>
      </c>
      <c r="M22" s="545">
        <f t="shared" si="0"/>
        <v>0.33333333333333331</v>
      </c>
      <c r="N22" s="545">
        <f t="shared" si="0"/>
        <v>0.33333333333333331</v>
      </c>
      <c r="O22" s="546">
        <f t="shared" si="0"/>
        <v>0.33333333333333331</v>
      </c>
      <c r="Q22" s="544">
        <f t="shared" ref="Q22:Z30" si="1">IF(ISNUMBER(B5),EXP(2*($M5-B$16))/(1+EXP($M5-B$16-$B$29)+EXP(2*($M5-B$16))),"")</f>
        <v>0.33333333333333331</v>
      </c>
      <c r="R22" s="545">
        <f t="shared" si="1"/>
        <v>0.33333333333333331</v>
      </c>
      <c r="S22" s="545">
        <f t="shared" si="1"/>
        <v>0.33333333333333331</v>
      </c>
      <c r="T22" s="545">
        <f t="shared" si="1"/>
        <v>0.33333333333333331</v>
      </c>
      <c r="U22" s="545">
        <f t="shared" si="1"/>
        <v>0.33333333333333331</v>
      </c>
      <c r="V22" s="545">
        <f t="shared" si="1"/>
        <v>0.33333333333333331</v>
      </c>
      <c r="W22" s="545">
        <f t="shared" si="1"/>
        <v>0.33333333333333331</v>
      </c>
      <c r="X22" s="545">
        <f t="shared" si="1"/>
        <v>0.33333333333333331</v>
      </c>
      <c r="Y22" s="545">
        <f t="shared" si="1"/>
        <v>0.33333333333333331</v>
      </c>
      <c r="Z22" s="546">
        <f t="shared" si="1"/>
        <v>0.33333333333333331</v>
      </c>
      <c r="AA22" s="521"/>
      <c r="AR22" t="e">
        <f ca="1"/>
        <v>#NAME?</v>
      </c>
      <c r="AS22" s="101" t="e">
        <f ca="1"/>
        <v>#NAME?</v>
      </c>
      <c r="AT22" t="e">
        <f ca="1"/>
        <v>#NAME?</v>
      </c>
      <c r="AU22" t="e">
        <f ca="1"/>
        <v>#NAME?</v>
      </c>
      <c r="AV22" t="e">
        <f ca="1"/>
        <v>#NAME?</v>
      </c>
      <c r="AW22" t="e">
        <f ca="1"/>
        <v>#NAME?</v>
      </c>
      <c r="AX22" t="e">
        <f ca="1"/>
        <v>#NAME?</v>
      </c>
      <c r="AY22" t="e">
        <f ca="1"/>
        <v>#NAME?</v>
      </c>
      <c r="AZ22" t="e">
        <f ca="1"/>
        <v>#NAME?</v>
      </c>
      <c r="BA22" t="e">
        <f ca="1"/>
        <v>#NAME?</v>
      </c>
      <c r="BB22" t="e">
        <f ca="1"/>
        <v>#NAME?</v>
      </c>
      <c r="BC22" s="101" t="e">
        <f ca="1"/>
        <v>#NAME?</v>
      </c>
      <c r="BD22" s="102" t="e">
        <f ca="1"/>
        <v>#NAME?</v>
      </c>
      <c r="BF22" t="e">
        <f ca="1"/>
        <v>#NAME?</v>
      </c>
      <c r="BG22" s="99" t="e">
        <f ca="1"/>
        <v>#NAME?</v>
      </c>
      <c r="BH22" t="e">
        <f ca="1"/>
        <v>#NAME?</v>
      </c>
      <c r="BI22" t="e">
        <f ca="1"/>
        <v>#NAME?</v>
      </c>
      <c r="BJ22" t="e">
        <f ca="1"/>
        <v>#NAME?</v>
      </c>
      <c r="BK22" t="e">
        <f ca="1"/>
        <v>#NAME?</v>
      </c>
      <c r="BL22" t="e">
        <f ca="1"/>
        <v>#NAME?</v>
      </c>
      <c r="BM22" t="e">
        <f ca="1"/>
        <v>#NAME?</v>
      </c>
      <c r="BN22" t="e">
        <f ca="1"/>
        <v>#NAME?</v>
      </c>
      <c r="BO22" t="e">
        <f ca="1"/>
        <v>#NAME?</v>
      </c>
      <c r="BP22" s="32" t="e">
        <f ca="1"/>
        <v>#NAME?</v>
      </c>
      <c r="BQ22" s="99" t="e">
        <f ca="1"/>
        <v>#NAME?</v>
      </c>
      <c r="BR22" s="32" t="e">
        <f ca="1"/>
        <v>#NAME?</v>
      </c>
      <c r="BT22" t="e">
        <f ca="1"/>
        <v>#NAME?</v>
      </c>
      <c r="BU22" s="101" t="e">
        <f ca="1"/>
        <v>#NAME?</v>
      </c>
      <c r="BV22" s="102" t="e">
        <f ca="1"/>
        <v>#NAME?</v>
      </c>
    </row>
    <row r="23" spans="1:74" x14ac:dyDescent="0.35">
      <c r="A23">
        <v>1</v>
      </c>
      <c r="B23" s="100">
        <f t="shared" ref="B23:B24" si="2">COUNTIF($B$5:$K$13,A23)</f>
        <v>37</v>
      </c>
      <c r="E23" t="s">
        <v>98</v>
      </c>
      <c r="F23" s="547">
        <f t="shared" si="0"/>
        <v>0.33333333333333331</v>
      </c>
      <c r="G23" s="548">
        <f t="shared" si="0"/>
        <v>0.33333333333333331</v>
      </c>
      <c r="H23" s="548">
        <f t="shared" si="0"/>
        <v>0.33333333333333331</v>
      </c>
      <c r="I23" s="548">
        <f t="shared" si="0"/>
        <v>0.33333333333333331</v>
      </c>
      <c r="J23" s="548">
        <f t="shared" si="0"/>
        <v>0.33333333333333331</v>
      </c>
      <c r="K23" s="548">
        <f t="shared" si="0"/>
        <v>0.33333333333333331</v>
      </c>
      <c r="L23" s="548">
        <f t="shared" si="0"/>
        <v>0.33333333333333331</v>
      </c>
      <c r="M23" s="548">
        <f t="shared" si="0"/>
        <v>0.33333333333333331</v>
      </c>
      <c r="N23" s="548">
        <f t="shared" si="0"/>
        <v>0.33333333333333331</v>
      </c>
      <c r="O23" s="549">
        <f t="shared" si="0"/>
        <v>0.33333333333333331</v>
      </c>
      <c r="Q23" s="547">
        <f t="shared" si="1"/>
        <v>0.33333333333333331</v>
      </c>
      <c r="R23" s="548">
        <f t="shared" si="1"/>
        <v>0.33333333333333331</v>
      </c>
      <c r="S23" s="548">
        <f t="shared" si="1"/>
        <v>0.33333333333333331</v>
      </c>
      <c r="T23" s="548">
        <f t="shared" si="1"/>
        <v>0.33333333333333331</v>
      </c>
      <c r="U23" s="548">
        <f t="shared" si="1"/>
        <v>0.33333333333333331</v>
      </c>
      <c r="V23" s="548">
        <f t="shared" si="1"/>
        <v>0.33333333333333331</v>
      </c>
      <c r="W23" s="548">
        <f t="shared" si="1"/>
        <v>0.33333333333333331</v>
      </c>
      <c r="X23" s="548">
        <f t="shared" si="1"/>
        <v>0.33333333333333331</v>
      </c>
      <c r="Y23" s="548">
        <f t="shared" si="1"/>
        <v>0.33333333333333331</v>
      </c>
      <c r="Z23" s="549">
        <f t="shared" si="1"/>
        <v>0.33333333333333331</v>
      </c>
      <c r="AA23" s="521"/>
      <c r="AR23" t="e">
        <f ca="1"/>
        <v>#NAME?</v>
      </c>
      <c r="AS23" s="101" t="e">
        <f ca="1"/>
        <v>#NAME?</v>
      </c>
      <c r="AT23" t="e">
        <f ca="1"/>
        <v>#NAME?</v>
      </c>
      <c r="AU23" t="e">
        <f ca="1"/>
        <v>#NAME?</v>
      </c>
      <c r="AV23" t="e">
        <f ca="1"/>
        <v>#NAME?</v>
      </c>
      <c r="AW23" t="e">
        <f ca="1"/>
        <v>#NAME?</v>
      </c>
      <c r="AX23" t="e">
        <f ca="1"/>
        <v>#NAME?</v>
      </c>
      <c r="AY23" t="e">
        <f ca="1"/>
        <v>#NAME?</v>
      </c>
      <c r="AZ23" t="e">
        <f ca="1"/>
        <v>#NAME?</v>
      </c>
      <c r="BA23" t="e">
        <f ca="1"/>
        <v>#NAME?</v>
      </c>
      <c r="BB23" t="e">
        <f ca="1"/>
        <v>#NAME?</v>
      </c>
      <c r="BC23" s="101" t="e">
        <f ca="1"/>
        <v>#NAME?</v>
      </c>
      <c r="BD23" s="102" t="e">
        <f ca="1"/>
        <v>#NAME?</v>
      </c>
      <c r="BF23" t="e">
        <f ca="1"/>
        <v>#NAME?</v>
      </c>
      <c r="BG23" s="457" t="e">
        <f ca="1"/>
        <v>#NAME?</v>
      </c>
      <c r="BH23" t="e">
        <f ca="1"/>
        <v>#NAME?</v>
      </c>
      <c r="BI23" t="e">
        <f ca="1"/>
        <v>#NAME?</v>
      </c>
      <c r="BJ23" t="e">
        <f ca="1"/>
        <v>#NAME?</v>
      </c>
      <c r="BK23" s="540" t="e">
        <f ca="1"/>
        <v>#NAME?</v>
      </c>
      <c r="BL23" t="e">
        <f ca="1"/>
        <v>#NAME?</v>
      </c>
      <c r="BM23" s="540" t="e">
        <f ca="1"/>
        <v>#NAME?</v>
      </c>
      <c r="BN23" s="540" t="e">
        <f ca="1"/>
        <v>#NAME?</v>
      </c>
      <c r="BO23" t="e">
        <f ca="1"/>
        <v>#NAME?</v>
      </c>
      <c r="BP23" s="32" t="e">
        <f ca="1"/>
        <v>#NAME?</v>
      </c>
      <c r="BQ23" s="99" t="e">
        <f ca="1"/>
        <v>#NAME?</v>
      </c>
      <c r="BR23" s="456" t="e">
        <f ca="1"/>
        <v>#NAME?</v>
      </c>
      <c r="BT23" t="e">
        <f ca="1"/>
        <v>#NAME?</v>
      </c>
      <c r="BU23" s="101" t="e">
        <f ca="1"/>
        <v>#NAME?</v>
      </c>
      <c r="BV23" s="102" t="e">
        <f ca="1"/>
        <v>#NAME?</v>
      </c>
    </row>
    <row r="24" spans="1:74" x14ac:dyDescent="0.35">
      <c r="A24">
        <v>2</v>
      </c>
      <c r="B24" s="94">
        <f t="shared" si="2"/>
        <v>19</v>
      </c>
      <c r="E24" t="s">
        <v>99</v>
      </c>
      <c r="F24" s="547" t="str">
        <f t="shared" si="0"/>
        <v/>
      </c>
      <c r="G24" s="548">
        <f t="shared" si="0"/>
        <v>0.33333333333333331</v>
      </c>
      <c r="H24" s="548">
        <f t="shared" si="0"/>
        <v>0.33333333333333331</v>
      </c>
      <c r="I24" s="548">
        <f t="shared" si="0"/>
        <v>0.33333333333333331</v>
      </c>
      <c r="J24" s="548">
        <f t="shared" si="0"/>
        <v>0.33333333333333331</v>
      </c>
      <c r="K24" s="548">
        <f t="shared" si="0"/>
        <v>0.33333333333333331</v>
      </c>
      <c r="L24" s="548">
        <f t="shared" si="0"/>
        <v>0.33333333333333331</v>
      </c>
      <c r="M24" s="548">
        <f t="shared" si="0"/>
        <v>0.33333333333333331</v>
      </c>
      <c r="N24" s="548">
        <f t="shared" si="0"/>
        <v>0.33333333333333331</v>
      </c>
      <c r="O24" s="549">
        <f t="shared" si="0"/>
        <v>0.33333333333333331</v>
      </c>
      <c r="Q24" s="547" t="str">
        <f t="shared" si="1"/>
        <v/>
      </c>
      <c r="R24" s="548">
        <f t="shared" si="1"/>
        <v>0.33333333333333331</v>
      </c>
      <c r="S24" s="548">
        <f t="shared" si="1"/>
        <v>0.33333333333333331</v>
      </c>
      <c r="T24" s="548">
        <f t="shared" si="1"/>
        <v>0.33333333333333331</v>
      </c>
      <c r="U24" s="548">
        <f t="shared" si="1"/>
        <v>0.33333333333333331</v>
      </c>
      <c r="V24" s="548">
        <f t="shared" si="1"/>
        <v>0.33333333333333331</v>
      </c>
      <c r="W24" s="548">
        <f t="shared" si="1"/>
        <v>0.33333333333333331</v>
      </c>
      <c r="X24" s="548">
        <f t="shared" si="1"/>
        <v>0.33333333333333331</v>
      </c>
      <c r="Y24" s="548">
        <f t="shared" si="1"/>
        <v>0.33333333333333331</v>
      </c>
      <c r="Z24" s="549">
        <f t="shared" si="1"/>
        <v>0.33333333333333331</v>
      </c>
      <c r="AA24" s="521"/>
      <c r="AR24" t="e">
        <f ca="1"/>
        <v>#NAME?</v>
      </c>
      <c r="AS24" s="101" t="e">
        <f ca="1"/>
        <v>#NAME?</v>
      </c>
      <c r="AT24" t="e">
        <f ca="1"/>
        <v>#NAME?</v>
      </c>
      <c r="AU24" t="e">
        <f ca="1"/>
        <v>#NAME?</v>
      </c>
      <c r="AV24" t="e">
        <f ca="1"/>
        <v>#NAME?</v>
      </c>
      <c r="AW24" t="e">
        <f ca="1"/>
        <v>#NAME?</v>
      </c>
      <c r="AX24" t="e">
        <f ca="1"/>
        <v>#NAME?</v>
      </c>
      <c r="AY24" t="e">
        <f ca="1"/>
        <v>#NAME?</v>
      </c>
      <c r="AZ24" t="e">
        <f ca="1"/>
        <v>#NAME?</v>
      </c>
      <c r="BA24" t="e">
        <f ca="1"/>
        <v>#NAME?</v>
      </c>
      <c r="BB24" t="e">
        <f ca="1"/>
        <v>#NAME?</v>
      </c>
      <c r="BC24" s="101" t="e">
        <f ca="1"/>
        <v>#NAME?</v>
      </c>
      <c r="BD24" s="102" t="e">
        <f ca="1"/>
        <v>#NAME?</v>
      </c>
      <c r="BF24" t="e">
        <f ca="1"/>
        <v>#NAME?</v>
      </c>
      <c r="BG24" s="99" t="e">
        <f ca="1"/>
        <v>#NAME?</v>
      </c>
      <c r="BH24" t="e">
        <f ca="1"/>
        <v>#NAME?</v>
      </c>
      <c r="BI24" t="e">
        <f ca="1"/>
        <v>#NAME?</v>
      </c>
      <c r="BJ24" t="e">
        <f ca="1"/>
        <v>#NAME?</v>
      </c>
      <c r="BK24" t="e">
        <f ca="1"/>
        <v>#NAME?</v>
      </c>
      <c r="BL24" t="e">
        <f ca="1"/>
        <v>#NAME?</v>
      </c>
      <c r="BM24" s="540" t="e">
        <f ca="1"/>
        <v>#NAME?</v>
      </c>
      <c r="BN24" t="e">
        <f ca="1"/>
        <v>#NAME?</v>
      </c>
      <c r="BO24" t="e">
        <f ca="1"/>
        <v>#NAME?</v>
      </c>
      <c r="BP24" s="32" t="e">
        <f ca="1"/>
        <v>#NAME?</v>
      </c>
      <c r="BQ24" s="99" t="e">
        <f ca="1"/>
        <v>#NAME?</v>
      </c>
      <c r="BR24" s="32" t="e">
        <f ca="1"/>
        <v>#NAME?</v>
      </c>
      <c r="BT24" t="e">
        <f ca="1"/>
        <v>#NAME?</v>
      </c>
      <c r="BU24" s="101" t="e">
        <f ca="1"/>
        <v>#NAME?</v>
      </c>
      <c r="BV24" s="102" t="e">
        <f ca="1"/>
        <v>#NAME?</v>
      </c>
    </row>
    <row r="25" spans="1:74" x14ac:dyDescent="0.35">
      <c r="B25">
        <f>SUM(B22:B24)</f>
        <v>89</v>
      </c>
      <c r="E25" t="s">
        <v>100</v>
      </c>
      <c r="F25" s="547">
        <f t="shared" si="0"/>
        <v>0.33333333333333331</v>
      </c>
      <c r="G25" s="548">
        <f t="shared" si="0"/>
        <v>0.33333333333333331</v>
      </c>
      <c r="H25" s="548">
        <f t="shared" si="0"/>
        <v>0.33333333333333331</v>
      </c>
      <c r="I25" s="548">
        <f t="shared" si="0"/>
        <v>0.33333333333333331</v>
      </c>
      <c r="J25" s="548">
        <f t="shared" si="0"/>
        <v>0.33333333333333331</v>
      </c>
      <c r="K25" s="548">
        <f t="shared" si="0"/>
        <v>0.33333333333333331</v>
      </c>
      <c r="L25" s="548">
        <f t="shared" si="0"/>
        <v>0.33333333333333331</v>
      </c>
      <c r="M25" s="548">
        <f t="shared" si="0"/>
        <v>0.33333333333333331</v>
      </c>
      <c r="N25" s="548">
        <f t="shared" si="0"/>
        <v>0.33333333333333331</v>
      </c>
      <c r="O25" s="549">
        <f t="shared" si="0"/>
        <v>0.33333333333333331</v>
      </c>
      <c r="Q25" s="547">
        <f t="shared" si="1"/>
        <v>0.33333333333333331</v>
      </c>
      <c r="R25" s="548">
        <f t="shared" si="1"/>
        <v>0.33333333333333331</v>
      </c>
      <c r="S25" s="548">
        <f t="shared" si="1"/>
        <v>0.33333333333333331</v>
      </c>
      <c r="T25" s="548">
        <f t="shared" si="1"/>
        <v>0.33333333333333331</v>
      </c>
      <c r="U25" s="548">
        <f t="shared" si="1"/>
        <v>0.33333333333333331</v>
      </c>
      <c r="V25" s="548">
        <f t="shared" si="1"/>
        <v>0.33333333333333331</v>
      </c>
      <c r="W25" s="548">
        <f t="shared" si="1"/>
        <v>0.33333333333333331</v>
      </c>
      <c r="X25" s="548">
        <f t="shared" si="1"/>
        <v>0.33333333333333331</v>
      </c>
      <c r="Y25" s="548">
        <f t="shared" si="1"/>
        <v>0.33333333333333331</v>
      </c>
      <c r="Z25" s="549">
        <f t="shared" si="1"/>
        <v>0.33333333333333331</v>
      </c>
      <c r="AA25" s="521"/>
      <c r="AR25" t="e">
        <f ca="1"/>
        <v>#NAME?</v>
      </c>
      <c r="AS25" s="101" t="e">
        <f ca="1"/>
        <v>#NAME?</v>
      </c>
      <c r="AT25" t="e">
        <f ca="1"/>
        <v>#NAME?</v>
      </c>
      <c r="AU25" t="e">
        <f ca="1"/>
        <v>#NAME?</v>
      </c>
      <c r="AV25" t="e">
        <f ca="1"/>
        <v>#NAME?</v>
      </c>
      <c r="AW25" t="e">
        <f ca="1"/>
        <v>#NAME?</v>
      </c>
      <c r="AX25" t="e">
        <f ca="1"/>
        <v>#NAME?</v>
      </c>
      <c r="AY25" t="e">
        <f ca="1"/>
        <v>#NAME?</v>
      </c>
      <c r="AZ25" t="e">
        <f ca="1"/>
        <v>#NAME?</v>
      </c>
      <c r="BA25" t="e">
        <f ca="1"/>
        <v>#NAME?</v>
      </c>
      <c r="BB25" t="e">
        <f ca="1"/>
        <v>#NAME?</v>
      </c>
      <c r="BC25" s="101" t="e">
        <f ca="1"/>
        <v>#NAME?</v>
      </c>
      <c r="BD25" s="102" t="e">
        <f ca="1"/>
        <v>#NAME?</v>
      </c>
      <c r="BF25" t="e">
        <f ca="1"/>
        <v>#NAME?</v>
      </c>
      <c r="BG25" s="99" t="e">
        <f ca="1"/>
        <v>#NAME?</v>
      </c>
      <c r="BH25" t="e">
        <f ca="1"/>
        <v>#NAME?</v>
      </c>
      <c r="BI25" t="e">
        <f ca="1"/>
        <v>#NAME?</v>
      </c>
      <c r="BJ25" s="540" t="e">
        <f ca="1"/>
        <v>#NAME?</v>
      </c>
      <c r="BK25" s="540" t="e">
        <f ca="1"/>
        <v>#NAME?</v>
      </c>
      <c r="BL25" s="540" t="e">
        <f ca="1"/>
        <v>#NAME?</v>
      </c>
      <c r="BM25" t="e">
        <f ca="1"/>
        <v>#NAME?</v>
      </c>
      <c r="BN25" t="e">
        <f ca="1"/>
        <v>#NAME?</v>
      </c>
      <c r="BO25" t="e">
        <f ca="1"/>
        <v>#NAME?</v>
      </c>
      <c r="BP25" s="32" t="e">
        <f ca="1"/>
        <v>#NAME?</v>
      </c>
      <c r="BQ25" s="99" t="e">
        <f ca="1"/>
        <v>#NAME?</v>
      </c>
      <c r="BR25" s="32" t="e">
        <f ca="1"/>
        <v>#NAME?</v>
      </c>
      <c r="BT25" t="e">
        <f ca="1"/>
        <v>#NAME?</v>
      </c>
      <c r="BU25" s="101" t="e">
        <f ca="1"/>
        <v>#NAME?</v>
      </c>
      <c r="BV25" s="102" t="e">
        <f ca="1"/>
        <v>#NAME?</v>
      </c>
    </row>
    <row r="26" spans="1:74" x14ac:dyDescent="0.35">
      <c r="E26" t="s">
        <v>536</v>
      </c>
      <c r="F26" s="547">
        <f t="shared" si="0"/>
        <v>0.33333333333333331</v>
      </c>
      <c r="G26" s="548">
        <f t="shared" si="0"/>
        <v>0.33333333333333331</v>
      </c>
      <c r="H26" s="548">
        <f t="shared" si="0"/>
        <v>0.33333333333333331</v>
      </c>
      <c r="I26" s="548">
        <f t="shared" si="0"/>
        <v>0.33333333333333331</v>
      </c>
      <c r="J26" s="548">
        <f t="shared" si="0"/>
        <v>0.33333333333333331</v>
      </c>
      <c r="K26" s="548">
        <f t="shared" si="0"/>
        <v>0.33333333333333331</v>
      </c>
      <c r="L26" s="548">
        <f t="shared" si="0"/>
        <v>0.33333333333333331</v>
      </c>
      <c r="M26" s="548">
        <f t="shared" si="0"/>
        <v>0.33333333333333331</v>
      </c>
      <c r="N26" s="548">
        <f t="shared" si="0"/>
        <v>0.33333333333333331</v>
      </c>
      <c r="O26" s="549">
        <f t="shared" si="0"/>
        <v>0.33333333333333331</v>
      </c>
      <c r="Q26" s="547">
        <f t="shared" si="1"/>
        <v>0.33333333333333331</v>
      </c>
      <c r="R26" s="548">
        <f t="shared" si="1"/>
        <v>0.33333333333333331</v>
      </c>
      <c r="S26" s="548">
        <f t="shared" si="1"/>
        <v>0.33333333333333331</v>
      </c>
      <c r="T26" s="548">
        <f t="shared" si="1"/>
        <v>0.33333333333333331</v>
      </c>
      <c r="U26" s="548">
        <f t="shared" si="1"/>
        <v>0.33333333333333331</v>
      </c>
      <c r="V26" s="548">
        <f t="shared" si="1"/>
        <v>0.33333333333333331</v>
      </c>
      <c r="W26" s="548">
        <f t="shared" si="1"/>
        <v>0.33333333333333331</v>
      </c>
      <c r="X26" s="548">
        <f t="shared" si="1"/>
        <v>0.33333333333333331</v>
      </c>
      <c r="Y26" s="548">
        <f t="shared" si="1"/>
        <v>0.33333333333333331</v>
      </c>
      <c r="Z26" s="549">
        <f t="shared" si="1"/>
        <v>0.33333333333333331</v>
      </c>
      <c r="AA26" s="521"/>
      <c r="AR26" t="e">
        <f ca="1"/>
        <v>#NAME?</v>
      </c>
      <c r="AS26" s="101" t="e">
        <f ca="1"/>
        <v>#NAME?</v>
      </c>
      <c r="AT26" t="e">
        <f ca="1"/>
        <v>#NAME?</v>
      </c>
      <c r="AU26" t="e">
        <f ca="1"/>
        <v>#NAME?</v>
      </c>
      <c r="AV26" t="e">
        <f ca="1"/>
        <v>#NAME?</v>
      </c>
      <c r="AW26" t="e">
        <f ca="1"/>
        <v>#NAME?</v>
      </c>
      <c r="AX26" t="e">
        <f ca="1"/>
        <v>#NAME?</v>
      </c>
      <c r="AY26" t="e">
        <f ca="1"/>
        <v>#NAME?</v>
      </c>
      <c r="AZ26" t="e">
        <f ca="1"/>
        <v>#NAME?</v>
      </c>
      <c r="BA26" t="e">
        <f ca="1"/>
        <v>#NAME?</v>
      </c>
      <c r="BB26" t="e">
        <f ca="1"/>
        <v>#NAME?</v>
      </c>
      <c r="BC26" s="101" t="e">
        <f ca="1"/>
        <v>#NAME?</v>
      </c>
      <c r="BD26" s="102" t="e">
        <f ca="1"/>
        <v>#NAME?</v>
      </c>
      <c r="BF26" t="e">
        <f ca="1"/>
        <v>#NAME?</v>
      </c>
      <c r="BG26" s="540" t="e">
        <f ca="1"/>
        <v>#NAME?</v>
      </c>
      <c r="BH26" s="540" t="e">
        <f ca="1"/>
        <v>#NAME?</v>
      </c>
      <c r="BI26" t="e">
        <f ca="1"/>
        <v>#NAME?</v>
      </c>
      <c r="BJ26" t="e">
        <f ca="1"/>
        <v>#NAME?</v>
      </c>
      <c r="BK26" s="540" t="e">
        <f ca="1"/>
        <v>#NAME?</v>
      </c>
      <c r="BL26" s="540" t="e">
        <f ca="1"/>
        <v>#NAME?</v>
      </c>
      <c r="BM26" t="e">
        <f ca="1"/>
        <v>#NAME?</v>
      </c>
      <c r="BN26" t="e">
        <f ca="1"/>
        <v>#NAME?</v>
      </c>
      <c r="BO26" t="e">
        <f ca="1"/>
        <v>#NAME?</v>
      </c>
      <c r="BP26" s="32" t="e">
        <f ca="1"/>
        <v>#NAME?</v>
      </c>
      <c r="BQ26" s="99" t="e">
        <f ca="1"/>
        <v>#NAME?</v>
      </c>
      <c r="BR26" s="32" t="e">
        <f ca="1"/>
        <v>#NAME?</v>
      </c>
      <c r="BT26" t="e">
        <f ca="1"/>
        <v>#NAME?</v>
      </c>
      <c r="BU26" s="89" t="e">
        <f ca="1"/>
        <v>#NAME?</v>
      </c>
      <c r="BV26" s="93" t="e">
        <f ca="1"/>
        <v>#NAME?</v>
      </c>
    </row>
    <row r="27" spans="1:74" x14ac:dyDescent="0.35">
      <c r="B27" s="6" t="s">
        <v>1001</v>
      </c>
      <c r="E27" t="s">
        <v>101</v>
      </c>
      <c r="F27" s="547">
        <f t="shared" si="0"/>
        <v>0.33333333333333331</v>
      </c>
      <c r="G27" s="548">
        <f t="shared" si="0"/>
        <v>0.33333333333333331</v>
      </c>
      <c r="H27" s="548">
        <f t="shared" si="0"/>
        <v>0.33333333333333331</v>
      </c>
      <c r="I27" s="548">
        <f t="shared" si="0"/>
        <v>0.33333333333333331</v>
      </c>
      <c r="J27" s="548">
        <f t="shared" si="0"/>
        <v>0.33333333333333331</v>
      </c>
      <c r="K27" s="548">
        <f t="shared" si="0"/>
        <v>0.33333333333333331</v>
      </c>
      <c r="L27" s="548">
        <f t="shared" si="0"/>
        <v>0.33333333333333331</v>
      </c>
      <c r="M27" s="548">
        <f t="shared" si="0"/>
        <v>0.33333333333333331</v>
      </c>
      <c r="N27" s="548">
        <f t="shared" si="0"/>
        <v>0.33333333333333331</v>
      </c>
      <c r="O27" s="549">
        <f t="shared" si="0"/>
        <v>0.33333333333333331</v>
      </c>
      <c r="Q27" s="547">
        <f t="shared" si="1"/>
        <v>0.33333333333333331</v>
      </c>
      <c r="R27" s="548">
        <f t="shared" si="1"/>
        <v>0.33333333333333331</v>
      </c>
      <c r="S27" s="548">
        <f t="shared" si="1"/>
        <v>0.33333333333333331</v>
      </c>
      <c r="T27" s="548">
        <f t="shared" si="1"/>
        <v>0.33333333333333331</v>
      </c>
      <c r="U27" s="548">
        <f t="shared" si="1"/>
        <v>0.33333333333333331</v>
      </c>
      <c r="V27" s="548">
        <f t="shared" si="1"/>
        <v>0.33333333333333331</v>
      </c>
      <c r="W27" s="548">
        <f t="shared" si="1"/>
        <v>0.33333333333333331</v>
      </c>
      <c r="X27" s="548">
        <f t="shared" si="1"/>
        <v>0.33333333333333331</v>
      </c>
      <c r="Y27" s="548">
        <f t="shared" si="1"/>
        <v>0.33333333333333331</v>
      </c>
      <c r="Z27" s="549">
        <f t="shared" si="1"/>
        <v>0.33333333333333331</v>
      </c>
      <c r="AA27" s="521"/>
      <c r="AR27" t="e">
        <f ca="1"/>
        <v>#NAME?</v>
      </c>
      <c r="AS27" s="101" t="e">
        <f ca="1"/>
        <v>#NAME?</v>
      </c>
      <c r="AT27" t="e">
        <f ca="1"/>
        <v>#NAME?</v>
      </c>
      <c r="AU27" t="e">
        <f ca="1"/>
        <v>#NAME?</v>
      </c>
      <c r="AV27" t="e">
        <f ca="1"/>
        <v>#NAME?</v>
      </c>
      <c r="AW27" t="e">
        <f ca="1"/>
        <v>#NAME?</v>
      </c>
      <c r="AX27" t="e">
        <f ca="1"/>
        <v>#NAME?</v>
      </c>
      <c r="AY27" t="e">
        <f ca="1"/>
        <v>#NAME?</v>
      </c>
      <c r="AZ27" t="e">
        <f ca="1"/>
        <v>#NAME?</v>
      </c>
      <c r="BA27" t="e">
        <f ca="1"/>
        <v>#NAME?</v>
      </c>
      <c r="BB27" t="e">
        <f ca="1"/>
        <v>#NAME?</v>
      </c>
      <c r="BC27" s="101" t="e">
        <f ca="1"/>
        <v>#NAME?</v>
      </c>
      <c r="BD27" s="102" t="e">
        <f ca="1"/>
        <v>#NAME?</v>
      </c>
      <c r="BF27" t="e">
        <f ca="1"/>
        <v>#NAME?</v>
      </c>
      <c r="BG27" s="99" t="e">
        <f ca="1"/>
        <v>#NAME?</v>
      </c>
      <c r="BH27" s="540" t="e">
        <f ca="1"/>
        <v>#NAME?</v>
      </c>
      <c r="BI27" s="540" t="e">
        <f ca="1"/>
        <v>#NAME?</v>
      </c>
      <c r="BJ27" t="e">
        <f ca="1"/>
        <v>#NAME?</v>
      </c>
      <c r="BK27" t="e">
        <f ca="1"/>
        <v>#NAME?</v>
      </c>
      <c r="BL27" t="e">
        <f ca="1"/>
        <v>#NAME?</v>
      </c>
      <c r="BM27" t="e">
        <f ca="1"/>
        <v>#NAME?</v>
      </c>
      <c r="BN27" t="e">
        <f ca="1"/>
        <v>#NAME?</v>
      </c>
      <c r="BO27" s="540" t="e">
        <f ca="1"/>
        <v>#NAME?</v>
      </c>
      <c r="BP27" s="32" t="e">
        <f ca="1"/>
        <v>#NAME?</v>
      </c>
      <c r="BQ27" s="457" t="e">
        <f ca="1"/>
        <v>#NAME?</v>
      </c>
      <c r="BR27" s="32" t="e">
        <f ca="1"/>
        <v>#NAME?</v>
      </c>
    </row>
    <row r="28" spans="1:74" x14ac:dyDescent="0.35">
      <c r="A28">
        <v>0</v>
      </c>
      <c r="B28" s="426">
        <v>0</v>
      </c>
      <c r="E28" t="s">
        <v>281</v>
      </c>
      <c r="F28" s="547">
        <f t="shared" si="0"/>
        <v>0.33333333333333331</v>
      </c>
      <c r="G28" s="548">
        <f t="shared" si="0"/>
        <v>0.33333333333333331</v>
      </c>
      <c r="H28" s="548">
        <f t="shared" si="0"/>
        <v>0.33333333333333331</v>
      </c>
      <c r="I28" s="548">
        <f t="shared" si="0"/>
        <v>0.33333333333333331</v>
      </c>
      <c r="J28" s="548">
        <f t="shared" si="0"/>
        <v>0.33333333333333331</v>
      </c>
      <c r="K28" s="548">
        <f t="shared" si="0"/>
        <v>0.33333333333333331</v>
      </c>
      <c r="L28" s="548">
        <f t="shared" si="0"/>
        <v>0.33333333333333331</v>
      </c>
      <c r="M28" s="548">
        <f t="shared" si="0"/>
        <v>0.33333333333333331</v>
      </c>
      <c r="N28" s="548">
        <f t="shared" si="0"/>
        <v>0.33333333333333331</v>
      </c>
      <c r="O28" s="549">
        <f t="shared" si="0"/>
        <v>0.33333333333333331</v>
      </c>
      <c r="Q28" s="547">
        <f t="shared" si="1"/>
        <v>0.33333333333333331</v>
      </c>
      <c r="R28" s="548">
        <f t="shared" si="1"/>
        <v>0.33333333333333331</v>
      </c>
      <c r="S28" s="548">
        <f t="shared" si="1"/>
        <v>0.33333333333333331</v>
      </c>
      <c r="T28" s="548">
        <f t="shared" si="1"/>
        <v>0.33333333333333331</v>
      </c>
      <c r="U28" s="548">
        <f t="shared" si="1"/>
        <v>0.33333333333333331</v>
      </c>
      <c r="V28" s="548">
        <f t="shared" si="1"/>
        <v>0.33333333333333331</v>
      </c>
      <c r="W28" s="548">
        <f t="shared" si="1"/>
        <v>0.33333333333333331</v>
      </c>
      <c r="X28" s="548">
        <f t="shared" si="1"/>
        <v>0.33333333333333331</v>
      </c>
      <c r="Y28" s="548">
        <f t="shared" si="1"/>
        <v>0.33333333333333331</v>
      </c>
      <c r="Z28" s="549">
        <f t="shared" si="1"/>
        <v>0.33333333333333331</v>
      </c>
      <c r="AA28" s="521"/>
      <c r="AR28" t="e">
        <f ca="1"/>
        <v>#NAME?</v>
      </c>
      <c r="AS28" s="101" t="e">
        <f ca="1"/>
        <v>#NAME?</v>
      </c>
      <c r="AT28" t="e">
        <f ca="1"/>
        <v>#NAME?</v>
      </c>
      <c r="AU28" t="e">
        <f ca="1"/>
        <v>#NAME?</v>
      </c>
      <c r="AV28" t="e">
        <f ca="1"/>
        <v>#NAME?</v>
      </c>
      <c r="AW28" t="e">
        <f ca="1"/>
        <v>#NAME?</v>
      </c>
      <c r="AX28" t="e">
        <f ca="1"/>
        <v>#NAME?</v>
      </c>
      <c r="AY28" t="e">
        <f ca="1"/>
        <v>#NAME?</v>
      </c>
      <c r="AZ28" t="e">
        <f ca="1"/>
        <v>#NAME?</v>
      </c>
      <c r="BA28" t="e">
        <f ca="1"/>
        <v>#NAME?</v>
      </c>
      <c r="BB28" t="e">
        <f ca="1"/>
        <v>#NAME?</v>
      </c>
      <c r="BC28" s="101" t="e">
        <f ca="1"/>
        <v>#NAME?</v>
      </c>
      <c r="BD28" s="102" t="e">
        <f ca="1"/>
        <v>#NAME?</v>
      </c>
      <c r="BF28" t="e">
        <f ca="1"/>
        <v>#NAME?</v>
      </c>
      <c r="BG28" s="99" t="e">
        <f ca="1"/>
        <v>#NAME?</v>
      </c>
      <c r="BH28" s="540" t="e">
        <f ca="1"/>
        <v>#NAME?</v>
      </c>
      <c r="BI28" t="e">
        <f ca="1"/>
        <v>#NAME?</v>
      </c>
      <c r="BJ28" t="e">
        <f ca="1"/>
        <v>#NAME?</v>
      </c>
      <c r="BK28" t="e">
        <f ca="1"/>
        <v>#NAME?</v>
      </c>
      <c r="BL28" t="e">
        <f ca="1"/>
        <v>#NAME?</v>
      </c>
      <c r="BM28" s="540" t="e">
        <f ca="1"/>
        <v>#NAME?</v>
      </c>
      <c r="BN28" t="e">
        <f ca="1"/>
        <v>#NAME?</v>
      </c>
      <c r="BO28" s="540" t="e">
        <f ca="1"/>
        <v>#NAME?</v>
      </c>
      <c r="BP28" s="32" t="e">
        <f ca="1"/>
        <v>#NAME?</v>
      </c>
      <c r="BQ28" s="457" t="e">
        <f ca="1"/>
        <v>#NAME?</v>
      </c>
      <c r="BR28" s="32" t="e">
        <f ca="1"/>
        <v>#NAME?</v>
      </c>
      <c r="BT28" t="e" cm="1">
        <f t="array" aca="1" ref="BT28" ca="1">UCON_THRESH(A4:K13)</f>
        <v>#NAME?</v>
      </c>
      <c r="BU28" s="426"/>
    </row>
    <row r="29" spans="1:74" x14ac:dyDescent="0.35">
      <c r="A29">
        <v>1</v>
      </c>
      <c r="B29" s="100">
        <v>0</v>
      </c>
      <c r="E29" t="s">
        <v>537</v>
      </c>
      <c r="F29" s="547">
        <f t="shared" si="0"/>
        <v>0.33333333333333331</v>
      </c>
      <c r="G29" s="548">
        <f t="shared" si="0"/>
        <v>0.33333333333333331</v>
      </c>
      <c r="H29" s="548">
        <f t="shared" si="0"/>
        <v>0.33333333333333331</v>
      </c>
      <c r="I29" s="548">
        <f t="shared" si="0"/>
        <v>0.33333333333333331</v>
      </c>
      <c r="J29" s="548">
        <f t="shared" si="0"/>
        <v>0.33333333333333331</v>
      </c>
      <c r="K29" s="548">
        <f t="shared" si="0"/>
        <v>0.33333333333333331</v>
      </c>
      <c r="L29" s="548">
        <f t="shared" si="0"/>
        <v>0.33333333333333331</v>
      </c>
      <c r="M29" s="548">
        <f t="shared" si="0"/>
        <v>0.33333333333333331</v>
      </c>
      <c r="N29" s="548">
        <f t="shared" si="0"/>
        <v>0.33333333333333331</v>
      </c>
      <c r="O29" s="549">
        <f t="shared" si="0"/>
        <v>0.33333333333333331</v>
      </c>
      <c r="Q29" s="547">
        <f t="shared" si="1"/>
        <v>0.33333333333333331</v>
      </c>
      <c r="R29" s="548">
        <f t="shared" si="1"/>
        <v>0.33333333333333331</v>
      </c>
      <c r="S29" s="548">
        <f t="shared" si="1"/>
        <v>0.33333333333333331</v>
      </c>
      <c r="T29" s="548">
        <f t="shared" si="1"/>
        <v>0.33333333333333331</v>
      </c>
      <c r="U29" s="548">
        <f t="shared" si="1"/>
        <v>0.33333333333333331</v>
      </c>
      <c r="V29" s="548">
        <f t="shared" si="1"/>
        <v>0.33333333333333331</v>
      </c>
      <c r="W29" s="548">
        <f t="shared" si="1"/>
        <v>0.33333333333333331</v>
      </c>
      <c r="X29" s="548">
        <f t="shared" si="1"/>
        <v>0.33333333333333331</v>
      </c>
      <c r="Y29" s="548">
        <f t="shared" si="1"/>
        <v>0.33333333333333331</v>
      </c>
      <c r="Z29" s="549">
        <f t="shared" si="1"/>
        <v>0.33333333333333331</v>
      </c>
      <c r="AA29" s="521"/>
      <c r="AR29" t="e">
        <f ca="1"/>
        <v>#NAME?</v>
      </c>
      <c r="AS29" s="101" t="e">
        <f ca="1"/>
        <v>#NAME?</v>
      </c>
      <c r="AT29" t="e">
        <f ca="1"/>
        <v>#NAME?</v>
      </c>
      <c r="AU29" t="e">
        <f ca="1"/>
        <v>#NAME?</v>
      </c>
      <c r="AV29" t="e">
        <f ca="1"/>
        <v>#NAME?</v>
      </c>
      <c r="AW29" t="e">
        <f ca="1"/>
        <v>#NAME?</v>
      </c>
      <c r="AX29" t="e">
        <f ca="1"/>
        <v>#NAME?</v>
      </c>
      <c r="AY29" t="e">
        <f ca="1"/>
        <v>#NAME?</v>
      </c>
      <c r="AZ29" t="e">
        <f ca="1"/>
        <v>#NAME?</v>
      </c>
      <c r="BA29" t="e">
        <f ca="1"/>
        <v>#NAME?</v>
      </c>
      <c r="BB29" t="e">
        <f ca="1"/>
        <v>#NAME?</v>
      </c>
      <c r="BC29" s="101" t="e">
        <f ca="1"/>
        <v>#NAME?</v>
      </c>
      <c r="BD29" s="102" t="e">
        <f ca="1"/>
        <v>#NAME?</v>
      </c>
      <c r="BF29" t="e">
        <f ca="1"/>
        <v>#NAME?</v>
      </c>
      <c r="BG29" s="156" t="e">
        <f ca="1"/>
        <v>#NAME?</v>
      </c>
      <c r="BH29" s="157" t="e">
        <f ca="1"/>
        <v>#NAME?</v>
      </c>
      <c r="BI29" s="157" t="e">
        <f ca="1"/>
        <v>#NAME?</v>
      </c>
      <c r="BJ29" s="157" t="e">
        <f ca="1"/>
        <v>#NAME?</v>
      </c>
      <c r="BK29" s="157" t="e">
        <f ca="1"/>
        <v>#NAME?</v>
      </c>
      <c r="BL29" s="157" t="e">
        <f ca="1"/>
        <v>#NAME?</v>
      </c>
      <c r="BM29" s="157" t="e">
        <f ca="1"/>
        <v>#NAME?</v>
      </c>
      <c r="BN29" s="157" t="e">
        <f ca="1"/>
        <v>#NAME?</v>
      </c>
      <c r="BO29" s="157" t="e">
        <f ca="1"/>
        <v>#NAME?</v>
      </c>
      <c r="BP29" s="541" t="e">
        <f ca="1"/>
        <v>#NAME?</v>
      </c>
      <c r="BQ29" s="542" t="e">
        <f ca="1"/>
        <v>#NAME?</v>
      </c>
      <c r="BR29" s="158" t="e">
        <f ca="1"/>
        <v>#NAME?</v>
      </c>
      <c r="BU29" s="100"/>
    </row>
    <row r="30" spans="1:74" x14ac:dyDescent="0.35">
      <c r="A30">
        <v>2</v>
      </c>
      <c r="B30" s="94">
        <v>0</v>
      </c>
      <c r="E30" t="s">
        <v>905</v>
      </c>
      <c r="F30" s="550">
        <f t="shared" si="0"/>
        <v>0.33333333333333331</v>
      </c>
      <c r="G30" s="551">
        <f t="shared" si="0"/>
        <v>0.33333333333333331</v>
      </c>
      <c r="H30" s="551">
        <f t="shared" si="0"/>
        <v>0.33333333333333331</v>
      </c>
      <c r="I30" s="551">
        <f t="shared" si="0"/>
        <v>0.33333333333333331</v>
      </c>
      <c r="J30" s="551">
        <f t="shared" si="0"/>
        <v>0.33333333333333331</v>
      </c>
      <c r="K30" s="551">
        <f t="shared" si="0"/>
        <v>0.33333333333333331</v>
      </c>
      <c r="L30" s="551">
        <f t="shared" si="0"/>
        <v>0.33333333333333331</v>
      </c>
      <c r="M30" s="551">
        <f t="shared" si="0"/>
        <v>0.33333333333333331</v>
      </c>
      <c r="N30" s="551">
        <f t="shared" si="0"/>
        <v>0.33333333333333331</v>
      </c>
      <c r="O30" s="552">
        <f t="shared" si="0"/>
        <v>0.33333333333333331</v>
      </c>
      <c r="Q30" s="550">
        <f t="shared" si="1"/>
        <v>0.33333333333333331</v>
      </c>
      <c r="R30" s="551">
        <f t="shared" si="1"/>
        <v>0.33333333333333331</v>
      </c>
      <c r="S30" s="551">
        <f t="shared" si="1"/>
        <v>0.33333333333333331</v>
      </c>
      <c r="T30" s="551">
        <f t="shared" si="1"/>
        <v>0.33333333333333331</v>
      </c>
      <c r="U30" s="551">
        <f t="shared" si="1"/>
        <v>0.33333333333333331</v>
      </c>
      <c r="V30" s="551">
        <f t="shared" si="1"/>
        <v>0.33333333333333331</v>
      </c>
      <c r="W30" s="551">
        <f t="shared" si="1"/>
        <v>0.33333333333333331</v>
      </c>
      <c r="X30" s="551">
        <f t="shared" si="1"/>
        <v>0.33333333333333331</v>
      </c>
      <c r="Y30" s="551">
        <f t="shared" si="1"/>
        <v>0.33333333333333331</v>
      </c>
      <c r="Z30" s="552">
        <f t="shared" si="1"/>
        <v>0.33333333333333331</v>
      </c>
      <c r="AA30" s="521"/>
      <c r="AR30" t="e">
        <f ca="1"/>
        <v>#NAME?</v>
      </c>
      <c r="AS30" s="423" t="e">
        <f ca="1"/>
        <v>#NAME?</v>
      </c>
      <c r="AT30" s="424" t="e">
        <f ca="1"/>
        <v>#NAME?</v>
      </c>
      <c r="AU30" s="424" t="e">
        <f ca="1"/>
        <v>#NAME?</v>
      </c>
      <c r="AV30" s="424" t="e">
        <f ca="1"/>
        <v>#NAME?</v>
      </c>
      <c r="AW30" s="424" t="e">
        <f ca="1"/>
        <v>#NAME?</v>
      </c>
      <c r="AX30" s="424" t="e">
        <f ca="1"/>
        <v>#NAME?</v>
      </c>
      <c r="AY30" s="424" t="e">
        <f ca="1"/>
        <v>#NAME?</v>
      </c>
      <c r="AZ30" s="424" t="e">
        <f ca="1"/>
        <v>#NAME?</v>
      </c>
      <c r="BA30" s="424" t="e">
        <f ca="1"/>
        <v>#NAME?</v>
      </c>
      <c r="BB30" s="424" t="e">
        <f ca="1"/>
        <v>#NAME?</v>
      </c>
      <c r="BC30" s="423" t="e">
        <f ca="1"/>
        <v>#NAME?</v>
      </c>
      <c r="BD30" s="425" t="e">
        <f ca="1"/>
        <v>#NAME?</v>
      </c>
      <c r="BF30" t="e">
        <f ca="1"/>
        <v>#NAME?</v>
      </c>
      <c r="BG30" s="419" t="e">
        <f ca="1"/>
        <v>#NAME?</v>
      </c>
      <c r="BH30" s="420" t="e">
        <f ca="1"/>
        <v>#NAME?</v>
      </c>
      <c r="BI30" s="420" t="e">
        <f ca="1"/>
        <v>#NAME?</v>
      </c>
      <c r="BJ30" s="420" t="e">
        <f ca="1"/>
        <v>#NAME?</v>
      </c>
      <c r="BK30" s="420" t="e">
        <f ca="1"/>
        <v>#NAME?</v>
      </c>
      <c r="BL30" s="420" t="e">
        <f ca="1"/>
        <v>#NAME?</v>
      </c>
      <c r="BM30" s="420" t="e">
        <f ca="1"/>
        <v>#NAME?</v>
      </c>
      <c r="BN30" s="420" t="e">
        <f ca="1"/>
        <v>#NAME?</v>
      </c>
      <c r="BO30" s="458" t="e">
        <f ca="1"/>
        <v>#NAME?</v>
      </c>
      <c r="BP30" s="543" t="e">
        <f ca="1"/>
        <v>#NAME?</v>
      </c>
      <c r="BQ30" s="452" t="e">
        <f ca="1"/>
        <v>#NAME?</v>
      </c>
      <c r="BR30" s="421" t="e">
        <f ca="1"/>
        <v>#NAME?</v>
      </c>
      <c r="BU30" s="94"/>
    </row>
    <row r="31" spans="1:74" x14ac:dyDescent="0.35">
      <c r="AR31" t="e">
        <f ca="1"/>
        <v>#NAME?</v>
      </c>
      <c r="AS31" s="89" t="e">
        <f ca="1"/>
        <v>#NAME?</v>
      </c>
      <c r="AT31" s="159" t="e">
        <f ca="1"/>
        <v>#NAME?</v>
      </c>
      <c r="AU31" s="159" t="e">
        <f ca="1"/>
        <v>#NAME?</v>
      </c>
      <c r="AV31" s="159" t="e">
        <f ca="1"/>
        <v>#NAME?</v>
      </c>
      <c r="AW31" s="159" t="e">
        <f ca="1"/>
        <v>#NAME?</v>
      </c>
      <c r="AX31" s="159" t="e">
        <f ca="1"/>
        <v>#NAME?</v>
      </c>
      <c r="AY31" s="159" t="e">
        <f ca="1"/>
        <v>#NAME?</v>
      </c>
      <c r="AZ31" s="159" t="e">
        <f ca="1"/>
        <v>#NAME?</v>
      </c>
      <c r="BA31" s="159" t="e">
        <f ca="1"/>
        <v>#NAME?</v>
      </c>
      <c r="BB31" s="159" t="e">
        <f ca="1"/>
        <v>#NAME?</v>
      </c>
      <c r="BC31" s="89" t="e">
        <f ca="1"/>
        <v>#NAME?</v>
      </c>
      <c r="BD31" s="93" t="e">
        <f ca="1"/>
        <v>#NAME?</v>
      </c>
      <c r="BF31" t="e">
        <f ca="1"/>
        <v>#NAME?</v>
      </c>
      <c r="BG31" s="156" t="e">
        <f ca="1"/>
        <v>#NAME?</v>
      </c>
      <c r="BH31" s="157" t="e">
        <f ca="1"/>
        <v>#NAME?</v>
      </c>
      <c r="BI31" s="157" t="e">
        <f ca="1"/>
        <v>#NAME?</v>
      </c>
      <c r="BJ31" s="157" t="e">
        <f ca="1"/>
        <v>#NAME?</v>
      </c>
      <c r="BK31" s="157" t="e">
        <f ca="1"/>
        <v>#NAME?</v>
      </c>
      <c r="BL31" s="157" t="e">
        <f ca="1"/>
        <v>#NAME?</v>
      </c>
      <c r="BM31" s="157" t="e">
        <f ca="1"/>
        <v>#NAME?</v>
      </c>
      <c r="BN31" s="157" t="e">
        <f ca="1"/>
        <v>#NAME?</v>
      </c>
      <c r="BO31" s="459" t="e">
        <f ca="1"/>
        <v>#NAME?</v>
      </c>
      <c r="BP31" s="158" t="e">
        <f ca="1"/>
        <v>#NAME?</v>
      </c>
      <c r="BQ31" s="453" t="e">
        <f ca="1"/>
        <v>#NAME?</v>
      </c>
      <c r="BR31" s="158" t="e">
        <f ca="1"/>
        <v>#NAME?</v>
      </c>
    </row>
    <row r="32" spans="1:74" x14ac:dyDescent="0.35">
      <c r="B32" t="s">
        <v>860</v>
      </c>
      <c r="P32" t="s">
        <v>908</v>
      </c>
      <c r="AB32" t="s">
        <v>909</v>
      </c>
      <c r="AN32" t="s">
        <v>32</v>
      </c>
    </row>
    <row r="34" spans="1:42" x14ac:dyDescent="0.35">
      <c r="B34">
        <v>1</v>
      </c>
      <c r="C34">
        <v>2</v>
      </c>
      <c r="D34">
        <v>3</v>
      </c>
      <c r="E34">
        <v>4</v>
      </c>
      <c r="F34">
        <v>5</v>
      </c>
      <c r="G34">
        <v>6</v>
      </c>
      <c r="H34">
        <v>7</v>
      </c>
      <c r="I34">
        <v>8</v>
      </c>
      <c r="J34">
        <v>9</v>
      </c>
      <c r="K34">
        <v>10</v>
      </c>
      <c r="M34" t="s">
        <v>904</v>
      </c>
      <c r="N34" s="521" t="s">
        <v>265</v>
      </c>
      <c r="P34">
        <v>1</v>
      </c>
      <c r="Q34">
        <v>2</v>
      </c>
      <c r="R34">
        <v>3</v>
      </c>
      <c r="S34">
        <v>4</v>
      </c>
      <c r="T34">
        <v>5</v>
      </c>
      <c r="U34">
        <v>6</v>
      </c>
      <c r="V34">
        <v>7</v>
      </c>
      <c r="W34">
        <v>8</v>
      </c>
      <c r="X34">
        <v>9</v>
      </c>
      <c r="Y34">
        <v>10</v>
      </c>
      <c r="AB34">
        <v>1</v>
      </c>
      <c r="AC34">
        <v>2</v>
      </c>
      <c r="AD34">
        <v>3</v>
      </c>
      <c r="AE34">
        <v>4</v>
      </c>
      <c r="AF34">
        <v>5</v>
      </c>
      <c r="AG34">
        <v>6</v>
      </c>
      <c r="AH34">
        <v>7</v>
      </c>
      <c r="AI34">
        <v>8</v>
      </c>
      <c r="AJ34">
        <v>9</v>
      </c>
      <c r="AK34">
        <v>10</v>
      </c>
      <c r="AL34" s="521"/>
      <c r="AM34" s="521"/>
    </row>
    <row r="35" spans="1:42" x14ac:dyDescent="0.35">
      <c r="A35" t="s">
        <v>218</v>
      </c>
      <c r="B35" s="544">
        <f t="shared" ref="B35:K43" si="3">IF(ISNUMBER(B5),F22+2*Q22,"")</f>
        <v>1</v>
      </c>
      <c r="C35" s="545">
        <f t="shared" si="3"/>
        <v>1</v>
      </c>
      <c r="D35" s="545">
        <f t="shared" si="3"/>
        <v>1</v>
      </c>
      <c r="E35" s="545">
        <f t="shared" si="3"/>
        <v>1</v>
      </c>
      <c r="F35" s="545">
        <f t="shared" si="3"/>
        <v>1</v>
      </c>
      <c r="G35" s="545">
        <f t="shared" si="3"/>
        <v>1</v>
      </c>
      <c r="H35" s="545">
        <f t="shared" si="3"/>
        <v>1</v>
      </c>
      <c r="I35" s="545">
        <f t="shared" si="3"/>
        <v>1</v>
      </c>
      <c r="J35" s="545">
        <f t="shared" si="3"/>
        <v>1</v>
      </c>
      <c r="K35" s="546">
        <f t="shared" si="3"/>
        <v>1</v>
      </c>
      <c r="M35" s="553">
        <f t="shared" ref="M35:M43" si="4">IF(Z35&gt;0,M5+MIN(MAX(AL35/Z35,-$Q$5),$Q$5),0)</f>
        <v>0.75000000000000022</v>
      </c>
      <c r="N35" s="426">
        <f t="shared" ref="N35:N43" si="5">1/SQRT(Z35)</f>
        <v>0.38729833462074176</v>
      </c>
      <c r="P35" s="544">
        <f t="shared" ref="P35:Y43" si="6">IF(ISNUMBER(B5),F22+4*Q22-B35*B35,"")</f>
        <v>0.66666666666666652</v>
      </c>
      <c r="Q35" s="545">
        <f t="shared" si="6"/>
        <v>0.66666666666666652</v>
      </c>
      <c r="R35" s="545">
        <f t="shared" si="6"/>
        <v>0.66666666666666652</v>
      </c>
      <c r="S35" s="545">
        <f t="shared" si="6"/>
        <v>0.66666666666666652</v>
      </c>
      <c r="T35" s="545">
        <f t="shared" si="6"/>
        <v>0.66666666666666652</v>
      </c>
      <c r="U35" s="545">
        <f t="shared" si="6"/>
        <v>0.66666666666666652</v>
      </c>
      <c r="V35" s="545">
        <f t="shared" si="6"/>
        <v>0.66666666666666652</v>
      </c>
      <c r="W35" s="545">
        <f t="shared" si="6"/>
        <v>0.66666666666666652</v>
      </c>
      <c r="X35" s="545">
        <f t="shared" si="6"/>
        <v>0.66666666666666652</v>
      </c>
      <c r="Y35" s="546">
        <f t="shared" si="6"/>
        <v>0.66666666666666652</v>
      </c>
      <c r="Z35" s="554">
        <f t="shared" ref="Z35:Z43" si="7">MAX(SUM(P35:Y35),$Q$7)</f>
        <v>6.6666666666666643</v>
      </c>
      <c r="AA35" s="554"/>
      <c r="AB35" s="544">
        <f t="shared" ref="AB35:AK43" si="8">IF(ISNUMBER(B5),B5-B35,"")</f>
        <v>1</v>
      </c>
      <c r="AC35" s="545">
        <f t="shared" si="8"/>
        <v>1</v>
      </c>
      <c r="AD35" s="545">
        <f t="shared" si="8"/>
        <v>1</v>
      </c>
      <c r="AE35" s="545">
        <f t="shared" si="8"/>
        <v>0</v>
      </c>
      <c r="AF35" s="545">
        <f t="shared" si="8"/>
        <v>1</v>
      </c>
      <c r="AG35" s="545">
        <f t="shared" si="8"/>
        <v>1</v>
      </c>
      <c r="AH35" s="545">
        <f t="shared" si="8"/>
        <v>1</v>
      </c>
      <c r="AI35" s="545">
        <f t="shared" si="8"/>
        <v>0</v>
      </c>
      <c r="AJ35" s="545">
        <f t="shared" si="8"/>
        <v>-1</v>
      </c>
      <c r="AK35" s="546">
        <f t="shared" si="8"/>
        <v>0</v>
      </c>
      <c r="AL35" s="555">
        <f>SUM(AB35:AK35)</f>
        <v>5</v>
      </c>
      <c r="AM35" s="554"/>
      <c r="AO35" s="521" t="s">
        <v>28</v>
      </c>
      <c r="AP35" s="521" t="s">
        <v>1002</v>
      </c>
    </row>
    <row r="36" spans="1:42" ht="12.75" customHeight="1" x14ac:dyDescent="0.35">
      <c r="A36" t="s">
        <v>98</v>
      </c>
      <c r="B36" s="547">
        <f t="shared" si="3"/>
        <v>1</v>
      </c>
      <c r="C36" s="548">
        <f t="shared" si="3"/>
        <v>1</v>
      </c>
      <c r="D36" s="548">
        <f t="shared" si="3"/>
        <v>1</v>
      </c>
      <c r="E36" s="548">
        <f t="shared" si="3"/>
        <v>1</v>
      </c>
      <c r="F36" s="548">
        <f t="shared" si="3"/>
        <v>1</v>
      </c>
      <c r="G36" s="548">
        <f t="shared" si="3"/>
        <v>1</v>
      </c>
      <c r="H36" s="548">
        <f t="shared" si="3"/>
        <v>1</v>
      </c>
      <c r="I36" s="548">
        <f t="shared" si="3"/>
        <v>1</v>
      </c>
      <c r="J36" s="548">
        <f t="shared" si="3"/>
        <v>1</v>
      </c>
      <c r="K36" s="549">
        <f t="shared" si="3"/>
        <v>1</v>
      </c>
      <c r="M36" s="556">
        <f t="shared" si="4"/>
        <v>0.3000000000000001</v>
      </c>
      <c r="N36" s="100">
        <f t="shared" si="5"/>
        <v>0.38729833462074176</v>
      </c>
      <c r="P36" s="547">
        <f t="shared" si="6"/>
        <v>0.66666666666666652</v>
      </c>
      <c r="Q36" s="548">
        <f t="shared" si="6"/>
        <v>0.66666666666666652</v>
      </c>
      <c r="R36" s="548">
        <f t="shared" si="6"/>
        <v>0.66666666666666652</v>
      </c>
      <c r="S36" s="548">
        <f t="shared" si="6"/>
        <v>0.66666666666666652</v>
      </c>
      <c r="T36" s="548">
        <f t="shared" si="6"/>
        <v>0.66666666666666652</v>
      </c>
      <c r="U36" s="548">
        <f t="shared" si="6"/>
        <v>0.66666666666666652</v>
      </c>
      <c r="V36" s="548">
        <f t="shared" si="6"/>
        <v>0.66666666666666652</v>
      </c>
      <c r="W36" s="548">
        <f t="shared" si="6"/>
        <v>0.66666666666666652</v>
      </c>
      <c r="X36" s="548">
        <f t="shared" si="6"/>
        <v>0.66666666666666652</v>
      </c>
      <c r="Y36" s="549">
        <f t="shared" si="6"/>
        <v>0.66666666666666652</v>
      </c>
      <c r="Z36" s="554">
        <f t="shared" si="7"/>
        <v>6.6666666666666643</v>
      </c>
      <c r="AA36" s="554"/>
      <c r="AB36" s="547">
        <f t="shared" si="8"/>
        <v>1</v>
      </c>
      <c r="AC36" s="548">
        <f t="shared" si="8"/>
        <v>0</v>
      </c>
      <c r="AD36" s="548">
        <f t="shared" si="8"/>
        <v>1</v>
      </c>
      <c r="AE36" s="548">
        <f t="shared" si="8"/>
        <v>0</v>
      </c>
      <c r="AF36" s="548">
        <f t="shared" si="8"/>
        <v>0</v>
      </c>
      <c r="AG36" s="548">
        <f t="shared" si="8"/>
        <v>1</v>
      </c>
      <c r="AH36" s="548">
        <f t="shared" si="8"/>
        <v>0</v>
      </c>
      <c r="AI36" s="548">
        <f t="shared" si="8"/>
        <v>0</v>
      </c>
      <c r="AJ36" s="548">
        <f t="shared" si="8"/>
        <v>0</v>
      </c>
      <c r="AK36" s="549">
        <f t="shared" si="8"/>
        <v>-1</v>
      </c>
      <c r="AL36" s="555">
        <f t="shared" ref="AL36:AL43" si="9">SUM(AB36:AK36)</f>
        <v>2</v>
      </c>
      <c r="AM36" s="554"/>
      <c r="AN36">
        <v>0</v>
      </c>
      <c r="AO36" s="423">
        <f>B$25-SUM(AO37:AO38)</f>
        <v>29.666666666666742</v>
      </c>
      <c r="AP36" s="425">
        <f>B$22-AO36</f>
        <v>3.3333333333332575</v>
      </c>
    </row>
    <row r="37" spans="1:42" x14ac:dyDescent="0.35">
      <c r="A37" t="s">
        <v>99</v>
      </c>
      <c r="B37" s="547" t="str">
        <f t="shared" si="3"/>
        <v/>
      </c>
      <c r="C37" s="548">
        <f t="shared" si="3"/>
        <v>1</v>
      </c>
      <c r="D37" s="548">
        <f t="shared" si="3"/>
        <v>1</v>
      </c>
      <c r="E37" s="548">
        <f t="shared" si="3"/>
        <v>1</v>
      </c>
      <c r="F37" s="548">
        <f t="shared" si="3"/>
        <v>1</v>
      </c>
      <c r="G37" s="548">
        <f t="shared" si="3"/>
        <v>1</v>
      </c>
      <c r="H37" s="548">
        <f t="shared" si="3"/>
        <v>1</v>
      </c>
      <c r="I37" s="548">
        <f t="shared" si="3"/>
        <v>1</v>
      </c>
      <c r="J37" s="548">
        <f t="shared" si="3"/>
        <v>1</v>
      </c>
      <c r="K37" s="549">
        <f t="shared" si="3"/>
        <v>1</v>
      </c>
      <c r="M37" s="556">
        <f t="shared" si="4"/>
        <v>0</v>
      </c>
      <c r="N37" s="100">
        <f t="shared" si="5"/>
        <v>0.40824829046386307</v>
      </c>
      <c r="P37" s="547" t="str">
        <f t="shared" si="6"/>
        <v/>
      </c>
      <c r="Q37" s="548">
        <f t="shared" si="6"/>
        <v>0.66666666666666652</v>
      </c>
      <c r="R37" s="548">
        <f t="shared" si="6"/>
        <v>0.66666666666666652</v>
      </c>
      <c r="S37" s="548">
        <f t="shared" si="6"/>
        <v>0.66666666666666652</v>
      </c>
      <c r="T37" s="548">
        <f t="shared" si="6"/>
        <v>0.66666666666666652</v>
      </c>
      <c r="U37" s="548">
        <f t="shared" si="6"/>
        <v>0.66666666666666652</v>
      </c>
      <c r="V37" s="548">
        <f t="shared" si="6"/>
        <v>0.66666666666666652</v>
      </c>
      <c r="W37" s="548">
        <f t="shared" si="6"/>
        <v>0.66666666666666652</v>
      </c>
      <c r="X37" s="548">
        <f t="shared" si="6"/>
        <v>0.66666666666666652</v>
      </c>
      <c r="Y37" s="549">
        <f t="shared" si="6"/>
        <v>0.66666666666666652</v>
      </c>
      <c r="Z37" s="554">
        <f t="shared" si="7"/>
        <v>5.9999999999999982</v>
      </c>
      <c r="AA37" s="554"/>
      <c r="AB37" s="547" t="str">
        <f t="shared" si="8"/>
        <v/>
      </c>
      <c r="AC37" s="548">
        <f t="shared" si="8"/>
        <v>0</v>
      </c>
      <c r="AD37" s="548">
        <f t="shared" si="8"/>
        <v>1</v>
      </c>
      <c r="AE37" s="548">
        <f t="shared" si="8"/>
        <v>0</v>
      </c>
      <c r="AF37" s="548">
        <f t="shared" si="8"/>
        <v>1</v>
      </c>
      <c r="AG37" s="548">
        <f t="shared" si="8"/>
        <v>0</v>
      </c>
      <c r="AH37" s="548">
        <f t="shared" si="8"/>
        <v>-1</v>
      </c>
      <c r="AI37" s="548">
        <f t="shared" si="8"/>
        <v>1</v>
      </c>
      <c r="AJ37" s="548">
        <f t="shared" si="8"/>
        <v>-1</v>
      </c>
      <c r="AK37" s="549">
        <f t="shared" si="8"/>
        <v>-1</v>
      </c>
      <c r="AL37" s="555">
        <f t="shared" si="9"/>
        <v>0</v>
      </c>
      <c r="AM37" s="554"/>
      <c r="AN37">
        <v>1</v>
      </c>
      <c r="AO37" s="101">
        <f>SUM(F22:O30)</f>
        <v>29.666666666666629</v>
      </c>
      <c r="AP37" s="102">
        <f>B$23-AO37</f>
        <v>7.3333333333333712</v>
      </c>
    </row>
    <row r="38" spans="1:42" x14ac:dyDescent="0.35">
      <c r="A38" t="s">
        <v>100</v>
      </c>
      <c r="B38" s="547">
        <f t="shared" si="3"/>
        <v>1</v>
      </c>
      <c r="C38" s="548">
        <f t="shared" si="3"/>
        <v>1</v>
      </c>
      <c r="D38" s="548">
        <f t="shared" si="3"/>
        <v>1</v>
      </c>
      <c r="E38" s="548">
        <f t="shared" si="3"/>
        <v>1</v>
      </c>
      <c r="F38" s="548">
        <f t="shared" si="3"/>
        <v>1</v>
      </c>
      <c r="G38" s="548">
        <f t="shared" si="3"/>
        <v>1</v>
      </c>
      <c r="H38" s="548">
        <f t="shared" si="3"/>
        <v>1</v>
      </c>
      <c r="I38" s="548">
        <f t="shared" si="3"/>
        <v>1</v>
      </c>
      <c r="J38" s="548">
        <f t="shared" si="3"/>
        <v>1</v>
      </c>
      <c r="K38" s="549">
        <f t="shared" si="3"/>
        <v>1</v>
      </c>
      <c r="M38" s="556">
        <f t="shared" si="4"/>
        <v>-0.15000000000000005</v>
      </c>
      <c r="N38" s="100">
        <f t="shared" si="5"/>
        <v>0.38729833462074176</v>
      </c>
      <c r="P38" s="547">
        <f t="shared" si="6"/>
        <v>0.66666666666666652</v>
      </c>
      <c r="Q38" s="548">
        <f t="shared" si="6"/>
        <v>0.66666666666666652</v>
      </c>
      <c r="R38" s="548">
        <f t="shared" si="6"/>
        <v>0.66666666666666652</v>
      </c>
      <c r="S38" s="548">
        <f t="shared" si="6"/>
        <v>0.66666666666666652</v>
      </c>
      <c r="T38" s="548">
        <f t="shared" si="6"/>
        <v>0.66666666666666652</v>
      </c>
      <c r="U38" s="548">
        <f t="shared" si="6"/>
        <v>0.66666666666666652</v>
      </c>
      <c r="V38" s="548">
        <f t="shared" si="6"/>
        <v>0.66666666666666652</v>
      </c>
      <c r="W38" s="548">
        <f t="shared" si="6"/>
        <v>0.66666666666666652</v>
      </c>
      <c r="X38" s="548">
        <f t="shared" si="6"/>
        <v>0.66666666666666652</v>
      </c>
      <c r="Y38" s="549">
        <f t="shared" si="6"/>
        <v>0.66666666666666652</v>
      </c>
      <c r="Z38" s="554">
        <f t="shared" si="7"/>
        <v>6.6666666666666643</v>
      </c>
      <c r="AA38" s="554"/>
      <c r="AB38" s="547">
        <f t="shared" si="8"/>
        <v>0</v>
      </c>
      <c r="AC38" s="548">
        <f t="shared" si="8"/>
        <v>1</v>
      </c>
      <c r="AD38" s="548">
        <f t="shared" si="8"/>
        <v>1</v>
      </c>
      <c r="AE38" s="548">
        <f t="shared" si="8"/>
        <v>0</v>
      </c>
      <c r="AF38" s="548">
        <f t="shared" si="8"/>
        <v>0</v>
      </c>
      <c r="AG38" s="548">
        <f t="shared" si="8"/>
        <v>0</v>
      </c>
      <c r="AH38" s="548">
        <f t="shared" si="8"/>
        <v>-1</v>
      </c>
      <c r="AI38" s="548">
        <f t="shared" si="8"/>
        <v>0</v>
      </c>
      <c r="AJ38" s="548">
        <f t="shared" si="8"/>
        <v>-1</v>
      </c>
      <c r="AK38" s="549">
        <f t="shared" si="8"/>
        <v>-1</v>
      </c>
      <c r="AL38" s="555">
        <f t="shared" si="9"/>
        <v>-1</v>
      </c>
      <c r="AM38" s="554"/>
      <c r="AN38">
        <v>2</v>
      </c>
      <c r="AO38" s="89">
        <f>SUM(Q22:Z30)</f>
        <v>29.666666666666629</v>
      </c>
      <c r="AP38" s="93">
        <f>B$24-AO38</f>
        <v>-10.666666666666629</v>
      </c>
    </row>
    <row r="39" spans="1:42" x14ac:dyDescent="0.35">
      <c r="A39" t="s">
        <v>536</v>
      </c>
      <c r="B39" s="547">
        <f t="shared" si="3"/>
        <v>1</v>
      </c>
      <c r="C39" s="548">
        <f t="shared" si="3"/>
        <v>1</v>
      </c>
      <c r="D39" s="548">
        <f t="shared" si="3"/>
        <v>1</v>
      </c>
      <c r="E39" s="548">
        <f t="shared" si="3"/>
        <v>1</v>
      </c>
      <c r="F39" s="548">
        <f t="shared" si="3"/>
        <v>1</v>
      </c>
      <c r="G39" s="548">
        <f t="shared" si="3"/>
        <v>1</v>
      </c>
      <c r="H39" s="548">
        <f t="shared" si="3"/>
        <v>1</v>
      </c>
      <c r="I39" s="548">
        <f t="shared" si="3"/>
        <v>1</v>
      </c>
      <c r="J39" s="548">
        <f t="shared" si="3"/>
        <v>1</v>
      </c>
      <c r="K39" s="549">
        <f t="shared" si="3"/>
        <v>1</v>
      </c>
      <c r="M39" s="556">
        <f t="shared" si="4"/>
        <v>-0.3000000000000001</v>
      </c>
      <c r="N39" s="100">
        <f t="shared" si="5"/>
        <v>0.38729833462074176</v>
      </c>
      <c r="P39" s="547">
        <f t="shared" si="6"/>
        <v>0.66666666666666652</v>
      </c>
      <c r="Q39" s="548">
        <f t="shared" si="6"/>
        <v>0.66666666666666652</v>
      </c>
      <c r="R39" s="548">
        <f t="shared" si="6"/>
        <v>0.66666666666666652</v>
      </c>
      <c r="S39" s="548">
        <f t="shared" si="6"/>
        <v>0.66666666666666652</v>
      </c>
      <c r="T39" s="548">
        <f t="shared" si="6"/>
        <v>0.66666666666666652</v>
      </c>
      <c r="U39" s="548">
        <f t="shared" si="6"/>
        <v>0.66666666666666652</v>
      </c>
      <c r="V39" s="548">
        <f t="shared" si="6"/>
        <v>0.66666666666666652</v>
      </c>
      <c r="W39" s="548">
        <f t="shared" si="6"/>
        <v>0.66666666666666652</v>
      </c>
      <c r="X39" s="548">
        <f t="shared" si="6"/>
        <v>0.66666666666666652</v>
      </c>
      <c r="Y39" s="549">
        <f t="shared" si="6"/>
        <v>0.66666666666666652</v>
      </c>
      <c r="Z39" s="554">
        <f t="shared" si="7"/>
        <v>6.6666666666666643</v>
      </c>
      <c r="AA39" s="554"/>
      <c r="AB39" s="547">
        <f t="shared" si="8"/>
        <v>0</v>
      </c>
      <c r="AC39" s="548">
        <f t="shared" si="8"/>
        <v>0</v>
      </c>
      <c r="AD39" s="548">
        <f t="shared" si="8"/>
        <v>0</v>
      </c>
      <c r="AE39" s="548">
        <f t="shared" si="8"/>
        <v>1</v>
      </c>
      <c r="AF39" s="548">
        <f t="shared" si="8"/>
        <v>-1</v>
      </c>
      <c r="AG39" s="548">
        <f t="shared" si="8"/>
        <v>1</v>
      </c>
      <c r="AH39" s="548">
        <f t="shared" si="8"/>
        <v>0</v>
      </c>
      <c r="AI39" s="548">
        <f t="shared" si="8"/>
        <v>-1</v>
      </c>
      <c r="AJ39" s="548">
        <f t="shared" si="8"/>
        <v>-1</v>
      </c>
      <c r="AK39" s="549">
        <f t="shared" si="8"/>
        <v>-1</v>
      </c>
      <c r="AL39" s="555">
        <f t="shared" si="9"/>
        <v>-2</v>
      </c>
      <c r="AM39" s="554"/>
    </row>
    <row r="40" spans="1:42" x14ac:dyDescent="0.35">
      <c r="A40" t="s">
        <v>101</v>
      </c>
      <c r="B40" s="547">
        <f t="shared" si="3"/>
        <v>1</v>
      </c>
      <c r="C40" s="548">
        <f t="shared" si="3"/>
        <v>1</v>
      </c>
      <c r="D40" s="548">
        <f t="shared" si="3"/>
        <v>1</v>
      </c>
      <c r="E40" s="548">
        <f t="shared" si="3"/>
        <v>1</v>
      </c>
      <c r="F40" s="548">
        <f t="shared" si="3"/>
        <v>1</v>
      </c>
      <c r="G40" s="548">
        <f t="shared" si="3"/>
        <v>1</v>
      </c>
      <c r="H40" s="548">
        <f t="shared" si="3"/>
        <v>1</v>
      </c>
      <c r="I40" s="548">
        <f t="shared" si="3"/>
        <v>1</v>
      </c>
      <c r="J40" s="548">
        <f t="shared" si="3"/>
        <v>1</v>
      </c>
      <c r="K40" s="549">
        <f t="shared" si="3"/>
        <v>1</v>
      </c>
      <c r="M40" s="556">
        <f t="shared" si="4"/>
        <v>-0.45000000000000018</v>
      </c>
      <c r="N40" s="100">
        <f t="shared" si="5"/>
        <v>0.38729833462074176</v>
      </c>
      <c r="P40" s="547">
        <f t="shared" si="6"/>
        <v>0.66666666666666652</v>
      </c>
      <c r="Q40" s="548">
        <f t="shared" si="6"/>
        <v>0.66666666666666652</v>
      </c>
      <c r="R40" s="548">
        <f t="shared" si="6"/>
        <v>0.66666666666666652</v>
      </c>
      <c r="S40" s="548">
        <f t="shared" si="6"/>
        <v>0.66666666666666652</v>
      </c>
      <c r="T40" s="548">
        <f t="shared" si="6"/>
        <v>0.66666666666666652</v>
      </c>
      <c r="U40" s="548">
        <f t="shared" si="6"/>
        <v>0.66666666666666652</v>
      </c>
      <c r="V40" s="548">
        <f t="shared" si="6"/>
        <v>0.66666666666666652</v>
      </c>
      <c r="W40" s="548">
        <f t="shared" si="6"/>
        <v>0.66666666666666652</v>
      </c>
      <c r="X40" s="548">
        <f t="shared" si="6"/>
        <v>0.66666666666666652</v>
      </c>
      <c r="Y40" s="549">
        <f t="shared" si="6"/>
        <v>0.66666666666666652</v>
      </c>
      <c r="Z40" s="554">
        <f t="shared" si="7"/>
        <v>6.6666666666666643</v>
      </c>
      <c r="AA40" s="554"/>
      <c r="AB40" s="547">
        <f t="shared" si="8"/>
        <v>1</v>
      </c>
      <c r="AC40" s="548">
        <f t="shared" si="8"/>
        <v>1</v>
      </c>
      <c r="AD40" s="548">
        <f t="shared" si="8"/>
        <v>0</v>
      </c>
      <c r="AE40" s="548">
        <f t="shared" si="8"/>
        <v>0</v>
      </c>
      <c r="AF40" s="548">
        <f t="shared" si="8"/>
        <v>-1</v>
      </c>
      <c r="AG40" s="548">
        <f t="shared" si="8"/>
        <v>-1</v>
      </c>
      <c r="AH40" s="548">
        <f t="shared" si="8"/>
        <v>0</v>
      </c>
      <c r="AI40" s="548">
        <f t="shared" si="8"/>
        <v>-1</v>
      </c>
      <c r="AJ40" s="548">
        <f t="shared" si="8"/>
        <v>-1</v>
      </c>
      <c r="AK40" s="549">
        <f t="shared" si="8"/>
        <v>-1</v>
      </c>
      <c r="AL40" s="555">
        <f t="shared" si="9"/>
        <v>-3</v>
      </c>
      <c r="AM40" s="554"/>
      <c r="AO40" s="521" t="s">
        <v>1001</v>
      </c>
      <c r="AP40" s="521" t="s">
        <v>998</v>
      </c>
    </row>
    <row r="41" spans="1:42" x14ac:dyDescent="0.35">
      <c r="A41" t="s">
        <v>281</v>
      </c>
      <c r="B41" s="547">
        <f t="shared" si="3"/>
        <v>1</v>
      </c>
      <c r="C41" s="548">
        <f t="shared" si="3"/>
        <v>1</v>
      </c>
      <c r="D41" s="548">
        <f t="shared" si="3"/>
        <v>1</v>
      </c>
      <c r="E41" s="548">
        <f t="shared" si="3"/>
        <v>1</v>
      </c>
      <c r="F41" s="548">
        <f t="shared" si="3"/>
        <v>1</v>
      </c>
      <c r="G41" s="548">
        <f t="shared" si="3"/>
        <v>1</v>
      </c>
      <c r="H41" s="548">
        <f t="shared" si="3"/>
        <v>1</v>
      </c>
      <c r="I41" s="548">
        <f t="shared" si="3"/>
        <v>1</v>
      </c>
      <c r="J41" s="548">
        <f t="shared" si="3"/>
        <v>1</v>
      </c>
      <c r="K41" s="549">
        <f t="shared" si="3"/>
        <v>1</v>
      </c>
      <c r="M41" s="556">
        <f t="shared" si="4"/>
        <v>-0.6000000000000002</v>
      </c>
      <c r="N41" s="100">
        <f t="shared" si="5"/>
        <v>0.38729833462074176</v>
      </c>
      <c r="P41" s="547">
        <f t="shared" si="6"/>
        <v>0.66666666666666652</v>
      </c>
      <c r="Q41" s="548">
        <f t="shared" si="6"/>
        <v>0.66666666666666652</v>
      </c>
      <c r="R41" s="548">
        <f t="shared" si="6"/>
        <v>0.66666666666666652</v>
      </c>
      <c r="S41" s="548">
        <f t="shared" si="6"/>
        <v>0.66666666666666652</v>
      </c>
      <c r="T41" s="548">
        <f t="shared" si="6"/>
        <v>0.66666666666666652</v>
      </c>
      <c r="U41" s="548">
        <f t="shared" si="6"/>
        <v>0.66666666666666652</v>
      </c>
      <c r="V41" s="548">
        <f t="shared" si="6"/>
        <v>0.66666666666666652</v>
      </c>
      <c r="W41" s="548">
        <f t="shared" si="6"/>
        <v>0.66666666666666652</v>
      </c>
      <c r="X41" s="548">
        <f t="shared" si="6"/>
        <v>0.66666666666666652</v>
      </c>
      <c r="Y41" s="549">
        <f t="shared" si="6"/>
        <v>0.66666666666666652</v>
      </c>
      <c r="Z41" s="554">
        <f t="shared" si="7"/>
        <v>6.6666666666666643</v>
      </c>
      <c r="AA41" s="554"/>
      <c r="AB41" s="547">
        <f t="shared" si="8"/>
        <v>0</v>
      </c>
      <c r="AC41" s="548">
        <f t="shared" si="8"/>
        <v>1</v>
      </c>
      <c r="AD41" s="548">
        <f t="shared" si="8"/>
        <v>-1</v>
      </c>
      <c r="AE41" s="548">
        <f t="shared" si="8"/>
        <v>0</v>
      </c>
      <c r="AF41" s="548">
        <f t="shared" si="8"/>
        <v>0</v>
      </c>
      <c r="AG41" s="548">
        <f t="shared" si="8"/>
        <v>-1</v>
      </c>
      <c r="AH41" s="548">
        <f t="shared" si="8"/>
        <v>-1</v>
      </c>
      <c r="AI41" s="548">
        <f t="shared" si="8"/>
        <v>-1</v>
      </c>
      <c r="AJ41" s="548">
        <f t="shared" si="8"/>
        <v>0</v>
      </c>
      <c r="AK41" s="549">
        <f t="shared" si="8"/>
        <v>-1</v>
      </c>
      <c r="AL41" s="555">
        <f t="shared" si="9"/>
        <v>-4</v>
      </c>
      <c r="AM41" s="554"/>
      <c r="AN41">
        <v>0</v>
      </c>
      <c r="AO41" s="426">
        <v>0</v>
      </c>
      <c r="AP41">
        <v>0</v>
      </c>
    </row>
    <row r="42" spans="1:42" x14ac:dyDescent="0.35">
      <c r="A42" t="s">
        <v>537</v>
      </c>
      <c r="B42" s="547">
        <f t="shared" si="3"/>
        <v>1</v>
      </c>
      <c r="C42" s="548">
        <f t="shared" si="3"/>
        <v>1</v>
      </c>
      <c r="D42" s="548">
        <f t="shared" si="3"/>
        <v>1</v>
      </c>
      <c r="E42" s="548">
        <f t="shared" si="3"/>
        <v>1</v>
      </c>
      <c r="F42" s="548">
        <f t="shared" si="3"/>
        <v>1</v>
      </c>
      <c r="G42" s="548">
        <f t="shared" si="3"/>
        <v>1</v>
      </c>
      <c r="H42" s="548">
        <f t="shared" si="3"/>
        <v>1</v>
      </c>
      <c r="I42" s="548">
        <f t="shared" si="3"/>
        <v>1</v>
      </c>
      <c r="J42" s="548">
        <f t="shared" si="3"/>
        <v>1</v>
      </c>
      <c r="K42" s="549">
        <f t="shared" si="3"/>
        <v>1</v>
      </c>
      <c r="M42" s="556">
        <f t="shared" si="4"/>
        <v>-0.75000000000000022</v>
      </c>
      <c r="N42" s="100">
        <f t="shared" si="5"/>
        <v>0.38729833462074176</v>
      </c>
      <c r="P42" s="547">
        <f t="shared" si="6"/>
        <v>0.66666666666666652</v>
      </c>
      <c r="Q42" s="548">
        <f t="shared" si="6"/>
        <v>0.66666666666666652</v>
      </c>
      <c r="R42" s="548">
        <f t="shared" si="6"/>
        <v>0.66666666666666652</v>
      </c>
      <c r="S42" s="548">
        <f t="shared" si="6"/>
        <v>0.66666666666666652</v>
      </c>
      <c r="T42" s="548">
        <f t="shared" si="6"/>
        <v>0.66666666666666652</v>
      </c>
      <c r="U42" s="548">
        <f t="shared" si="6"/>
        <v>0.66666666666666652</v>
      </c>
      <c r="V42" s="548">
        <f t="shared" si="6"/>
        <v>0.66666666666666652</v>
      </c>
      <c r="W42" s="548">
        <f t="shared" si="6"/>
        <v>0.66666666666666652</v>
      </c>
      <c r="X42" s="548">
        <f t="shared" si="6"/>
        <v>0.66666666666666652</v>
      </c>
      <c r="Y42" s="549">
        <f t="shared" si="6"/>
        <v>0.66666666666666652</v>
      </c>
      <c r="Z42" s="554">
        <f t="shared" si="7"/>
        <v>6.6666666666666643</v>
      </c>
      <c r="AA42" s="554"/>
      <c r="AB42" s="547">
        <f t="shared" si="8"/>
        <v>0</v>
      </c>
      <c r="AC42" s="548">
        <f t="shared" si="8"/>
        <v>-1</v>
      </c>
      <c r="AD42" s="548">
        <f t="shared" si="8"/>
        <v>0</v>
      </c>
      <c r="AE42" s="548">
        <f t="shared" si="8"/>
        <v>-1</v>
      </c>
      <c r="AF42" s="548">
        <f t="shared" si="8"/>
        <v>0</v>
      </c>
      <c r="AG42" s="548">
        <f t="shared" si="8"/>
        <v>-1</v>
      </c>
      <c r="AH42" s="548">
        <f t="shared" si="8"/>
        <v>0</v>
      </c>
      <c r="AI42" s="548">
        <f t="shared" si="8"/>
        <v>-1</v>
      </c>
      <c r="AJ42" s="548">
        <f t="shared" si="8"/>
        <v>0</v>
      </c>
      <c r="AK42" s="549">
        <f t="shared" si="8"/>
        <v>-1</v>
      </c>
      <c r="AL42" s="555">
        <f t="shared" si="9"/>
        <v>-5</v>
      </c>
      <c r="AM42" s="554"/>
      <c r="AN42">
        <v>1</v>
      </c>
      <c r="AO42" s="100">
        <f>C58-AVERAGE(AP42:AP43)</f>
        <v>-0.39044464232776599</v>
      </c>
      <c r="AP42">
        <f>B28+LN(B$22/B$23)-LN(AO36/AO37)</f>
        <v>-0.11441035117774799</v>
      </c>
    </row>
    <row r="43" spans="1:42" x14ac:dyDescent="0.35">
      <c r="A43" t="s">
        <v>905</v>
      </c>
      <c r="B43" s="550">
        <f t="shared" si="3"/>
        <v>1</v>
      </c>
      <c r="C43" s="551">
        <f t="shared" si="3"/>
        <v>1</v>
      </c>
      <c r="D43" s="551">
        <f t="shared" si="3"/>
        <v>1</v>
      </c>
      <c r="E43" s="551">
        <f t="shared" si="3"/>
        <v>1</v>
      </c>
      <c r="F43" s="551">
        <f t="shared" si="3"/>
        <v>1</v>
      </c>
      <c r="G43" s="551">
        <f t="shared" si="3"/>
        <v>1</v>
      </c>
      <c r="H43" s="551">
        <f t="shared" si="3"/>
        <v>1</v>
      </c>
      <c r="I43" s="551">
        <f t="shared" si="3"/>
        <v>1</v>
      </c>
      <c r="J43" s="551">
        <f t="shared" si="3"/>
        <v>1</v>
      </c>
      <c r="K43" s="552">
        <f t="shared" si="3"/>
        <v>1</v>
      </c>
      <c r="M43" s="557">
        <f t="shared" si="4"/>
        <v>-0.90000000000000036</v>
      </c>
      <c r="N43" s="94">
        <f t="shared" si="5"/>
        <v>0.38729833462074176</v>
      </c>
      <c r="P43" s="550">
        <f t="shared" si="6"/>
        <v>0.66666666666666652</v>
      </c>
      <c r="Q43" s="551">
        <f t="shared" si="6"/>
        <v>0.66666666666666652</v>
      </c>
      <c r="R43" s="551">
        <f t="shared" si="6"/>
        <v>0.66666666666666652</v>
      </c>
      <c r="S43" s="551">
        <f t="shared" si="6"/>
        <v>0.66666666666666652</v>
      </c>
      <c r="T43" s="551">
        <f t="shared" si="6"/>
        <v>0.66666666666666652</v>
      </c>
      <c r="U43" s="551">
        <f t="shared" si="6"/>
        <v>0.66666666666666652</v>
      </c>
      <c r="V43" s="551">
        <f t="shared" si="6"/>
        <v>0.66666666666666652</v>
      </c>
      <c r="W43" s="551">
        <f t="shared" si="6"/>
        <v>0.66666666666666652</v>
      </c>
      <c r="X43" s="551">
        <f t="shared" si="6"/>
        <v>0.66666666666666652</v>
      </c>
      <c r="Y43" s="552">
        <f t="shared" si="6"/>
        <v>0.66666666666666652</v>
      </c>
      <c r="Z43" s="554">
        <f t="shared" si="7"/>
        <v>6.6666666666666643</v>
      </c>
      <c r="AA43" s="554"/>
      <c r="AB43" s="550">
        <f t="shared" si="8"/>
        <v>0</v>
      </c>
      <c r="AC43" s="551">
        <f t="shared" si="8"/>
        <v>0</v>
      </c>
      <c r="AD43" s="551">
        <f t="shared" si="8"/>
        <v>-1</v>
      </c>
      <c r="AE43" s="551">
        <f t="shared" si="8"/>
        <v>0</v>
      </c>
      <c r="AF43" s="551">
        <f t="shared" si="8"/>
        <v>-1</v>
      </c>
      <c r="AG43" s="551">
        <f t="shared" si="8"/>
        <v>-1</v>
      </c>
      <c r="AH43" s="551">
        <f t="shared" si="8"/>
        <v>-1</v>
      </c>
      <c r="AI43" s="551">
        <f t="shared" si="8"/>
        <v>-1</v>
      </c>
      <c r="AJ43" s="551">
        <f t="shared" si="8"/>
        <v>-1</v>
      </c>
      <c r="AK43" s="552">
        <f t="shared" si="8"/>
        <v>0</v>
      </c>
      <c r="AL43" s="558">
        <f t="shared" si="9"/>
        <v>-6</v>
      </c>
      <c r="AM43" s="554"/>
      <c r="AN43">
        <v>2</v>
      </c>
      <c r="AO43" s="94">
        <f>C59-AVERAGE(AP42:AP43)</f>
        <v>0.39044464232776599</v>
      </c>
      <c r="AP43">
        <f>B29+LN(B$23/B$24)-LN(AO37/AO38)</f>
        <v>0.66647893347778397</v>
      </c>
    </row>
    <row r="44" spans="1:42" x14ac:dyDescent="0.35">
      <c r="P44" s="554">
        <f t="shared" ref="P44:Y44" si="10">MAX(SUM(P35:P43),$Q$7)</f>
        <v>5.3333333333333321</v>
      </c>
      <c r="Q44" s="554">
        <f t="shared" si="10"/>
        <v>5.9999999999999982</v>
      </c>
      <c r="R44" s="554">
        <f t="shared" si="10"/>
        <v>5.9999999999999982</v>
      </c>
      <c r="S44" s="554">
        <f t="shared" si="10"/>
        <v>5.9999999999999982</v>
      </c>
      <c r="T44" s="554">
        <f t="shared" si="10"/>
        <v>5.9999999999999982</v>
      </c>
      <c r="U44" s="554">
        <f t="shared" si="10"/>
        <v>5.9999999999999982</v>
      </c>
      <c r="V44" s="554">
        <f t="shared" si="10"/>
        <v>5.9999999999999982</v>
      </c>
      <c r="W44" s="554">
        <f t="shared" si="10"/>
        <v>5.9999999999999982</v>
      </c>
      <c r="X44" s="554">
        <f t="shared" si="10"/>
        <v>5.9999999999999982</v>
      </c>
      <c r="Y44" s="554">
        <f t="shared" si="10"/>
        <v>5.9999999999999982</v>
      </c>
      <c r="AB44" s="554">
        <f>SUM(AB35:AB43)</f>
        <v>3</v>
      </c>
      <c r="AC44" s="554">
        <f t="shared" ref="AC44:AK44" si="11">SUM(AC35:AC43)</f>
        <v>3</v>
      </c>
      <c r="AD44" s="554">
        <f t="shared" si="11"/>
        <v>2</v>
      </c>
      <c r="AE44" s="554">
        <f t="shared" si="11"/>
        <v>0</v>
      </c>
      <c r="AF44" s="554">
        <f t="shared" si="11"/>
        <v>-1</v>
      </c>
      <c r="AG44" s="554">
        <f t="shared" si="11"/>
        <v>-1</v>
      </c>
      <c r="AH44" s="554">
        <f t="shared" si="11"/>
        <v>-3</v>
      </c>
      <c r="AI44" s="554">
        <f t="shared" si="11"/>
        <v>-4</v>
      </c>
      <c r="AJ44" s="554">
        <f t="shared" si="11"/>
        <v>-6</v>
      </c>
      <c r="AK44" s="554">
        <f t="shared" si="11"/>
        <v>-7</v>
      </c>
      <c r="AL44" s="559" cm="1">
        <f t="array" ref="AL44">MAX(ABS(AL35:AL43),ABS(AB44:AK44),ABS(C52:C54))</f>
        <v>10.666666666666629</v>
      </c>
      <c r="AM44" s="554"/>
      <c r="AN44" s="554"/>
      <c r="AO44" s="554"/>
      <c r="AP44" s="554"/>
    </row>
    <row r="45" spans="1:42" x14ac:dyDescent="0.35">
      <c r="A45" t="s">
        <v>998</v>
      </c>
      <c r="B45">
        <f t="shared" ref="B45:K45" si="12">IF(P44 &gt; 0,B18-MIN(MAX(AB44/P44,-$Q$5),$Q$5),0)</f>
        <v>-0.56250000000000011</v>
      </c>
      <c r="C45">
        <f t="shared" si="12"/>
        <v>-0.50000000000000011</v>
      </c>
      <c r="D45">
        <f t="shared" si="12"/>
        <v>-0.33333333333333343</v>
      </c>
      <c r="E45">
        <f t="shared" si="12"/>
        <v>0</v>
      </c>
      <c r="F45">
        <f t="shared" si="12"/>
        <v>0.16666666666666671</v>
      </c>
      <c r="G45">
        <f t="shared" si="12"/>
        <v>0.16666666666666671</v>
      </c>
      <c r="H45">
        <f t="shared" si="12"/>
        <v>0.50000000000000011</v>
      </c>
      <c r="I45">
        <f t="shared" si="12"/>
        <v>0.66666666666666685</v>
      </c>
      <c r="J45">
        <f t="shared" si="12"/>
        <v>1.0000000000000002</v>
      </c>
      <c r="K45">
        <f t="shared" si="12"/>
        <v>1.166666666666667</v>
      </c>
      <c r="L45" s="554">
        <f>AVERAGE(B45:K45)</f>
        <v>0.22708333333333339</v>
      </c>
      <c r="AM45" s="554"/>
      <c r="AN45" s="554"/>
      <c r="AO45" s="554"/>
      <c r="AP45" s="554"/>
    </row>
    <row r="46" spans="1:42" x14ac:dyDescent="0.35">
      <c r="A46" t="s">
        <v>822</v>
      </c>
      <c r="B46" s="537">
        <f t="shared" ref="B46:K46" si="13">B45-$L45</f>
        <v>-0.78958333333333353</v>
      </c>
      <c r="C46" s="538">
        <f t="shared" si="13"/>
        <v>-0.72708333333333353</v>
      </c>
      <c r="D46" s="538">
        <f t="shared" si="13"/>
        <v>-0.56041666666666679</v>
      </c>
      <c r="E46" s="538">
        <f t="shared" si="13"/>
        <v>-0.22708333333333339</v>
      </c>
      <c r="F46" s="538">
        <f t="shared" si="13"/>
        <v>-6.0416666666666674E-2</v>
      </c>
      <c r="G46" s="538">
        <f t="shared" si="13"/>
        <v>-6.0416666666666674E-2</v>
      </c>
      <c r="H46" s="538">
        <f t="shared" si="13"/>
        <v>0.2729166666666667</v>
      </c>
      <c r="I46" s="538">
        <f t="shared" si="13"/>
        <v>0.43958333333333344</v>
      </c>
      <c r="J46" s="538">
        <f t="shared" si="13"/>
        <v>0.77291666666666681</v>
      </c>
      <c r="K46" s="539">
        <f t="shared" si="13"/>
        <v>0.93958333333333355</v>
      </c>
      <c r="L46" s="554"/>
      <c r="AM46" s="554"/>
      <c r="AN46" s="554"/>
      <c r="AO46" s="554"/>
      <c r="AP46" s="554"/>
    </row>
    <row r="47" spans="1:42" x14ac:dyDescent="0.35">
      <c r="A47" t="s">
        <v>265</v>
      </c>
      <c r="B47" s="328">
        <f t="shared" ref="B47:K47" si="14">1/SQRT(P44)</f>
        <v>0.43301270189221935</v>
      </c>
      <c r="C47" s="327">
        <f t="shared" si="14"/>
        <v>0.40824829046386307</v>
      </c>
      <c r="D47" s="327">
        <f t="shared" si="14"/>
        <v>0.40824829046386307</v>
      </c>
      <c r="E47" s="327">
        <f t="shared" si="14"/>
        <v>0.40824829046386307</v>
      </c>
      <c r="F47" s="327">
        <f t="shared" si="14"/>
        <v>0.40824829046386307</v>
      </c>
      <c r="G47" s="327">
        <f t="shared" si="14"/>
        <v>0.40824829046386307</v>
      </c>
      <c r="H47" s="327">
        <f t="shared" si="14"/>
        <v>0.40824829046386307</v>
      </c>
      <c r="I47" s="327">
        <f t="shared" si="14"/>
        <v>0.40824829046386307</v>
      </c>
      <c r="J47" s="327">
        <f t="shared" si="14"/>
        <v>0.40824829046386307</v>
      </c>
      <c r="K47" s="326">
        <f t="shared" si="14"/>
        <v>0.40824829046386307</v>
      </c>
      <c r="L47" s="554"/>
      <c r="AM47" s="554"/>
      <c r="AN47" s="554"/>
      <c r="AO47" s="554"/>
      <c r="AP47" s="554"/>
    </row>
    <row r="48" spans="1:42" x14ac:dyDescent="0.35">
      <c r="L48" s="554"/>
      <c r="AM48" s="554"/>
      <c r="AN48" s="554"/>
      <c r="AO48" s="554"/>
      <c r="AP48" s="554"/>
    </row>
    <row r="49" spans="1:42" x14ac:dyDescent="0.35">
      <c r="A49" t="s">
        <v>312</v>
      </c>
      <c r="B49">
        <f>B19+1</f>
        <v>2</v>
      </c>
      <c r="AM49" s="554"/>
      <c r="AN49" s="554"/>
      <c r="AO49" s="554"/>
      <c r="AP49" s="554"/>
    </row>
    <row r="50" spans="1:42" x14ac:dyDescent="0.35">
      <c r="F50" s="563" t="s">
        <v>999</v>
      </c>
      <c r="G50" s="563"/>
      <c r="H50" s="563"/>
      <c r="I50" s="563"/>
      <c r="J50" s="563"/>
      <c r="K50" s="563"/>
      <c r="L50" s="563"/>
      <c r="M50" s="563"/>
      <c r="N50" s="563"/>
      <c r="O50" s="563"/>
      <c r="Q50" s="563" t="s">
        <v>1000</v>
      </c>
      <c r="R50" s="563"/>
      <c r="S50" s="563"/>
      <c r="T50" s="563"/>
      <c r="U50" s="563"/>
      <c r="V50" s="563"/>
      <c r="W50" s="563"/>
      <c r="X50" s="563"/>
      <c r="Y50" s="563"/>
      <c r="Z50" s="563"/>
      <c r="AA50" s="521"/>
      <c r="AM50" s="554"/>
      <c r="AN50" s="554"/>
      <c r="AO50" s="554"/>
      <c r="AP50" s="554"/>
    </row>
    <row r="51" spans="1:42" x14ac:dyDescent="0.35">
      <c r="B51" s="6" t="s">
        <v>28</v>
      </c>
      <c r="C51" s="6" t="s">
        <v>1002</v>
      </c>
      <c r="F51">
        <v>1</v>
      </c>
      <c r="G51">
        <v>2</v>
      </c>
      <c r="H51">
        <v>3</v>
      </c>
      <c r="I51">
        <v>4</v>
      </c>
      <c r="J51">
        <v>5</v>
      </c>
      <c r="K51">
        <v>6</v>
      </c>
      <c r="L51">
        <v>7</v>
      </c>
      <c r="M51">
        <v>8</v>
      </c>
      <c r="N51">
        <v>9</v>
      </c>
      <c r="O51">
        <v>10</v>
      </c>
      <c r="Q51">
        <v>1</v>
      </c>
      <c r="R51">
        <v>2</v>
      </c>
      <c r="S51">
        <v>3</v>
      </c>
      <c r="T51">
        <v>4</v>
      </c>
      <c r="U51">
        <v>5</v>
      </c>
      <c r="V51">
        <v>6</v>
      </c>
      <c r="W51">
        <v>7</v>
      </c>
      <c r="X51">
        <v>8</v>
      </c>
      <c r="Y51">
        <v>9</v>
      </c>
      <c r="Z51">
        <v>10</v>
      </c>
      <c r="AA51" s="521"/>
      <c r="AM51" s="554"/>
      <c r="AN51" s="554"/>
      <c r="AO51" s="554"/>
      <c r="AP51" s="554"/>
    </row>
    <row r="52" spans="1:42" x14ac:dyDescent="0.35">
      <c r="A52">
        <v>0</v>
      </c>
      <c r="B52" s="423">
        <f>B$25-SUM(B53:B54)</f>
        <v>29.666666666666742</v>
      </c>
      <c r="C52" s="425">
        <f>B$22-B52</f>
        <v>3.3333333333332575</v>
      </c>
      <c r="E52" t="s">
        <v>218</v>
      </c>
      <c r="F52" s="544">
        <f>IF(ISNUMBER(B35),EXP($M35-B$46-$B$58)/(1+EXP($M35-B$46-$B$58)+EXP(2*($M35-B$46))),"")</f>
        <v>0.23252471876919023</v>
      </c>
      <c r="G52" s="545">
        <f t="shared" ref="G52:O60" si="15">IF(ISNUMBER(C35),EXP($M35-C$46-$B$58)/(1+EXP($M35-C$46-$B$58)+EXP(2*($M35-C$46))),"")</f>
        <v>0.24278924840234542</v>
      </c>
      <c r="H52" s="545">
        <f t="shared" si="15"/>
        <v>0.27087450808121682</v>
      </c>
      <c r="I52" s="545">
        <f t="shared" si="15"/>
        <v>0.32758200578201274</v>
      </c>
      <c r="J52" s="545">
        <f t="shared" si="15"/>
        <v>0.35425142153282602</v>
      </c>
      <c r="K52" s="545">
        <f t="shared" si="15"/>
        <v>0.35425142153282602</v>
      </c>
      <c r="L52" s="545">
        <f t="shared" si="15"/>
        <v>0.39832844036058279</v>
      </c>
      <c r="M52" s="545">
        <f t="shared" si="15"/>
        <v>0.41335153627881904</v>
      </c>
      <c r="N52" s="545">
        <f t="shared" si="15"/>
        <v>0.42483279983554456</v>
      </c>
      <c r="O52" s="546">
        <f t="shared" si="15"/>
        <v>0.42053761381117455</v>
      </c>
      <c r="Q52" s="544">
        <f>IF(ISNUMBER(B35),EXP(2*($M35-B$46))/(1+EXP($M35-B$46-$B$58)+EXP(2*($M35-B$46))),"")</f>
        <v>0.73372568137912519</v>
      </c>
      <c r="R52" s="545">
        <f t="shared" ref="R52:Z60" si="16">IF(ISNUMBER(C35),EXP(2*($M35-C$46))/(1+EXP($M35-C$46-$B$58)+EXP(2*($M35-C$46))),"")</f>
        <v>0.71969856707369162</v>
      </c>
      <c r="S52" s="545">
        <f t="shared" si="16"/>
        <v>0.67968378513771643</v>
      </c>
      <c r="T52" s="545">
        <f t="shared" si="16"/>
        <v>0.5889710987258816</v>
      </c>
      <c r="U52" s="545">
        <f t="shared" si="16"/>
        <v>0.53914196153243377</v>
      </c>
      <c r="V52" s="545">
        <f t="shared" si="16"/>
        <v>0.53914196153243377</v>
      </c>
      <c r="W52" s="545">
        <f t="shared" si="16"/>
        <v>0.43437819991991333</v>
      </c>
      <c r="X52" s="545">
        <f t="shared" si="16"/>
        <v>0.38156088537567501</v>
      </c>
      <c r="Y52" s="545">
        <f t="shared" si="16"/>
        <v>0.28099429604949039</v>
      </c>
      <c r="Z52" s="546">
        <f t="shared" si="16"/>
        <v>0.23545173604207817</v>
      </c>
      <c r="AA52" s="521"/>
      <c r="AM52" s="554"/>
      <c r="AN52" s="554"/>
      <c r="AO52" s="554"/>
      <c r="AP52" s="554"/>
    </row>
    <row r="53" spans="1:42" x14ac:dyDescent="0.35">
      <c r="A53">
        <v>1</v>
      </c>
      <c r="B53" s="101">
        <f>SUM(F22:O30)</f>
        <v>29.666666666666629</v>
      </c>
      <c r="C53" s="102">
        <f>B$23-B53</f>
        <v>7.3333333333333712</v>
      </c>
      <c r="E53" t="s">
        <v>98</v>
      </c>
      <c r="F53" s="547">
        <f t="shared" ref="F53:F60" si="17">IF(ISNUMBER(B36),EXP($M36-B$46-$B$58)/(1+EXP($M36-B$46-$B$58)+EXP(2*($M36-B$46))),"")</f>
        <v>0.30867529022790785</v>
      </c>
      <c r="G53" s="548">
        <f t="shared" si="15"/>
        <v>0.31924105402646341</v>
      </c>
      <c r="H53" s="548">
        <f t="shared" si="15"/>
        <v>0.34647542729471237</v>
      </c>
      <c r="I53" s="548">
        <f t="shared" si="15"/>
        <v>0.39278543148629008</v>
      </c>
      <c r="J53" s="548">
        <f t="shared" si="15"/>
        <v>0.40943698878115309</v>
      </c>
      <c r="K53" s="548">
        <f t="shared" si="15"/>
        <v>0.40943698878115309</v>
      </c>
      <c r="L53" s="548">
        <f t="shared" si="15"/>
        <v>0.42480735225922656</v>
      </c>
      <c r="M53" s="548">
        <f t="shared" si="15"/>
        <v>0.42252590610884333</v>
      </c>
      <c r="N53" s="548">
        <f t="shared" si="15"/>
        <v>0.39877013166473674</v>
      </c>
      <c r="O53" s="549">
        <f t="shared" si="15"/>
        <v>0.37879979901594524</v>
      </c>
      <c r="Q53" s="547">
        <f t="shared" ref="Q53:Q60" si="18">IF(ISNUMBER(B36),EXP(2*($M36-B$46))/(1+EXP($M36-B$46-$B$58)+EXP(2*($M36-B$46))),"")</f>
        <v>0.62106054595733906</v>
      </c>
      <c r="R53" s="548">
        <f t="shared" si="16"/>
        <v>0.60340291862699613</v>
      </c>
      <c r="S53" s="548">
        <f t="shared" si="16"/>
        <v>0.55434316343064383</v>
      </c>
      <c r="T53" s="548">
        <f t="shared" si="16"/>
        <v>0.45029466424965325</v>
      </c>
      <c r="U53" s="548">
        <f t="shared" si="16"/>
        <v>0.3973251814421162</v>
      </c>
      <c r="V53" s="548">
        <f t="shared" si="16"/>
        <v>0.3973251814421162</v>
      </c>
      <c r="W53" s="548">
        <f t="shared" si="16"/>
        <v>0.29538348708887591</v>
      </c>
      <c r="X53" s="548">
        <f t="shared" si="16"/>
        <v>0.24869389068019263</v>
      </c>
      <c r="Y53" s="548">
        <f t="shared" si="16"/>
        <v>0.16817814941783091</v>
      </c>
      <c r="Z53" s="549">
        <f t="shared" si="16"/>
        <v>0.1352303816986391</v>
      </c>
      <c r="AA53" s="521"/>
      <c r="AM53" s="554"/>
      <c r="AN53" s="554"/>
      <c r="AO53" s="554"/>
      <c r="AP53" s="554"/>
    </row>
    <row r="54" spans="1:42" x14ac:dyDescent="0.35">
      <c r="A54">
        <v>2</v>
      </c>
      <c r="B54" s="89">
        <f>SUM(Q22:Z30)</f>
        <v>29.666666666666629</v>
      </c>
      <c r="C54" s="93">
        <f>B$24-B54</f>
        <v>-10.666666666666629</v>
      </c>
      <c r="E54" t="s">
        <v>99</v>
      </c>
      <c r="F54" s="547" t="str">
        <f t="shared" si="17"/>
        <v/>
      </c>
      <c r="G54" s="548">
        <f t="shared" si="15"/>
        <v>0.36666025482311276</v>
      </c>
      <c r="H54" s="548">
        <f t="shared" si="15"/>
        <v>0.38885090489365187</v>
      </c>
      <c r="I54" s="548">
        <f t="shared" si="15"/>
        <v>0.41866225987788858</v>
      </c>
      <c r="J54" s="548">
        <f t="shared" si="15"/>
        <v>0.4244513134066909</v>
      </c>
      <c r="K54" s="548">
        <f t="shared" si="15"/>
        <v>0.4244513134066909</v>
      </c>
      <c r="L54" s="548">
        <f t="shared" si="15"/>
        <v>0.41593313534588644</v>
      </c>
      <c r="M54" s="548">
        <f t="shared" si="15"/>
        <v>0.40218739999023934</v>
      </c>
      <c r="N54" s="548">
        <f t="shared" si="15"/>
        <v>0.35992739817023661</v>
      </c>
      <c r="O54" s="549">
        <f t="shared" si="15"/>
        <v>0.33375267614282489</v>
      </c>
      <c r="Q54" s="547" t="str">
        <f t="shared" si="18"/>
        <v/>
      </c>
      <c r="R54" s="548">
        <f t="shared" si="16"/>
        <v>0.51340980895388488</v>
      </c>
      <c r="S54" s="548">
        <f t="shared" si="16"/>
        <v>0.46089397001689364</v>
      </c>
      <c r="T54" s="548">
        <f t="shared" si="16"/>
        <v>0.35556327549331251</v>
      </c>
      <c r="U54" s="548">
        <f t="shared" si="16"/>
        <v>0.30513958629336069</v>
      </c>
      <c r="V54" s="548">
        <f t="shared" si="16"/>
        <v>0.30513958629336069</v>
      </c>
      <c r="W54" s="548">
        <f t="shared" si="16"/>
        <v>0.21425420973858755</v>
      </c>
      <c r="X54" s="548">
        <f t="shared" si="16"/>
        <v>0.17536862261147851</v>
      </c>
      <c r="Y54" s="548">
        <f t="shared" si="16"/>
        <v>0.11245363803703992</v>
      </c>
      <c r="Z54" s="549">
        <f t="shared" si="16"/>
        <v>8.8267524360852764E-2</v>
      </c>
      <c r="AA54" s="521"/>
      <c r="AM54" s="554"/>
      <c r="AN54" s="554"/>
      <c r="AO54" s="554"/>
      <c r="AP54" s="554"/>
    </row>
    <row r="55" spans="1:42" x14ac:dyDescent="0.35">
      <c r="E55" t="s">
        <v>100</v>
      </c>
      <c r="F55" s="547">
        <f t="shared" si="17"/>
        <v>0.37879979901594529</v>
      </c>
      <c r="G55" s="548">
        <f t="shared" si="15"/>
        <v>0.38681531345948983</v>
      </c>
      <c r="H55" s="548">
        <f t="shared" si="15"/>
        <v>0.40500342539436035</v>
      </c>
      <c r="I55" s="548">
        <f t="shared" si="15"/>
        <v>0.42417186584268224</v>
      </c>
      <c r="J55" s="548">
        <f t="shared" si="15"/>
        <v>0.42391804928876131</v>
      </c>
      <c r="K55" s="548">
        <f t="shared" si="15"/>
        <v>0.42391804928876131</v>
      </c>
      <c r="L55" s="548">
        <f t="shared" si="15"/>
        <v>0.40381683393819606</v>
      </c>
      <c r="M55" s="548">
        <f t="shared" si="15"/>
        <v>0.38525968619897161</v>
      </c>
      <c r="N55" s="548">
        <f t="shared" si="15"/>
        <v>0.33646787520473898</v>
      </c>
      <c r="O55" s="549">
        <f t="shared" si="15"/>
        <v>0.30867529022790779</v>
      </c>
      <c r="Q55" s="547">
        <f t="shared" si="18"/>
        <v>0.48596981928541566</v>
      </c>
      <c r="R55" s="548">
        <f t="shared" si="16"/>
        <v>0.46618662832735863</v>
      </c>
      <c r="S55" s="548">
        <f t="shared" si="16"/>
        <v>0.4131734783398634</v>
      </c>
      <c r="T55" s="548">
        <f t="shared" si="16"/>
        <v>0.3100635908064987</v>
      </c>
      <c r="U55" s="548">
        <f t="shared" si="16"/>
        <v>0.26230611009725585</v>
      </c>
      <c r="V55" s="548">
        <f t="shared" si="16"/>
        <v>0.26230611009725585</v>
      </c>
      <c r="W55" s="548">
        <f t="shared" si="16"/>
        <v>0.17903836004651671</v>
      </c>
      <c r="X55" s="548">
        <f t="shared" si="16"/>
        <v>0.14458819116366581</v>
      </c>
      <c r="Y55" s="548">
        <f t="shared" si="16"/>
        <v>9.0481134289735407E-2</v>
      </c>
      <c r="Z55" s="549">
        <f t="shared" si="16"/>
        <v>7.0264163814753172E-2</v>
      </c>
      <c r="AA55" s="521"/>
      <c r="AM55" s="554"/>
      <c r="AN55" s="554"/>
      <c r="AO55" s="554"/>
      <c r="AP55" s="554"/>
    </row>
    <row r="56" spans="1:42" x14ac:dyDescent="0.35">
      <c r="B56" s="6" t="s">
        <v>1001</v>
      </c>
      <c r="C56" s="6" t="s">
        <v>998</v>
      </c>
      <c r="E56" t="s">
        <v>536</v>
      </c>
      <c r="F56" s="547">
        <f t="shared" si="17"/>
        <v>0.39698438871691644</v>
      </c>
      <c r="G56" s="548">
        <f t="shared" si="15"/>
        <v>0.40341451337573198</v>
      </c>
      <c r="H56" s="548">
        <f t="shared" si="15"/>
        <v>0.41672445357107574</v>
      </c>
      <c r="I56" s="548">
        <f t="shared" si="15"/>
        <v>0.42424805289481654</v>
      </c>
      <c r="J56" s="548">
        <f t="shared" si="15"/>
        <v>0.41796516921462873</v>
      </c>
      <c r="K56" s="548">
        <f t="shared" si="15"/>
        <v>0.41796516921462873</v>
      </c>
      <c r="L56" s="548">
        <f t="shared" si="15"/>
        <v>0.3873283815830067</v>
      </c>
      <c r="M56" s="548">
        <f t="shared" si="15"/>
        <v>0.36484765271581099</v>
      </c>
      <c r="N56" s="548">
        <f t="shared" si="15"/>
        <v>0.31150511016841764</v>
      </c>
      <c r="O56" s="549">
        <f t="shared" si="15"/>
        <v>0.28300098117475514</v>
      </c>
      <c r="Q56" s="547">
        <f t="shared" si="18"/>
        <v>0.43835787711235114</v>
      </c>
      <c r="R56" s="548">
        <f t="shared" si="16"/>
        <v>0.41846920103094176</v>
      </c>
      <c r="S56" s="548">
        <f t="shared" si="16"/>
        <v>0.36591360181552302</v>
      </c>
      <c r="T56" s="548">
        <f t="shared" si="16"/>
        <v>0.26692214005325077</v>
      </c>
      <c r="U56" s="548">
        <f t="shared" si="16"/>
        <v>0.22259859480021449</v>
      </c>
      <c r="V56" s="548">
        <f t="shared" si="16"/>
        <v>0.22259859480021449</v>
      </c>
      <c r="W56" s="548">
        <f t="shared" si="16"/>
        <v>0.14780761883474286</v>
      </c>
      <c r="X56" s="548">
        <f t="shared" si="16"/>
        <v>0.11785462824754564</v>
      </c>
      <c r="Y56" s="548">
        <f t="shared" si="16"/>
        <v>7.2100028107661196E-2</v>
      </c>
      <c r="Z56" s="549">
        <f t="shared" si="16"/>
        <v>5.5446710538986588E-2</v>
      </c>
      <c r="AA56" s="521"/>
      <c r="AM56" s="554"/>
      <c r="AN56" s="554"/>
      <c r="AO56" s="554"/>
      <c r="AP56" s="554"/>
    </row>
    <row r="57" spans="1:42" x14ac:dyDescent="0.35">
      <c r="A57">
        <v>0</v>
      </c>
      <c r="B57" s="426">
        <v>0</v>
      </c>
      <c r="C57">
        <v>0</v>
      </c>
      <c r="E57" t="s">
        <v>101</v>
      </c>
      <c r="F57" s="547">
        <f t="shared" si="17"/>
        <v>0.41113248368108979</v>
      </c>
      <c r="G57" s="548">
        <f t="shared" si="15"/>
        <v>0.41566161183999728</v>
      </c>
      <c r="H57" s="548">
        <f t="shared" si="15"/>
        <v>0.42341106284061991</v>
      </c>
      <c r="I57" s="548">
        <f t="shared" si="15"/>
        <v>0.41888667503566024</v>
      </c>
      <c r="J57" s="548">
        <f t="shared" si="15"/>
        <v>0.4069122593880905</v>
      </c>
      <c r="K57" s="548">
        <f t="shared" si="15"/>
        <v>0.4069122593880905</v>
      </c>
      <c r="L57" s="548">
        <f t="shared" si="15"/>
        <v>0.36726036062665646</v>
      </c>
      <c r="M57" s="548">
        <f t="shared" si="15"/>
        <v>0.34184161783934447</v>
      </c>
      <c r="N57" s="548">
        <f t="shared" si="15"/>
        <v>0.28586033985658099</v>
      </c>
      <c r="O57" s="549">
        <f t="shared" si="15"/>
        <v>0.25742841977548719</v>
      </c>
      <c r="Q57" s="547">
        <f t="shared" si="18"/>
        <v>0.39074461901144064</v>
      </c>
      <c r="R57" s="548">
        <f t="shared" si="16"/>
        <v>0.371114331827401</v>
      </c>
      <c r="S57" s="548">
        <f t="shared" si="16"/>
        <v>0.3199982449597531</v>
      </c>
      <c r="T57" s="548">
        <f t="shared" si="16"/>
        <v>0.22683868113131511</v>
      </c>
      <c r="U57" s="548">
        <f t="shared" si="16"/>
        <v>0.18652580752152179</v>
      </c>
      <c r="V57" s="548">
        <f t="shared" si="16"/>
        <v>0.18652580752152179</v>
      </c>
      <c r="W57" s="548">
        <f t="shared" si="16"/>
        <v>0.12062779339073426</v>
      </c>
      <c r="X57" s="548">
        <f t="shared" si="16"/>
        <v>9.504206170490323E-2</v>
      </c>
      <c r="Y57" s="548">
        <f t="shared" si="16"/>
        <v>5.6948198727569836E-2</v>
      </c>
      <c r="Z57" s="549">
        <f t="shared" si="16"/>
        <v>4.3411037295765342E-2</v>
      </c>
      <c r="AA57" s="521"/>
      <c r="AM57" s="554"/>
      <c r="AN57" s="554"/>
      <c r="AO57" s="554"/>
      <c r="AP57" s="554"/>
    </row>
    <row r="58" spans="1:42" x14ac:dyDescent="0.35">
      <c r="A58">
        <v>1</v>
      </c>
      <c r="B58" s="100">
        <f>C58-AVERAGE(C58:C59)</f>
        <v>-0.39044464232776599</v>
      </c>
      <c r="C58">
        <f>B28+LN(B$22/B$23)-LN(B52/B53)</f>
        <v>-0.11441035117774799</v>
      </c>
      <c r="E58" t="s">
        <v>281</v>
      </c>
      <c r="F58" s="547">
        <f t="shared" si="17"/>
        <v>0.42053761381117449</v>
      </c>
      <c r="G58" s="548">
        <f t="shared" si="15"/>
        <v>0.42293022284505366</v>
      </c>
      <c r="H58" s="548">
        <f t="shared" si="15"/>
        <v>0.42470558360185068</v>
      </c>
      <c r="I58" s="548">
        <f t="shared" si="15"/>
        <v>0.40837631434102217</v>
      </c>
      <c r="J58" s="548">
        <f t="shared" si="15"/>
        <v>0.39133174392165182</v>
      </c>
      <c r="K58" s="548">
        <f t="shared" si="15"/>
        <v>0.39133174392165182</v>
      </c>
      <c r="L58" s="548">
        <f t="shared" si="15"/>
        <v>0.34449775957918849</v>
      </c>
      <c r="M58" s="548">
        <f t="shared" si="15"/>
        <v>0.31713875946769643</v>
      </c>
      <c r="N58" s="548">
        <f t="shared" si="15"/>
        <v>0.26024597992583803</v>
      </c>
      <c r="O58" s="549">
        <f t="shared" si="15"/>
        <v>0.23252471876919026</v>
      </c>
      <c r="Q58" s="547">
        <f t="shared" si="18"/>
        <v>0.34401065014674731</v>
      </c>
      <c r="R58" s="548">
        <f t="shared" si="16"/>
        <v>0.32500673286787668</v>
      </c>
      <c r="S58" s="548">
        <f t="shared" si="16"/>
        <v>0.27626711584946229</v>
      </c>
      <c r="T58" s="548">
        <f t="shared" si="16"/>
        <v>0.19034301362822617</v>
      </c>
      <c r="U58" s="548">
        <f t="shared" si="16"/>
        <v>0.15439707212989329</v>
      </c>
      <c r="V58" s="548">
        <f t="shared" si="16"/>
        <v>0.15439707212989329</v>
      </c>
      <c r="W58" s="548">
        <f t="shared" si="16"/>
        <v>9.7390267050217028E-2</v>
      </c>
      <c r="X58" s="548">
        <f t="shared" si="16"/>
        <v>7.5892011571041612E-2</v>
      </c>
      <c r="Y58" s="548">
        <f t="shared" si="16"/>
        <v>4.4623737635095091E-2</v>
      </c>
      <c r="Z58" s="549">
        <f t="shared" si="16"/>
        <v>3.3749599851684534E-2</v>
      </c>
      <c r="AA58" s="521"/>
      <c r="AM58" s="554"/>
      <c r="AN58" s="554"/>
      <c r="AO58" s="554"/>
      <c r="AP58" s="554"/>
    </row>
    <row r="59" spans="1:42" x14ac:dyDescent="0.35">
      <c r="A59">
        <v>2</v>
      </c>
      <c r="B59" s="94">
        <f>C59-AVERAGE(C58:C59)</f>
        <v>0.39044464232776599</v>
      </c>
      <c r="C59">
        <f>B29+LN(B$23/B$24)-LN(B53/B54)</f>
        <v>0.66647893347778397</v>
      </c>
      <c r="E59" t="s">
        <v>537</v>
      </c>
      <c r="F59" s="547">
        <f t="shared" si="17"/>
        <v>0.42470558360185068</v>
      </c>
      <c r="G59" s="548">
        <f t="shared" si="15"/>
        <v>0.42483279983554456</v>
      </c>
      <c r="H59" s="548">
        <f t="shared" si="15"/>
        <v>0.42053761381117455</v>
      </c>
      <c r="I59" s="548">
        <f t="shared" si="15"/>
        <v>0.3932640839794686</v>
      </c>
      <c r="J59" s="548">
        <f t="shared" si="15"/>
        <v>0.37198468913855171</v>
      </c>
      <c r="K59" s="548">
        <f t="shared" si="15"/>
        <v>0.37198468913855171</v>
      </c>
      <c r="L59" s="548">
        <f t="shared" si="15"/>
        <v>0.31994043069514072</v>
      </c>
      <c r="M59" s="548">
        <f t="shared" si="15"/>
        <v>0.29157968505199577</v>
      </c>
      <c r="N59" s="548">
        <f t="shared" si="15"/>
        <v>0.23524419146641734</v>
      </c>
      <c r="O59" s="549">
        <f t="shared" si="15"/>
        <v>0.20872188881499315</v>
      </c>
      <c r="Q59" s="547">
        <f t="shared" si="18"/>
        <v>0.29902730054868698</v>
      </c>
      <c r="R59" s="548">
        <f t="shared" si="16"/>
        <v>0.28099429604949039</v>
      </c>
      <c r="S59" s="548">
        <f t="shared" si="16"/>
        <v>0.23545173604207814</v>
      </c>
      <c r="T59" s="548">
        <f t="shared" si="16"/>
        <v>0.15776712393410028</v>
      </c>
      <c r="U59" s="548">
        <f t="shared" si="16"/>
        <v>0.12632080208249472</v>
      </c>
      <c r="V59" s="548">
        <f t="shared" si="16"/>
        <v>0.12632080208249472</v>
      </c>
      <c r="W59" s="548">
        <f t="shared" si="16"/>
        <v>7.7849191696429759E-2</v>
      </c>
      <c r="X59" s="548">
        <f t="shared" si="16"/>
        <v>6.0056474120065553E-2</v>
      </c>
      <c r="Y59" s="548">
        <f t="shared" si="16"/>
        <v>3.471815601688371E-2</v>
      </c>
      <c r="Z59" s="549">
        <f t="shared" si="16"/>
        <v>2.6074940386246869E-2</v>
      </c>
      <c r="AA59" s="521"/>
      <c r="AM59" s="554"/>
      <c r="AN59" s="554"/>
      <c r="AO59" s="554"/>
      <c r="AP59" s="554"/>
    </row>
    <row r="60" spans="1:42" x14ac:dyDescent="0.35">
      <c r="E60" t="s">
        <v>905</v>
      </c>
      <c r="F60" s="550">
        <f t="shared" si="17"/>
        <v>0.42341106284061991</v>
      </c>
      <c r="G60" s="551">
        <f t="shared" si="15"/>
        <v>0.4212659473534896</v>
      </c>
      <c r="H60" s="551">
        <f t="shared" si="15"/>
        <v>0.41113248368108979</v>
      </c>
      <c r="I60" s="551">
        <f t="shared" si="15"/>
        <v>0.37429381688440466</v>
      </c>
      <c r="J60" s="551">
        <f t="shared" si="15"/>
        <v>0.34974250969038123</v>
      </c>
      <c r="K60" s="551">
        <f t="shared" si="15"/>
        <v>0.34974250969038123</v>
      </c>
      <c r="L60" s="551">
        <f t="shared" si="15"/>
        <v>0.29443784703806641</v>
      </c>
      <c r="M60" s="551">
        <f t="shared" si="15"/>
        <v>0.26590349007164599</v>
      </c>
      <c r="N60" s="551">
        <f t="shared" si="15"/>
        <v>0.2113017718569834</v>
      </c>
      <c r="O60" s="552">
        <f t="shared" si="15"/>
        <v>0.18632488415449736</v>
      </c>
      <c r="Q60" s="550">
        <f t="shared" si="18"/>
        <v>0.25659069219962694</v>
      </c>
      <c r="R60" s="551">
        <f t="shared" si="16"/>
        <v>0.2398234503687007</v>
      </c>
      <c r="S60" s="551">
        <f t="shared" si="16"/>
        <v>0.19812289730746951</v>
      </c>
      <c r="T60" s="551">
        <f t="shared" si="16"/>
        <v>0.1292411173724127</v>
      </c>
      <c r="U60" s="551">
        <f t="shared" si="16"/>
        <v>0.10222427985016259</v>
      </c>
      <c r="V60" s="551">
        <f t="shared" si="16"/>
        <v>0.10222427985016259</v>
      </c>
      <c r="W60" s="551">
        <f t="shared" si="16"/>
        <v>6.166439057366397E-2</v>
      </c>
      <c r="X60" s="551">
        <f t="shared" si="16"/>
        <v>4.7139224576865119E-2</v>
      </c>
      <c r="Y60" s="551">
        <f t="shared" si="16"/>
        <v>2.684087738690934E-2</v>
      </c>
      <c r="Z60" s="552">
        <f t="shared" si="16"/>
        <v>2.0034661797618241E-2</v>
      </c>
      <c r="AA60" s="521"/>
      <c r="AM60" s="554"/>
      <c r="AN60" s="554"/>
      <c r="AO60" s="554"/>
      <c r="AP60" s="554"/>
    </row>
    <row r="61" spans="1:42" x14ac:dyDescent="0.35">
      <c r="AM61" s="554"/>
      <c r="AN61" s="554"/>
      <c r="AO61" s="554"/>
      <c r="AP61" s="554"/>
    </row>
    <row r="62" spans="1:42" x14ac:dyDescent="0.35">
      <c r="B62" t="s">
        <v>860</v>
      </c>
      <c r="P62" t="s">
        <v>908</v>
      </c>
      <c r="AB62" t="s">
        <v>909</v>
      </c>
      <c r="AM62" s="554"/>
      <c r="AN62" s="554"/>
      <c r="AO62" s="554"/>
      <c r="AP62" s="554"/>
    </row>
    <row r="63" spans="1:42" x14ac:dyDescent="0.35">
      <c r="AM63" s="554"/>
      <c r="AN63" s="554"/>
      <c r="AO63" s="554"/>
      <c r="AP63" s="554"/>
    </row>
    <row r="64" spans="1:42" x14ac:dyDescent="0.35">
      <c r="B64">
        <v>1</v>
      </c>
      <c r="C64">
        <v>2</v>
      </c>
      <c r="D64">
        <v>3</v>
      </c>
      <c r="E64">
        <v>4</v>
      </c>
      <c r="F64">
        <v>5</v>
      </c>
      <c r="G64">
        <v>6</v>
      </c>
      <c r="H64">
        <v>7</v>
      </c>
      <c r="I64">
        <v>8</v>
      </c>
      <c r="J64">
        <v>9</v>
      </c>
      <c r="K64">
        <v>10</v>
      </c>
      <c r="M64" t="s">
        <v>904</v>
      </c>
      <c r="N64" s="521" t="s">
        <v>265</v>
      </c>
      <c r="P64">
        <v>1</v>
      </c>
      <c r="Q64">
        <v>2</v>
      </c>
      <c r="R64">
        <v>3</v>
      </c>
      <c r="S64">
        <v>4</v>
      </c>
      <c r="T64">
        <v>5</v>
      </c>
      <c r="U64">
        <v>6</v>
      </c>
      <c r="V64">
        <v>7</v>
      </c>
      <c r="W64">
        <v>8</v>
      </c>
      <c r="X64">
        <v>9</v>
      </c>
      <c r="Y64">
        <v>10</v>
      </c>
      <c r="AB64">
        <v>1</v>
      </c>
      <c r="AC64">
        <v>2</v>
      </c>
      <c r="AD64">
        <v>3</v>
      </c>
      <c r="AE64">
        <v>4</v>
      </c>
      <c r="AF64">
        <v>5</v>
      </c>
      <c r="AG64">
        <v>6</v>
      </c>
      <c r="AH64">
        <v>7</v>
      </c>
      <c r="AI64">
        <v>8</v>
      </c>
      <c r="AJ64">
        <v>9</v>
      </c>
      <c r="AK64">
        <v>10</v>
      </c>
      <c r="AL64" s="521"/>
      <c r="AM64" s="554"/>
      <c r="AN64" s="554"/>
      <c r="AO64" s="554"/>
      <c r="AP64" s="554"/>
    </row>
    <row r="65" spans="1:42" x14ac:dyDescent="0.35">
      <c r="A65" t="s">
        <v>218</v>
      </c>
      <c r="B65" s="544">
        <f>IF(ISNUMBER(B35),F52+2*Q52,"")</f>
        <v>1.6999760815274407</v>
      </c>
      <c r="C65" s="545">
        <f t="shared" ref="C65:K73" si="19">IF(ISNUMBER(C35),G52+2*R52,"")</f>
        <v>1.6821863825497287</v>
      </c>
      <c r="D65" s="545">
        <f t="shared" si="19"/>
        <v>1.6302420783566496</v>
      </c>
      <c r="E65" s="545">
        <f t="shared" si="19"/>
        <v>1.5055242032337759</v>
      </c>
      <c r="F65" s="545">
        <f t="shared" si="19"/>
        <v>1.4325353445976936</v>
      </c>
      <c r="G65" s="545">
        <f t="shared" si="19"/>
        <v>1.4325353445976936</v>
      </c>
      <c r="H65" s="545">
        <f t="shared" si="19"/>
        <v>1.2670848402004093</v>
      </c>
      <c r="I65" s="545">
        <f t="shared" si="19"/>
        <v>1.1764733070301689</v>
      </c>
      <c r="J65" s="545">
        <f t="shared" si="19"/>
        <v>0.98682139193452534</v>
      </c>
      <c r="K65" s="546">
        <f t="shared" si="19"/>
        <v>0.89144108589533089</v>
      </c>
      <c r="M65" s="553">
        <f t="shared" ref="M65:M73" si="20">IF(Z65&gt;0,M35+MIN(MAX(AL65/Z65,-$Q$5),$Q$5),0)</f>
        <v>1.0401413316034249</v>
      </c>
      <c r="N65" s="426">
        <f t="shared" ref="N65:N73" si="21">1/SQRT(Z65)</f>
        <v>0.47330353187559077</v>
      </c>
      <c r="P65" s="544">
        <f t="shared" ref="P65:Y73" si="22">IF(ISNUMBER(B35),F52+4*Q52-B65*B65,"")</f>
        <v>0.27750876652029888</v>
      </c>
      <c r="Q65" s="545">
        <f t="shared" si="22"/>
        <v>0.29183249106136966</v>
      </c>
      <c r="R65" s="545">
        <f t="shared" si="22"/>
        <v>0.3319204145874739</v>
      </c>
      <c r="S65" s="545">
        <f t="shared" si="22"/>
        <v>0.4168632741628433</v>
      </c>
      <c r="T65" s="545">
        <f t="shared" si="22"/>
        <v>0.45866175414092858</v>
      </c>
      <c r="U65" s="545">
        <f t="shared" si="22"/>
        <v>0.45866175414092858</v>
      </c>
      <c r="V65" s="545">
        <f t="shared" si="22"/>
        <v>0.53033724777453939</v>
      </c>
      <c r="W65" s="545">
        <f t="shared" si="22"/>
        <v>0.55550563562701694</v>
      </c>
      <c r="X65" s="545">
        <f t="shared" si="22"/>
        <v>0.57499352445391205</v>
      </c>
      <c r="Y65" s="546">
        <f t="shared" si="22"/>
        <v>0.5676773483572406</v>
      </c>
      <c r="Z65" s="554">
        <f t="shared" ref="Z65:Z73" si="23">MAX(SUM(P65:Y65),$Q$7)</f>
        <v>4.4639622108265513</v>
      </c>
      <c r="AA65" s="554"/>
      <c r="AB65" s="544">
        <f t="shared" ref="AB65:AK73" si="24">IF(ISNUMBER(B5),B5-B65,"")</f>
        <v>0.30002391847255927</v>
      </c>
      <c r="AC65" s="545">
        <f t="shared" si="24"/>
        <v>0.31781361745027126</v>
      </c>
      <c r="AD65" s="545">
        <f t="shared" si="24"/>
        <v>0.36975792164335042</v>
      </c>
      <c r="AE65" s="545">
        <f t="shared" si="24"/>
        <v>-0.50552420323377589</v>
      </c>
      <c r="AF65" s="545">
        <f t="shared" si="24"/>
        <v>0.56746465540230639</v>
      </c>
      <c r="AG65" s="545">
        <f t="shared" si="24"/>
        <v>0.56746465540230639</v>
      </c>
      <c r="AH65" s="545">
        <f t="shared" si="24"/>
        <v>0.73291515979959065</v>
      </c>
      <c r="AI65" s="545">
        <f t="shared" si="24"/>
        <v>-0.17647330703016895</v>
      </c>
      <c r="AJ65" s="545">
        <f t="shared" si="24"/>
        <v>-0.98682139193452534</v>
      </c>
      <c r="AK65" s="546">
        <f t="shared" si="24"/>
        <v>0.10855891410466911</v>
      </c>
      <c r="AL65" s="554">
        <f>SUM(AB65:AK65)</f>
        <v>1.2951799400765838</v>
      </c>
      <c r="AM65" s="554"/>
      <c r="AN65" s="554"/>
      <c r="AO65" s="554"/>
      <c r="AP65" s="554"/>
    </row>
    <row r="66" spans="1:42" ht="12.75" customHeight="1" x14ac:dyDescent="0.35">
      <c r="A66" t="s">
        <v>98</v>
      </c>
      <c r="B66" s="547">
        <f t="shared" ref="B66:B73" si="25">IF(ISNUMBER(B36),F53+2*Q53,"")</f>
        <v>1.5507963821425861</v>
      </c>
      <c r="C66" s="548">
        <f t="shared" si="19"/>
        <v>1.5260468912804557</v>
      </c>
      <c r="D66" s="548">
        <f t="shared" si="19"/>
        <v>1.455161754156</v>
      </c>
      <c r="E66" s="548">
        <f t="shared" si="19"/>
        <v>1.2933747599855967</v>
      </c>
      <c r="F66" s="548">
        <f t="shared" si="19"/>
        <v>1.2040873516653856</v>
      </c>
      <c r="G66" s="548">
        <f t="shared" si="19"/>
        <v>1.2040873516653856</v>
      </c>
      <c r="H66" s="548">
        <f t="shared" si="19"/>
        <v>1.0155743264369783</v>
      </c>
      <c r="I66" s="548">
        <f t="shared" si="19"/>
        <v>0.91991368746922864</v>
      </c>
      <c r="J66" s="548">
        <f t="shared" si="19"/>
        <v>0.73512643050039861</v>
      </c>
      <c r="K66" s="549">
        <f t="shared" si="19"/>
        <v>0.6492605624132235</v>
      </c>
      <c r="M66" s="556">
        <f t="shared" si="20"/>
        <v>0.38873612940037761</v>
      </c>
      <c r="N66" s="100">
        <f t="shared" si="21"/>
        <v>0.44576423847797797</v>
      </c>
      <c r="P66" s="547">
        <f t="shared" si="22"/>
        <v>0.38794805519073039</v>
      </c>
      <c r="Q66" s="548">
        <f t="shared" si="22"/>
        <v>0.40403361414770522</v>
      </c>
      <c r="R66" s="548">
        <f t="shared" si="22"/>
        <v>0.44635235025892062</v>
      </c>
      <c r="S66" s="548">
        <f t="shared" si="22"/>
        <v>0.52114581871710342</v>
      </c>
      <c r="T66" s="548">
        <f t="shared" si="22"/>
        <v>0.54891136410905594</v>
      </c>
      <c r="U66" s="548">
        <f t="shared" si="22"/>
        <v>0.54891136410905594</v>
      </c>
      <c r="V66" s="548">
        <f t="shared" si="22"/>
        <v>0.57495008809680814</v>
      </c>
      <c r="W66" s="548">
        <f t="shared" si="22"/>
        <v>0.57106027643638024</v>
      </c>
      <c r="X66" s="548">
        <f t="shared" si="22"/>
        <v>0.53107186051580313</v>
      </c>
      <c r="Y66" s="549">
        <f t="shared" si="22"/>
        <v>0.49818204790536641</v>
      </c>
      <c r="Z66" s="554">
        <f t="shared" si="23"/>
        <v>5.0325668394869307</v>
      </c>
      <c r="AA66" s="554"/>
      <c r="AB66" s="547">
        <f t="shared" si="24"/>
        <v>0.44920361785741392</v>
      </c>
      <c r="AC66" s="548">
        <f t="shared" si="24"/>
        <v>-0.52604689128045568</v>
      </c>
      <c r="AD66" s="548">
        <f t="shared" si="24"/>
        <v>0.54483824584399998</v>
      </c>
      <c r="AE66" s="548">
        <f t="shared" si="24"/>
        <v>-0.2933747599855967</v>
      </c>
      <c r="AF66" s="548">
        <f t="shared" si="24"/>
        <v>-0.20408735166538561</v>
      </c>
      <c r="AG66" s="548">
        <f t="shared" si="24"/>
        <v>0.79591264833461439</v>
      </c>
      <c r="AH66" s="548">
        <f t="shared" si="24"/>
        <v>-1.5574326436978314E-2</v>
      </c>
      <c r="AI66" s="548">
        <f t="shared" si="24"/>
        <v>8.0086312530771364E-2</v>
      </c>
      <c r="AJ66" s="548">
        <f t="shared" si="24"/>
        <v>0.26487356949960139</v>
      </c>
      <c r="AK66" s="549">
        <f t="shared" si="24"/>
        <v>-0.6492605624132235</v>
      </c>
      <c r="AL66" s="554">
        <f t="shared" ref="AL66:AL73" si="26">SUM(AB66:AK66)</f>
        <v>0.44657050228476125</v>
      </c>
      <c r="AM66" s="554"/>
      <c r="AN66" s="554"/>
      <c r="AO66" s="554"/>
      <c r="AP66" s="554"/>
    </row>
    <row r="67" spans="1:42" x14ac:dyDescent="0.35">
      <c r="A67" t="s">
        <v>99</v>
      </c>
      <c r="B67" s="547" t="str">
        <f t="shared" si="25"/>
        <v/>
      </c>
      <c r="C67" s="548">
        <f t="shared" si="19"/>
        <v>1.3934798727308826</v>
      </c>
      <c r="D67" s="548">
        <f t="shared" si="19"/>
        <v>1.3106388449274391</v>
      </c>
      <c r="E67" s="548">
        <f t="shared" si="19"/>
        <v>1.1297888108645135</v>
      </c>
      <c r="F67" s="548">
        <f t="shared" si="19"/>
        <v>1.0347304859934123</v>
      </c>
      <c r="G67" s="548">
        <f t="shared" si="19"/>
        <v>1.0347304859934123</v>
      </c>
      <c r="H67" s="548">
        <f t="shared" si="19"/>
        <v>0.84444155482306149</v>
      </c>
      <c r="I67" s="548">
        <f t="shared" si="19"/>
        <v>0.75292464521319635</v>
      </c>
      <c r="J67" s="548">
        <f t="shared" si="19"/>
        <v>0.58483467424431645</v>
      </c>
      <c r="K67" s="549">
        <f t="shared" si="19"/>
        <v>0.51028772486453045</v>
      </c>
      <c r="M67" s="556">
        <f t="shared" si="20"/>
        <v>8.6040612851266143E-2</v>
      </c>
      <c r="N67" s="100">
        <f t="shared" si="21"/>
        <v>0.46140709744288294</v>
      </c>
      <c r="P67" s="547" t="str">
        <f t="shared" si="22"/>
        <v/>
      </c>
      <c r="Q67" s="548">
        <f t="shared" si="22"/>
        <v>0.47851333493257564</v>
      </c>
      <c r="R67" s="548">
        <f t="shared" si="22"/>
        <v>0.51465260312849481</v>
      </c>
      <c r="S67" s="548">
        <f t="shared" si="22"/>
        <v>0.5644926046964871</v>
      </c>
      <c r="T67" s="548">
        <f t="shared" si="22"/>
        <v>0.57434247993597043</v>
      </c>
      <c r="U67" s="548">
        <f t="shared" si="22"/>
        <v>0.57434247993597043</v>
      </c>
      <c r="V67" s="548">
        <f t="shared" si="22"/>
        <v>0.55986843478824699</v>
      </c>
      <c r="W67" s="548">
        <f t="shared" si="22"/>
        <v>0.53676636906673592</v>
      </c>
      <c r="X67" s="548">
        <f t="shared" si="22"/>
        <v>0.4677103541199405</v>
      </c>
      <c r="Y67" s="549">
        <f t="shared" si="22"/>
        <v>0.42642921143881729</v>
      </c>
      <c r="Z67" s="554">
        <f t="shared" si="23"/>
        <v>4.6971178720432389</v>
      </c>
      <c r="AA67" s="554"/>
      <c r="AB67" s="547" t="str">
        <f t="shared" si="24"/>
        <v/>
      </c>
      <c r="AC67" s="548">
        <f t="shared" si="24"/>
        <v>-0.39347987273088258</v>
      </c>
      <c r="AD67" s="548">
        <f t="shared" si="24"/>
        <v>0.6893611550725609</v>
      </c>
      <c r="AE67" s="548">
        <f t="shared" si="24"/>
        <v>-0.12978881086451355</v>
      </c>
      <c r="AF67" s="548">
        <f t="shared" si="24"/>
        <v>0.96526951400658767</v>
      </c>
      <c r="AG67" s="548">
        <f t="shared" si="24"/>
        <v>-3.473048599341233E-2</v>
      </c>
      <c r="AH67" s="548">
        <f t="shared" si="24"/>
        <v>-0.84444155482306149</v>
      </c>
      <c r="AI67" s="548">
        <f t="shared" si="24"/>
        <v>1.2470753547868036</v>
      </c>
      <c r="AJ67" s="548">
        <f t="shared" si="24"/>
        <v>-0.58483467424431645</v>
      </c>
      <c r="AK67" s="549">
        <f t="shared" si="24"/>
        <v>-0.51028772486453045</v>
      </c>
      <c r="AL67" s="554">
        <f t="shared" si="26"/>
        <v>0.40414290034523537</v>
      </c>
      <c r="AM67" s="554"/>
      <c r="AN67" s="554"/>
      <c r="AO67" s="554"/>
      <c r="AP67" s="554"/>
    </row>
    <row r="68" spans="1:42" x14ac:dyDescent="0.35">
      <c r="A68" t="s">
        <v>100</v>
      </c>
      <c r="B68" s="547">
        <f t="shared" si="25"/>
        <v>1.3507394375867765</v>
      </c>
      <c r="C68" s="548">
        <f t="shared" si="19"/>
        <v>1.319188570114207</v>
      </c>
      <c r="D68" s="548">
        <f t="shared" si="19"/>
        <v>1.2313503820740872</v>
      </c>
      <c r="E68" s="548">
        <f t="shared" si="19"/>
        <v>1.0442990474556797</v>
      </c>
      <c r="F68" s="548">
        <f t="shared" si="19"/>
        <v>0.94853026948327301</v>
      </c>
      <c r="G68" s="548">
        <f t="shared" si="19"/>
        <v>0.94853026948327301</v>
      </c>
      <c r="H68" s="548">
        <f t="shared" si="19"/>
        <v>0.76189355403122949</v>
      </c>
      <c r="I68" s="548">
        <f t="shared" si="19"/>
        <v>0.67443606852630322</v>
      </c>
      <c r="J68" s="548">
        <f t="shared" si="19"/>
        <v>0.51743014378420982</v>
      </c>
      <c r="K68" s="549">
        <f t="shared" si="19"/>
        <v>0.44920361785741414</v>
      </c>
      <c r="M68" s="556">
        <f t="shared" si="20"/>
        <v>-0.19779600005626613</v>
      </c>
      <c r="N68" s="100">
        <f t="shared" si="21"/>
        <v>0.44114401594265706</v>
      </c>
      <c r="P68" s="547">
        <f t="shared" si="22"/>
        <v>0.49818204790536691</v>
      </c>
      <c r="Q68" s="548">
        <f t="shared" si="22"/>
        <v>0.51130334324895821</v>
      </c>
      <c r="R68" s="548">
        <f t="shared" si="22"/>
        <v>0.54147357531981344</v>
      </c>
      <c r="S68" s="548">
        <f t="shared" si="22"/>
        <v>0.57386572855183715</v>
      </c>
      <c r="T68" s="548">
        <f t="shared" si="22"/>
        <v>0.57343281755177422</v>
      </c>
      <c r="U68" s="548">
        <f t="shared" si="22"/>
        <v>0.57343281755177422</v>
      </c>
      <c r="V68" s="548">
        <f t="shared" si="22"/>
        <v>0.53948848644992498</v>
      </c>
      <c r="W68" s="548">
        <f t="shared" si="22"/>
        <v>0.50874844032441846</v>
      </c>
      <c r="X68" s="548">
        <f t="shared" si="22"/>
        <v>0.43065845866713259</v>
      </c>
      <c r="Y68" s="549">
        <f t="shared" si="22"/>
        <v>0.38794805519073078</v>
      </c>
      <c r="Z68" s="554">
        <f t="shared" si="23"/>
        <v>5.1385337707617316</v>
      </c>
      <c r="AA68" s="554"/>
      <c r="AB68" s="547">
        <f t="shared" si="24"/>
        <v>-0.3507394375867765</v>
      </c>
      <c r="AC68" s="548">
        <f t="shared" si="24"/>
        <v>0.68081142988579302</v>
      </c>
      <c r="AD68" s="548">
        <f t="shared" si="24"/>
        <v>0.7686496179259128</v>
      </c>
      <c r="AE68" s="548">
        <f t="shared" si="24"/>
        <v>-4.4299047455679696E-2</v>
      </c>
      <c r="AF68" s="548">
        <f t="shared" si="24"/>
        <v>5.1469730516726986E-2</v>
      </c>
      <c r="AG68" s="548">
        <f t="shared" si="24"/>
        <v>5.1469730516726986E-2</v>
      </c>
      <c r="AH68" s="548">
        <f t="shared" si="24"/>
        <v>-0.76189355403122949</v>
      </c>
      <c r="AI68" s="548">
        <f t="shared" si="24"/>
        <v>0.32556393147369678</v>
      </c>
      <c r="AJ68" s="548">
        <f t="shared" si="24"/>
        <v>-0.51743014378420982</v>
      </c>
      <c r="AK68" s="549">
        <f t="shared" si="24"/>
        <v>-0.44920361785741414</v>
      </c>
      <c r="AL68" s="554">
        <f t="shared" si="26"/>
        <v>-0.24560136039645286</v>
      </c>
      <c r="AM68" s="554"/>
      <c r="AN68" s="554"/>
      <c r="AO68" s="554"/>
      <c r="AP68" s="554"/>
    </row>
    <row r="69" spans="1:42" x14ac:dyDescent="0.35">
      <c r="A69" t="s">
        <v>536</v>
      </c>
      <c r="B69" s="547">
        <f t="shared" si="25"/>
        <v>1.2737001429416188</v>
      </c>
      <c r="C69" s="548">
        <f t="shared" si="19"/>
        <v>1.2403529154376156</v>
      </c>
      <c r="D69" s="548">
        <f t="shared" si="19"/>
        <v>1.1485516572021217</v>
      </c>
      <c r="E69" s="548">
        <f t="shared" si="19"/>
        <v>0.95809233300131802</v>
      </c>
      <c r="F69" s="548">
        <f t="shared" si="19"/>
        <v>0.86316235881505765</v>
      </c>
      <c r="G69" s="548">
        <f t="shared" si="19"/>
        <v>0.86316235881505765</v>
      </c>
      <c r="H69" s="548">
        <f t="shared" si="19"/>
        <v>0.68294361925249247</v>
      </c>
      <c r="I69" s="548">
        <f t="shared" si="19"/>
        <v>0.60055690921090221</v>
      </c>
      <c r="J69" s="548">
        <f t="shared" si="19"/>
        <v>0.45570516638374003</v>
      </c>
      <c r="K69" s="549">
        <f t="shared" si="19"/>
        <v>0.39389440225272832</v>
      </c>
      <c r="M69" s="556">
        <f t="shared" si="20"/>
        <v>-0.39491647876666119</v>
      </c>
      <c r="N69" s="100">
        <f t="shared" si="21"/>
        <v>0.44462621780113204</v>
      </c>
      <c r="P69" s="547">
        <f t="shared" si="22"/>
        <v>0.52810384303682079</v>
      </c>
      <c r="Q69" s="548">
        <f t="shared" si="22"/>
        <v>0.53881596266490606</v>
      </c>
      <c r="R69" s="548">
        <f t="shared" si="22"/>
        <v>0.56120795157142767</v>
      </c>
      <c r="S69" s="548">
        <f t="shared" si="22"/>
        <v>0.57399569455191113</v>
      </c>
      <c r="T69" s="548">
        <f t="shared" si="22"/>
        <v>0.56331029074031225</v>
      </c>
      <c r="U69" s="548">
        <f t="shared" si="22"/>
        <v>0.56331029074031225</v>
      </c>
      <c r="V69" s="548">
        <f t="shared" si="22"/>
        <v>0.51214686984428459</v>
      </c>
      <c r="W69" s="548">
        <f t="shared" si="22"/>
        <v>0.4755975645050417</v>
      </c>
      <c r="X69" s="548">
        <f t="shared" si="22"/>
        <v>0.39223802393023022</v>
      </c>
      <c r="Y69" s="549">
        <f t="shared" si="22"/>
        <v>0.34963502320466733</v>
      </c>
      <c r="Z69" s="554">
        <f t="shared" si="23"/>
        <v>5.0583615147899144</v>
      </c>
      <c r="AA69" s="554"/>
      <c r="AB69" s="547">
        <f t="shared" si="24"/>
        <v>-0.27370014294161882</v>
      </c>
      <c r="AC69" s="548">
        <f t="shared" si="24"/>
        <v>-0.24035291543761561</v>
      </c>
      <c r="AD69" s="548">
        <f t="shared" si="24"/>
        <v>-0.14855165720212171</v>
      </c>
      <c r="AE69" s="548">
        <f t="shared" si="24"/>
        <v>1.041907666998682</v>
      </c>
      <c r="AF69" s="548">
        <f t="shared" si="24"/>
        <v>-0.86316235881505765</v>
      </c>
      <c r="AG69" s="548">
        <f t="shared" si="24"/>
        <v>1.1368376411849423</v>
      </c>
      <c r="AH69" s="548">
        <f t="shared" si="24"/>
        <v>0.31705638074750753</v>
      </c>
      <c r="AI69" s="548">
        <f t="shared" si="24"/>
        <v>-0.60055690921090221</v>
      </c>
      <c r="AJ69" s="548">
        <f t="shared" si="24"/>
        <v>-0.45570516638374003</v>
      </c>
      <c r="AK69" s="549">
        <f t="shared" si="24"/>
        <v>-0.39389440225272832</v>
      </c>
      <c r="AL69" s="554">
        <f t="shared" si="26"/>
        <v>-0.4801218633126525</v>
      </c>
      <c r="AM69" s="554"/>
      <c r="AN69" s="554"/>
      <c r="AO69" s="554"/>
      <c r="AP69" s="554"/>
    </row>
    <row r="70" spans="1:42" x14ac:dyDescent="0.35">
      <c r="A70" t="s">
        <v>101</v>
      </c>
      <c r="B70" s="547">
        <f t="shared" si="25"/>
        <v>1.1926217217039712</v>
      </c>
      <c r="C70" s="548">
        <f t="shared" si="19"/>
        <v>1.1578902754947993</v>
      </c>
      <c r="D70" s="548">
        <f t="shared" si="19"/>
        <v>1.0634075527601261</v>
      </c>
      <c r="E70" s="548">
        <f t="shared" si="19"/>
        <v>0.87256403729829046</v>
      </c>
      <c r="F70" s="548">
        <f t="shared" si="19"/>
        <v>0.77996387443113413</v>
      </c>
      <c r="G70" s="548">
        <f t="shared" si="19"/>
        <v>0.77996387443113413</v>
      </c>
      <c r="H70" s="548">
        <f t="shared" si="19"/>
        <v>0.60851594740812498</v>
      </c>
      <c r="I70" s="548">
        <f t="shared" si="19"/>
        <v>0.53192574124915093</v>
      </c>
      <c r="J70" s="548">
        <f t="shared" si="19"/>
        <v>0.39975673731172068</v>
      </c>
      <c r="K70" s="549">
        <f t="shared" si="19"/>
        <v>0.34425049436701788</v>
      </c>
      <c r="M70" s="556">
        <f t="shared" si="20"/>
        <v>-0.59846085616296363</v>
      </c>
      <c r="N70" s="100">
        <f t="shared" si="21"/>
        <v>0.45070129652358076</v>
      </c>
      <c r="P70" s="547">
        <f t="shared" si="22"/>
        <v>0.55176438864670785</v>
      </c>
      <c r="Q70" s="548">
        <f t="shared" si="22"/>
        <v>0.55940904906417899</v>
      </c>
      <c r="R70" s="548">
        <f t="shared" si="22"/>
        <v>0.5725684194123517</v>
      </c>
      <c r="S70" s="548">
        <f t="shared" si="22"/>
        <v>0.56487340037462841</v>
      </c>
      <c r="T70" s="548">
        <f t="shared" si="22"/>
        <v>0.54467184405655156</v>
      </c>
      <c r="U70" s="548">
        <f t="shared" si="22"/>
        <v>0.54467184405655156</v>
      </c>
      <c r="V70" s="548">
        <f t="shared" si="22"/>
        <v>0.47947987593958558</v>
      </c>
      <c r="W70" s="548">
        <f t="shared" si="22"/>
        <v>0.4390648704554988</v>
      </c>
      <c r="X70" s="548">
        <f t="shared" si="22"/>
        <v>0.35384768574074832</v>
      </c>
      <c r="Y70" s="549">
        <f t="shared" si="22"/>
        <v>0.31256416608661236</v>
      </c>
      <c r="Z70" s="554">
        <f t="shared" si="23"/>
        <v>4.9229155438334153</v>
      </c>
      <c r="AA70" s="554"/>
      <c r="AB70" s="547">
        <f t="shared" si="24"/>
        <v>0.80737827829602882</v>
      </c>
      <c r="AC70" s="548">
        <f t="shared" si="24"/>
        <v>0.84210972450520072</v>
      </c>
      <c r="AD70" s="548">
        <f t="shared" si="24"/>
        <v>-6.3407552760126107E-2</v>
      </c>
      <c r="AE70" s="548">
        <f t="shared" si="24"/>
        <v>0.12743596270170954</v>
      </c>
      <c r="AF70" s="548">
        <f t="shared" si="24"/>
        <v>-0.77996387443113413</v>
      </c>
      <c r="AG70" s="548">
        <f t="shared" si="24"/>
        <v>-0.77996387443113413</v>
      </c>
      <c r="AH70" s="548">
        <f t="shared" si="24"/>
        <v>0.39148405259187502</v>
      </c>
      <c r="AI70" s="548">
        <f t="shared" si="24"/>
        <v>-0.53192574124915093</v>
      </c>
      <c r="AJ70" s="548">
        <f t="shared" si="24"/>
        <v>-0.39975673731172068</v>
      </c>
      <c r="AK70" s="549">
        <f t="shared" si="24"/>
        <v>-0.34425049436701788</v>
      </c>
      <c r="AL70" s="554">
        <f t="shared" si="26"/>
        <v>-0.73086025645546959</v>
      </c>
      <c r="AM70" s="554"/>
      <c r="AN70" s="554"/>
      <c r="AO70" s="554"/>
      <c r="AP70" s="554"/>
    </row>
    <row r="71" spans="1:42" x14ac:dyDescent="0.35">
      <c r="A71" t="s">
        <v>281</v>
      </c>
      <c r="B71" s="547">
        <f t="shared" si="25"/>
        <v>1.1085589141046692</v>
      </c>
      <c r="C71" s="548">
        <f t="shared" si="19"/>
        <v>1.072943688580807</v>
      </c>
      <c r="D71" s="548">
        <f t="shared" si="19"/>
        <v>0.97723981530077531</v>
      </c>
      <c r="E71" s="548">
        <f t="shared" si="19"/>
        <v>0.78906234159747446</v>
      </c>
      <c r="F71" s="548">
        <f t="shared" si="19"/>
        <v>0.70012588818143839</v>
      </c>
      <c r="G71" s="548">
        <f t="shared" si="19"/>
        <v>0.70012588818143839</v>
      </c>
      <c r="H71" s="548">
        <f t="shared" si="19"/>
        <v>0.53927829367962254</v>
      </c>
      <c r="I71" s="548">
        <f t="shared" si="19"/>
        <v>0.46892278260977965</v>
      </c>
      <c r="J71" s="548">
        <f t="shared" si="19"/>
        <v>0.3494934551960282</v>
      </c>
      <c r="K71" s="549">
        <f t="shared" si="19"/>
        <v>0.30002391847255933</v>
      </c>
      <c r="M71" s="556">
        <f t="shared" si="20"/>
        <v>-0.81232412646002805</v>
      </c>
      <c r="N71" s="100">
        <f t="shared" si="21"/>
        <v>0.45946163939090101</v>
      </c>
      <c r="P71" s="547">
        <f t="shared" si="22"/>
        <v>0.56767734835724037</v>
      </c>
      <c r="Q71" s="548">
        <f t="shared" si="22"/>
        <v>0.57174899545117275</v>
      </c>
      <c r="R71" s="548">
        <f t="shared" si="22"/>
        <v>0.57477639039060646</v>
      </c>
      <c r="S71" s="548">
        <f t="shared" si="22"/>
        <v>0.54712898992663728</v>
      </c>
      <c r="T71" s="548">
        <f t="shared" si="22"/>
        <v>0.51874377313937714</v>
      </c>
      <c r="U71" s="548">
        <f t="shared" si="22"/>
        <v>0.51874377313937714</v>
      </c>
      <c r="V71" s="548">
        <f t="shared" si="22"/>
        <v>0.4432377497460514</v>
      </c>
      <c r="W71" s="548">
        <f t="shared" si="22"/>
        <v>0.40081822970136421</v>
      </c>
      <c r="X71" s="548">
        <f t="shared" si="22"/>
        <v>0.31659525524136023</v>
      </c>
      <c r="Y71" s="549">
        <f t="shared" si="22"/>
        <v>0.27750876652029949</v>
      </c>
      <c r="Z71" s="554">
        <f t="shared" si="23"/>
        <v>4.7369792716134862</v>
      </c>
      <c r="AA71" s="554"/>
      <c r="AB71" s="547">
        <f t="shared" si="24"/>
        <v>-0.10855891410466922</v>
      </c>
      <c r="AC71" s="548">
        <f t="shared" si="24"/>
        <v>0.92705631141919298</v>
      </c>
      <c r="AD71" s="548">
        <f t="shared" si="24"/>
        <v>-0.97723981530077531</v>
      </c>
      <c r="AE71" s="548">
        <f t="shared" si="24"/>
        <v>0.21093765840252554</v>
      </c>
      <c r="AF71" s="548">
        <f t="shared" si="24"/>
        <v>0.29987411181856161</v>
      </c>
      <c r="AG71" s="548">
        <f t="shared" si="24"/>
        <v>-0.70012588818143839</v>
      </c>
      <c r="AH71" s="548">
        <f t="shared" si="24"/>
        <v>-0.53927829367962254</v>
      </c>
      <c r="AI71" s="548">
        <f t="shared" si="24"/>
        <v>-0.46892278260977965</v>
      </c>
      <c r="AJ71" s="548">
        <f t="shared" si="24"/>
        <v>0.65050654480397174</v>
      </c>
      <c r="AK71" s="549">
        <f t="shared" si="24"/>
        <v>-0.30002391847255933</v>
      </c>
      <c r="AL71" s="554">
        <f t="shared" si="26"/>
        <v>-1.0057749859045926</v>
      </c>
      <c r="AM71" s="554"/>
      <c r="AN71" s="554"/>
      <c r="AO71" s="554"/>
      <c r="AP71" s="554"/>
    </row>
    <row r="72" spans="1:42" x14ac:dyDescent="0.35">
      <c r="A72" t="s">
        <v>537</v>
      </c>
      <c r="B72" s="547">
        <f t="shared" si="25"/>
        <v>1.0227601846992247</v>
      </c>
      <c r="C72" s="548">
        <f t="shared" si="19"/>
        <v>0.98682139193452534</v>
      </c>
      <c r="D72" s="548">
        <f t="shared" si="19"/>
        <v>0.89144108589533078</v>
      </c>
      <c r="E72" s="548">
        <f t="shared" si="19"/>
        <v>0.70879833184766916</v>
      </c>
      <c r="F72" s="548">
        <f t="shared" si="19"/>
        <v>0.62462629330354114</v>
      </c>
      <c r="G72" s="548">
        <f t="shared" si="19"/>
        <v>0.62462629330354114</v>
      </c>
      <c r="H72" s="548">
        <f t="shared" si="19"/>
        <v>0.47563881408800024</v>
      </c>
      <c r="I72" s="548">
        <f t="shared" si="19"/>
        <v>0.41169263329212691</v>
      </c>
      <c r="J72" s="548">
        <f t="shared" si="19"/>
        <v>0.30468050350018477</v>
      </c>
      <c r="K72" s="549">
        <f t="shared" si="19"/>
        <v>0.26087176958748687</v>
      </c>
      <c r="M72" s="556">
        <f t="shared" si="20"/>
        <v>-1.0410752753831476</v>
      </c>
      <c r="N72" s="100">
        <f t="shared" si="21"/>
        <v>0.47102375256250245</v>
      </c>
      <c r="P72" s="547">
        <f t="shared" si="22"/>
        <v>0.57477639039060646</v>
      </c>
      <c r="Q72" s="548">
        <f t="shared" si="22"/>
        <v>0.57499352445391205</v>
      </c>
      <c r="R72" s="548">
        <f t="shared" si="22"/>
        <v>0.5676773483572406</v>
      </c>
      <c r="S72" s="548">
        <f t="shared" si="22"/>
        <v>0.52193750448583121</v>
      </c>
      <c r="T72" s="548">
        <f t="shared" si="22"/>
        <v>0.48710989118240922</v>
      </c>
      <c r="U72" s="548">
        <f t="shared" si="22"/>
        <v>0.48710989118240922</v>
      </c>
      <c r="V72" s="548">
        <f t="shared" si="22"/>
        <v>0.40510491601382048</v>
      </c>
      <c r="W72" s="548">
        <f t="shared" si="22"/>
        <v>0.3623147572252523</v>
      </c>
      <c r="X72" s="548">
        <f t="shared" si="22"/>
        <v>0.28128660632082603</v>
      </c>
      <c r="Y72" s="549">
        <f t="shared" si="22"/>
        <v>0.2449675701922738</v>
      </c>
      <c r="Z72" s="554">
        <f t="shared" si="23"/>
        <v>4.5072783998045809</v>
      </c>
      <c r="AA72" s="554"/>
      <c r="AB72" s="547">
        <f t="shared" si="24"/>
        <v>-2.2760184699224695E-2</v>
      </c>
      <c r="AC72" s="548">
        <f t="shared" si="24"/>
        <v>-0.98682139193452534</v>
      </c>
      <c r="AD72" s="548">
        <f t="shared" si="24"/>
        <v>0.10855891410466922</v>
      </c>
      <c r="AE72" s="548">
        <f t="shared" si="24"/>
        <v>-0.70879833184766916</v>
      </c>
      <c r="AF72" s="548">
        <f t="shared" si="24"/>
        <v>0.37537370669645886</v>
      </c>
      <c r="AG72" s="548">
        <f t="shared" si="24"/>
        <v>-0.62462629330354114</v>
      </c>
      <c r="AH72" s="548">
        <f t="shared" si="24"/>
        <v>0.52436118591199976</v>
      </c>
      <c r="AI72" s="548">
        <f t="shared" si="24"/>
        <v>-0.41169263329212691</v>
      </c>
      <c r="AJ72" s="548">
        <f t="shared" si="24"/>
        <v>0.69531949649981528</v>
      </c>
      <c r="AK72" s="549">
        <f t="shared" si="24"/>
        <v>-0.26087176958748687</v>
      </c>
      <c r="AL72" s="554">
        <f t="shared" si="26"/>
        <v>-1.3119573014516308</v>
      </c>
      <c r="AM72" s="554"/>
      <c r="AN72" s="554"/>
      <c r="AO72" s="554"/>
      <c r="AP72" s="554"/>
    </row>
    <row r="73" spans="1:42" x14ac:dyDescent="0.35">
      <c r="A73" t="s">
        <v>905</v>
      </c>
      <c r="B73" s="550">
        <f t="shared" si="25"/>
        <v>0.93659244723987378</v>
      </c>
      <c r="C73" s="551">
        <f t="shared" si="19"/>
        <v>0.90091284809089101</v>
      </c>
      <c r="D73" s="551">
        <f t="shared" si="19"/>
        <v>0.80737827829602882</v>
      </c>
      <c r="E73" s="551">
        <f t="shared" si="19"/>
        <v>0.63277605162923001</v>
      </c>
      <c r="F73" s="551">
        <f t="shared" si="19"/>
        <v>0.55419106939070639</v>
      </c>
      <c r="G73" s="551">
        <f t="shared" si="19"/>
        <v>0.55419106939070639</v>
      </c>
      <c r="H73" s="551">
        <f t="shared" si="19"/>
        <v>0.41776662818539434</v>
      </c>
      <c r="I73" s="551">
        <f t="shared" si="19"/>
        <v>0.36018193922537622</v>
      </c>
      <c r="J73" s="551">
        <f t="shared" si="19"/>
        <v>0.2649835266308021</v>
      </c>
      <c r="K73" s="552">
        <f t="shared" si="19"/>
        <v>0.22639420774973384</v>
      </c>
      <c r="M73" s="557">
        <f t="shared" si="20"/>
        <v>-1.2902256437987378</v>
      </c>
      <c r="N73" s="94">
        <f t="shared" si="21"/>
        <v>0.48552390389034272</v>
      </c>
      <c r="P73" s="550">
        <f t="shared" si="22"/>
        <v>0.57256841941235204</v>
      </c>
      <c r="Q73" s="551">
        <f t="shared" si="22"/>
        <v>0.56891578897305151</v>
      </c>
      <c r="R73" s="551">
        <f t="shared" si="22"/>
        <v>0.55176438864670818</v>
      </c>
      <c r="S73" s="551">
        <f t="shared" si="22"/>
        <v>0.49085275485857749</v>
      </c>
      <c r="T73" s="551">
        <f t="shared" si="22"/>
        <v>0.45151188769861683</v>
      </c>
      <c r="U73" s="551">
        <f t="shared" si="22"/>
        <v>0.45151188769861683</v>
      </c>
      <c r="V73" s="551">
        <f t="shared" si="22"/>
        <v>0.36656645370732877</v>
      </c>
      <c r="W73" s="551">
        <f t="shared" si="22"/>
        <v>0.32472935903495381</v>
      </c>
      <c r="X73" s="551">
        <f t="shared" si="22"/>
        <v>0.24844901201892375</v>
      </c>
      <c r="Y73" s="552">
        <f t="shared" si="22"/>
        <v>0.21520919404234065</v>
      </c>
      <c r="Z73" s="554">
        <f t="shared" si="23"/>
        <v>4.24207914609147</v>
      </c>
      <c r="AA73" s="554"/>
      <c r="AB73" s="550">
        <f t="shared" si="24"/>
        <v>6.3407552760126218E-2</v>
      </c>
      <c r="AC73" s="551">
        <f t="shared" si="24"/>
        <v>9.9087151909108995E-2</v>
      </c>
      <c r="AD73" s="551">
        <f t="shared" si="24"/>
        <v>-0.80737827829602882</v>
      </c>
      <c r="AE73" s="551">
        <f t="shared" si="24"/>
        <v>0.36722394837076999</v>
      </c>
      <c r="AF73" s="551">
        <f t="shared" si="24"/>
        <v>-0.55419106939070639</v>
      </c>
      <c r="AG73" s="551">
        <f t="shared" si="24"/>
        <v>-0.55419106939070639</v>
      </c>
      <c r="AH73" s="551">
        <f t="shared" si="24"/>
        <v>-0.41776662818539434</v>
      </c>
      <c r="AI73" s="551">
        <f t="shared" si="24"/>
        <v>-0.36018193922537622</v>
      </c>
      <c r="AJ73" s="551">
        <f t="shared" si="24"/>
        <v>-0.2649835266308021</v>
      </c>
      <c r="AK73" s="552">
        <f t="shared" si="24"/>
        <v>0.77360579225026616</v>
      </c>
      <c r="AL73" s="554">
        <f t="shared" si="26"/>
        <v>-1.6553680658287426</v>
      </c>
      <c r="AM73" s="554"/>
      <c r="AN73" s="554"/>
      <c r="AO73" s="554"/>
      <c r="AP73" s="554"/>
    </row>
    <row r="74" spans="1:42" x14ac:dyDescent="0.35">
      <c r="P74" s="554">
        <f t="shared" ref="P74:Y74" si="27">MAX(SUM(P65:P73),$Q$7)</f>
        <v>3.958529259460124</v>
      </c>
      <c r="Q74" s="554">
        <f t="shared" si="27"/>
        <v>4.4995661039978296</v>
      </c>
      <c r="R74" s="554">
        <f t="shared" si="27"/>
        <v>4.6623934416730375</v>
      </c>
      <c r="S74" s="554">
        <f t="shared" si="27"/>
        <v>4.7751557703258563</v>
      </c>
      <c r="T74" s="554">
        <f t="shared" si="27"/>
        <v>4.7206961025549958</v>
      </c>
      <c r="U74" s="554">
        <f t="shared" si="27"/>
        <v>4.7206961025549958</v>
      </c>
      <c r="V74" s="554">
        <f t="shared" si="27"/>
        <v>4.4111801223605909</v>
      </c>
      <c r="W74" s="554">
        <f t="shared" si="27"/>
        <v>4.1746055023766626</v>
      </c>
      <c r="X74" s="554">
        <f t="shared" si="27"/>
        <v>3.596850781008877</v>
      </c>
      <c r="Y74" s="554">
        <f t="shared" si="27"/>
        <v>3.2801213829383489</v>
      </c>
      <c r="AB74" s="554">
        <f>SUM(AB65:AB73)</f>
        <v>0.86425468805383898</v>
      </c>
      <c r="AC74" s="554">
        <f t="shared" ref="AC74:AK74" si="28">SUM(AC65:AC73)</f>
        <v>0.72017716378608776</v>
      </c>
      <c r="AD74" s="554">
        <f t="shared" si="28"/>
        <v>0.48458855103144094</v>
      </c>
      <c r="AE74" s="554">
        <f t="shared" si="28"/>
        <v>6.5720083086452052E-2</v>
      </c>
      <c r="AF74" s="554">
        <f t="shared" si="28"/>
        <v>-0.14195293586164215</v>
      </c>
      <c r="AG74" s="554">
        <f t="shared" si="28"/>
        <v>-0.14195293586164226</v>
      </c>
      <c r="AH74" s="554">
        <f t="shared" si="28"/>
        <v>-0.61313757810531322</v>
      </c>
      <c r="AI74" s="554">
        <f t="shared" si="28"/>
        <v>-0.89702771382623303</v>
      </c>
      <c r="AJ74" s="554">
        <f t="shared" si="28"/>
        <v>-1.5988320294859262</v>
      </c>
      <c r="AK74" s="554">
        <f t="shared" si="28"/>
        <v>-2.0256277834600249</v>
      </c>
      <c r="AL74" s="559" cm="1">
        <f t="array" ref="AL74">MAX(ABS(AL65:AL73),ABS(AB74:AK74),ABS(C82:C84))</f>
        <v>4.4147356901690387</v>
      </c>
      <c r="AM74" s="554"/>
      <c r="AN74" s="554"/>
      <c r="AO74" s="554"/>
      <c r="AP74" s="554"/>
    </row>
    <row r="75" spans="1:42" x14ac:dyDescent="0.35">
      <c r="A75" t="s">
        <v>998</v>
      </c>
      <c r="B75">
        <f t="shared" ref="B75:K75" si="29">IF(P74 &gt; 0,B46-MIN(MAX(AB74/P74,-$Q$5),$Q$5),0)</f>
        <v>-1.0079105532189605</v>
      </c>
      <c r="C75">
        <f t="shared" si="29"/>
        <v>-0.887138135761109</v>
      </c>
      <c r="D75">
        <f t="shared" si="29"/>
        <v>-0.66435224333853871</v>
      </c>
      <c r="E75">
        <f t="shared" si="29"/>
        <v>-0.2408462525442322</v>
      </c>
      <c r="F75">
        <f t="shared" si="29"/>
        <v>-3.0346326874021994E-2</v>
      </c>
      <c r="G75">
        <f t="shared" si="29"/>
        <v>-3.0346326874021969E-2</v>
      </c>
      <c r="H75">
        <f t="shared" si="29"/>
        <v>0.41191293548762786</v>
      </c>
      <c r="I75">
        <f t="shared" si="29"/>
        <v>0.65446057462368823</v>
      </c>
      <c r="J75">
        <f t="shared" si="29"/>
        <v>1.2174255236722586</v>
      </c>
      <c r="K75">
        <f t="shared" si="29"/>
        <v>1.5571299259674931</v>
      </c>
      <c r="L75" s="554">
        <f>AVERAGE(B75:K75)</f>
        <v>9.7998912114018386E-2</v>
      </c>
      <c r="AM75" s="554"/>
      <c r="AN75" s="554"/>
      <c r="AO75" s="554"/>
      <c r="AP75" s="554"/>
    </row>
    <row r="76" spans="1:42" x14ac:dyDescent="0.35">
      <c r="A76" t="s">
        <v>822</v>
      </c>
      <c r="B76" s="537">
        <f t="shared" ref="B76:K76" si="30">B75-$L75</f>
        <v>-1.1059094653329788</v>
      </c>
      <c r="C76" s="538">
        <f t="shared" si="30"/>
        <v>-0.98513704787512735</v>
      </c>
      <c r="D76" s="538">
        <f t="shared" si="30"/>
        <v>-0.76235115545255705</v>
      </c>
      <c r="E76" s="538">
        <f t="shared" si="30"/>
        <v>-0.3388451646582506</v>
      </c>
      <c r="F76" s="538">
        <f t="shared" si="30"/>
        <v>-0.12834523898804037</v>
      </c>
      <c r="G76" s="538">
        <f t="shared" si="30"/>
        <v>-0.12834523898804034</v>
      </c>
      <c r="H76" s="538">
        <f t="shared" si="30"/>
        <v>0.31391402337360946</v>
      </c>
      <c r="I76" s="538">
        <f t="shared" si="30"/>
        <v>0.55646166250966989</v>
      </c>
      <c r="J76" s="538">
        <f t="shared" si="30"/>
        <v>1.1194266115582403</v>
      </c>
      <c r="K76" s="539">
        <f t="shared" si="30"/>
        <v>1.4591310138534748</v>
      </c>
      <c r="L76" s="554"/>
      <c r="AM76" s="554"/>
      <c r="AN76" s="554"/>
      <c r="AO76" s="554"/>
      <c r="AP76" s="554"/>
    </row>
    <row r="77" spans="1:42" x14ac:dyDescent="0.35">
      <c r="A77" t="s">
        <v>265</v>
      </c>
      <c r="B77" s="328">
        <f t="shared" ref="B77:K77" si="31">1/SQRT(P74)</f>
        <v>0.50261225117279784</v>
      </c>
      <c r="C77" s="327">
        <f t="shared" si="31"/>
        <v>0.47142724916100043</v>
      </c>
      <c r="D77" s="327">
        <f t="shared" si="31"/>
        <v>0.4631221368514622</v>
      </c>
      <c r="E77" s="327">
        <f t="shared" si="31"/>
        <v>0.45762129774294347</v>
      </c>
      <c r="F77" s="327">
        <f t="shared" si="31"/>
        <v>0.46025337126525662</v>
      </c>
      <c r="G77" s="327">
        <f t="shared" si="31"/>
        <v>0.46025337126525662</v>
      </c>
      <c r="H77" s="327">
        <f t="shared" si="31"/>
        <v>0.47612677434609857</v>
      </c>
      <c r="I77" s="327">
        <f t="shared" si="31"/>
        <v>0.48943190809895853</v>
      </c>
      <c r="J77" s="327">
        <f t="shared" si="31"/>
        <v>0.52727695362549309</v>
      </c>
      <c r="K77" s="326">
        <f t="shared" si="31"/>
        <v>0.55214741381090382</v>
      </c>
      <c r="L77" s="554"/>
      <c r="AM77" s="554"/>
      <c r="AN77" s="554"/>
      <c r="AO77" s="554"/>
      <c r="AP77" s="554"/>
    </row>
    <row r="78" spans="1:42" x14ac:dyDescent="0.35">
      <c r="L78" s="554"/>
      <c r="AM78" s="554"/>
      <c r="AN78" s="554"/>
      <c r="AO78" s="554"/>
      <c r="AP78" s="554"/>
    </row>
    <row r="79" spans="1:42" x14ac:dyDescent="0.35">
      <c r="A79" t="s">
        <v>312</v>
      </c>
      <c r="B79">
        <f>B49+1</f>
        <v>3</v>
      </c>
      <c r="AM79" s="554"/>
      <c r="AN79" s="554"/>
      <c r="AO79" s="554"/>
      <c r="AP79" s="554"/>
    </row>
    <row r="80" spans="1:42" x14ac:dyDescent="0.35">
      <c r="F80" s="563" t="s">
        <v>999</v>
      </c>
      <c r="G80" s="563"/>
      <c r="H80" s="563"/>
      <c r="I80" s="563"/>
      <c r="J80" s="563"/>
      <c r="K80" s="563"/>
      <c r="L80" s="563"/>
      <c r="M80" s="563"/>
      <c r="N80" s="563"/>
      <c r="O80" s="563"/>
      <c r="Q80" s="563" t="s">
        <v>1000</v>
      </c>
      <c r="R80" s="563"/>
      <c r="S80" s="563"/>
      <c r="T80" s="563"/>
      <c r="U80" s="563"/>
      <c r="V80" s="563"/>
      <c r="W80" s="563"/>
      <c r="X80" s="563"/>
      <c r="Y80" s="563"/>
      <c r="Z80" s="563"/>
      <c r="AA80" s="521"/>
      <c r="AM80" s="554"/>
      <c r="AN80" s="554"/>
      <c r="AO80" s="554"/>
      <c r="AP80" s="554"/>
    </row>
    <row r="81" spans="1:66" x14ac:dyDescent="0.35">
      <c r="B81" s="6" t="s">
        <v>28</v>
      </c>
      <c r="C81" s="6" t="s">
        <v>1002</v>
      </c>
      <c r="F81">
        <v>1</v>
      </c>
      <c r="G81">
        <v>2</v>
      </c>
      <c r="H81">
        <v>3</v>
      </c>
      <c r="I81">
        <v>4</v>
      </c>
      <c r="J81">
        <v>5</v>
      </c>
      <c r="K81">
        <v>6</v>
      </c>
      <c r="L81">
        <v>7</v>
      </c>
      <c r="M81">
        <v>8</v>
      </c>
      <c r="N81">
        <v>9</v>
      </c>
      <c r="O81">
        <v>10</v>
      </c>
      <c r="Q81">
        <v>1</v>
      </c>
      <c r="R81">
        <v>2</v>
      </c>
      <c r="S81">
        <v>3</v>
      </c>
      <c r="T81">
        <v>4</v>
      </c>
      <c r="U81">
        <v>5</v>
      </c>
      <c r="V81">
        <v>6</v>
      </c>
      <c r="W81">
        <v>7</v>
      </c>
      <c r="X81">
        <v>8</v>
      </c>
      <c r="Y81">
        <v>9</v>
      </c>
      <c r="Z81">
        <v>10</v>
      </c>
      <c r="AM81" s="554"/>
      <c r="AN81" s="554"/>
      <c r="AO81" s="554"/>
      <c r="AP81" s="554"/>
    </row>
    <row r="82" spans="1:66" x14ac:dyDescent="0.35">
      <c r="A82">
        <v>0</v>
      </c>
      <c r="B82" s="423">
        <f>B$25-SUM(B83:B84)</f>
        <v>33.565472599763048</v>
      </c>
      <c r="C82" s="425">
        <f>B$22-B82</f>
        <v>-0.56547259976304787</v>
      </c>
      <c r="E82" t="s">
        <v>218</v>
      </c>
      <c r="F82" s="544">
        <f>IF(ISNUMBER(B65),EXP($M65-B$76-$B$88)/(1+EXP($M65-B$76-$B$88)+EXP(2*($M65-B$76))),"")</f>
        <v>0.17633231870748406</v>
      </c>
      <c r="G82" s="545">
        <f t="shared" ref="G82:O90" si="32">IF(ISNUMBER(C65),EXP($M65-C$76-$B$88)/(1+EXP($M65-C$76-$B$88)+EXP(2*($M65-C$76))),"")</f>
        <v>0.19398778918087689</v>
      </c>
      <c r="H82" s="545">
        <f t="shared" si="32"/>
        <v>0.22951004851266127</v>
      </c>
      <c r="I82" s="545">
        <f t="shared" si="32"/>
        <v>0.30528852763131303</v>
      </c>
      <c r="J82" s="545">
        <f t="shared" si="32"/>
        <v>0.34468581806999882</v>
      </c>
      <c r="K82" s="545">
        <f t="shared" si="32"/>
        <v>0.34468581806999882</v>
      </c>
      <c r="L82" s="545">
        <f t="shared" si="32"/>
        <v>0.42110306578358031</v>
      </c>
      <c r="M82" s="545">
        <f t="shared" si="32"/>
        <v>0.45324015724730637</v>
      </c>
      <c r="N82" s="545">
        <f t="shared" si="32"/>
        <v>0.48049753548616908</v>
      </c>
      <c r="O82" s="546">
        <f t="shared" si="32"/>
        <v>0.46002753821719283</v>
      </c>
      <c r="Q82" s="544">
        <f>IF(ISNUMBER(B65),EXP(2*($M65-B$76))/(1+EXP($M65-B$76-$B$88)+EXP(2*($M65-B$76))),"")</f>
        <v>0.81255505376829451</v>
      </c>
      <c r="R82" s="545">
        <f t="shared" ref="R82:Z90" si="33">IF(ISNUMBER(C65),EXP(2*($M65-C$76))/(1+EXP($M65-C$76-$B$88)+EXP(2*($M65-C$76))),"")</f>
        <v>0.79221758173585943</v>
      </c>
      <c r="S82" s="545">
        <f t="shared" si="33"/>
        <v>0.75009643950548988</v>
      </c>
      <c r="T82" s="545">
        <f t="shared" si="33"/>
        <v>0.65328031009066656</v>
      </c>
      <c r="U82" s="545">
        <f t="shared" si="33"/>
        <v>0.59757654521825765</v>
      </c>
      <c r="V82" s="545">
        <f t="shared" si="33"/>
        <v>0.59757654521825765</v>
      </c>
      <c r="W82" s="545">
        <f t="shared" si="33"/>
        <v>0.46912413241847967</v>
      </c>
      <c r="X82" s="545">
        <f t="shared" si="33"/>
        <v>0.39617827005062622</v>
      </c>
      <c r="Y82" s="545">
        <f t="shared" si="33"/>
        <v>0.23919982816095708</v>
      </c>
      <c r="Z82" s="546">
        <f t="shared" si="33"/>
        <v>0.16305036738461989</v>
      </c>
      <c r="AM82" s="554"/>
      <c r="AN82" s="554"/>
      <c r="AO82" s="554"/>
      <c r="AP82" s="554"/>
    </row>
    <row r="83" spans="1:66" x14ac:dyDescent="0.35">
      <c r="A83">
        <v>1</v>
      </c>
      <c r="B83" s="101">
        <f>SUM(F52:O60)</f>
        <v>32.585264309830961</v>
      </c>
      <c r="C83" s="102">
        <f>B$23-B83</f>
        <v>4.4147356901690387</v>
      </c>
      <c r="E83" t="s">
        <v>98</v>
      </c>
      <c r="F83" s="547">
        <f t="shared" ref="F83:F90" si="34">IF(ISNUMBER(B66),EXP($M66-B$76-$B$88)/(1+EXP($M66-B$76-$B$88)+EXP(2*($M66-B$76))),"")</f>
        <v>0.28383735793731119</v>
      </c>
      <c r="G83" s="548">
        <f t="shared" si="32"/>
        <v>0.30624385887205446</v>
      </c>
      <c r="H83" s="548">
        <f t="shared" si="32"/>
        <v>0.34791941223734268</v>
      </c>
      <c r="I83" s="548">
        <f t="shared" si="32"/>
        <v>0.42089805164704541</v>
      </c>
      <c r="J83" s="548">
        <f t="shared" si="32"/>
        <v>0.44941567319661446</v>
      </c>
      <c r="K83" s="548">
        <f t="shared" si="32"/>
        <v>0.44941567319661452</v>
      </c>
      <c r="L83" s="548">
        <f t="shared" si="32"/>
        <v>0.48058321163036349</v>
      </c>
      <c r="M83" s="548">
        <f t="shared" si="32"/>
        <v>0.47778709770623279</v>
      </c>
      <c r="N83" s="548">
        <f t="shared" si="32"/>
        <v>0.42042633972096677</v>
      </c>
      <c r="O83" s="549">
        <f t="shared" si="32"/>
        <v>0.36278266202774134</v>
      </c>
      <c r="Q83" s="547">
        <f t="shared" ref="Q83:Q90" si="35">IF(ISNUMBER(B66),EXP(2*($M66-B$76))/(1+EXP($M66-B$76-$B$88)+EXP(2*($M66-B$76))),"")</f>
        <v>0.68184984830878093</v>
      </c>
      <c r="R83" s="548">
        <f t="shared" si="33"/>
        <v>0.65198227147971588</v>
      </c>
      <c r="S83" s="548">
        <f t="shared" si="33"/>
        <v>0.59277840712078189</v>
      </c>
      <c r="T83" s="548">
        <f t="shared" si="33"/>
        <v>0.46953104740139767</v>
      </c>
      <c r="U83" s="548">
        <f t="shared" si="33"/>
        <v>0.40617824390799606</v>
      </c>
      <c r="V83" s="548">
        <f t="shared" si="33"/>
        <v>0.40617824390799595</v>
      </c>
      <c r="W83" s="548">
        <f t="shared" si="33"/>
        <v>0.27910414197967881</v>
      </c>
      <c r="X83" s="548">
        <f t="shared" si="33"/>
        <v>0.21771833414598643</v>
      </c>
      <c r="Y83" s="548">
        <f t="shared" si="33"/>
        <v>0.10910833559097076</v>
      </c>
      <c r="Z83" s="549">
        <f t="shared" si="33"/>
        <v>6.7032094535296002E-2</v>
      </c>
      <c r="AM83" s="554"/>
      <c r="AN83" s="554"/>
      <c r="AO83" s="554"/>
      <c r="AP83" s="554"/>
    </row>
    <row r="84" spans="1:66" x14ac:dyDescent="0.35">
      <c r="A84">
        <v>2</v>
      </c>
      <c r="B84" s="89">
        <f>SUM(Q52:Z60)</f>
        <v>22.849263090405991</v>
      </c>
      <c r="C84" s="93">
        <f>B$24-B84</f>
        <v>-3.8492630904059908</v>
      </c>
      <c r="E84" t="s">
        <v>99</v>
      </c>
      <c r="F84" s="547" t="str">
        <f t="shared" si="34"/>
        <v/>
      </c>
      <c r="G84" s="548">
        <f t="shared" si="32"/>
        <v>0.36263976324486341</v>
      </c>
      <c r="H84" s="548">
        <f t="shared" si="32"/>
        <v>0.40168773543418002</v>
      </c>
      <c r="I84" s="548">
        <f t="shared" si="32"/>
        <v>0.45944386018854383</v>
      </c>
      <c r="J84" s="548">
        <f t="shared" si="32"/>
        <v>0.47559031918790862</v>
      </c>
      <c r="K84" s="548">
        <f t="shared" si="32"/>
        <v>0.47559031918790862</v>
      </c>
      <c r="L84" s="548">
        <f t="shared" si="32"/>
        <v>0.47485842682270563</v>
      </c>
      <c r="M84" s="548">
        <f t="shared" si="32"/>
        <v>0.45469897256190256</v>
      </c>
      <c r="N84" s="548">
        <f t="shared" si="32"/>
        <v>0.36950354495522864</v>
      </c>
      <c r="O84" s="549">
        <f t="shared" si="32"/>
        <v>0.30639014305711249</v>
      </c>
      <c r="Q84" s="547" t="str">
        <f t="shared" si="35"/>
        <v/>
      </c>
      <c r="R84" s="548">
        <f t="shared" si="33"/>
        <v>0.57040697586207956</v>
      </c>
      <c r="S84" s="548">
        <f t="shared" si="33"/>
        <v>0.50564217841549131</v>
      </c>
      <c r="T84" s="548">
        <f t="shared" si="33"/>
        <v>0.37866996474053499</v>
      </c>
      <c r="U84" s="548">
        <f t="shared" si="33"/>
        <v>0.31757218467769721</v>
      </c>
      <c r="V84" s="548">
        <f t="shared" si="33"/>
        <v>0.31757218467769721</v>
      </c>
      <c r="W84" s="548">
        <f t="shared" si="33"/>
        <v>0.20375245163171174</v>
      </c>
      <c r="X84" s="548">
        <f t="shared" si="33"/>
        <v>0.1530825067546922</v>
      </c>
      <c r="Y84" s="548">
        <f t="shared" si="33"/>
        <v>7.0848005864667704E-2</v>
      </c>
      <c r="Z84" s="549">
        <f t="shared" si="33"/>
        <v>4.1826551886816915E-2</v>
      </c>
      <c r="AM84" s="554"/>
      <c r="AN84" s="554"/>
      <c r="AO84" s="554"/>
      <c r="AP84" s="554"/>
    </row>
    <row r="85" spans="1:66" x14ac:dyDescent="0.35">
      <c r="E85" t="s">
        <v>100</v>
      </c>
      <c r="F85" s="547">
        <f t="shared" si="34"/>
        <v>0.39160570192513666</v>
      </c>
      <c r="G85" s="548">
        <f t="shared" si="32"/>
        <v>0.41161276900926735</v>
      </c>
      <c r="H85" s="548">
        <f t="shared" si="32"/>
        <v>0.44362523551162703</v>
      </c>
      <c r="I85" s="548">
        <f t="shared" si="32"/>
        <v>0.47880663384542993</v>
      </c>
      <c r="J85" s="548">
        <f t="shared" si="32"/>
        <v>0.48067976603995116</v>
      </c>
      <c r="K85" s="548">
        <f t="shared" si="32"/>
        <v>0.48067976603995116</v>
      </c>
      <c r="L85" s="548">
        <f t="shared" si="32"/>
        <v>0.45004489571318212</v>
      </c>
      <c r="M85" s="548">
        <f t="shared" si="32"/>
        <v>0.4168093051516833</v>
      </c>
      <c r="N85" s="548">
        <f t="shared" si="32"/>
        <v>0.31684997298345174</v>
      </c>
      <c r="O85" s="549">
        <f t="shared" si="32"/>
        <v>0.25456357744942754</v>
      </c>
      <c r="Q85" s="547">
        <f t="shared" si="35"/>
        <v>0.52328770643451961</v>
      </c>
      <c r="R85" s="548">
        <f t="shared" si="33"/>
        <v>0.48744943328449269</v>
      </c>
      <c r="S85" s="548">
        <f t="shared" si="33"/>
        <v>0.42043831807176718</v>
      </c>
      <c r="T85" s="548">
        <f t="shared" si="33"/>
        <v>0.29711179367047164</v>
      </c>
      <c r="U85" s="548">
        <f t="shared" si="33"/>
        <v>0.24165546286463549</v>
      </c>
      <c r="V85" s="548">
        <f t="shared" si="33"/>
        <v>0.24165546286463549</v>
      </c>
      <c r="W85" s="548">
        <f t="shared" si="33"/>
        <v>0.14538709513251416</v>
      </c>
      <c r="X85" s="548">
        <f t="shared" si="33"/>
        <v>0.10565020000474172</v>
      </c>
      <c r="Y85" s="548">
        <f t="shared" si="33"/>
        <v>4.5739774712693186E-2</v>
      </c>
      <c r="Z85" s="549">
        <f t="shared" si="33"/>
        <v>2.616404364809825E-2</v>
      </c>
      <c r="AM85" s="554"/>
      <c r="AN85" s="554"/>
      <c r="AO85" s="554"/>
      <c r="AP85" s="554"/>
    </row>
    <row r="86" spans="1:66" x14ac:dyDescent="0.35">
      <c r="B86" s="6" t="s">
        <v>1001</v>
      </c>
      <c r="C86" s="6" t="s">
        <v>998</v>
      </c>
      <c r="E86" t="s">
        <v>536</v>
      </c>
      <c r="F86" s="547">
        <f t="shared" si="34"/>
        <v>0.42339256433610312</v>
      </c>
      <c r="G86" s="548">
        <f t="shared" si="32"/>
        <v>0.44032896994670601</v>
      </c>
      <c r="H86" s="548">
        <f t="shared" si="32"/>
        <v>0.46482137247435235</v>
      </c>
      <c r="I86" s="548">
        <f t="shared" si="32"/>
        <v>0.48088910507725252</v>
      </c>
      <c r="J86" s="548">
        <f t="shared" si="32"/>
        <v>0.47252101908024025</v>
      </c>
      <c r="K86" s="548">
        <f t="shared" si="32"/>
        <v>0.47252101908024025</v>
      </c>
      <c r="L86" s="548">
        <f t="shared" si="32"/>
        <v>0.42371496230790878</v>
      </c>
      <c r="M86" s="548">
        <f t="shared" si="32"/>
        <v>0.38410295226038366</v>
      </c>
      <c r="N86" s="548">
        <f t="shared" si="32"/>
        <v>0.28022397624033296</v>
      </c>
      <c r="O86" s="549">
        <f t="shared" si="32"/>
        <v>0.2209673018386504</v>
      </c>
      <c r="Q86" s="547">
        <f t="shared" si="35"/>
        <v>0.46454353004120658</v>
      </c>
      <c r="R86" s="548">
        <f t="shared" si="33"/>
        <v>0.4281635119699374</v>
      </c>
      <c r="S86" s="548">
        <f t="shared" si="33"/>
        <v>0.36171273517492608</v>
      </c>
      <c r="T86" s="548">
        <f t="shared" si="33"/>
        <v>0.24501706543256246</v>
      </c>
      <c r="U86" s="548">
        <f t="shared" si="33"/>
        <v>0.19505342107889892</v>
      </c>
      <c r="V86" s="548">
        <f t="shared" si="33"/>
        <v>0.19505342107889892</v>
      </c>
      <c r="W86" s="548">
        <f t="shared" si="33"/>
        <v>0.11239202158731358</v>
      </c>
      <c r="X86" s="548">
        <f t="shared" si="33"/>
        <v>7.994148779665193E-2</v>
      </c>
      <c r="Y86" s="548">
        <f t="shared" si="33"/>
        <v>3.3215232884926338E-2</v>
      </c>
      <c r="Z86" s="549">
        <f t="shared" si="33"/>
        <v>1.8647828906143572E-2</v>
      </c>
      <c r="AM86" s="554"/>
      <c r="AN86" s="554"/>
      <c r="AO86" s="554"/>
      <c r="AP86" s="554"/>
    </row>
    <row r="87" spans="1:66" x14ac:dyDescent="0.35">
      <c r="A87">
        <v>0</v>
      </c>
      <c r="B87" s="426">
        <v>0</v>
      </c>
      <c r="C87">
        <v>0</v>
      </c>
      <c r="E87" t="s">
        <v>101</v>
      </c>
      <c r="F87" s="547">
        <f t="shared" si="34"/>
        <v>0.45054025890761301</v>
      </c>
      <c r="G87" s="548">
        <f t="shared" si="32"/>
        <v>0.46309797549702403</v>
      </c>
      <c r="H87" s="548">
        <f t="shared" si="32"/>
        <v>0.47794432577925189</v>
      </c>
      <c r="I87" s="548">
        <f t="shared" si="32"/>
        <v>0.47296690701000205</v>
      </c>
      <c r="J87" s="548">
        <f t="shared" si="32"/>
        <v>0.45473217459174325</v>
      </c>
      <c r="K87" s="548">
        <f t="shared" si="32"/>
        <v>0.45473217459174325</v>
      </c>
      <c r="L87" s="548">
        <f t="shared" si="32"/>
        <v>0.39087367330909378</v>
      </c>
      <c r="M87" s="548">
        <f t="shared" si="32"/>
        <v>0.34720735702155026</v>
      </c>
      <c r="N87" s="548">
        <f t="shared" si="32"/>
        <v>0.24391337114281234</v>
      </c>
      <c r="O87" s="549">
        <f t="shared" si="32"/>
        <v>0.18914957375470412</v>
      </c>
      <c r="Q87" s="547">
        <f t="shared" si="35"/>
        <v>0.40329105877488758</v>
      </c>
      <c r="R87" s="548">
        <f t="shared" si="33"/>
        <v>0.36737286670440467</v>
      </c>
      <c r="S87" s="548">
        <f t="shared" si="33"/>
        <v>0.30342881499990693</v>
      </c>
      <c r="T87" s="548">
        <f t="shared" si="33"/>
        <v>0.19660019799453257</v>
      </c>
      <c r="U87" s="548">
        <f t="shared" si="33"/>
        <v>0.1531404517353884</v>
      </c>
      <c r="V87" s="548">
        <f t="shared" si="33"/>
        <v>0.1531404517353884</v>
      </c>
      <c r="W87" s="548">
        <f t="shared" si="33"/>
        <v>8.4586275590005269E-2</v>
      </c>
      <c r="X87" s="548">
        <f t="shared" si="33"/>
        <v>5.8954274665937431E-2</v>
      </c>
      <c r="Y87" s="548">
        <f t="shared" si="33"/>
        <v>2.3586821440817311E-2</v>
      </c>
      <c r="Z87" s="549">
        <f t="shared" si="33"/>
        <v>1.302289173896287E-2</v>
      </c>
      <c r="AM87" s="554"/>
      <c r="AN87" s="554"/>
      <c r="AO87" s="554"/>
      <c r="AP87" s="554"/>
    </row>
    <row r="88" spans="1:66" x14ac:dyDescent="0.35">
      <c r="A88">
        <v>1</v>
      </c>
      <c r="B88" s="100">
        <f>C88-AVERAGE(C88:C89)</f>
        <v>-0.61823751569576457</v>
      </c>
      <c r="C88">
        <f>B58+LN(B$22/B$23)-LN(B82/B83)</f>
        <v>-0.53449275978583732</v>
      </c>
      <c r="E88" t="s">
        <v>281</v>
      </c>
      <c r="F88" s="547">
        <f t="shared" si="34"/>
        <v>0.47068351085699733</v>
      </c>
      <c r="G88" s="548">
        <f t="shared" si="32"/>
        <v>0.47757303793784489</v>
      </c>
      <c r="H88" s="548">
        <f t="shared" si="32"/>
        <v>0.48096974847678275</v>
      </c>
      <c r="I88" s="548">
        <f t="shared" si="32"/>
        <v>0.45436555567749126</v>
      </c>
      <c r="J88" s="548">
        <f t="shared" si="32"/>
        <v>0.42737254462489738</v>
      </c>
      <c r="K88" s="548">
        <f t="shared" si="32"/>
        <v>0.42737254462489738</v>
      </c>
      <c r="L88" s="548">
        <f t="shared" si="32"/>
        <v>0.3525221006608501</v>
      </c>
      <c r="M88" s="548">
        <f t="shared" si="32"/>
        <v>0.30719475034014665</v>
      </c>
      <c r="N88" s="548">
        <f t="shared" si="32"/>
        <v>0.20845059519349735</v>
      </c>
      <c r="O88" s="549">
        <f t="shared" si="32"/>
        <v>0.15925204504649387</v>
      </c>
      <c r="Q88" s="547">
        <f t="shared" si="35"/>
        <v>0.34020002037795527</v>
      </c>
      <c r="R88" s="548">
        <f t="shared" si="33"/>
        <v>0.30591048086978145</v>
      </c>
      <c r="S88" s="548">
        <f t="shared" si="33"/>
        <v>0.24655716873651506</v>
      </c>
      <c r="T88" s="548">
        <f t="shared" si="33"/>
        <v>0.15250320089006134</v>
      </c>
      <c r="U88" s="548">
        <f t="shared" si="33"/>
        <v>0.11621474149878062</v>
      </c>
      <c r="V88" s="548">
        <f t="shared" si="33"/>
        <v>0.11621474149878062</v>
      </c>
      <c r="W88" s="548">
        <f t="shared" si="33"/>
        <v>6.1598508135568442E-2</v>
      </c>
      <c r="X88" s="548">
        <f t="shared" si="33"/>
        <v>4.211730105623971E-2</v>
      </c>
      <c r="Y88" s="548">
        <f t="shared" si="33"/>
        <v>1.6276360937307454E-2</v>
      </c>
      <c r="Z88" s="549">
        <f t="shared" si="33"/>
        <v>8.8533461189428016E-3</v>
      </c>
      <c r="AM88" s="554"/>
      <c r="AN88" s="554"/>
      <c r="AO88" s="554"/>
      <c r="AP88" s="554"/>
    </row>
    <row r="89" spans="1:66" x14ac:dyDescent="0.35">
      <c r="A89">
        <v>2</v>
      </c>
      <c r="B89" s="94">
        <f>C89-AVERAGE(C88:C89)</f>
        <v>0.61823751569576457</v>
      </c>
      <c r="C89">
        <f>B59+LN(B$23/B$24)-LN(B83/B84)</f>
        <v>0.70198227160569182</v>
      </c>
      <c r="E89" t="s">
        <v>537</v>
      </c>
      <c r="F89" s="547">
        <f t="shared" si="34"/>
        <v>0.48075702660144132</v>
      </c>
      <c r="G89" s="548">
        <f t="shared" si="32"/>
        <v>0.48089096378355162</v>
      </c>
      <c r="H89" s="548">
        <f t="shared" si="32"/>
        <v>0.47171511218127898</v>
      </c>
      <c r="I89" s="548">
        <f t="shared" si="32"/>
        <v>0.4246949492881183</v>
      </c>
      <c r="J89" s="548">
        <f t="shared" si="32"/>
        <v>0.39081259281010206</v>
      </c>
      <c r="K89" s="548">
        <f t="shared" si="32"/>
        <v>0.39081259281010206</v>
      </c>
      <c r="L89" s="548">
        <f t="shared" si="32"/>
        <v>0.30977532405346914</v>
      </c>
      <c r="M89" s="548">
        <f t="shared" si="32"/>
        <v>0.26513529825415444</v>
      </c>
      <c r="N89" s="548">
        <f t="shared" si="32"/>
        <v>0.17429858087716729</v>
      </c>
      <c r="O89" s="549">
        <f t="shared" si="32"/>
        <v>0.1313948929033199</v>
      </c>
      <c r="Q89" s="547">
        <f t="shared" si="35"/>
        <v>0.27643029030083138</v>
      </c>
      <c r="R89" s="548">
        <f t="shared" si="33"/>
        <v>0.24505062324343271</v>
      </c>
      <c r="S89" s="548">
        <f t="shared" si="33"/>
        <v>0.19236865166968611</v>
      </c>
      <c r="T89" s="548">
        <f t="shared" si="33"/>
        <v>0.11339797323256631</v>
      </c>
      <c r="U89" s="548">
        <f t="shared" si="33"/>
        <v>8.4543026212313105E-2</v>
      </c>
      <c r="V89" s="548">
        <f t="shared" si="33"/>
        <v>8.4543026212313105E-2</v>
      </c>
      <c r="W89" s="548">
        <f t="shared" si="33"/>
        <v>4.3061118162421134E-2</v>
      </c>
      <c r="X89" s="548">
        <f t="shared" si="33"/>
        <v>2.8918045197429638E-2</v>
      </c>
      <c r="Y89" s="548">
        <f t="shared" si="33"/>
        <v>1.0826863512301055E-2</v>
      </c>
      <c r="Z89" s="549">
        <f t="shared" si="33"/>
        <v>5.8110625294636974E-3</v>
      </c>
      <c r="AM89" s="554"/>
      <c r="AN89" s="554"/>
      <c r="AO89" s="554"/>
      <c r="AP89" s="554"/>
    </row>
    <row r="90" spans="1:66" x14ac:dyDescent="0.35">
      <c r="E90" t="s">
        <v>905</v>
      </c>
      <c r="F90" s="550">
        <f t="shared" si="34"/>
        <v>0.47706595962947757</v>
      </c>
      <c r="G90" s="551">
        <f t="shared" si="32"/>
        <v>0.46985046010512349</v>
      </c>
      <c r="H90" s="551">
        <f t="shared" si="32"/>
        <v>0.44813514374696778</v>
      </c>
      <c r="I90" s="551">
        <f t="shared" si="32"/>
        <v>0.3841025427684181</v>
      </c>
      <c r="J90" s="551">
        <f t="shared" si="32"/>
        <v>0.34591450354637637</v>
      </c>
      <c r="K90" s="551">
        <f t="shared" si="32"/>
        <v>0.34591450354637637</v>
      </c>
      <c r="L90" s="551">
        <f t="shared" si="32"/>
        <v>0.26395113749478943</v>
      </c>
      <c r="M90" s="551">
        <f t="shared" si="32"/>
        <v>0.22217555270243991</v>
      </c>
      <c r="N90" s="551">
        <f t="shared" si="32"/>
        <v>0.14191745302781725</v>
      </c>
      <c r="O90" s="552">
        <f t="shared" si="32"/>
        <v>0.1057220809098392</v>
      </c>
      <c r="Q90" s="550">
        <f t="shared" si="35"/>
        <v>0.21381284307843137</v>
      </c>
      <c r="R90" s="551">
        <f t="shared" si="33"/>
        <v>0.18662259378650373</v>
      </c>
      <c r="S90" s="551">
        <f t="shared" si="33"/>
        <v>0.14244882936329265</v>
      </c>
      <c r="T90" s="551">
        <f t="shared" si="33"/>
        <v>7.9941215679150537E-2</v>
      </c>
      <c r="U90" s="551">
        <f t="shared" si="33"/>
        <v>5.8327502577207278E-2</v>
      </c>
      <c r="V90" s="551">
        <f t="shared" si="33"/>
        <v>5.8327502577207278E-2</v>
      </c>
      <c r="W90" s="551">
        <f t="shared" si="33"/>
        <v>2.8599430867807852E-2</v>
      </c>
      <c r="X90" s="551">
        <f t="shared" si="33"/>
        <v>1.8888306470177474E-2</v>
      </c>
      <c r="Y90" s="551">
        <f t="shared" si="33"/>
        <v>6.871317067988908E-3</v>
      </c>
      <c r="Z90" s="552">
        <f t="shared" si="33"/>
        <v>3.6445015218435632E-3</v>
      </c>
      <c r="AM90" s="554"/>
      <c r="AN90" s="554"/>
      <c r="AO90" s="554"/>
      <c r="AP90" s="554"/>
    </row>
    <row r="91" spans="1:66" x14ac:dyDescent="0.35">
      <c r="AM91" s="554"/>
      <c r="AN91" s="554"/>
      <c r="AO91" s="554"/>
      <c r="AP91" s="554"/>
    </row>
    <row r="92" spans="1:66" x14ac:dyDescent="0.35">
      <c r="B92" t="s">
        <v>860</v>
      </c>
      <c r="P92" t="s">
        <v>908</v>
      </c>
      <c r="AB92" t="s">
        <v>909</v>
      </c>
      <c r="AM92" s="554"/>
      <c r="AO92" t="s">
        <v>1003</v>
      </c>
    </row>
    <row r="93" spans="1:66" x14ac:dyDescent="0.35">
      <c r="AM93" s="554"/>
    </row>
    <row r="94" spans="1:66" x14ac:dyDescent="0.35">
      <c r="B94">
        <v>1</v>
      </c>
      <c r="C94">
        <v>2</v>
      </c>
      <c r="D94">
        <v>3</v>
      </c>
      <c r="E94">
        <v>4</v>
      </c>
      <c r="F94">
        <v>5</v>
      </c>
      <c r="G94">
        <v>6</v>
      </c>
      <c r="H94">
        <v>7</v>
      </c>
      <c r="I94">
        <v>8</v>
      </c>
      <c r="J94">
        <v>9</v>
      </c>
      <c r="K94">
        <v>10</v>
      </c>
      <c r="M94" t="s">
        <v>904</v>
      </c>
      <c r="N94" s="521" t="s">
        <v>265</v>
      </c>
      <c r="P94">
        <v>1</v>
      </c>
      <c r="Q94">
        <v>2</v>
      </c>
      <c r="R94">
        <v>3</v>
      </c>
      <c r="S94">
        <v>4</v>
      </c>
      <c r="T94">
        <v>5</v>
      </c>
      <c r="U94">
        <v>6</v>
      </c>
      <c r="V94">
        <v>7</v>
      </c>
      <c r="W94">
        <v>8</v>
      </c>
      <c r="X94">
        <v>9</v>
      </c>
      <c r="Y94">
        <v>10</v>
      </c>
      <c r="AB94">
        <v>1</v>
      </c>
      <c r="AC94">
        <v>2</v>
      </c>
      <c r="AD94">
        <v>3</v>
      </c>
      <c r="AE94">
        <v>4</v>
      </c>
      <c r="AF94">
        <v>5</v>
      </c>
      <c r="AG94">
        <v>6</v>
      </c>
      <c r="AH94">
        <v>7</v>
      </c>
      <c r="AI94">
        <v>8</v>
      </c>
      <c r="AJ94">
        <v>9</v>
      </c>
      <c r="AK94">
        <v>10</v>
      </c>
      <c r="AL94" s="521"/>
      <c r="AM94" s="554"/>
      <c r="AO94">
        <v>1</v>
      </c>
      <c r="AP94">
        <v>2</v>
      </c>
      <c r="AQ94">
        <v>3</v>
      </c>
      <c r="AR94">
        <v>4</v>
      </c>
      <c r="AS94">
        <v>5</v>
      </c>
      <c r="AT94">
        <v>6</v>
      </c>
      <c r="AU94">
        <v>7</v>
      </c>
      <c r="AV94">
        <v>8</v>
      </c>
      <c r="AW94">
        <v>9</v>
      </c>
      <c r="AX94">
        <v>10</v>
      </c>
      <c r="AY94" s="6" t="s">
        <v>939</v>
      </c>
      <c r="AZ94" s="6" t="s">
        <v>940</v>
      </c>
      <c r="BB94" t="e" cm="1">
        <f t="array" aca="1" ref="BB94" ca="1">UCONFIT(A4:K13,,3)</f>
        <v>#NAME?</v>
      </c>
      <c r="BM94" s="6"/>
      <c r="BN94" s="6"/>
    </row>
    <row r="95" spans="1:66" x14ac:dyDescent="0.35">
      <c r="A95" t="s">
        <v>218</v>
      </c>
      <c r="B95" s="544">
        <f>IF(ISNUMBER(B65),F82+2*Q82,"")</f>
        <v>1.8014424262440731</v>
      </c>
      <c r="C95" s="545">
        <f t="shared" ref="C95:K103" si="36">IF(ISNUMBER(C65),G82+2*R82,"")</f>
        <v>1.7784229526525959</v>
      </c>
      <c r="D95" s="545">
        <f t="shared" si="36"/>
        <v>1.7297029275236411</v>
      </c>
      <c r="E95" s="545">
        <f t="shared" si="36"/>
        <v>1.6118491478126462</v>
      </c>
      <c r="F95" s="545">
        <f t="shared" si="36"/>
        <v>1.5398389085065141</v>
      </c>
      <c r="G95" s="545">
        <f t="shared" si="36"/>
        <v>1.5398389085065141</v>
      </c>
      <c r="H95" s="545">
        <f t="shared" si="36"/>
        <v>1.3593513306205396</v>
      </c>
      <c r="I95" s="545">
        <f t="shared" si="36"/>
        <v>1.2455966973485588</v>
      </c>
      <c r="J95" s="545">
        <f t="shared" si="36"/>
        <v>0.9588971918080833</v>
      </c>
      <c r="K95" s="546">
        <f t="shared" si="36"/>
        <v>0.78612827298643262</v>
      </c>
      <c r="M95" s="553">
        <f t="shared" ref="M95:M103" si="37">IF(Z95&gt;0,M65+MIN(MAX(AL95/Z95,-$Q$5),$Q$5),0)</f>
        <v>1.2196108599190918</v>
      </c>
      <c r="N95" s="426">
        <f t="shared" ref="N95:N103" si="38">1/SQRT(Z95)</f>
        <v>0.52589134225937595</v>
      </c>
      <c r="P95" s="544">
        <f t="shared" ref="P95:Y103" si="39">IF(ISNUMBER(B65),F82+4*Q82-B95*B95,"")</f>
        <v>0.1813577187085289</v>
      </c>
      <c r="Q95" s="545">
        <f t="shared" si="39"/>
        <v>0.2000699176027374</v>
      </c>
      <c r="R95" s="545">
        <f t="shared" si="39"/>
        <v>0.23802358905076648</v>
      </c>
      <c r="S95" s="545">
        <f t="shared" si="39"/>
        <v>0.3203520926896255</v>
      </c>
      <c r="T95" s="545">
        <f t="shared" si="39"/>
        <v>0.36388813479249693</v>
      </c>
      <c r="U95" s="545">
        <f t="shared" si="39"/>
        <v>0.36388813479249693</v>
      </c>
      <c r="V95" s="545">
        <f t="shared" si="39"/>
        <v>0.44976355539766733</v>
      </c>
      <c r="W95" s="545">
        <f t="shared" si="39"/>
        <v>0.48644210500417406</v>
      </c>
      <c r="X95" s="545">
        <f t="shared" si="39"/>
        <v>0.51781302367256932</v>
      </c>
      <c r="Y95" s="546">
        <f t="shared" si="39"/>
        <v>0.49423134616704134</v>
      </c>
      <c r="Z95" s="554">
        <f t="shared" ref="Z95:Z103" si="40">MAX(SUM(P95:Y95),$Q$7)</f>
        <v>3.6158296178781044</v>
      </c>
      <c r="AA95" s="554"/>
      <c r="AB95" s="544">
        <f t="shared" ref="AB95:AK103" si="41">IF(ISNUMBER(B5),B5-B95,"")</f>
        <v>0.19855757375592686</v>
      </c>
      <c r="AC95" s="545">
        <f t="shared" si="41"/>
        <v>0.22157704734740413</v>
      </c>
      <c r="AD95" s="545">
        <f t="shared" si="41"/>
        <v>0.27029707247635892</v>
      </c>
      <c r="AE95" s="545">
        <f t="shared" si="41"/>
        <v>-0.61184914781264621</v>
      </c>
      <c r="AF95" s="545">
        <f t="shared" si="41"/>
        <v>0.46016109149348594</v>
      </c>
      <c r="AG95" s="545">
        <f t="shared" si="41"/>
        <v>0.46016109149348594</v>
      </c>
      <c r="AH95" s="545">
        <f t="shared" si="41"/>
        <v>0.64064866937946041</v>
      </c>
      <c r="AI95" s="545">
        <f t="shared" si="41"/>
        <v>-0.24559669734855882</v>
      </c>
      <c r="AJ95" s="545">
        <f t="shared" si="41"/>
        <v>-0.9588971918080833</v>
      </c>
      <c r="AK95" s="546">
        <f t="shared" si="41"/>
        <v>0.21387172701356738</v>
      </c>
      <c r="AL95" s="554">
        <f>SUM(AB95:AK95)</f>
        <v>0.64893123599040126</v>
      </c>
      <c r="AM95" s="554"/>
      <c r="AO95" s="544">
        <f t="shared" ref="AO95:AX103" si="42">IF(ISNUMBER(B5),(B5-B95)^2/P95,"")</f>
        <v>0.21738865252932987</v>
      </c>
      <c r="AP95" s="545">
        <f t="shared" si="42"/>
        <v>0.24539615200262382</v>
      </c>
      <c r="AQ95" s="545">
        <f t="shared" si="42"/>
        <v>0.30694649921318273</v>
      </c>
      <c r="AR95" s="545">
        <f t="shared" si="42"/>
        <v>1.1685872770051204</v>
      </c>
      <c r="AS95" s="545">
        <f t="shared" si="42"/>
        <v>0.58190473906279838</v>
      </c>
      <c r="AT95" s="545">
        <f t="shared" si="42"/>
        <v>0.58190473906279838</v>
      </c>
      <c r="AU95" s="545">
        <f t="shared" si="42"/>
        <v>0.91254774347997758</v>
      </c>
      <c r="AV95" s="545">
        <f t="shared" si="42"/>
        <v>0.12399777307106676</v>
      </c>
      <c r="AW95" s="545">
        <f t="shared" si="42"/>
        <v>1.7757062538443391</v>
      </c>
      <c r="AX95" s="546">
        <f t="shared" si="42"/>
        <v>9.2550009161713936E-2</v>
      </c>
      <c r="AY95" s="560">
        <f>AVERAGE(AO95:AX95)</f>
        <v>0.60069298384329506</v>
      </c>
      <c r="AZ95" s="546">
        <f t="shared" ref="AZ95:AZ103" si="43">SUMSQ(AB95:AK95)/Z95</f>
        <v>0.66247901418801824</v>
      </c>
      <c r="BC95" s="423"/>
      <c r="BD95" s="424"/>
      <c r="BE95" s="424"/>
      <c r="BF95" s="424"/>
      <c r="BG95" s="424"/>
      <c r="BH95" s="424"/>
      <c r="BI95" s="424"/>
      <c r="BJ95" s="424"/>
      <c r="BK95" s="424"/>
      <c r="BL95" s="424"/>
      <c r="BM95" s="423"/>
      <c r="BN95" s="425"/>
    </row>
    <row r="96" spans="1:66" ht="12.75" customHeight="1" x14ac:dyDescent="0.35">
      <c r="A96" t="s">
        <v>98</v>
      </c>
      <c r="B96" s="547">
        <f t="shared" ref="B96:B103" si="44">IF(ISNUMBER(B66),F83+2*Q83,"")</f>
        <v>1.6475370545548731</v>
      </c>
      <c r="C96" s="548">
        <f t="shared" si="36"/>
        <v>1.6102084018314862</v>
      </c>
      <c r="D96" s="548">
        <f t="shared" si="36"/>
        <v>1.5334762264789066</v>
      </c>
      <c r="E96" s="548">
        <f t="shared" si="36"/>
        <v>1.3599601464498408</v>
      </c>
      <c r="F96" s="548">
        <f t="shared" si="36"/>
        <v>1.2617721610126065</v>
      </c>
      <c r="G96" s="548">
        <f t="shared" si="36"/>
        <v>1.2617721610126065</v>
      </c>
      <c r="H96" s="548">
        <f t="shared" si="36"/>
        <v>1.0387914955897211</v>
      </c>
      <c r="I96" s="548">
        <f t="shared" si="36"/>
        <v>0.91322376599820565</v>
      </c>
      <c r="J96" s="548">
        <f t="shared" si="36"/>
        <v>0.63864301090290831</v>
      </c>
      <c r="K96" s="549">
        <f t="shared" si="36"/>
        <v>0.49684685109833338</v>
      </c>
      <c r="M96" s="556">
        <f t="shared" si="37"/>
        <v>0.44448445776671314</v>
      </c>
      <c r="N96" s="100">
        <f t="shared" si="38"/>
        <v>0.48421535823598733</v>
      </c>
      <c r="P96" s="547">
        <f t="shared" si="39"/>
        <v>0.29685840504108763</v>
      </c>
      <c r="Q96" s="548">
        <f t="shared" si="39"/>
        <v>0.32140184746220912</v>
      </c>
      <c r="R96" s="548">
        <f t="shared" si="39"/>
        <v>0.36748370354448356</v>
      </c>
      <c r="S96" s="548">
        <f t="shared" si="39"/>
        <v>0.44953064132076359</v>
      </c>
      <c r="T96" s="548">
        <f t="shared" si="39"/>
        <v>0.4820596625221758</v>
      </c>
      <c r="U96" s="548">
        <f t="shared" si="39"/>
        <v>0.48205966252217536</v>
      </c>
      <c r="V96" s="548">
        <f t="shared" si="39"/>
        <v>0.51791200823954919</v>
      </c>
      <c r="W96" s="548">
        <f t="shared" si="39"/>
        <v>0.51468278750623297</v>
      </c>
      <c r="X96" s="548">
        <f t="shared" si="39"/>
        <v>0.44899478670971749</v>
      </c>
      <c r="Y96" s="549">
        <f t="shared" si="39"/>
        <v>0.3840542467225958</v>
      </c>
      <c r="Z96" s="554">
        <f t="shared" si="40"/>
        <v>4.2650377515909916</v>
      </c>
      <c r="AA96" s="554"/>
      <c r="AB96" s="547">
        <f t="shared" si="41"/>
        <v>0.35246294544512691</v>
      </c>
      <c r="AC96" s="548">
        <f t="shared" si="41"/>
        <v>-0.61020840183148617</v>
      </c>
      <c r="AD96" s="548">
        <f t="shared" si="41"/>
        <v>0.46652377352109342</v>
      </c>
      <c r="AE96" s="548">
        <f t="shared" si="41"/>
        <v>-0.35996014644984076</v>
      </c>
      <c r="AF96" s="548">
        <f t="shared" si="41"/>
        <v>-0.26177216101260647</v>
      </c>
      <c r="AG96" s="548">
        <f t="shared" si="41"/>
        <v>0.73822783898739353</v>
      </c>
      <c r="AH96" s="548">
        <f t="shared" si="41"/>
        <v>-3.8791495589721059E-2</v>
      </c>
      <c r="AI96" s="548">
        <f t="shared" si="41"/>
        <v>8.677623400179435E-2</v>
      </c>
      <c r="AJ96" s="548">
        <f t="shared" si="41"/>
        <v>0.36135698909709169</v>
      </c>
      <c r="AK96" s="549">
        <f t="shared" si="41"/>
        <v>-0.49684685109833338</v>
      </c>
      <c r="AL96" s="554">
        <f t="shared" ref="AL96:AL103" si="45">SUM(AB96:AK96)</f>
        <v>0.23776872507051205</v>
      </c>
      <c r="AM96" s="554"/>
      <c r="AO96" s="547">
        <f t="shared" si="42"/>
        <v>0.41848277091787256</v>
      </c>
      <c r="AP96" s="548">
        <f t="shared" si="42"/>
        <v>1.1585319020592078</v>
      </c>
      <c r="AQ96" s="548">
        <f t="shared" si="42"/>
        <v>0.59225600798380651</v>
      </c>
      <c r="AR96" s="548">
        <f t="shared" si="42"/>
        <v>0.28823687446866364</v>
      </c>
      <c r="AS96" s="548">
        <f t="shared" si="42"/>
        <v>0.14214975781770101</v>
      </c>
      <c r="AT96" s="548">
        <f t="shared" si="42"/>
        <v>1.1305246728270428</v>
      </c>
      <c r="AU96" s="548">
        <f t="shared" si="42"/>
        <v>2.9054744940212782E-3</v>
      </c>
      <c r="AV96" s="548">
        <f t="shared" si="42"/>
        <v>1.4630593776060517E-2</v>
      </c>
      <c r="AW96" s="548">
        <f t="shared" si="42"/>
        <v>0.2908249214344153</v>
      </c>
      <c r="AX96" s="549">
        <f t="shared" si="42"/>
        <v>0.64276543106327189</v>
      </c>
      <c r="AY96" s="555">
        <f t="shared" ref="AY96:AY103" si="46">AVERAGE(AO96:AX96)</f>
        <v>0.46813084068420635</v>
      </c>
      <c r="AZ96" s="549">
        <f t="shared" si="43"/>
        <v>0.43229997850612933</v>
      </c>
      <c r="BC96" s="101"/>
      <c r="BM96" s="101"/>
      <c r="BN96" s="102"/>
    </row>
    <row r="97" spans="1:66" x14ac:dyDescent="0.35">
      <c r="A97" t="s">
        <v>99</v>
      </c>
      <c r="B97" s="547" t="str">
        <f t="shared" si="44"/>
        <v/>
      </c>
      <c r="C97" s="548">
        <f t="shared" si="36"/>
        <v>1.5034537149690226</v>
      </c>
      <c r="D97" s="548">
        <f t="shared" si="36"/>
        <v>1.4129720922651625</v>
      </c>
      <c r="E97" s="548">
        <f t="shared" si="36"/>
        <v>1.2167837896696139</v>
      </c>
      <c r="F97" s="548">
        <f t="shared" si="36"/>
        <v>1.1107346885433032</v>
      </c>
      <c r="G97" s="548">
        <f t="shared" si="36"/>
        <v>1.1107346885433032</v>
      </c>
      <c r="H97" s="548">
        <f t="shared" si="36"/>
        <v>0.88236333008612911</v>
      </c>
      <c r="I97" s="548">
        <f t="shared" si="36"/>
        <v>0.76086398607128691</v>
      </c>
      <c r="J97" s="548">
        <f t="shared" si="36"/>
        <v>0.51119955668456407</v>
      </c>
      <c r="K97" s="549">
        <f t="shared" si="36"/>
        <v>0.39004324683074632</v>
      </c>
      <c r="M97" s="556">
        <f t="shared" si="37"/>
        <v>0.11099093542151486</v>
      </c>
      <c r="N97" s="100">
        <f t="shared" si="38"/>
        <v>0.49739129425004541</v>
      </c>
      <c r="P97" s="547" t="str">
        <f t="shared" si="39"/>
        <v/>
      </c>
      <c r="Q97" s="548">
        <f t="shared" si="39"/>
        <v>0.38389459363902656</v>
      </c>
      <c r="R97" s="548">
        <f t="shared" si="39"/>
        <v>0.42776631557595435</v>
      </c>
      <c r="S97" s="548">
        <f t="shared" si="39"/>
        <v>0.49356092834793652</v>
      </c>
      <c r="T97" s="548">
        <f t="shared" si="39"/>
        <v>0.51214750956530875</v>
      </c>
      <c r="U97" s="548">
        <f t="shared" si="39"/>
        <v>0.51214750956530875</v>
      </c>
      <c r="V97" s="548">
        <f t="shared" si="39"/>
        <v>0.51130318706886935</v>
      </c>
      <c r="W97" s="548">
        <f t="shared" si="39"/>
        <v>0.48811499428038396</v>
      </c>
      <c r="X97" s="548">
        <f t="shared" si="39"/>
        <v>0.39157058165940467</v>
      </c>
      <c r="Y97" s="549">
        <f t="shared" si="39"/>
        <v>0.32156261620610965</v>
      </c>
      <c r="Z97" s="554">
        <f t="shared" si="40"/>
        <v>4.0420682359083022</v>
      </c>
      <c r="AA97" s="554"/>
      <c r="AB97" s="547" t="str">
        <f t="shared" si="41"/>
        <v/>
      </c>
      <c r="AC97" s="548">
        <f t="shared" si="41"/>
        <v>-0.50345371496902258</v>
      </c>
      <c r="AD97" s="548">
        <f t="shared" si="41"/>
        <v>0.58702790773483748</v>
      </c>
      <c r="AE97" s="548">
        <f t="shared" si="41"/>
        <v>-0.21678378966961387</v>
      </c>
      <c r="AF97" s="548">
        <f t="shared" si="41"/>
        <v>0.88926531145669685</v>
      </c>
      <c r="AG97" s="548">
        <f t="shared" si="41"/>
        <v>-0.11073468854330315</v>
      </c>
      <c r="AH97" s="548">
        <f t="shared" si="41"/>
        <v>-0.88236333008612911</v>
      </c>
      <c r="AI97" s="548">
        <f t="shared" si="41"/>
        <v>1.2391360139287131</v>
      </c>
      <c r="AJ97" s="548">
        <f t="shared" si="41"/>
        <v>-0.51119955668456407</v>
      </c>
      <c r="AK97" s="549">
        <f t="shared" si="41"/>
        <v>-0.39004324683074632</v>
      </c>
      <c r="AL97" s="554">
        <f t="shared" si="45"/>
        <v>0.10085090633686833</v>
      </c>
      <c r="AM97" s="554"/>
      <c r="AO97" s="547" t="str">
        <f t="shared" si="42"/>
        <v/>
      </c>
      <c r="AP97" s="548">
        <f t="shared" si="42"/>
        <v>0.6602480142099677</v>
      </c>
      <c r="AQ97" s="548">
        <f t="shared" si="42"/>
        <v>0.8055841517010548</v>
      </c>
      <c r="AR97" s="548">
        <f t="shared" si="42"/>
        <v>9.5216636415737591E-2</v>
      </c>
      <c r="AS97" s="548">
        <f t="shared" si="42"/>
        <v>1.5440723217249865</v>
      </c>
      <c r="AT97" s="548">
        <f t="shared" si="42"/>
        <v>2.3942655226792016E-2</v>
      </c>
      <c r="AU97" s="548">
        <f t="shared" si="42"/>
        <v>1.5227072038098119</v>
      </c>
      <c r="AV97" s="548">
        <f t="shared" si="42"/>
        <v>3.1456891900623298</v>
      </c>
      <c r="AW97" s="548">
        <f t="shared" si="42"/>
        <v>0.6673764552154231</v>
      </c>
      <c r="AX97" s="549">
        <f t="shared" si="42"/>
        <v>0.47310765223019097</v>
      </c>
      <c r="AY97" s="555">
        <f t="shared" si="46"/>
        <v>0.99310492006625495</v>
      </c>
      <c r="AZ97" s="549">
        <f t="shared" si="43"/>
        <v>1.0330353594232207</v>
      </c>
      <c r="BC97" s="101"/>
      <c r="BM97" s="101"/>
      <c r="BN97" s="102"/>
    </row>
    <row r="98" spans="1:66" x14ac:dyDescent="0.35">
      <c r="A98" t="s">
        <v>100</v>
      </c>
      <c r="B98" s="547">
        <f t="shared" si="44"/>
        <v>1.4381811147941759</v>
      </c>
      <c r="C98" s="548">
        <f t="shared" si="36"/>
        <v>1.3865116355782527</v>
      </c>
      <c r="D98" s="548">
        <f t="shared" si="36"/>
        <v>1.2845018716551615</v>
      </c>
      <c r="E98" s="548">
        <f t="shared" si="36"/>
        <v>1.0730302211863731</v>
      </c>
      <c r="F98" s="548">
        <f t="shared" si="36"/>
        <v>0.96399069176922214</v>
      </c>
      <c r="G98" s="548">
        <f t="shared" si="36"/>
        <v>0.96399069176922214</v>
      </c>
      <c r="H98" s="548">
        <f t="shared" si="36"/>
        <v>0.74081908597821045</v>
      </c>
      <c r="I98" s="548">
        <f t="shared" si="36"/>
        <v>0.62810970516116671</v>
      </c>
      <c r="J98" s="548">
        <f t="shared" si="36"/>
        <v>0.40832952240883813</v>
      </c>
      <c r="K98" s="549">
        <f t="shared" si="36"/>
        <v>0.30689166474562402</v>
      </c>
      <c r="M98" s="556">
        <f t="shared" si="37"/>
        <v>-0.24188259617491698</v>
      </c>
      <c r="N98" s="100">
        <f t="shared" si="38"/>
        <v>0.47627093509687329</v>
      </c>
      <c r="P98" s="547">
        <f t="shared" si="39"/>
        <v>0.41639160871259673</v>
      </c>
      <c r="Q98" s="548">
        <f t="shared" si="39"/>
        <v>0.43899598655335681</v>
      </c>
      <c r="R98" s="548">
        <f t="shared" si="39"/>
        <v>0.47543344951308297</v>
      </c>
      <c r="S98" s="548">
        <f t="shared" si="39"/>
        <v>0.51585995294803966</v>
      </c>
      <c r="T98" s="548">
        <f t="shared" si="39"/>
        <v>0.51802356368078972</v>
      </c>
      <c r="U98" s="548">
        <f t="shared" si="39"/>
        <v>0.51802356368078972</v>
      </c>
      <c r="V98" s="548">
        <f t="shared" si="39"/>
        <v>0.4827803580936475</v>
      </c>
      <c r="W98" s="548">
        <f t="shared" si="39"/>
        <v>0.4448883034530024</v>
      </c>
      <c r="X98" s="548">
        <f t="shared" si="39"/>
        <v>0.33307607296359465</v>
      </c>
      <c r="Y98" s="549">
        <f t="shared" si="39"/>
        <v>0.26503725815148005</v>
      </c>
      <c r="Z98" s="554">
        <f t="shared" si="40"/>
        <v>4.4085101177503798</v>
      </c>
      <c r="AA98" s="554"/>
      <c r="AB98" s="547">
        <f t="shared" si="41"/>
        <v>-0.43818111479417587</v>
      </c>
      <c r="AC98" s="548">
        <f t="shared" si="41"/>
        <v>0.61348836442174726</v>
      </c>
      <c r="AD98" s="548">
        <f t="shared" si="41"/>
        <v>0.7154981283448385</v>
      </c>
      <c r="AE98" s="548">
        <f t="shared" si="41"/>
        <v>-7.3030221186373145E-2</v>
      </c>
      <c r="AF98" s="548">
        <f t="shared" si="41"/>
        <v>3.6009308230777859E-2</v>
      </c>
      <c r="AG98" s="548">
        <f t="shared" si="41"/>
        <v>3.6009308230777859E-2</v>
      </c>
      <c r="AH98" s="548">
        <f t="shared" si="41"/>
        <v>-0.74081908597821045</v>
      </c>
      <c r="AI98" s="548">
        <f t="shared" si="41"/>
        <v>0.37189029483883329</v>
      </c>
      <c r="AJ98" s="548">
        <f t="shared" si="41"/>
        <v>-0.40832952240883813</v>
      </c>
      <c r="AK98" s="549">
        <f t="shared" si="41"/>
        <v>-0.30689166474562402</v>
      </c>
      <c r="AL98" s="554">
        <f t="shared" si="45"/>
        <v>-0.19435620504624684</v>
      </c>
      <c r="AM98" s="554"/>
      <c r="AO98" s="547">
        <f t="shared" si="42"/>
        <v>0.46111085176740801</v>
      </c>
      <c r="AP98" s="548">
        <f t="shared" si="42"/>
        <v>0.85733807326078082</v>
      </c>
      <c r="AQ98" s="548">
        <f t="shared" si="42"/>
        <v>1.0767807191296066</v>
      </c>
      <c r="AR98" s="548">
        <f t="shared" si="42"/>
        <v>1.0338878170424283E-2</v>
      </c>
      <c r="AS98" s="548">
        <f t="shared" si="42"/>
        <v>2.5031106115052802E-3</v>
      </c>
      <c r="AT98" s="548">
        <f t="shared" si="42"/>
        <v>2.5031106115052802E-3</v>
      </c>
      <c r="AU98" s="548">
        <f t="shared" si="42"/>
        <v>1.1367755728851234</v>
      </c>
      <c r="AV98" s="548">
        <f t="shared" si="42"/>
        <v>0.31086992020666709</v>
      </c>
      <c r="AW98" s="548">
        <f t="shared" si="42"/>
        <v>0.50058533892001855</v>
      </c>
      <c r="AX98" s="549">
        <f t="shared" si="42"/>
        <v>0.35535567545190644</v>
      </c>
      <c r="AY98" s="555">
        <f t="shared" si="46"/>
        <v>0.47141612510149455</v>
      </c>
      <c r="AZ98" s="549">
        <f t="shared" si="43"/>
        <v>0.46189432166214828</v>
      </c>
      <c r="BC98" s="101"/>
      <c r="BM98" s="101"/>
      <c r="BN98" s="102"/>
    </row>
    <row r="99" spans="1:66" x14ac:dyDescent="0.35">
      <c r="A99" t="s">
        <v>536</v>
      </c>
      <c r="B99" s="547">
        <f t="shared" si="44"/>
        <v>1.3524796244185162</v>
      </c>
      <c r="C99" s="548">
        <f t="shared" si="36"/>
        <v>1.2966559938865809</v>
      </c>
      <c r="D99" s="548">
        <f t="shared" si="36"/>
        <v>1.1882468428242046</v>
      </c>
      <c r="E99" s="548">
        <f t="shared" si="36"/>
        <v>0.97092323594237739</v>
      </c>
      <c r="F99" s="548">
        <f t="shared" si="36"/>
        <v>0.86262786123803803</v>
      </c>
      <c r="G99" s="548">
        <f t="shared" si="36"/>
        <v>0.86262786123803803</v>
      </c>
      <c r="H99" s="548">
        <f t="shared" si="36"/>
        <v>0.64849900548253592</v>
      </c>
      <c r="I99" s="548">
        <f t="shared" si="36"/>
        <v>0.54398592785368749</v>
      </c>
      <c r="J99" s="548">
        <f t="shared" si="36"/>
        <v>0.34665444201018564</v>
      </c>
      <c r="K99" s="549">
        <f t="shared" si="36"/>
        <v>0.25826295965093754</v>
      </c>
      <c r="M99" s="556">
        <f t="shared" si="37"/>
        <v>-0.471145382037298</v>
      </c>
      <c r="N99" s="100">
        <f t="shared" si="38"/>
        <v>0.47992085031470944</v>
      </c>
      <c r="P99" s="547">
        <f t="shared" si="39"/>
        <v>0.45236555003367873</v>
      </c>
      <c r="Q99" s="548">
        <f t="shared" si="39"/>
        <v>0.47166625134445872</v>
      </c>
      <c r="R99" s="548">
        <f t="shared" si="39"/>
        <v>0.49974175369236673</v>
      </c>
      <c r="S99" s="548">
        <f t="shared" si="39"/>
        <v>0.51826543671468495</v>
      </c>
      <c r="T99" s="548">
        <f t="shared" si="39"/>
        <v>0.50860787641172422</v>
      </c>
      <c r="U99" s="548">
        <f t="shared" si="39"/>
        <v>0.50860787641172422</v>
      </c>
      <c r="V99" s="548">
        <f t="shared" si="39"/>
        <v>0.45273208854532498</v>
      </c>
      <c r="W99" s="548">
        <f t="shared" si="39"/>
        <v>0.40794821374415408</v>
      </c>
      <c r="X99" s="548">
        <f t="shared" si="39"/>
        <v>0.29291560561464514</v>
      </c>
      <c r="Y99" s="549">
        <f t="shared" si="39"/>
        <v>0.22885886113556292</v>
      </c>
      <c r="Z99" s="554">
        <f t="shared" si="40"/>
        <v>4.3417095136483246</v>
      </c>
      <c r="AA99" s="554"/>
      <c r="AB99" s="547">
        <f t="shared" si="41"/>
        <v>-0.35247962441851621</v>
      </c>
      <c r="AC99" s="548">
        <f t="shared" si="41"/>
        <v>-0.29665599388658093</v>
      </c>
      <c r="AD99" s="548">
        <f t="shared" si="41"/>
        <v>-0.18824684282420456</v>
      </c>
      <c r="AE99" s="548">
        <f t="shared" si="41"/>
        <v>1.0290767640576226</v>
      </c>
      <c r="AF99" s="548">
        <f t="shared" si="41"/>
        <v>-0.86262786123803803</v>
      </c>
      <c r="AG99" s="548">
        <f t="shared" si="41"/>
        <v>1.137372138761962</v>
      </c>
      <c r="AH99" s="548">
        <f t="shared" si="41"/>
        <v>0.35150099451746408</v>
      </c>
      <c r="AI99" s="548">
        <f t="shared" si="41"/>
        <v>-0.54398592785368749</v>
      </c>
      <c r="AJ99" s="548">
        <f t="shared" si="41"/>
        <v>-0.34665444201018564</v>
      </c>
      <c r="AK99" s="549">
        <f t="shared" si="41"/>
        <v>-0.25826295965093754</v>
      </c>
      <c r="AL99" s="554">
        <f t="shared" si="45"/>
        <v>-0.33096375454510174</v>
      </c>
      <c r="AM99" s="554"/>
      <c r="AO99" s="547">
        <f t="shared" si="42"/>
        <v>0.27464930877465893</v>
      </c>
      <c r="AP99" s="548">
        <f t="shared" si="42"/>
        <v>0.18658273399460393</v>
      </c>
      <c r="AQ99" s="548">
        <f t="shared" si="42"/>
        <v>7.091037235022625E-2</v>
      </c>
      <c r="AR99" s="548">
        <f t="shared" si="42"/>
        <v>2.0433525203539804</v>
      </c>
      <c r="AS99" s="548">
        <f t="shared" si="42"/>
        <v>1.4630658735251911</v>
      </c>
      <c r="AT99" s="548">
        <f t="shared" si="42"/>
        <v>2.5434434699645947</v>
      </c>
      <c r="AU99" s="548">
        <f t="shared" si="42"/>
        <v>0.27290521761723302</v>
      </c>
      <c r="AV99" s="548">
        <f t="shared" si="42"/>
        <v>0.72538787947340988</v>
      </c>
      <c r="AW99" s="548">
        <f t="shared" si="42"/>
        <v>0.41025230428823883</v>
      </c>
      <c r="AX99" s="549">
        <f t="shared" si="42"/>
        <v>0.29144493683446526</v>
      </c>
      <c r="AY99" s="555">
        <f t="shared" si="46"/>
        <v>0.82819946171766023</v>
      </c>
      <c r="AZ99" s="549">
        <f t="shared" si="43"/>
        <v>0.90995664690025635</v>
      </c>
      <c r="BC99" s="101"/>
      <c r="BM99" s="101"/>
      <c r="BN99" s="102"/>
    </row>
    <row r="100" spans="1:66" x14ac:dyDescent="0.35">
      <c r="A100" t="s">
        <v>101</v>
      </c>
      <c r="B100" s="547">
        <f t="shared" si="44"/>
        <v>1.2571223764573882</v>
      </c>
      <c r="C100" s="548">
        <f t="shared" si="36"/>
        <v>1.1978437089058334</v>
      </c>
      <c r="D100" s="548">
        <f t="shared" si="36"/>
        <v>1.0848019557790658</v>
      </c>
      <c r="E100" s="548">
        <f t="shared" si="36"/>
        <v>0.86616730299906719</v>
      </c>
      <c r="F100" s="548">
        <f t="shared" si="36"/>
        <v>0.76101307806252005</v>
      </c>
      <c r="G100" s="548">
        <f t="shared" si="36"/>
        <v>0.76101307806252005</v>
      </c>
      <c r="H100" s="548">
        <f t="shared" si="36"/>
        <v>0.56004622448910435</v>
      </c>
      <c r="I100" s="548">
        <f t="shared" si="36"/>
        <v>0.46511590635342515</v>
      </c>
      <c r="J100" s="548">
        <f t="shared" si="36"/>
        <v>0.29108701402444698</v>
      </c>
      <c r="K100" s="549">
        <f t="shared" si="36"/>
        <v>0.21519535723262986</v>
      </c>
      <c r="M100" s="556">
        <f t="shared" si="37"/>
        <v>-0.7075285039889645</v>
      </c>
      <c r="N100" s="100">
        <f t="shared" si="38"/>
        <v>0.48724752412704514</v>
      </c>
      <c r="P100" s="547">
        <f t="shared" si="39"/>
        <v>0.48334782461729175</v>
      </c>
      <c r="Q100" s="548">
        <f t="shared" si="39"/>
        <v>0.49775989134935994</v>
      </c>
      <c r="R100" s="548">
        <f t="shared" si="39"/>
        <v>0.51486430251679338</v>
      </c>
      <c r="S100" s="548">
        <f t="shared" si="39"/>
        <v>0.50912190220345455</v>
      </c>
      <c r="T100" s="548">
        <f t="shared" si="39"/>
        <v>0.48815307655110562</v>
      </c>
      <c r="U100" s="548">
        <f t="shared" si="39"/>
        <v>0.48815307655110562</v>
      </c>
      <c r="V100" s="548">
        <f t="shared" si="39"/>
        <v>0.41556700210461461</v>
      </c>
      <c r="W100" s="548">
        <f t="shared" si="39"/>
        <v>0.36669164934233178</v>
      </c>
      <c r="X100" s="548">
        <f t="shared" si="39"/>
        <v>0.253529007172413</v>
      </c>
      <c r="Y100" s="549">
        <f t="shared" si="39"/>
        <v>0.19493209893607644</v>
      </c>
      <c r="Z100" s="554">
        <f t="shared" si="40"/>
        <v>4.2121198313445465</v>
      </c>
      <c r="AA100" s="554"/>
      <c r="AB100" s="547">
        <f t="shared" si="41"/>
        <v>0.74287762354261178</v>
      </c>
      <c r="AC100" s="548">
        <f t="shared" si="41"/>
        <v>0.80215629109416664</v>
      </c>
      <c r="AD100" s="548">
        <f t="shared" si="41"/>
        <v>-8.4801955779065796E-2</v>
      </c>
      <c r="AE100" s="548">
        <f t="shared" si="41"/>
        <v>0.13383269700093281</v>
      </c>
      <c r="AF100" s="548">
        <f t="shared" si="41"/>
        <v>-0.76101307806252005</v>
      </c>
      <c r="AG100" s="548">
        <f t="shared" si="41"/>
        <v>-0.76101307806252005</v>
      </c>
      <c r="AH100" s="548">
        <f t="shared" si="41"/>
        <v>0.43995377551089565</v>
      </c>
      <c r="AI100" s="548">
        <f t="shared" si="41"/>
        <v>-0.46511590635342515</v>
      </c>
      <c r="AJ100" s="548">
        <f t="shared" si="41"/>
        <v>-0.29108701402444698</v>
      </c>
      <c r="AK100" s="549">
        <f t="shared" si="41"/>
        <v>-0.21519535723262986</v>
      </c>
      <c r="AL100" s="554">
        <f t="shared" si="45"/>
        <v>-0.45940600236600093</v>
      </c>
      <c r="AM100" s="554"/>
      <c r="AO100" s="547">
        <f t="shared" si="42"/>
        <v>1.1417598992967006</v>
      </c>
      <c r="AP100" s="548">
        <f t="shared" si="42"/>
        <v>1.2927010121237983</v>
      </c>
      <c r="AQ100" s="548">
        <f t="shared" si="42"/>
        <v>1.3967508853888873E-2</v>
      </c>
      <c r="AR100" s="548">
        <f t="shared" si="42"/>
        <v>3.5180554419334029E-2</v>
      </c>
      <c r="AS100" s="548">
        <f t="shared" si="42"/>
        <v>1.1863920003821997</v>
      </c>
      <c r="AT100" s="548">
        <f t="shared" si="42"/>
        <v>1.1863920003821997</v>
      </c>
      <c r="AU100" s="548">
        <f t="shared" si="42"/>
        <v>0.46577164116982767</v>
      </c>
      <c r="AV100" s="548">
        <f t="shared" si="42"/>
        <v>0.58995836619395348</v>
      </c>
      <c r="AW100" s="548">
        <f t="shared" si="42"/>
        <v>0.33420889656246172</v>
      </c>
      <c r="AX100" s="549">
        <f t="shared" si="42"/>
        <v>0.23756498815346561</v>
      </c>
      <c r="AY100" s="555">
        <f t="shared" si="46"/>
        <v>0.64838968675378295</v>
      </c>
      <c r="AZ100" s="549">
        <f t="shared" si="43"/>
        <v>0.69315194977788208</v>
      </c>
      <c r="BC100" s="101"/>
      <c r="BM100" s="101"/>
      <c r="BN100" s="102"/>
    </row>
    <row r="101" spans="1:66" x14ac:dyDescent="0.35">
      <c r="A101" t="s">
        <v>281</v>
      </c>
      <c r="B101" s="547">
        <f t="shared" si="44"/>
        <v>1.1510835516129079</v>
      </c>
      <c r="C101" s="548">
        <f t="shared" si="36"/>
        <v>1.0893939996774078</v>
      </c>
      <c r="D101" s="548">
        <f t="shared" si="36"/>
        <v>0.97408408594981288</v>
      </c>
      <c r="E101" s="548">
        <f t="shared" si="36"/>
        <v>0.75937195745761388</v>
      </c>
      <c r="F101" s="548">
        <f t="shared" si="36"/>
        <v>0.65980202762245865</v>
      </c>
      <c r="G101" s="548">
        <f t="shared" si="36"/>
        <v>0.65980202762245865</v>
      </c>
      <c r="H101" s="548">
        <f t="shared" si="36"/>
        <v>0.47571911693198699</v>
      </c>
      <c r="I101" s="548">
        <f t="shared" si="36"/>
        <v>0.39142935245262606</v>
      </c>
      <c r="J101" s="548">
        <f t="shared" si="36"/>
        <v>0.24100331706811226</v>
      </c>
      <c r="K101" s="549">
        <f t="shared" si="36"/>
        <v>0.17695873728437947</v>
      </c>
      <c r="M101" s="556">
        <f t="shared" si="37"/>
        <v>-0.95645714163622841</v>
      </c>
      <c r="N101" s="100">
        <f t="shared" si="38"/>
        <v>0.4990849140850605</v>
      </c>
      <c r="P101" s="547">
        <f t="shared" si="39"/>
        <v>0.50649024957503253</v>
      </c>
      <c r="Q101" s="548">
        <f t="shared" si="39"/>
        <v>0.5144356748838308</v>
      </c>
      <c r="R101" s="548">
        <f t="shared" si="39"/>
        <v>0.51835861692216056</v>
      </c>
      <c r="S101" s="548">
        <f t="shared" si="39"/>
        <v>0.48773258946472831</v>
      </c>
      <c r="T101" s="548">
        <f t="shared" si="39"/>
        <v>0.45689279496531215</v>
      </c>
      <c r="U101" s="548">
        <f t="shared" si="39"/>
        <v>0.45689279496531215</v>
      </c>
      <c r="V101" s="548">
        <f t="shared" si="39"/>
        <v>0.37260745498857439</v>
      </c>
      <c r="W101" s="548">
        <f t="shared" si="39"/>
        <v>0.32244701660362329</v>
      </c>
      <c r="X101" s="548">
        <f t="shared" si="39"/>
        <v>0.21547344010489411</v>
      </c>
      <c r="Y101" s="549">
        <f t="shared" si="39"/>
        <v>0.16335103482098304</v>
      </c>
      <c r="Z101" s="554">
        <f t="shared" si="40"/>
        <v>4.0146816672944512</v>
      </c>
      <c r="AA101" s="554"/>
      <c r="AB101" s="547">
        <f t="shared" si="41"/>
        <v>-0.15108355161290787</v>
      </c>
      <c r="AC101" s="548">
        <f t="shared" si="41"/>
        <v>0.9106060003225922</v>
      </c>
      <c r="AD101" s="548">
        <f t="shared" si="41"/>
        <v>-0.97408408594981288</v>
      </c>
      <c r="AE101" s="548">
        <f t="shared" si="41"/>
        <v>0.24062804254238612</v>
      </c>
      <c r="AF101" s="548">
        <f t="shared" si="41"/>
        <v>0.34019797237754135</v>
      </c>
      <c r="AG101" s="548">
        <f t="shared" si="41"/>
        <v>-0.65980202762245865</v>
      </c>
      <c r="AH101" s="548">
        <f t="shared" si="41"/>
        <v>-0.47571911693198699</v>
      </c>
      <c r="AI101" s="548">
        <f t="shared" si="41"/>
        <v>-0.39142935245262606</v>
      </c>
      <c r="AJ101" s="548">
        <f t="shared" si="41"/>
        <v>0.75899668293188771</v>
      </c>
      <c r="AK101" s="549">
        <f t="shared" si="41"/>
        <v>-0.17695873728437947</v>
      </c>
      <c r="AL101" s="554">
        <f t="shared" si="45"/>
        <v>-0.57864817367976462</v>
      </c>
      <c r="AM101" s="554"/>
      <c r="AO101" s="547">
        <f t="shared" si="42"/>
        <v>4.5067480740492855E-2</v>
      </c>
      <c r="AP101" s="548">
        <f t="shared" si="42"/>
        <v>1.6118697211478548</v>
      </c>
      <c r="AQ101" s="548">
        <f t="shared" si="42"/>
        <v>1.8304698244134046</v>
      </c>
      <c r="AR101" s="548">
        <f t="shared" si="42"/>
        <v>0.11871639523068554</v>
      </c>
      <c r="AS101" s="548">
        <f t="shared" si="42"/>
        <v>0.25330813198439056</v>
      </c>
      <c r="AT101" s="548">
        <f t="shared" si="42"/>
        <v>0.95282464606989281</v>
      </c>
      <c r="AU101" s="548">
        <f t="shared" si="42"/>
        <v>0.60736486934081613</v>
      </c>
      <c r="AV101" s="548">
        <f t="shared" si="42"/>
        <v>0.47516934588304222</v>
      </c>
      <c r="AW101" s="548">
        <f t="shared" si="42"/>
        <v>2.673535840060707</v>
      </c>
      <c r="AX101" s="549">
        <f t="shared" si="42"/>
        <v>0.19170000811809726</v>
      </c>
      <c r="AY101" s="555">
        <f t="shared" si="46"/>
        <v>0.87600262629893833</v>
      </c>
      <c r="AZ101" s="549">
        <f t="shared" si="43"/>
        <v>0.84608465175832615</v>
      </c>
      <c r="BC101" s="101"/>
      <c r="BM101" s="101"/>
      <c r="BN101" s="102"/>
    </row>
    <row r="102" spans="1:66" x14ac:dyDescent="0.35">
      <c r="A102" t="s">
        <v>537</v>
      </c>
      <c r="B102" s="547">
        <f t="shared" si="44"/>
        <v>1.033617607203104</v>
      </c>
      <c r="C102" s="548">
        <f t="shared" si="36"/>
        <v>0.97099221027041704</v>
      </c>
      <c r="D102" s="548">
        <f t="shared" si="36"/>
        <v>0.85645241552065121</v>
      </c>
      <c r="E102" s="548">
        <f t="shared" si="36"/>
        <v>0.65149089575325092</v>
      </c>
      <c r="F102" s="548">
        <f t="shared" si="36"/>
        <v>0.55989864523472832</v>
      </c>
      <c r="G102" s="548">
        <f t="shared" si="36"/>
        <v>0.55989864523472832</v>
      </c>
      <c r="H102" s="548">
        <f t="shared" si="36"/>
        <v>0.39589756037831142</v>
      </c>
      <c r="I102" s="548">
        <f t="shared" si="36"/>
        <v>0.3229713886490137</v>
      </c>
      <c r="J102" s="548">
        <f t="shared" si="36"/>
        <v>0.1959523079017694</v>
      </c>
      <c r="K102" s="549">
        <f t="shared" si="36"/>
        <v>0.14301701796224731</v>
      </c>
      <c r="M102" s="556">
        <f t="shared" si="37"/>
        <v>-1.2254166988785042</v>
      </c>
      <c r="N102" s="100">
        <f t="shared" si="38"/>
        <v>0.51680600105301244</v>
      </c>
      <c r="P102" s="547">
        <f t="shared" si="39"/>
        <v>0.51811282988449658</v>
      </c>
      <c r="Q102" s="548">
        <f t="shared" si="39"/>
        <v>0.51826758435145259</v>
      </c>
      <c r="R102" s="548">
        <f t="shared" si="39"/>
        <v>0.50767897880886514</v>
      </c>
      <c r="S102" s="548">
        <f t="shared" si="39"/>
        <v>0.45384645496901033</v>
      </c>
      <c r="T102" s="548">
        <f t="shared" si="39"/>
        <v>0.41549820472367033</v>
      </c>
      <c r="U102" s="548">
        <f t="shared" si="39"/>
        <v>0.41549820472367033</v>
      </c>
      <c r="V102" s="548">
        <f t="shared" si="39"/>
        <v>0.3252849183896549</v>
      </c>
      <c r="W102" s="548">
        <f t="shared" si="39"/>
        <v>0.27649696115800076</v>
      </c>
      <c r="X102" s="548">
        <f t="shared" si="39"/>
        <v>0.17920872795434167</v>
      </c>
      <c r="Y102" s="549">
        <f t="shared" si="39"/>
        <v>0.13418527559436094</v>
      </c>
      <c r="Z102" s="554">
        <f t="shared" si="40"/>
        <v>3.7440781405575239</v>
      </c>
      <c r="AA102" s="554"/>
      <c r="AB102" s="547">
        <f t="shared" si="41"/>
        <v>-3.3617607203104027E-2</v>
      </c>
      <c r="AC102" s="548">
        <f t="shared" si="41"/>
        <v>-0.97099221027041704</v>
      </c>
      <c r="AD102" s="548">
        <f t="shared" si="41"/>
        <v>0.14354758447934879</v>
      </c>
      <c r="AE102" s="548">
        <f t="shared" si="41"/>
        <v>-0.65149089575325092</v>
      </c>
      <c r="AF102" s="548">
        <f t="shared" si="41"/>
        <v>0.44010135476527168</v>
      </c>
      <c r="AG102" s="548">
        <f t="shared" si="41"/>
        <v>-0.55989864523472832</v>
      </c>
      <c r="AH102" s="548">
        <f t="shared" si="41"/>
        <v>0.60410243962168853</v>
      </c>
      <c r="AI102" s="548">
        <f t="shared" si="41"/>
        <v>-0.3229713886490137</v>
      </c>
      <c r="AJ102" s="548">
        <f t="shared" si="41"/>
        <v>0.80404769209823057</v>
      </c>
      <c r="AK102" s="549">
        <f t="shared" si="41"/>
        <v>-0.14301701796224731</v>
      </c>
      <c r="AL102" s="554">
        <f t="shared" si="45"/>
        <v>-0.69018869410822203</v>
      </c>
      <c r="AM102" s="554"/>
      <c r="AO102" s="547">
        <f t="shared" si="42"/>
        <v>2.1812691152893007E-3</v>
      </c>
      <c r="AP102" s="548">
        <f t="shared" si="42"/>
        <v>1.8191874253251998</v>
      </c>
      <c r="AQ102" s="548">
        <f t="shared" si="42"/>
        <v>4.0588462138420836E-2</v>
      </c>
      <c r="AR102" s="548">
        <f t="shared" si="42"/>
        <v>0.93520701242087489</v>
      </c>
      <c r="AS102" s="548">
        <f t="shared" si="42"/>
        <v>0.46616134622059741</v>
      </c>
      <c r="AT102" s="548">
        <f t="shared" si="42"/>
        <v>0.75448338734500742</v>
      </c>
      <c r="AU102" s="548">
        <f t="shared" si="42"/>
        <v>1.1219080164046182</v>
      </c>
      <c r="AV102" s="548">
        <f t="shared" si="42"/>
        <v>0.3772573754482072</v>
      </c>
      <c r="AW102" s="548">
        <f t="shared" si="42"/>
        <v>3.6074844040698881</v>
      </c>
      <c r="AX102" s="549">
        <f t="shared" si="42"/>
        <v>0.15243004373032215</v>
      </c>
      <c r="AY102" s="555">
        <f t="shared" si="46"/>
        <v>0.92768887422184254</v>
      </c>
      <c r="AZ102" s="549">
        <f t="shared" si="43"/>
        <v>0.80991227420470979</v>
      </c>
      <c r="BC102" s="101"/>
      <c r="BM102" s="101"/>
      <c r="BN102" s="102"/>
    </row>
    <row r="103" spans="1:66" x14ac:dyDescent="0.35">
      <c r="A103" t="s">
        <v>905</v>
      </c>
      <c r="B103" s="550">
        <f t="shared" si="44"/>
        <v>0.90469164578634031</v>
      </c>
      <c r="C103" s="551">
        <f t="shared" si="36"/>
        <v>0.84309564767813094</v>
      </c>
      <c r="D103" s="551">
        <f t="shared" si="36"/>
        <v>0.73303280247355307</v>
      </c>
      <c r="E103" s="551">
        <f t="shared" si="36"/>
        <v>0.5439849741267192</v>
      </c>
      <c r="F103" s="551">
        <f t="shared" si="36"/>
        <v>0.46256950870079094</v>
      </c>
      <c r="G103" s="551">
        <f t="shared" si="36"/>
        <v>0.46256950870079094</v>
      </c>
      <c r="H103" s="551">
        <f t="shared" si="36"/>
        <v>0.32114999923040516</v>
      </c>
      <c r="I103" s="551">
        <f t="shared" si="36"/>
        <v>0.25995216564279489</v>
      </c>
      <c r="J103" s="551">
        <f t="shared" si="36"/>
        <v>0.15566008716379506</v>
      </c>
      <c r="K103" s="552">
        <f t="shared" si="36"/>
        <v>0.11301108395352633</v>
      </c>
      <c r="M103" s="557">
        <f t="shared" si="37"/>
        <v>-1.5256792784836142</v>
      </c>
      <c r="N103" s="94">
        <f t="shared" si="38"/>
        <v>0.5426057859582496</v>
      </c>
      <c r="P103" s="550">
        <f t="shared" si="39"/>
        <v>0.51385035798760603</v>
      </c>
      <c r="Q103" s="551">
        <f t="shared" si="39"/>
        <v>0.50553056411733133</v>
      </c>
      <c r="R103" s="551">
        <f t="shared" si="39"/>
        <v>0.48059337169790728</v>
      </c>
      <c r="S103" s="551">
        <f t="shared" si="39"/>
        <v>0.40794775340937289</v>
      </c>
      <c r="T103" s="551">
        <f t="shared" si="39"/>
        <v>0.36525396347551431</v>
      </c>
      <c r="U103" s="551">
        <f t="shared" si="39"/>
        <v>0.36525396347551431</v>
      </c>
      <c r="V103" s="551">
        <f t="shared" si="39"/>
        <v>0.27521153896033157</v>
      </c>
      <c r="W103" s="551">
        <f t="shared" si="39"/>
        <v>0.23015365016077077</v>
      </c>
      <c r="X103" s="551">
        <f t="shared" si="39"/>
        <v>0.14517265856393261</v>
      </c>
      <c r="Y103" s="552">
        <f t="shared" si="39"/>
        <v>0.10752858190086248</v>
      </c>
      <c r="Z103" s="554">
        <f t="shared" si="40"/>
        <v>3.3964964037491439</v>
      </c>
      <c r="AA103" s="554"/>
      <c r="AB103" s="550">
        <f t="shared" si="41"/>
        <v>9.5308354213659685E-2</v>
      </c>
      <c r="AC103" s="551">
        <f t="shared" si="41"/>
        <v>0.15690435232186906</v>
      </c>
      <c r="AD103" s="551">
        <f t="shared" si="41"/>
        <v>-0.73303280247355307</v>
      </c>
      <c r="AE103" s="551">
        <f t="shared" si="41"/>
        <v>0.4560150258732808</v>
      </c>
      <c r="AF103" s="551">
        <f t="shared" si="41"/>
        <v>-0.46256950870079094</v>
      </c>
      <c r="AG103" s="551">
        <f t="shared" si="41"/>
        <v>-0.46256950870079094</v>
      </c>
      <c r="AH103" s="551">
        <f t="shared" si="41"/>
        <v>-0.32114999923040516</v>
      </c>
      <c r="AI103" s="551">
        <f t="shared" si="41"/>
        <v>-0.25995216564279489</v>
      </c>
      <c r="AJ103" s="551">
        <f t="shared" si="41"/>
        <v>-0.15566008716379506</v>
      </c>
      <c r="AK103" s="552">
        <f t="shared" si="41"/>
        <v>0.88698891604647367</v>
      </c>
      <c r="AL103" s="554">
        <f t="shared" si="45"/>
        <v>-0.79971742345684693</v>
      </c>
      <c r="AM103" s="554"/>
      <c r="AO103" s="550">
        <f t="shared" si="42"/>
        <v>1.7677680362996884E-2</v>
      </c>
      <c r="AP103" s="551">
        <f t="shared" si="42"/>
        <v>4.8699282545914012E-2</v>
      </c>
      <c r="AQ103" s="551">
        <f t="shared" si="42"/>
        <v>1.1180701215329949</v>
      </c>
      <c r="AR103" s="551">
        <f t="shared" si="42"/>
        <v>0.50974592232533467</v>
      </c>
      <c r="AS103" s="551">
        <f t="shared" si="42"/>
        <v>0.58581308288536926</v>
      </c>
      <c r="AT103" s="551">
        <f t="shared" si="42"/>
        <v>0.58581308288536926</v>
      </c>
      <c r="AU103" s="551">
        <f t="shared" si="42"/>
        <v>0.37475653235802453</v>
      </c>
      <c r="AV103" s="551">
        <f t="shared" si="42"/>
        <v>0.29360876256003487</v>
      </c>
      <c r="AW103" s="551">
        <f t="shared" si="42"/>
        <v>0.16690513885691222</v>
      </c>
      <c r="AX103" s="552">
        <f t="shared" si="42"/>
        <v>7.3166531472967176</v>
      </c>
      <c r="AY103" s="558">
        <f t="shared" si="46"/>
        <v>1.1017742753609667</v>
      </c>
      <c r="AZ103" s="552">
        <f t="shared" si="43"/>
        <v>0.64437648165375083</v>
      </c>
      <c r="BC103" s="101"/>
      <c r="BM103" s="101"/>
      <c r="BN103" s="102"/>
    </row>
    <row r="104" spans="1:66" x14ac:dyDescent="0.35">
      <c r="P104" s="554">
        <f t="shared" ref="P104:Y104" si="47">MAX(SUM(P95:P103),$Q$7)</f>
        <v>3.3687745445603188</v>
      </c>
      <c r="Q104" s="554">
        <f t="shared" si="47"/>
        <v>3.8520223113037635</v>
      </c>
      <c r="R104" s="554">
        <f t="shared" si="47"/>
        <v>4.0299440813223804</v>
      </c>
      <c r="S104" s="554">
        <f t="shared" si="47"/>
        <v>4.1562177520676169</v>
      </c>
      <c r="T104" s="554">
        <f t="shared" si="47"/>
        <v>4.1105247866880976</v>
      </c>
      <c r="U104" s="554">
        <f t="shared" si="47"/>
        <v>4.1105247866880976</v>
      </c>
      <c r="V104" s="554">
        <f t="shared" si="47"/>
        <v>3.8031621117882337</v>
      </c>
      <c r="W104" s="554">
        <f t="shared" si="47"/>
        <v>3.5378656812526739</v>
      </c>
      <c r="X104" s="554">
        <f t="shared" si="47"/>
        <v>2.7777539044155128</v>
      </c>
      <c r="Y104" s="554">
        <f t="shared" si="47"/>
        <v>2.2937413196350729</v>
      </c>
      <c r="AB104" s="554">
        <f>SUM(AB95:AB103)</f>
        <v>0.41384459892862124</v>
      </c>
      <c r="AC104" s="554">
        <f t="shared" ref="AC104:AK104" si="48">SUM(AC95:AC103)</f>
        <v>0.32342173455027257</v>
      </c>
      <c r="AD104" s="554">
        <f t="shared" si="48"/>
        <v>0.20272877952984081</v>
      </c>
      <c r="AE104" s="554">
        <f t="shared" si="48"/>
        <v>-5.3561671397502564E-2</v>
      </c>
      <c r="AF104" s="554">
        <f t="shared" si="48"/>
        <v>-0.18224757069018194</v>
      </c>
      <c r="AG104" s="554">
        <f t="shared" si="48"/>
        <v>-0.18224757069018205</v>
      </c>
      <c r="AH104" s="554">
        <f t="shared" si="48"/>
        <v>-0.42263714878694408</v>
      </c>
      <c r="AI104" s="554">
        <f t="shared" si="48"/>
        <v>-0.53124889553076526</v>
      </c>
      <c r="AJ104" s="554">
        <f t="shared" si="48"/>
        <v>-0.74742644997270302</v>
      </c>
      <c r="AK104" s="554">
        <f t="shared" si="48"/>
        <v>-0.88635519174485711</v>
      </c>
      <c r="AL104" s="559" cm="1">
        <f t="array" ref="AL104">MAX(ABS(AL95:AL103),ABS(AB104:AK104),ABS(C112:C114))</f>
        <v>3.1862171978837281</v>
      </c>
      <c r="AM104" s="554"/>
      <c r="AN104" t="s">
        <v>939</v>
      </c>
      <c r="AO104" s="560">
        <f>AVERAGE(AO95:AO103)</f>
        <v>0.32228973918809362</v>
      </c>
      <c r="AP104" s="561">
        <f t="shared" ref="AP104:AX104" si="49">AVERAGE(AP95:AP103)</f>
        <v>0.8756171462966611</v>
      </c>
      <c r="AQ104" s="561">
        <f t="shared" si="49"/>
        <v>0.65061929636850957</v>
      </c>
      <c r="AR104" s="561">
        <f t="shared" si="49"/>
        <v>0.57828689675668399</v>
      </c>
      <c r="AS104" s="561">
        <f t="shared" si="49"/>
        <v>0.69170781824608207</v>
      </c>
      <c r="AT104" s="561">
        <f t="shared" si="49"/>
        <v>0.86242575159724477</v>
      </c>
      <c r="AU104" s="561">
        <f t="shared" si="49"/>
        <v>0.71307136350660594</v>
      </c>
      <c r="AV104" s="561">
        <f t="shared" si="49"/>
        <v>0.67295213407497456</v>
      </c>
      <c r="AW104" s="561">
        <f t="shared" si="49"/>
        <v>1.1585421725836005</v>
      </c>
      <c r="AX104" s="562">
        <f t="shared" si="49"/>
        <v>1.0837302102266835</v>
      </c>
      <c r="AY104" s="554"/>
      <c r="BC104" s="423"/>
      <c r="BD104" s="424"/>
      <c r="BE104" s="424"/>
      <c r="BF104" s="424"/>
      <c r="BG104" s="424"/>
      <c r="BH104" s="424"/>
      <c r="BI104" s="424"/>
      <c r="BJ104" s="424"/>
      <c r="BK104" s="424"/>
      <c r="BL104" s="424"/>
      <c r="BM104" s="423"/>
      <c r="BN104" s="425"/>
    </row>
    <row r="105" spans="1:66" x14ac:dyDescent="0.35">
      <c r="A105" t="s">
        <v>998</v>
      </c>
      <c r="B105">
        <f t="shared" ref="B105:K105" si="50">IF(P104 &gt; 0,B76-MIN(MAX(AB104/P104,-$Q$5),$Q$5),0)</f>
        <v>-1.2287566886940289</v>
      </c>
      <c r="C105">
        <f t="shared" si="50"/>
        <v>-1.0690985902579924</v>
      </c>
      <c r="D105">
        <f t="shared" si="50"/>
        <v>-0.81265676154506583</v>
      </c>
      <c r="E105">
        <f t="shared" si="50"/>
        <v>-0.32595804598626643</v>
      </c>
      <c r="F105">
        <f t="shared" si="50"/>
        <v>-8.4008425528019584E-2</v>
      </c>
      <c r="G105">
        <f t="shared" si="50"/>
        <v>-8.4008425528019529E-2</v>
      </c>
      <c r="H105">
        <f t="shared" si="50"/>
        <v>0.42504185236542213</v>
      </c>
      <c r="I105">
        <f t="shared" si="50"/>
        <v>0.70662250619174616</v>
      </c>
      <c r="J105">
        <f t="shared" si="50"/>
        <v>1.3885024460965683</v>
      </c>
      <c r="K105">
        <f t="shared" si="50"/>
        <v>1.8455543581763094</v>
      </c>
      <c r="L105" s="554">
        <f>AVERAGE(B105:K105)</f>
        <v>7.6123422529065343E-2</v>
      </c>
      <c r="AM105" s="554"/>
      <c r="AN105" t="s">
        <v>940</v>
      </c>
      <c r="AO105" s="89">
        <f t="shared" ref="AO105:AX105" si="51">SUMSQ(AB95:AB103)/P104</f>
        <v>0.3160814200952774</v>
      </c>
      <c r="AP105" s="159">
        <f t="shared" si="51"/>
        <v>0.92922409029871145</v>
      </c>
      <c r="AQ105" s="159">
        <f t="shared" si="51"/>
        <v>0.66915452693807254</v>
      </c>
      <c r="AR105" s="159">
        <f t="shared" si="51"/>
        <v>0.55903265252756562</v>
      </c>
      <c r="AS105" s="159">
        <f t="shared" si="51"/>
        <v>0.71013426643731015</v>
      </c>
      <c r="AT105" s="159">
        <f t="shared" si="51"/>
        <v>0.87722119364618145</v>
      </c>
      <c r="AU105" s="159">
        <f t="shared" si="51"/>
        <v>0.72329588189833571</v>
      </c>
      <c r="AV105" s="159">
        <f t="shared" si="51"/>
        <v>0.72896051394152894</v>
      </c>
      <c r="AW105" s="159">
        <f t="shared" si="51"/>
        <v>1.0547443924026647</v>
      </c>
      <c r="AX105" s="93">
        <f t="shared" si="51"/>
        <v>0.64978579842968776</v>
      </c>
      <c r="BC105" s="89"/>
      <c r="BD105" s="159"/>
      <c r="BE105" s="159"/>
      <c r="BF105" s="159"/>
      <c r="BG105" s="159"/>
      <c r="BH105" s="159"/>
      <c r="BI105" s="159"/>
      <c r="BJ105" s="159"/>
      <c r="BK105" s="159"/>
      <c r="BL105" s="159"/>
      <c r="BM105" s="89"/>
      <c r="BN105" s="93"/>
    </row>
    <row r="106" spans="1:66" x14ac:dyDescent="0.35">
      <c r="A106" t="s">
        <v>822</v>
      </c>
      <c r="B106" s="537">
        <f t="shared" ref="B106:K106" si="52">B105-$L105</f>
        <v>-1.3048801112230941</v>
      </c>
      <c r="C106" s="538">
        <f t="shared" si="52"/>
        <v>-1.1452220127870576</v>
      </c>
      <c r="D106" s="538">
        <f t="shared" si="52"/>
        <v>-0.88878018407413117</v>
      </c>
      <c r="E106" s="538">
        <f t="shared" si="52"/>
        <v>-0.40208146851533177</v>
      </c>
      <c r="F106" s="538">
        <f t="shared" si="52"/>
        <v>-0.16013184805708491</v>
      </c>
      <c r="G106" s="538">
        <f t="shared" si="52"/>
        <v>-0.16013184805708486</v>
      </c>
      <c r="H106" s="538">
        <f t="shared" si="52"/>
        <v>0.34891842983635679</v>
      </c>
      <c r="I106" s="538">
        <f t="shared" si="52"/>
        <v>0.63049908366268081</v>
      </c>
      <c r="J106" s="538">
        <f t="shared" si="52"/>
        <v>1.312379023567503</v>
      </c>
      <c r="K106" s="539">
        <f t="shared" si="52"/>
        <v>1.769430935647244</v>
      </c>
      <c r="L106" s="554"/>
      <c r="AM106" s="554"/>
    </row>
    <row r="107" spans="1:66" x14ac:dyDescent="0.35">
      <c r="A107" t="s">
        <v>265</v>
      </c>
      <c r="B107" s="328">
        <f t="shared" ref="B107:K107" si="53">1/SQRT(P104)</f>
        <v>0.54483378046965492</v>
      </c>
      <c r="C107" s="327">
        <f t="shared" si="53"/>
        <v>0.50951339151343222</v>
      </c>
      <c r="D107" s="327">
        <f t="shared" si="53"/>
        <v>0.49813893738762083</v>
      </c>
      <c r="E107" s="327">
        <f t="shared" si="53"/>
        <v>0.49051337451402588</v>
      </c>
      <c r="F107" s="327">
        <f t="shared" si="53"/>
        <v>0.49323213541920818</v>
      </c>
      <c r="G107" s="327">
        <f t="shared" si="53"/>
        <v>0.49323213541920818</v>
      </c>
      <c r="H107" s="327">
        <f t="shared" si="53"/>
        <v>0.51277587111495981</v>
      </c>
      <c r="I107" s="327">
        <f t="shared" si="53"/>
        <v>0.53165429876677239</v>
      </c>
      <c r="J107" s="327">
        <f t="shared" si="53"/>
        <v>0.60000257833974413</v>
      </c>
      <c r="K107" s="326">
        <f t="shared" si="53"/>
        <v>0.66027945016767209</v>
      </c>
      <c r="L107" s="554"/>
      <c r="AB107">
        <v>1</v>
      </c>
      <c r="AC107">
        <v>2</v>
      </c>
      <c r="AD107">
        <v>3</v>
      </c>
      <c r="AE107">
        <v>4</v>
      </c>
      <c r="AF107">
        <v>5</v>
      </c>
      <c r="AG107">
        <v>6</v>
      </c>
      <c r="AH107">
        <v>7</v>
      </c>
      <c r="AI107">
        <v>8</v>
      </c>
      <c r="AJ107">
        <v>9</v>
      </c>
      <c r="AK107">
        <v>10</v>
      </c>
      <c r="AL107" s="521"/>
      <c r="AM107" t="s">
        <v>940</v>
      </c>
      <c r="BB107" t="e" cm="1">
        <f t="array" aca="1" ref="BB107" ca="1">UCON(A4:K13,,3)</f>
        <v>#NAME?</v>
      </c>
      <c r="BM107" s="6"/>
      <c r="BN107" s="6"/>
    </row>
    <row r="108" spans="1:66" x14ac:dyDescent="0.35">
      <c r="L108" s="554"/>
      <c r="AB108" s="544">
        <f>AB95</f>
        <v>0.19855757375592686</v>
      </c>
      <c r="AC108" s="545">
        <f t="shared" ref="AC108:AK108" si="54">AC95</f>
        <v>0.22157704734740413</v>
      </c>
      <c r="AD108" s="545">
        <f t="shared" si="54"/>
        <v>0.27029707247635892</v>
      </c>
      <c r="AE108" s="545">
        <f t="shared" si="54"/>
        <v>-0.61184914781264621</v>
      </c>
      <c r="AF108" s="545">
        <f t="shared" si="54"/>
        <v>0.46016109149348594</v>
      </c>
      <c r="AG108" s="545">
        <f t="shared" si="54"/>
        <v>0.46016109149348594</v>
      </c>
      <c r="AH108" s="545">
        <f t="shared" si="54"/>
        <v>0.64064866937946041</v>
      </c>
      <c r="AI108" s="545">
        <f t="shared" si="54"/>
        <v>-0.24559669734855882</v>
      </c>
      <c r="AJ108" s="545">
        <f t="shared" si="54"/>
        <v>-0.9588971918080833</v>
      </c>
      <c r="AK108" s="546">
        <f t="shared" si="54"/>
        <v>0.21387172701356738</v>
      </c>
      <c r="AL108" s="554">
        <f>SUM(AB108:AK108)</f>
        <v>0.64893123599040126</v>
      </c>
      <c r="AM108" s="548">
        <f t="shared" ref="AM108:AM116" si="55">SUMSQ(AB108:AK108)/Z95</f>
        <v>0.66247901418801824</v>
      </c>
      <c r="BC108" s="423"/>
      <c r="BD108" s="424"/>
      <c r="BE108" s="424"/>
      <c r="BF108" s="424"/>
      <c r="BG108" s="424"/>
      <c r="BH108" s="424"/>
      <c r="BI108" s="424"/>
      <c r="BJ108" s="424"/>
      <c r="BK108" s="424"/>
      <c r="BL108" s="424"/>
      <c r="BM108" s="423"/>
      <c r="BN108" s="425"/>
    </row>
    <row r="109" spans="1:66" x14ac:dyDescent="0.35">
      <c r="A109" t="s">
        <v>312</v>
      </c>
      <c r="B109">
        <f>B79+1</f>
        <v>4</v>
      </c>
      <c r="AB109" s="547">
        <f t="shared" ref="AB109:AK116" si="56">AB96</f>
        <v>0.35246294544512691</v>
      </c>
      <c r="AC109" s="548">
        <f t="shared" si="56"/>
        <v>-0.61020840183148617</v>
      </c>
      <c r="AD109" s="548">
        <f t="shared" si="56"/>
        <v>0.46652377352109342</v>
      </c>
      <c r="AE109" s="548">
        <f t="shared" si="56"/>
        <v>-0.35996014644984076</v>
      </c>
      <c r="AF109" s="548">
        <f t="shared" si="56"/>
        <v>-0.26177216101260647</v>
      </c>
      <c r="AG109" s="548">
        <f t="shared" si="56"/>
        <v>0.73822783898739353</v>
      </c>
      <c r="AH109" s="548">
        <f t="shared" si="56"/>
        <v>-3.8791495589721059E-2</v>
      </c>
      <c r="AI109" s="548">
        <f t="shared" si="56"/>
        <v>8.677623400179435E-2</v>
      </c>
      <c r="AJ109" s="548">
        <f t="shared" si="56"/>
        <v>0.36135698909709169</v>
      </c>
      <c r="AK109" s="549">
        <f t="shared" si="56"/>
        <v>-0.49684685109833338</v>
      </c>
      <c r="AL109" s="554">
        <f t="shared" ref="AL109:AL116" si="57">SUM(AB109:AK109)</f>
        <v>0.23776872507051205</v>
      </c>
      <c r="AM109" s="548">
        <f t="shared" si="55"/>
        <v>0.43229997850612933</v>
      </c>
      <c r="BC109" s="101"/>
      <c r="BM109" s="101"/>
      <c r="BN109" s="102"/>
    </row>
    <row r="110" spans="1:66" x14ac:dyDescent="0.35">
      <c r="AB110" s="547" t="str">
        <f t="shared" si="56"/>
        <v/>
      </c>
      <c r="AC110" s="548">
        <f t="shared" si="56"/>
        <v>-0.50345371496902258</v>
      </c>
      <c r="AD110" s="548">
        <f t="shared" si="56"/>
        <v>0.58702790773483748</v>
      </c>
      <c r="AE110" s="548">
        <f t="shared" si="56"/>
        <v>-0.21678378966961387</v>
      </c>
      <c r="AF110" s="548">
        <f t="shared" si="56"/>
        <v>0.88926531145669685</v>
      </c>
      <c r="AG110" s="548">
        <f t="shared" si="56"/>
        <v>-0.11073468854330315</v>
      </c>
      <c r="AH110" s="548">
        <f t="shared" si="56"/>
        <v>-0.88236333008612911</v>
      </c>
      <c r="AI110" s="548">
        <f t="shared" si="56"/>
        <v>1.2391360139287131</v>
      </c>
      <c r="AJ110" s="548">
        <f t="shared" si="56"/>
        <v>-0.51119955668456407</v>
      </c>
      <c r="AK110" s="549">
        <f t="shared" si="56"/>
        <v>-0.39004324683074632</v>
      </c>
      <c r="AL110" s="554">
        <f t="shared" si="57"/>
        <v>0.10085090633686833</v>
      </c>
      <c r="AM110" s="548">
        <f t="shared" si="55"/>
        <v>1.0330353594232207</v>
      </c>
      <c r="BC110" s="101"/>
      <c r="BM110" s="101"/>
      <c r="BN110" s="102"/>
    </row>
    <row r="111" spans="1:66" x14ac:dyDescent="0.35">
      <c r="B111" s="6" t="s">
        <v>28</v>
      </c>
      <c r="C111" s="6" t="s">
        <v>1002</v>
      </c>
      <c r="AB111" s="547">
        <f t="shared" si="56"/>
        <v>-0.43818111479417587</v>
      </c>
      <c r="AC111" s="548">
        <f t="shared" si="56"/>
        <v>0.61348836442174726</v>
      </c>
      <c r="AD111" s="548">
        <f t="shared" si="56"/>
        <v>0.7154981283448385</v>
      </c>
      <c r="AE111" s="548">
        <f t="shared" si="56"/>
        <v>-7.3030221186373145E-2</v>
      </c>
      <c r="AF111" s="548">
        <f t="shared" si="56"/>
        <v>3.6009308230777859E-2</v>
      </c>
      <c r="AG111" s="548">
        <f t="shared" si="56"/>
        <v>3.6009308230777859E-2</v>
      </c>
      <c r="AH111" s="548">
        <f t="shared" si="56"/>
        <v>-0.74081908597821045</v>
      </c>
      <c r="AI111" s="548">
        <f t="shared" si="56"/>
        <v>0.37189029483883329</v>
      </c>
      <c r="AJ111" s="548">
        <f t="shared" si="56"/>
        <v>-0.40832952240883813</v>
      </c>
      <c r="AK111" s="549">
        <f t="shared" si="56"/>
        <v>-0.30689166474562402</v>
      </c>
      <c r="AL111" s="554">
        <f t="shared" si="57"/>
        <v>-0.19435620504624684</v>
      </c>
      <c r="AM111" s="548">
        <f t="shared" si="55"/>
        <v>0.46189432166214828</v>
      </c>
      <c r="BC111" s="101"/>
      <c r="BM111" s="101"/>
      <c r="BN111" s="102"/>
    </row>
    <row r="112" spans="1:66" x14ac:dyDescent="0.35">
      <c r="A112">
        <v>0</v>
      </c>
      <c r="B112" s="423">
        <f>B$25-SUM(B113:B114)</f>
        <v>33.560243906039666</v>
      </c>
      <c r="C112" s="425">
        <f>B$22-B112</f>
        <v>-0.56024390603966623</v>
      </c>
      <c r="AB112" s="547">
        <f t="shared" si="56"/>
        <v>-0.35247962441851621</v>
      </c>
      <c r="AC112" s="548">
        <f t="shared" si="56"/>
        <v>-0.29665599388658093</v>
      </c>
      <c r="AD112" s="548">
        <f t="shared" si="56"/>
        <v>-0.18824684282420456</v>
      </c>
      <c r="AE112" s="548">
        <f t="shared" si="56"/>
        <v>1.0290767640576226</v>
      </c>
      <c r="AF112" s="548">
        <f t="shared" si="56"/>
        <v>-0.86262786123803803</v>
      </c>
      <c r="AG112" s="548">
        <f t="shared" si="56"/>
        <v>1.137372138761962</v>
      </c>
      <c r="AH112" s="548">
        <f t="shared" si="56"/>
        <v>0.35150099451746408</v>
      </c>
      <c r="AI112" s="548">
        <f t="shared" si="56"/>
        <v>-0.54398592785368749</v>
      </c>
      <c r="AJ112" s="548">
        <f t="shared" si="56"/>
        <v>-0.34665444201018564</v>
      </c>
      <c r="AK112" s="549">
        <f t="shared" si="56"/>
        <v>-0.25826295965093754</v>
      </c>
      <c r="AL112" s="554">
        <f t="shared" si="57"/>
        <v>-0.33096375454510174</v>
      </c>
      <c r="AM112" s="548">
        <f t="shared" si="55"/>
        <v>0.90995664690025635</v>
      </c>
      <c r="BC112" s="101"/>
      <c r="BM112" s="101"/>
      <c r="BN112" s="102"/>
    </row>
    <row r="113" spans="1:66" x14ac:dyDescent="0.35">
      <c r="A113">
        <v>1</v>
      </c>
      <c r="B113" s="101">
        <f>SUM(F82:O90)</f>
        <v>33.813782802116272</v>
      </c>
      <c r="C113" s="102">
        <f>B$23-B113</f>
        <v>3.1862171978837281</v>
      </c>
      <c r="AB113" s="547">
        <f t="shared" si="56"/>
        <v>0.74287762354261178</v>
      </c>
      <c r="AC113" s="548">
        <f t="shared" si="56"/>
        <v>0.80215629109416664</v>
      </c>
      <c r="AD113" s="548">
        <f t="shared" si="56"/>
        <v>-8.4801955779065796E-2</v>
      </c>
      <c r="AE113" s="548">
        <f t="shared" si="56"/>
        <v>0.13383269700093281</v>
      </c>
      <c r="AF113" s="548">
        <f t="shared" si="56"/>
        <v>-0.76101307806252005</v>
      </c>
      <c r="AG113" s="548">
        <f t="shared" si="56"/>
        <v>-0.76101307806252005</v>
      </c>
      <c r="AH113" s="548">
        <f t="shared" si="56"/>
        <v>0.43995377551089565</v>
      </c>
      <c r="AI113" s="548">
        <f t="shared" si="56"/>
        <v>-0.46511590635342515</v>
      </c>
      <c r="AJ113" s="548">
        <f t="shared" si="56"/>
        <v>-0.29108701402444698</v>
      </c>
      <c r="AK113" s="549">
        <f t="shared" si="56"/>
        <v>-0.21519535723262986</v>
      </c>
      <c r="AL113" s="554">
        <f t="shared" si="57"/>
        <v>-0.45940600236600093</v>
      </c>
      <c r="AM113" s="548">
        <f t="shared" si="55"/>
        <v>0.69315194977788208</v>
      </c>
      <c r="BC113" s="101"/>
      <c r="BM113" s="101"/>
      <c r="BN113" s="102"/>
    </row>
    <row r="114" spans="1:66" x14ac:dyDescent="0.35">
      <c r="A114">
        <v>2</v>
      </c>
      <c r="B114" s="89">
        <f>SUM(Q82:Z90)</f>
        <v>21.625973291844062</v>
      </c>
      <c r="C114" s="93">
        <f>B$24-B114</f>
        <v>-2.6259732918440619</v>
      </c>
      <c r="AB114" s="547">
        <f t="shared" si="56"/>
        <v>-0.15108355161290787</v>
      </c>
      <c r="AC114" s="548">
        <f t="shared" si="56"/>
        <v>0.9106060003225922</v>
      </c>
      <c r="AD114" s="548">
        <f t="shared" si="56"/>
        <v>-0.97408408594981288</v>
      </c>
      <c r="AE114" s="548">
        <f t="shared" si="56"/>
        <v>0.24062804254238612</v>
      </c>
      <c r="AF114" s="548">
        <f t="shared" si="56"/>
        <v>0.34019797237754135</v>
      </c>
      <c r="AG114" s="548">
        <f t="shared" si="56"/>
        <v>-0.65980202762245865</v>
      </c>
      <c r="AH114" s="548">
        <f t="shared" si="56"/>
        <v>-0.47571911693198699</v>
      </c>
      <c r="AI114" s="548">
        <f t="shared" si="56"/>
        <v>-0.39142935245262606</v>
      </c>
      <c r="AJ114" s="548">
        <f t="shared" si="56"/>
        <v>0.75899668293188771</v>
      </c>
      <c r="AK114" s="549">
        <f t="shared" si="56"/>
        <v>-0.17695873728437947</v>
      </c>
      <c r="AL114" s="554">
        <f t="shared" si="57"/>
        <v>-0.57864817367976462</v>
      </c>
      <c r="AM114" s="548">
        <f t="shared" si="55"/>
        <v>0.84608465175832615</v>
      </c>
      <c r="BC114" s="101"/>
      <c r="BM114" s="101"/>
      <c r="BN114" s="102"/>
    </row>
    <row r="115" spans="1:66" x14ac:dyDescent="0.35">
      <c r="AB115" s="547">
        <f t="shared" si="56"/>
        <v>-3.3617607203104027E-2</v>
      </c>
      <c r="AC115" s="548">
        <f t="shared" si="56"/>
        <v>-0.97099221027041704</v>
      </c>
      <c r="AD115" s="548">
        <f t="shared" si="56"/>
        <v>0.14354758447934879</v>
      </c>
      <c r="AE115" s="548">
        <f t="shared" si="56"/>
        <v>-0.65149089575325092</v>
      </c>
      <c r="AF115" s="548">
        <f t="shared" si="56"/>
        <v>0.44010135476527168</v>
      </c>
      <c r="AG115" s="548">
        <f t="shared" si="56"/>
        <v>-0.55989864523472832</v>
      </c>
      <c r="AH115" s="548">
        <f t="shared" si="56"/>
        <v>0.60410243962168853</v>
      </c>
      <c r="AI115" s="548">
        <f t="shared" si="56"/>
        <v>-0.3229713886490137</v>
      </c>
      <c r="AJ115" s="548">
        <f t="shared" si="56"/>
        <v>0.80404769209823057</v>
      </c>
      <c r="AK115" s="549">
        <f t="shared" si="56"/>
        <v>-0.14301701796224731</v>
      </c>
      <c r="AL115" s="554">
        <f t="shared" si="57"/>
        <v>-0.69018869410822203</v>
      </c>
      <c r="AM115" s="548">
        <f t="shared" si="55"/>
        <v>0.80991227420470979</v>
      </c>
      <c r="BC115" s="101"/>
      <c r="BM115" s="101"/>
      <c r="BN115" s="102"/>
    </row>
    <row r="116" spans="1:66" x14ac:dyDescent="0.35">
      <c r="AB116" s="550">
        <f t="shared" si="56"/>
        <v>9.5308354213659685E-2</v>
      </c>
      <c r="AC116" s="551">
        <f t="shared" si="56"/>
        <v>0.15690435232186906</v>
      </c>
      <c r="AD116" s="551">
        <f t="shared" si="56"/>
        <v>-0.73303280247355307</v>
      </c>
      <c r="AE116" s="551">
        <f t="shared" si="56"/>
        <v>0.4560150258732808</v>
      </c>
      <c r="AF116" s="551">
        <f t="shared" si="56"/>
        <v>-0.46256950870079094</v>
      </c>
      <c r="AG116" s="551">
        <f t="shared" si="56"/>
        <v>-0.46256950870079094</v>
      </c>
      <c r="AH116" s="551">
        <f t="shared" si="56"/>
        <v>-0.32114999923040516</v>
      </c>
      <c r="AI116" s="551">
        <f t="shared" si="56"/>
        <v>-0.25995216564279489</v>
      </c>
      <c r="AJ116" s="551">
        <f t="shared" si="56"/>
        <v>-0.15566008716379506</v>
      </c>
      <c r="AK116" s="552">
        <f t="shared" si="56"/>
        <v>0.88698891604647367</v>
      </c>
      <c r="AL116" s="554">
        <f t="shared" si="57"/>
        <v>-0.79971742345684693</v>
      </c>
      <c r="AM116" s="548">
        <f t="shared" si="55"/>
        <v>0.64437648165375083</v>
      </c>
      <c r="BC116" s="101"/>
      <c r="BM116" s="101"/>
      <c r="BN116" s="102"/>
    </row>
    <row r="117" spans="1:66" x14ac:dyDescent="0.35">
      <c r="AB117" s="554">
        <f>SUM(AB108:AB116)</f>
        <v>0.41384459892862124</v>
      </c>
      <c r="AC117" s="554">
        <f t="shared" ref="AC117:AK117" si="58">SUM(AC108:AC116)</f>
        <v>0.32342173455027257</v>
      </c>
      <c r="AD117" s="554">
        <f t="shared" si="58"/>
        <v>0.20272877952984081</v>
      </c>
      <c r="AE117" s="554">
        <f t="shared" si="58"/>
        <v>-5.3561671397502564E-2</v>
      </c>
      <c r="AF117" s="554">
        <f t="shared" si="58"/>
        <v>-0.18224757069018194</v>
      </c>
      <c r="AG117" s="554">
        <f t="shared" si="58"/>
        <v>-0.18224757069018205</v>
      </c>
      <c r="AH117" s="554">
        <f t="shared" si="58"/>
        <v>-0.42263714878694408</v>
      </c>
      <c r="AI117" s="554">
        <f t="shared" si="58"/>
        <v>-0.53124889553076526</v>
      </c>
      <c r="AJ117" s="554">
        <f t="shared" si="58"/>
        <v>-0.74742644997270302</v>
      </c>
      <c r="AK117" s="554">
        <f t="shared" si="58"/>
        <v>-0.88635519174485711</v>
      </c>
      <c r="AL117" s="554"/>
      <c r="BC117" s="423"/>
      <c r="BD117" s="424"/>
      <c r="BE117" s="424"/>
      <c r="BF117" s="424"/>
      <c r="BG117" s="424"/>
      <c r="BH117" s="424"/>
      <c r="BI117" s="424"/>
      <c r="BJ117" s="424"/>
      <c r="BK117" s="424"/>
      <c r="BL117" s="424"/>
      <c r="BM117" s="423"/>
      <c r="BN117" s="425"/>
    </row>
    <row r="118" spans="1:66" x14ac:dyDescent="0.35">
      <c r="AA118" t="s">
        <v>940</v>
      </c>
      <c r="AB118" s="548">
        <f>SUMSQ(AB95:AB103)/P104</f>
        <v>0.3160814200952774</v>
      </c>
      <c r="AC118" s="548">
        <f t="shared" ref="AC118:AK118" si="59">SUMSQ(AC95:AC103)/Q104</f>
        <v>0.92922409029871145</v>
      </c>
      <c r="AD118" s="548">
        <f t="shared" si="59"/>
        <v>0.66915452693807254</v>
      </c>
      <c r="AE118" s="548">
        <f t="shared" si="59"/>
        <v>0.55903265252756562</v>
      </c>
      <c r="AF118" s="548">
        <f t="shared" si="59"/>
        <v>0.71013426643731015</v>
      </c>
      <c r="AG118" s="548">
        <f t="shared" si="59"/>
        <v>0.87722119364618145</v>
      </c>
      <c r="AH118" s="548">
        <f t="shared" si="59"/>
        <v>0.72329588189833571</v>
      </c>
      <c r="AI118" s="548">
        <f t="shared" si="59"/>
        <v>0.72896051394152894</v>
      </c>
      <c r="AJ118" s="548">
        <f t="shared" si="59"/>
        <v>1.0547443924026647</v>
      </c>
      <c r="AK118" s="548">
        <f t="shared" si="59"/>
        <v>0.64978579842968776</v>
      </c>
      <c r="BC118" s="89"/>
      <c r="BD118" s="159"/>
      <c r="BE118" s="159"/>
      <c r="BF118" s="159"/>
      <c r="BG118" s="159"/>
      <c r="BH118" s="159"/>
      <c r="BI118" s="159"/>
      <c r="BJ118" s="159"/>
      <c r="BK118" s="159"/>
      <c r="BL118" s="159"/>
      <c r="BM118" s="89"/>
      <c r="BN118" s="93"/>
    </row>
    <row r="120" spans="1:66" x14ac:dyDescent="0.35">
      <c r="AB120">
        <v>1</v>
      </c>
      <c r="AC120">
        <v>2</v>
      </c>
      <c r="AD120">
        <v>3</v>
      </c>
      <c r="AE120">
        <v>4</v>
      </c>
      <c r="AF120">
        <v>5</v>
      </c>
      <c r="AG120">
        <v>6</v>
      </c>
      <c r="AH120">
        <v>7</v>
      </c>
      <c r="AI120">
        <v>8</v>
      </c>
      <c r="AJ120">
        <v>9</v>
      </c>
      <c r="AK120">
        <v>10</v>
      </c>
      <c r="AL120" s="521"/>
      <c r="AM120" t="s">
        <v>939</v>
      </c>
      <c r="AN120" s="554"/>
      <c r="AO120" s="554"/>
      <c r="AP120" s="554"/>
    </row>
    <row r="121" spans="1:66" x14ac:dyDescent="0.35">
      <c r="AB121" s="544">
        <f>IFERROR(AB95/SQRT(P95),"")</f>
        <v>0.46624956035296145</v>
      </c>
      <c r="AC121" s="545">
        <f t="shared" ref="AC121:AK129" si="60">IFERROR(AC95/SQRT(Q95),"")</f>
        <v>0.49537475914970053</v>
      </c>
      <c r="AD121" s="545">
        <f t="shared" si="60"/>
        <v>0.55402752568187685</v>
      </c>
      <c r="AE121" s="545">
        <f t="shared" si="60"/>
        <v>-1.0810121539580952</v>
      </c>
      <c r="AF121" s="545">
        <f t="shared" si="60"/>
        <v>0.76282680803888792</v>
      </c>
      <c r="AG121" s="545">
        <f t="shared" si="60"/>
        <v>0.76282680803888792</v>
      </c>
      <c r="AH121" s="545">
        <f t="shared" si="60"/>
        <v>0.95527364847983609</v>
      </c>
      <c r="AI121" s="545">
        <f t="shared" si="60"/>
        <v>-0.35213317519237913</v>
      </c>
      <c r="AJ121" s="545">
        <f t="shared" si="60"/>
        <v>-1.3325562854320034</v>
      </c>
      <c r="AK121" s="546">
        <f t="shared" si="60"/>
        <v>0.30422032996122061</v>
      </c>
      <c r="AL121" s="521"/>
      <c r="AM121" s="548">
        <f t="shared" ref="AM121:AM129" si="61">SUMSQ(AB121:AK121)/COUNT(AB121:AK121)</f>
        <v>0.60069298384329506</v>
      </c>
      <c r="AN121" s="554"/>
      <c r="AO121" s="554"/>
      <c r="AP121" s="554"/>
    </row>
    <row r="122" spans="1:66" x14ac:dyDescent="0.35">
      <c r="AB122" s="547">
        <f t="shared" ref="AB122:AB129" si="62">IFERROR(AB96/SQRT(P96),"")</f>
        <v>0.64690244312251022</v>
      </c>
      <c r="AC122" s="548">
        <f t="shared" si="60"/>
        <v>-1.076351198289484</v>
      </c>
      <c r="AD122" s="548">
        <f t="shared" si="60"/>
        <v>0.7695817097513471</v>
      </c>
      <c r="AE122" s="548">
        <f t="shared" si="60"/>
        <v>-0.53687696399516316</v>
      </c>
      <c r="AF122" s="548">
        <f t="shared" si="60"/>
        <v>-0.37702752925708355</v>
      </c>
      <c r="AG122" s="548">
        <f t="shared" si="60"/>
        <v>1.0632613379724869</v>
      </c>
      <c r="AH122" s="548">
        <f t="shared" si="60"/>
        <v>-5.3902453506508206E-2</v>
      </c>
      <c r="AI122" s="548">
        <f t="shared" si="60"/>
        <v>0.1209569914310889</v>
      </c>
      <c r="AJ122" s="548">
        <f t="shared" si="60"/>
        <v>0.53928185713448151</v>
      </c>
      <c r="AK122" s="549">
        <f t="shared" si="60"/>
        <v>-0.80172653134549055</v>
      </c>
      <c r="AL122" s="521"/>
      <c r="AM122" s="548">
        <f t="shared" si="61"/>
        <v>0.46813084068420646</v>
      </c>
      <c r="AN122" s="554"/>
      <c r="AO122" s="554"/>
      <c r="AP122" s="554"/>
    </row>
    <row r="123" spans="1:66" x14ac:dyDescent="0.35">
      <c r="AB123" s="547" t="str">
        <f t="shared" si="62"/>
        <v/>
      </c>
      <c r="AC123" s="548">
        <f t="shared" si="60"/>
        <v>-0.81255646832079786</v>
      </c>
      <c r="AD123" s="548">
        <f t="shared" si="60"/>
        <v>0.89754339822710238</v>
      </c>
      <c r="AE123" s="548">
        <f t="shared" si="60"/>
        <v>-0.30857193069969535</v>
      </c>
      <c r="AF123" s="548">
        <f t="shared" si="60"/>
        <v>1.2426070665037223</v>
      </c>
      <c r="AG123" s="548">
        <f t="shared" si="60"/>
        <v>-0.15473414370071015</v>
      </c>
      <c r="AH123" s="548">
        <f t="shared" si="60"/>
        <v>-1.2339802282896644</v>
      </c>
      <c r="AI123" s="548">
        <f t="shared" si="60"/>
        <v>1.7736090860339913</v>
      </c>
      <c r="AJ123" s="548">
        <f t="shared" si="60"/>
        <v>-0.81693112023929115</v>
      </c>
      <c r="AK123" s="549">
        <f t="shared" si="60"/>
        <v>-0.68782821418591933</v>
      </c>
      <c r="AL123" s="521"/>
      <c r="AM123" s="548">
        <f t="shared" si="61"/>
        <v>0.99310492006625495</v>
      </c>
      <c r="AN123" s="554"/>
      <c r="AO123" s="554"/>
      <c r="AP123" s="554"/>
    </row>
    <row r="124" spans="1:66" x14ac:dyDescent="0.35">
      <c r="AB124" s="547">
        <f t="shared" si="62"/>
        <v>-0.67905143528852652</v>
      </c>
      <c r="AC124" s="548">
        <f t="shared" si="60"/>
        <v>0.92592552252369675</v>
      </c>
      <c r="AD124" s="548">
        <f t="shared" si="60"/>
        <v>1.037680451357549</v>
      </c>
      <c r="AE124" s="548">
        <f t="shared" si="60"/>
        <v>-0.10168027424443879</v>
      </c>
      <c r="AF124" s="548">
        <f t="shared" si="60"/>
        <v>5.0031096445163785E-2</v>
      </c>
      <c r="AG124" s="548">
        <f t="shared" si="60"/>
        <v>5.0031096445163785E-2</v>
      </c>
      <c r="AH124" s="548">
        <f t="shared" si="60"/>
        <v>-1.0661967796261267</v>
      </c>
      <c r="AI124" s="548">
        <f t="shared" si="60"/>
        <v>0.55755710040018958</v>
      </c>
      <c r="AJ124" s="548">
        <f t="shared" si="60"/>
        <v>-0.70752055724199181</v>
      </c>
      <c r="AK124" s="549">
        <f t="shared" si="60"/>
        <v>-0.59611716587589259</v>
      </c>
      <c r="AL124" s="521"/>
      <c r="AM124" s="548">
        <f t="shared" si="61"/>
        <v>0.47141612510149455</v>
      </c>
      <c r="AN124" s="554"/>
      <c r="AO124" s="554"/>
      <c r="AP124" s="554"/>
    </row>
    <row r="125" spans="1:66" x14ac:dyDescent="0.35">
      <c r="AB125" s="547">
        <f t="shared" si="62"/>
        <v>-0.52406994645243588</v>
      </c>
      <c r="AC125" s="548">
        <f t="shared" si="60"/>
        <v>-0.43195223577914715</v>
      </c>
      <c r="AD125" s="548">
        <f t="shared" si="60"/>
        <v>-0.26629001549105485</v>
      </c>
      <c r="AE125" s="548">
        <f t="shared" si="60"/>
        <v>1.4294588207968708</v>
      </c>
      <c r="AF125" s="548">
        <f t="shared" si="60"/>
        <v>-1.2095725995264572</v>
      </c>
      <c r="AG125" s="548">
        <f t="shared" si="60"/>
        <v>1.5948176917643579</v>
      </c>
      <c r="AH125" s="548">
        <f t="shared" si="60"/>
        <v>0.52240330934751267</v>
      </c>
      <c r="AI125" s="548">
        <f t="shared" si="60"/>
        <v>-0.85169705850930932</v>
      </c>
      <c r="AJ125" s="548">
        <f t="shared" si="60"/>
        <v>-0.64050940999195227</v>
      </c>
      <c r="AK125" s="549">
        <f t="shared" si="60"/>
        <v>-0.5398564039024315</v>
      </c>
      <c r="AL125" s="521"/>
      <c r="AM125" s="548">
        <f t="shared" si="61"/>
        <v>0.82819946171766023</v>
      </c>
      <c r="AN125" s="554"/>
      <c r="AO125" s="554"/>
      <c r="AP125" s="554"/>
    </row>
    <row r="126" spans="1:66" x14ac:dyDescent="0.35">
      <c r="AB126" s="547">
        <f t="shared" si="62"/>
        <v>1.0685316557298155</v>
      </c>
      <c r="AC126" s="548">
        <f t="shared" si="60"/>
        <v>1.136970101684208</v>
      </c>
      <c r="AD126" s="548">
        <f t="shared" si="60"/>
        <v>-0.11818421575611894</v>
      </c>
      <c r="AE126" s="548">
        <f t="shared" si="60"/>
        <v>0.18756480058724778</v>
      </c>
      <c r="AF126" s="548">
        <f t="shared" si="60"/>
        <v>-1.0892162321514494</v>
      </c>
      <c r="AG126" s="548">
        <f t="shared" si="60"/>
        <v>-1.0892162321514494</v>
      </c>
      <c r="AH126" s="548">
        <f t="shared" si="60"/>
        <v>0.68247464507469258</v>
      </c>
      <c r="AI126" s="548">
        <f t="shared" si="60"/>
        <v>-0.76808747300939195</v>
      </c>
      <c r="AJ126" s="548">
        <f t="shared" si="60"/>
        <v>-0.57810803191312066</v>
      </c>
      <c r="AK126" s="549">
        <f t="shared" si="60"/>
        <v>-0.48740638911842915</v>
      </c>
      <c r="AL126" s="521"/>
      <c r="AM126" s="548">
        <f t="shared" si="61"/>
        <v>0.64838968675378306</v>
      </c>
      <c r="AN126" s="554"/>
      <c r="AO126" s="554"/>
      <c r="AP126" s="554"/>
    </row>
    <row r="127" spans="1:66" x14ac:dyDescent="0.35">
      <c r="AB127" s="547">
        <f t="shared" si="62"/>
        <v>-0.21229102840321079</v>
      </c>
      <c r="AC127" s="548">
        <f t="shared" si="60"/>
        <v>1.2695943136088215</v>
      </c>
      <c r="AD127" s="548">
        <f t="shared" si="60"/>
        <v>-1.3529485668026719</v>
      </c>
      <c r="AE127" s="548">
        <f t="shared" si="60"/>
        <v>0.34455245642816934</v>
      </c>
      <c r="AF127" s="548">
        <f t="shared" si="60"/>
        <v>0.50329726006048403</v>
      </c>
      <c r="AG127" s="548">
        <f t="shared" si="60"/>
        <v>-0.97612737184749243</v>
      </c>
      <c r="AH127" s="548">
        <f t="shared" si="60"/>
        <v>-0.77933617222660478</v>
      </c>
      <c r="AI127" s="548">
        <f t="shared" si="60"/>
        <v>-0.68932528307254348</v>
      </c>
      <c r="AJ127" s="548">
        <f t="shared" si="60"/>
        <v>1.6350950553593839</v>
      </c>
      <c r="AK127" s="549">
        <f t="shared" si="60"/>
        <v>-0.43783559485050694</v>
      </c>
      <c r="AL127" s="521"/>
      <c r="AM127" s="548">
        <f t="shared" si="61"/>
        <v>0.87600262629893833</v>
      </c>
      <c r="AN127" s="554"/>
      <c r="AO127" s="554"/>
      <c r="AP127" s="554"/>
    </row>
    <row r="128" spans="1:66" x14ac:dyDescent="0.35">
      <c r="AB128" s="547">
        <f t="shared" si="62"/>
        <v>-4.6704058873820599E-2</v>
      </c>
      <c r="AC128" s="548">
        <f t="shared" si="60"/>
        <v>-1.3487725624897624</v>
      </c>
      <c r="AD128" s="548">
        <f t="shared" si="60"/>
        <v>0.20146578403893015</v>
      </c>
      <c r="AE128" s="548">
        <f t="shared" si="60"/>
        <v>-0.96706101794089228</v>
      </c>
      <c r="AF128" s="548">
        <f t="shared" si="60"/>
        <v>0.68276009419165484</v>
      </c>
      <c r="AG128" s="548">
        <f t="shared" si="60"/>
        <v>-0.86861003180081187</v>
      </c>
      <c r="AH128" s="548">
        <f t="shared" si="60"/>
        <v>1.0592015938453918</v>
      </c>
      <c r="AI128" s="548">
        <f t="shared" si="60"/>
        <v>-0.61421280957678437</v>
      </c>
      <c r="AJ128" s="548">
        <f t="shared" si="60"/>
        <v>1.8993378857038283</v>
      </c>
      <c r="AK128" s="549">
        <f t="shared" si="60"/>
        <v>-0.39042290369587968</v>
      </c>
      <c r="AL128" s="521"/>
      <c r="AM128" s="548">
        <f t="shared" si="61"/>
        <v>0.92768887422184265</v>
      </c>
      <c r="AN128" s="554"/>
      <c r="AO128" s="554"/>
      <c r="AP128" s="554"/>
    </row>
    <row r="129" spans="27:42" x14ac:dyDescent="0.35">
      <c r="AB129" s="550">
        <f t="shared" si="62"/>
        <v>0.13295743816348479</v>
      </c>
      <c r="AC129" s="551">
        <f t="shared" si="60"/>
        <v>0.22067913935375497</v>
      </c>
      <c r="AD129" s="551">
        <f t="shared" si="60"/>
        <v>-1.0573883494407319</v>
      </c>
      <c r="AE129" s="551">
        <f t="shared" si="60"/>
        <v>0.7139649307391327</v>
      </c>
      <c r="AF129" s="551">
        <f t="shared" si="60"/>
        <v>-0.76538427138619014</v>
      </c>
      <c r="AG129" s="551">
        <f t="shared" si="60"/>
        <v>-0.76538427138619014</v>
      </c>
      <c r="AH129" s="551">
        <f t="shared" si="60"/>
        <v>-0.61217361292204076</v>
      </c>
      <c r="AI129" s="551">
        <f t="shared" si="60"/>
        <v>-0.54185677310525038</v>
      </c>
      <c r="AJ129" s="551">
        <f t="shared" si="60"/>
        <v>-0.40854025365551461</v>
      </c>
      <c r="AK129" s="552">
        <f t="shared" si="60"/>
        <v>2.7049312648007744</v>
      </c>
      <c r="AL129" s="521"/>
      <c r="AM129" s="548">
        <f t="shared" si="61"/>
        <v>1.1017742753609667</v>
      </c>
      <c r="AN129" s="554"/>
      <c r="AO129" s="554"/>
      <c r="AP129" s="554"/>
    </row>
    <row r="130" spans="27:42" x14ac:dyDescent="0.35">
      <c r="AL130" s="554"/>
      <c r="AM130" s="554"/>
      <c r="AN130" s="554"/>
      <c r="AO130" s="554"/>
      <c r="AP130" s="554"/>
    </row>
    <row r="131" spans="27:42" x14ac:dyDescent="0.35">
      <c r="AA131" t="s">
        <v>939</v>
      </c>
      <c r="AB131" s="548">
        <f>SUMSQ(AB121:AB129)/COUNT(AB121:AB129)</f>
        <v>0.32228973918809362</v>
      </c>
      <c r="AC131" s="548">
        <f t="shared" ref="AC131:AK131" si="63">SUMSQ(AC121:AC129)/COUNT(AC121:AC129)</f>
        <v>0.87561714629666132</v>
      </c>
      <c r="AD131" s="548">
        <f t="shared" si="63"/>
        <v>0.65061929636850957</v>
      </c>
      <c r="AE131" s="548">
        <f t="shared" si="63"/>
        <v>0.57828689675668399</v>
      </c>
      <c r="AF131" s="548">
        <f t="shared" si="63"/>
        <v>0.69170781824608207</v>
      </c>
      <c r="AG131" s="548">
        <f t="shared" si="63"/>
        <v>0.86242575159724466</v>
      </c>
      <c r="AH131" s="548">
        <f t="shared" si="63"/>
        <v>0.71307136350660605</v>
      </c>
      <c r="AI131" s="548">
        <f t="shared" si="63"/>
        <v>0.67295213407497456</v>
      </c>
      <c r="AJ131" s="548">
        <f t="shared" si="63"/>
        <v>1.1585421725836005</v>
      </c>
      <c r="AK131" s="548">
        <f t="shared" si="63"/>
        <v>1.0837302102266833</v>
      </c>
      <c r="AM131" s="554"/>
      <c r="AN131" s="554"/>
      <c r="AO131" s="554"/>
      <c r="AP131" s="554"/>
    </row>
    <row r="132" spans="27:42" x14ac:dyDescent="0.35">
      <c r="AM132" s="554"/>
      <c r="AN132" s="554"/>
      <c r="AO132" s="554"/>
      <c r="AP132" s="554"/>
    </row>
    <row r="133" spans="27:42" x14ac:dyDescent="0.35">
      <c r="AM133" s="554"/>
      <c r="AN133" s="554"/>
      <c r="AO133" s="554"/>
      <c r="AP133" s="554"/>
    </row>
    <row r="134" spans="27:42" x14ac:dyDescent="0.35">
      <c r="AM134" s="554"/>
      <c r="AN134" s="554"/>
      <c r="AO134" s="554"/>
      <c r="AP134" s="554"/>
    </row>
    <row r="135" spans="27:42" x14ac:dyDescent="0.35">
      <c r="AM135" s="554"/>
      <c r="AN135" s="554"/>
      <c r="AO135" s="554"/>
      <c r="AP135" s="554"/>
    </row>
    <row r="136" spans="27:42" x14ac:dyDescent="0.35">
      <c r="AM136" s="554"/>
      <c r="AN136" s="554"/>
      <c r="AO136" s="554"/>
      <c r="AP136" s="554"/>
    </row>
    <row r="137" spans="27:42" x14ac:dyDescent="0.35">
      <c r="AM137" s="554"/>
      <c r="AN137" s="554"/>
      <c r="AO137" s="554"/>
      <c r="AP137" s="554"/>
    </row>
    <row r="138" spans="27:42" x14ac:dyDescent="0.35">
      <c r="AM138" s="554"/>
      <c r="AN138" s="554"/>
      <c r="AO138" s="554"/>
      <c r="AP138" s="554"/>
    </row>
    <row r="139" spans="27:42" x14ac:dyDescent="0.35">
      <c r="AM139" s="554"/>
      <c r="AN139" s="554"/>
      <c r="AO139" s="554"/>
      <c r="AP139" s="554"/>
    </row>
  </sheetData>
  <mergeCells count="7">
    <mergeCell ref="F80:O80"/>
    <mergeCell ref="Q80:Z80"/>
    <mergeCell ref="B3:K3"/>
    <mergeCell ref="F20:O20"/>
    <mergeCell ref="Q20:Z20"/>
    <mergeCell ref="F50:O50"/>
    <mergeCell ref="Q50:Z5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93</vt:i4>
      </vt:variant>
    </vt:vector>
  </HeadingPairs>
  <TitlesOfParts>
    <vt:vector size="93" baseType="lpstr">
      <vt:lpstr>TOC0</vt:lpstr>
      <vt:lpstr>TOC</vt:lpstr>
      <vt:lpstr>Cov</vt:lpstr>
      <vt:lpstr>Corr</vt:lpstr>
      <vt:lpstr>Corr A</vt:lpstr>
      <vt:lpstr>Corr B</vt:lpstr>
      <vt:lpstr>Scatter</vt:lpstr>
      <vt:lpstr>Scatter 1</vt:lpstr>
      <vt:lpstr>Scatter 2</vt:lpstr>
      <vt:lpstr>Corr 0</vt:lpstr>
      <vt:lpstr>Corr 0a</vt:lpstr>
      <vt:lpstr>Corr 0b</vt:lpstr>
      <vt:lpstr>Corr 1</vt:lpstr>
      <vt:lpstr>Corr 1a</vt:lpstr>
      <vt:lpstr>Corr 2</vt:lpstr>
      <vt:lpstr>Corr 3</vt:lpstr>
      <vt:lpstr>Corr 3a</vt:lpstr>
      <vt:lpstr>Corr 3b</vt:lpstr>
      <vt:lpstr>Corr 4</vt:lpstr>
      <vt:lpstr>Corr 5</vt:lpstr>
      <vt:lpstr>Corr Power</vt:lpstr>
      <vt:lpstr>2 Corr</vt:lpstr>
      <vt:lpstr>2 Corr Dep 1</vt:lpstr>
      <vt:lpstr>2 Corr Dep 2</vt:lpstr>
      <vt:lpstr>2 Corr Dep 3</vt:lpstr>
      <vt:lpstr>Corr and T</vt:lpstr>
      <vt:lpstr>Corr and Chi-sq</vt:lpstr>
      <vt:lpstr>Biserial</vt:lpstr>
      <vt:lpstr>Spearman Rho 1</vt:lpstr>
      <vt:lpstr>Spearman Rho 1a</vt:lpstr>
      <vt:lpstr>Spearman Rho 2</vt:lpstr>
      <vt:lpstr>Spearman Rho 2a</vt:lpstr>
      <vt:lpstr>Spearman Rho 3</vt:lpstr>
      <vt:lpstr>Kendall's Tau</vt:lpstr>
      <vt:lpstr>Kendall Tau 1</vt:lpstr>
      <vt:lpstr>Kendall Tau 2</vt:lpstr>
      <vt:lpstr>Kendall Tau 3</vt:lpstr>
      <vt:lpstr>Box-Cox 1</vt:lpstr>
      <vt:lpstr>Box-Cox 2</vt:lpstr>
      <vt:lpstr>Box-Cox 3</vt:lpstr>
      <vt:lpstr>Polychoric 1</vt:lpstr>
      <vt:lpstr>Polychoric 2</vt:lpstr>
      <vt:lpstr>Polychoric 3</vt:lpstr>
      <vt:lpstr>Polychoric 4</vt:lpstr>
      <vt:lpstr>Polychoric 5</vt:lpstr>
      <vt:lpstr>OChisq</vt:lpstr>
      <vt:lpstr>OChiSq 1</vt:lpstr>
      <vt:lpstr>OChisq 2</vt:lpstr>
      <vt:lpstr>Pearson Table</vt:lpstr>
      <vt:lpstr>Sp Rho Table</vt:lpstr>
      <vt:lpstr>Ken Tau Table</vt:lpstr>
      <vt:lpstr>Split-half</vt:lpstr>
      <vt:lpstr>Split-half 1</vt:lpstr>
      <vt:lpstr>Split-half 2</vt:lpstr>
      <vt:lpstr>Split-half 3</vt:lpstr>
      <vt:lpstr>Split-half 4</vt:lpstr>
      <vt:lpstr>KRF20</vt:lpstr>
      <vt:lpstr>Cronbach</vt:lpstr>
      <vt:lpstr>Cronbach 1</vt:lpstr>
      <vt:lpstr>Cronbach 2</vt:lpstr>
      <vt:lpstr>Cronbach 3</vt:lpstr>
      <vt:lpstr>Cronbach 4</vt:lpstr>
      <vt:lpstr>Cronbach 5</vt:lpstr>
      <vt:lpstr>Kappa</vt:lpstr>
      <vt:lpstr> Kappa A</vt:lpstr>
      <vt:lpstr>Kappa 0</vt:lpstr>
      <vt:lpstr>Kappa 1</vt:lpstr>
      <vt:lpstr>FKappa</vt:lpstr>
      <vt:lpstr>Kendall W</vt:lpstr>
      <vt:lpstr>Kendall W 1</vt:lpstr>
      <vt:lpstr>Krip cat</vt:lpstr>
      <vt:lpstr>Krip ser</vt:lpstr>
      <vt:lpstr>Krip ord</vt:lpstr>
      <vt:lpstr>Krip int</vt:lpstr>
      <vt:lpstr>Krip ratio</vt:lpstr>
      <vt:lpstr>K rating</vt:lpstr>
      <vt:lpstr>K summary</vt:lpstr>
      <vt:lpstr>Gwet cat</vt:lpstr>
      <vt:lpstr>Gwet int</vt:lpstr>
      <vt:lpstr>Gwet</vt:lpstr>
      <vt:lpstr>Bland</vt:lpstr>
      <vt:lpstr>Bland 1</vt:lpstr>
      <vt:lpstr>Lin</vt:lpstr>
      <vt:lpstr>Item</vt:lpstr>
      <vt:lpstr>Rasch A</vt:lpstr>
      <vt:lpstr>Rasch B</vt:lpstr>
      <vt:lpstr>Rasch C</vt:lpstr>
      <vt:lpstr>Rasch D</vt:lpstr>
      <vt:lpstr>Rasch E</vt:lpstr>
      <vt:lpstr>Rasch F</vt:lpstr>
      <vt:lpstr>Rasch G</vt:lpstr>
      <vt:lpstr>PROX</vt:lpstr>
      <vt:lpstr>UCON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user</cp:lastModifiedBy>
  <cp:lastPrinted>2015-05-22T15:20:10Z</cp:lastPrinted>
  <dcterms:created xsi:type="dcterms:W3CDTF">2011-12-03T11:22:59Z</dcterms:created>
  <dcterms:modified xsi:type="dcterms:W3CDTF">2020-09-03T07:05:27Z</dcterms:modified>
</cp:coreProperties>
</file>