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 Real Statistics 2019\Examples\"/>
    </mc:Choice>
  </mc:AlternateContent>
  <xr:revisionPtr revIDLastSave="0" documentId="8_{E57BCBBD-EB8A-444D-A35C-D79265696A20}" xr6:coauthVersionLast="45" xr6:coauthVersionMax="45" xr10:uidLastSave="{00000000-0000-0000-0000-000000000000}"/>
  <bookViews>
    <workbookView xWindow="-110" yWindow="-110" windowWidth="19420" windowHeight="10420" tabRatio="805" xr2:uid="{00000000-000D-0000-FFFF-FFFF00000000}"/>
  </bookViews>
  <sheets>
    <sheet name="TOC0" sheetId="405" r:id="rId1"/>
    <sheet name="TOC" sheetId="1" r:id="rId2"/>
    <sheet name="Norm Histogram" sheetId="765" r:id="rId3"/>
    <sheet name="Norm QQ Plot 1" sheetId="766" r:id="rId4"/>
    <sheet name="Norm QQ Plot 2" sheetId="767" r:id="rId5"/>
    <sheet name="Norm Box Plot" sheetId="768" r:id="rId6"/>
    <sheet name="Log Trans" sheetId="769" r:id="rId7"/>
    <sheet name="Norm Chi-sq 1" sheetId="770" r:id="rId8"/>
    <sheet name="Norm Chi-sq 2" sheetId="771" r:id="rId9"/>
    <sheet name="KS A" sheetId="772" r:id="rId10"/>
    <sheet name="KS B" sheetId="773" r:id="rId11"/>
    <sheet name="Lil" sheetId="774" r:id="rId12"/>
    <sheet name="Lil 1" sheetId="822" r:id="rId13"/>
    <sheet name="SW 1" sheetId="776" r:id="rId14"/>
    <sheet name="SW 2" sheetId="777" r:id="rId15"/>
    <sheet name="SW 3" sheetId="778" r:id="rId16"/>
    <sheet name="SW 4" sheetId="779" r:id="rId17"/>
    <sheet name="DAgost" sheetId="814" r:id="rId18"/>
    <sheet name="KS 1" sheetId="815" r:id="rId19"/>
    <sheet name="KS 2" sheetId="816" r:id="rId20"/>
    <sheet name="KS 3" sheetId="817" r:id="rId21"/>
    <sheet name="AD 1" sheetId="818" r:id="rId22"/>
    <sheet name="AD 2" sheetId="819" r:id="rId23"/>
    <sheet name="AD 3" sheetId="820" r:id="rId24"/>
    <sheet name="AD2 1" sheetId="824" r:id="rId25"/>
    <sheet name="AD2 2" sheetId="826" r:id="rId26"/>
    <sheet name="AD2 2a" sheetId="825" r:id="rId27"/>
    <sheet name="GOF" sheetId="821" r:id="rId28"/>
    <sheet name="KS Table" sheetId="39" r:id="rId29"/>
    <sheet name="KS Table 1" sheetId="545" r:id="rId30"/>
    <sheet name="KS2 Table" sheetId="754" r:id="rId31"/>
    <sheet name="Lill Table" sheetId="646" r:id="rId32"/>
    <sheet name="Lill Table 1" sheetId="647" r:id="rId33"/>
    <sheet name="SW Table" sheetId="40" r:id="rId34"/>
    <sheet name="SW Table Formatted" sheetId="389" r:id="rId35"/>
    <sheet name="AD Table" sheetId="780" r:id="rId36"/>
    <sheet name="AD2 Table" sheetId="823" r:id="rId37"/>
  </sheets>
  <definedNames>
    <definedName name="DataRange">#REF!</definedName>
    <definedName name="DataRange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9" i="821" l="1"/>
  <c r="G19" i="821"/>
  <c r="O17" i="821"/>
  <c r="G17" i="821"/>
  <c r="AE7" i="821" a="1"/>
  <c r="AB11" i="821"/>
  <c r="AB8" i="821"/>
  <c r="AB7" i="821"/>
  <c r="AB7" i="821" a="1"/>
  <c r="AC10" i="821" s="1"/>
  <c r="Y7" i="821" a="1"/>
  <c r="Z11" i="821" s="1"/>
  <c r="U13" i="821"/>
  <c r="U12" i="821"/>
  <c r="U9" i="821"/>
  <c r="U8" i="821"/>
  <c r="U7" i="821" a="1"/>
  <c r="V11" i="821" s="1"/>
  <c r="S7" i="821"/>
  <c r="R7" i="821" a="1"/>
  <c r="R11" i="821" s="1"/>
  <c r="N10" i="821"/>
  <c r="N5" i="821" a="1"/>
  <c r="O8" i="821" s="1"/>
  <c r="F5" i="821" a="1"/>
  <c r="G8" i="821" s="1"/>
  <c r="J10" i="825"/>
  <c r="I5" i="825" a="1"/>
  <c r="I10" i="825" s="1"/>
  <c r="G64" i="825"/>
  <c r="G58" i="825"/>
  <c r="G32" i="825"/>
  <c r="G26" i="825"/>
  <c r="G5" i="825" a="1"/>
  <c r="G63" i="825" s="1"/>
  <c r="E83" i="825"/>
  <c r="E81" i="825"/>
  <c r="E75" i="825"/>
  <c r="E57" i="825"/>
  <c r="E51" i="825"/>
  <c r="E49" i="825"/>
  <c r="E43" i="825"/>
  <c r="E25" i="825"/>
  <c r="E19" i="825"/>
  <c r="E17" i="825"/>
  <c r="E11" i="825"/>
  <c r="E5" i="825" a="1"/>
  <c r="E80" i="825" s="1"/>
  <c r="J9" i="826"/>
  <c r="J8" i="826"/>
  <c r="M12" i="826"/>
  <c r="L10" i="826"/>
  <c r="M9" i="826"/>
  <c r="M8" i="826"/>
  <c r="L7" i="826" a="1"/>
  <c r="L12" i="826" s="1"/>
  <c r="AB16" i="824"/>
  <c r="Z16" i="824"/>
  <c r="AB15" i="824"/>
  <c r="Z15" i="824"/>
  <c r="AB14" i="824"/>
  <c r="Z14" i="824"/>
  <c r="AB6" i="824" a="1"/>
  <c r="AC8" i="824" s="1"/>
  <c r="Z11" i="824"/>
  <c r="Z7" i="824"/>
  <c r="Y6" i="824" a="1"/>
  <c r="Y11" i="824" s="1"/>
  <c r="W4" i="824" a="1"/>
  <c r="W6" i="824" s="1"/>
  <c r="N9" i="824"/>
  <c r="N7" i="824"/>
  <c r="N4" i="824" a="1"/>
  <c r="N6" i="824" s="1"/>
  <c r="F10" i="824"/>
  <c r="F8" i="824"/>
  <c r="F4" i="824"/>
  <c r="F4" i="824" a="1"/>
  <c r="F15" i="824" s="1"/>
  <c r="M11" i="820"/>
  <c r="K11" i="820"/>
  <c r="M10" i="820"/>
  <c r="K10" i="820"/>
  <c r="M9" i="820"/>
  <c r="K9" i="820"/>
  <c r="H9" i="820"/>
  <c r="F11" i="820"/>
  <c r="F10" i="820"/>
  <c r="E9" i="820" a="1"/>
  <c r="F9" i="820" s="1"/>
  <c r="P9" i="820"/>
  <c r="O9" i="820"/>
  <c r="P8" i="820"/>
  <c r="O8" i="820"/>
  <c r="O7" i="820" a="1"/>
  <c r="O7" i="820" s="1"/>
  <c r="H4" i="820"/>
  <c r="E6" i="820"/>
  <c r="F5" i="820"/>
  <c r="F4" i="820"/>
  <c r="E4" i="820" a="1"/>
  <c r="E4" i="820" s="1"/>
  <c r="R3" i="820" a="1"/>
  <c r="S5" i="820" s="1"/>
  <c r="S12" i="819"/>
  <c r="R12" i="819" a="1"/>
  <c r="S14" i="819" s="1"/>
  <c r="O12" i="819" a="1"/>
  <c r="P14" i="819" s="1"/>
  <c r="H11" i="819"/>
  <c r="F11" i="819"/>
  <c r="H10" i="819"/>
  <c r="F10" i="819"/>
  <c r="F9" i="819"/>
  <c r="O8" i="819" a="1"/>
  <c r="P8" i="819" s="1"/>
  <c r="H6" i="819"/>
  <c r="N36" i="818"/>
  <c r="M36" i="818"/>
  <c r="M35" i="818"/>
  <c r="M34" i="818" a="1"/>
  <c r="N34" i="818" s="1"/>
  <c r="I34" i="818"/>
  <c r="G34" i="818"/>
  <c r="I33" i="818"/>
  <c r="G33" i="818"/>
  <c r="I32" i="818"/>
  <c r="G32" i="818"/>
  <c r="I28" i="818"/>
  <c r="G29" i="818"/>
  <c r="F29" i="818"/>
  <c r="F28" i="818"/>
  <c r="F28" i="818" a="1"/>
  <c r="G28" i="818" s="1"/>
  <c r="L22" i="818"/>
  <c r="L21" i="818"/>
  <c r="I20" i="818"/>
  <c r="I14" i="818"/>
  <c r="I13" i="818"/>
  <c r="I12" i="818"/>
  <c r="I10" i="818"/>
  <c r="R9" i="818" a="1"/>
  <c r="R16" i="818" s="1"/>
  <c r="I9" i="818"/>
  <c r="I8" i="818"/>
  <c r="I7" i="818"/>
  <c r="O6" i="818"/>
  <c r="O5" i="818"/>
  <c r="I5" i="818"/>
  <c r="I4" i="818"/>
  <c r="I3" i="818"/>
  <c r="M7" i="817" a="1"/>
  <c r="N11" i="817" s="1"/>
  <c r="E7" i="817" a="1"/>
  <c r="I25" i="816" a="1"/>
  <c r="J28" i="816" s="1"/>
  <c r="G23" i="816"/>
  <c r="F21" i="816" a="1"/>
  <c r="F22" i="816" s="1"/>
  <c r="R21" i="816"/>
  <c r="S20" i="816"/>
  <c r="S19" i="816"/>
  <c r="R19" i="816"/>
  <c r="R18" i="816"/>
  <c r="R18" i="816" a="1"/>
  <c r="R20" i="816" s="1"/>
  <c r="G18" i="816"/>
  <c r="S15" i="816"/>
  <c r="G15" i="816"/>
  <c r="S12" i="816"/>
  <c r="M10" i="816"/>
  <c r="M6" i="816"/>
  <c r="M4" i="816" a="1"/>
  <c r="M5" i="816" s="1"/>
  <c r="G24" i="815"/>
  <c r="G23" i="815"/>
  <c r="G21" i="815"/>
  <c r="H30" i="814"/>
  <c r="H28" i="814"/>
  <c r="H28" i="814" a="1"/>
  <c r="I29" i="814" s="1"/>
  <c r="F30" i="814"/>
  <c r="F29" i="814"/>
  <c r="E28" i="814" a="1"/>
  <c r="E29" i="814" s="1"/>
  <c r="H26" i="814"/>
  <c r="E26" i="814"/>
  <c r="M24" i="814"/>
  <c r="L24" i="814"/>
  <c r="M23" i="814"/>
  <c r="L23" i="814"/>
  <c r="M21" i="814"/>
  <c r="L21" i="814"/>
  <c r="M20" i="814"/>
  <c r="L20" i="814"/>
  <c r="H24" i="814"/>
  <c r="H22" i="814"/>
  <c r="H21" i="814"/>
  <c r="H20" i="814" a="1"/>
  <c r="I23" i="814" s="1"/>
  <c r="E20" i="814" a="1"/>
  <c r="E21" i="814" s="1"/>
  <c r="AD19" i="814"/>
  <c r="AB19" i="814"/>
  <c r="AD18" i="814"/>
  <c r="AB18" i="814"/>
  <c r="Y18" i="814"/>
  <c r="V18" i="814" a="1"/>
  <c r="W21" i="814" s="1"/>
  <c r="T18" i="814"/>
  <c r="R23" i="814"/>
  <c r="Q18" i="814" a="1"/>
  <c r="Q23" i="814" s="1"/>
  <c r="H18" i="814"/>
  <c r="E18" i="814"/>
  <c r="AD11" i="814"/>
  <c r="AB11" i="814"/>
  <c r="AD10" i="814"/>
  <c r="AB10" i="814"/>
  <c r="Y10" i="814"/>
  <c r="T10" i="814"/>
  <c r="Y9" i="814"/>
  <c r="T9" i="814"/>
  <c r="Y8" i="814"/>
  <c r="T8" i="814"/>
  <c r="AD5" i="814"/>
  <c r="Y5" i="814"/>
  <c r="T5" i="814"/>
  <c r="H23" i="779"/>
  <c r="G23" i="779"/>
  <c r="F23" i="779"/>
  <c r="H22" i="779"/>
  <c r="G22" i="779"/>
  <c r="F22" i="779"/>
  <c r="AJ14" i="779"/>
  <c r="R14" i="779"/>
  <c r="Q14" i="779"/>
  <c r="P14" i="779"/>
  <c r="AJ13" i="779"/>
  <c r="R13" i="779"/>
  <c r="Q13" i="779"/>
  <c r="P13" i="779"/>
  <c r="AJ7" i="779"/>
  <c r="R7" i="779"/>
  <c r="Q7" i="779"/>
  <c r="P7" i="779"/>
  <c r="AJ6" i="779"/>
  <c r="R6" i="779"/>
  <c r="Q6" i="779"/>
  <c r="P6" i="779"/>
  <c r="B18" i="778"/>
  <c r="B17" i="778"/>
  <c r="Q14" i="778"/>
  <c r="P14" i="778"/>
  <c r="O14" i="778"/>
  <c r="N14" i="778"/>
  <c r="M14" i="778"/>
  <c r="Q13" i="778"/>
  <c r="P13" i="778"/>
  <c r="O13" i="778"/>
  <c r="N13" i="778"/>
  <c r="M13" i="778"/>
  <c r="Q12" i="778"/>
  <c r="P12" i="778"/>
  <c r="O12" i="778"/>
  <c r="N12" i="778"/>
  <c r="M12" i="778"/>
  <c r="Q11" i="778"/>
  <c r="P11" i="778"/>
  <c r="O11" i="778"/>
  <c r="N11" i="778"/>
  <c r="M11" i="778"/>
  <c r="Q10" i="778"/>
  <c r="P10" i="778"/>
  <c r="O10" i="778"/>
  <c r="N10" i="778"/>
  <c r="M10" i="778"/>
  <c r="Q9" i="778"/>
  <c r="P9" i="778"/>
  <c r="O9" i="778"/>
  <c r="N9" i="778"/>
  <c r="M9" i="778"/>
  <c r="Q8" i="778"/>
  <c r="P8" i="778"/>
  <c r="O8" i="778"/>
  <c r="N8" i="778"/>
  <c r="M8" i="778"/>
  <c r="Q7" i="778"/>
  <c r="P7" i="778"/>
  <c r="O7" i="778"/>
  <c r="N7" i="778"/>
  <c r="M7" i="778"/>
  <c r="Q6" i="778"/>
  <c r="P6" i="778"/>
  <c r="O6" i="778"/>
  <c r="N6" i="778"/>
  <c r="M6" i="778"/>
  <c r="Q5" i="778"/>
  <c r="P5" i="778"/>
  <c r="O5" i="778"/>
  <c r="N5" i="778"/>
  <c r="M5" i="778"/>
  <c r="Q4" i="778"/>
  <c r="P4" i="778"/>
  <c r="O4" i="778"/>
  <c r="N4" i="778"/>
  <c r="M4" i="778"/>
  <c r="S3" i="778" a="1"/>
  <c r="S60" i="778" s="1"/>
  <c r="Q3" i="778"/>
  <c r="P3" i="778"/>
  <c r="O3" i="778"/>
  <c r="N3" i="778"/>
  <c r="M3" i="778"/>
  <c r="G3" i="778" a="1"/>
  <c r="H14" i="778" s="1"/>
  <c r="B45" i="777"/>
  <c r="D44" i="777"/>
  <c r="D41" i="777"/>
  <c r="D40" i="777"/>
  <c r="D39" i="777"/>
  <c r="D38" i="777"/>
  <c r="D37" i="777"/>
  <c r="D36" i="777"/>
  <c r="D35" i="777"/>
  <c r="D34" i="777"/>
  <c r="D33" i="777"/>
  <c r="D32" i="777"/>
  <c r="D31" i="777"/>
  <c r="D30" i="777"/>
  <c r="D29" i="777"/>
  <c r="D28" i="777"/>
  <c r="D27" i="777"/>
  <c r="C41" i="777"/>
  <c r="C27" i="777" a="1"/>
  <c r="C40" i="777" s="1"/>
  <c r="K7" i="777"/>
  <c r="R6" i="777"/>
  <c r="K6" i="777"/>
  <c r="R5" i="777"/>
  <c r="K5" i="777"/>
  <c r="G21" i="776"/>
  <c r="E21" i="776"/>
  <c r="G20" i="776"/>
  <c r="E20" i="776"/>
  <c r="M18" i="776"/>
  <c r="M17" i="776"/>
  <c r="O15" i="776"/>
  <c r="O14" i="776"/>
  <c r="O13" i="776"/>
  <c r="O12" i="776"/>
  <c r="O11" i="776"/>
  <c r="O10" i="776"/>
  <c r="O9" i="776"/>
  <c r="O8" i="776"/>
  <c r="O7" i="776"/>
  <c r="O6" i="776"/>
  <c r="O5" i="776"/>
  <c r="T13" i="776"/>
  <c r="T10" i="776"/>
  <c r="T7" i="776"/>
  <c r="T5" i="776"/>
  <c r="T4" i="776" a="1"/>
  <c r="T12" i="776" s="1"/>
  <c r="O4" i="776"/>
  <c r="N4" i="776" a="1"/>
  <c r="N10" i="776" s="1"/>
  <c r="B13" i="776"/>
  <c r="B10" i="776"/>
  <c r="B4" i="776" a="1"/>
  <c r="B15" i="776" s="1"/>
  <c r="AA14" i="822"/>
  <c r="Y14" i="822"/>
  <c r="V14" i="822"/>
  <c r="T14" i="822"/>
  <c r="AA13" i="822"/>
  <c r="Y13" i="822"/>
  <c r="V13" i="822"/>
  <c r="T13" i="822"/>
  <c r="V11" i="822"/>
  <c r="V10" i="822"/>
  <c r="F10" i="822"/>
  <c r="D10" i="822"/>
  <c r="F9" i="822"/>
  <c r="D9" i="822"/>
  <c r="AA8" i="822"/>
  <c r="Y8" i="822"/>
  <c r="V8" i="822"/>
  <c r="T8" i="822"/>
  <c r="AA7" i="822"/>
  <c r="Y7" i="822"/>
  <c r="V7" i="822"/>
  <c r="T7" i="822"/>
  <c r="N6" i="822"/>
  <c r="L6" i="822"/>
  <c r="V5" i="822"/>
  <c r="F5" i="822"/>
  <c r="D5" i="822"/>
  <c r="V4" i="822"/>
  <c r="N4" i="822"/>
  <c r="L4" i="822"/>
  <c r="F4" i="822"/>
  <c r="D4" i="822"/>
  <c r="N3" i="822"/>
  <c r="L3" i="822"/>
  <c r="G16" i="774"/>
  <c r="D16" i="774"/>
  <c r="B16" i="774"/>
  <c r="G15" i="774"/>
  <c r="D15" i="774"/>
  <c r="B15" i="774"/>
  <c r="G14" i="774"/>
  <c r="D14" i="774"/>
  <c r="B14" i="774"/>
  <c r="G13" i="774"/>
  <c r="D13" i="774"/>
  <c r="B13" i="774"/>
  <c r="D9" i="774"/>
  <c r="D8" i="774"/>
  <c r="D6" i="774"/>
  <c r="D5" i="774"/>
  <c r="O3" i="774"/>
  <c r="L3" i="774" a="1"/>
  <c r="M4" i="774" s="1"/>
  <c r="B36" i="773" a="1"/>
  <c r="B47" i="773" s="1"/>
  <c r="P48" i="773"/>
  <c r="P34" i="773" a="1"/>
  <c r="P45" i="773" s="1"/>
  <c r="U24" i="773"/>
  <c r="R24" i="773"/>
  <c r="H24" i="773"/>
  <c r="U23" i="773"/>
  <c r="R23" i="773"/>
  <c r="H23" i="773"/>
  <c r="R21" i="773"/>
  <c r="H21" i="773"/>
  <c r="W4" i="773"/>
  <c r="T5" i="773"/>
  <c r="T4" i="773" a="1"/>
  <c r="U4" i="773" s="1"/>
  <c r="G22" i="772"/>
  <c r="G21" i="772"/>
  <c r="G19" i="772"/>
  <c r="G18" i="772"/>
  <c r="AH14" i="769"/>
  <c r="AE14" i="769"/>
  <c r="AH13" i="769"/>
  <c r="AE13" i="769"/>
  <c r="AH7" i="769"/>
  <c r="AE7" i="769"/>
  <c r="AH6" i="769"/>
  <c r="AE6" i="769"/>
  <c r="K27" i="768"/>
  <c r="I27" i="768"/>
  <c r="F27" i="768"/>
  <c r="D27" i="768"/>
  <c r="K26" i="768"/>
  <c r="I26" i="768"/>
  <c r="F26" i="768"/>
  <c r="D26" i="768"/>
  <c r="F23" i="768"/>
  <c r="I16" i="768"/>
  <c r="I15" i="768"/>
  <c r="D14" i="766"/>
  <c r="D10" i="766" a="1"/>
  <c r="D12" i="766" s="1"/>
  <c r="S29" i="778" l="1"/>
  <c r="W7" i="824"/>
  <c r="G34" i="825"/>
  <c r="G66" i="825"/>
  <c r="G9" i="821"/>
  <c r="S8" i="821"/>
  <c r="S23" i="778"/>
  <c r="M3" i="774"/>
  <c r="S25" i="778"/>
  <c r="F22" i="814"/>
  <c r="I26" i="816"/>
  <c r="O9" i="819"/>
  <c r="AC6" i="824"/>
  <c r="P35" i="773"/>
  <c r="B40" i="773"/>
  <c r="N5" i="776"/>
  <c r="T15" i="776"/>
  <c r="C27" i="777"/>
  <c r="S9" i="778"/>
  <c r="S31" i="778"/>
  <c r="S53" i="778"/>
  <c r="R22" i="816"/>
  <c r="J26" i="816"/>
  <c r="N9" i="817"/>
  <c r="F30" i="818"/>
  <c r="O10" i="819"/>
  <c r="O12" i="819"/>
  <c r="R4" i="820"/>
  <c r="F6" i="820"/>
  <c r="F12" i="824"/>
  <c r="W9" i="824"/>
  <c r="AB7" i="824"/>
  <c r="E27" i="825"/>
  <c r="E59" i="825"/>
  <c r="G8" i="825"/>
  <c r="G40" i="825"/>
  <c r="R10" i="821"/>
  <c r="S47" i="778"/>
  <c r="F21" i="814"/>
  <c r="I25" i="816"/>
  <c r="R3" i="820"/>
  <c r="S49" i="778"/>
  <c r="S3" i="820"/>
  <c r="P38" i="773"/>
  <c r="B42" i="773"/>
  <c r="N13" i="776"/>
  <c r="C30" i="777"/>
  <c r="S13" i="778"/>
  <c r="S33" i="778"/>
  <c r="S55" i="778"/>
  <c r="H20" i="814"/>
  <c r="S22" i="816"/>
  <c r="I27" i="816"/>
  <c r="M10" i="817"/>
  <c r="G30" i="818"/>
  <c r="P10" i="819"/>
  <c r="P12" i="819"/>
  <c r="S4" i="820"/>
  <c r="E10" i="820"/>
  <c r="F16" i="824"/>
  <c r="AB9" i="824"/>
  <c r="E33" i="825"/>
  <c r="E65" i="825"/>
  <c r="G10" i="825"/>
  <c r="G42" i="825"/>
  <c r="J6" i="825"/>
  <c r="N5" i="821"/>
  <c r="S11" i="821"/>
  <c r="Y8" i="821"/>
  <c r="S45" i="778"/>
  <c r="G5" i="821"/>
  <c r="B45" i="773"/>
  <c r="C33" i="777"/>
  <c r="S15" i="778"/>
  <c r="S37" i="778"/>
  <c r="S57" i="778"/>
  <c r="J27" i="816"/>
  <c r="O13" i="819"/>
  <c r="R5" i="820"/>
  <c r="F18" i="824"/>
  <c r="AB10" i="824"/>
  <c r="E35" i="825"/>
  <c r="E67" i="825"/>
  <c r="G16" i="825"/>
  <c r="G48" i="825"/>
  <c r="I7" i="825"/>
  <c r="N6" i="821"/>
  <c r="S12" i="821"/>
  <c r="Z8" i="821"/>
  <c r="M8" i="817"/>
  <c r="AB6" i="824"/>
  <c r="B37" i="773"/>
  <c r="P40" i="773"/>
  <c r="P43" i="773"/>
  <c r="B48" i="773"/>
  <c r="B5" i="776"/>
  <c r="C35" i="777"/>
  <c r="S17" i="778"/>
  <c r="S39" i="778"/>
  <c r="S61" i="778"/>
  <c r="R19" i="814"/>
  <c r="I21" i="814"/>
  <c r="M8" i="816"/>
  <c r="S18" i="816"/>
  <c r="G22" i="816"/>
  <c r="I29" i="816"/>
  <c r="R10" i="818"/>
  <c r="P7" i="820"/>
  <c r="E11" i="820"/>
  <c r="Z8" i="824"/>
  <c r="AC10" i="824"/>
  <c r="E9" i="825"/>
  <c r="E41" i="825"/>
  <c r="E73" i="825"/>
  <c r="G18" i="825"/>
  <c r="G50" i="825"/>
  <c r="I8" i="825"/>
  <c r="N9" i="821"/>
  <c r="Z9" i="821"/>
  <c r="S5" i="778"/>
  <c r="S7" i="778"/>
  <c r="M9" i="817"/>
  <c r="P46" i="773"/>
  <c r="B50" i="773"/>
  <c r="B8" i="776"/>
  <c r="C38" i="777"/>
  <c r="S21" i="778"/>
  <c r="S41" i="778"/>
  <c r="R20" i="814"/>
  <c r="R18" i="818"/>
  <c r="AB11" i="824"/>
  <c r="G24" i="825"/>
  <c r="G56" i="825"/>
  <c r="N11" i="776"/>
  <c r="G4" i="778"/>
  <c r="J5" i="778"/>
  <c r="H7" i="778"/>
  <c r="G11" i="778"/>
  <c r="K13" i="778"/>
  <c r="D13" i="766"/>
  <c r="U5" i="773"/>
  <c r="P39" i="773"/>
  <c r="P47" i="773"/>
  <c r="B41" i="773"/>
  <c r="B49" i="773"/>
  <c r="B9" i="776"/>
  <c r="N4" i="776"/>
  <c r="N12" i="776"/>
  <c r="T6" i="776"/>
  <c r="T14" i="776"/>
  <c r="C34" i="777"/>
  <c r="H4" i="778"/>
  <c r="K5" i="778"/>
  <c r="I7" i="778"/>
  <c r="H9" i="778"/>
  <c r="H11" i="778"/>
  <c r="K14" i="778"/>
  <c r="H13" i="778"/>
  <c r="J14" i="778"/>
  <c r="G13" i="778"/>
  <c r="I11" i="778"/>
  <c r="K9" i="778"/>
  <c r="G14" i="778"/>
  <c r="I12" i="778"/>
  <c r="J13" i="778"/>
  <c r="G12" i="778"/>
  <c r="I10" i="778"/>
  <c r="K8" i="778"/>
  <c r="G6" i="778"/>
  <c r="I9" i="778"/>
  <c r="I14" i="778"/>
  <c r="B43" i="773"/>
  <c r="B11" i="776"/>
  <c r="N6" i="776"/>
  <c r="N14" i="776"/>
  <c r="T8" i="776"/>
  <c r="C28" i="777"/>
  <c r="C36" i="777"/>
  <c r="G3" i="778"/>
  <c r="J4" i="778"/>
  <c r="H6" i="778"/>
  <c r="K7" i="778"/>
  <c r="J9" i="778"/>
  <c r="K11" i="778"/>
  <c r="AF9" i="821"/>
  <c r="AE9" i="821"/>
  <c r="AF8" i="821"/>
  <c r="AE8" i="821"/>
  <c r="AF11" i="821"/>
  <c r="AF7" i="821"/>
  <c r="AE11" i="821"/>
  <c r="AE7" i="821"/>
  <c r="AE10" i="821"/>
  <c r="I4" i="778"/>
  <c r="J7" i="778"/>
  <c r="J11" i="778"/>
  <c r="D15" i="766"/>
  <c r="P41" i="773"/>
  <c r="D16" i="766"/>
  <c r="P34" i="773"/>
  <c r="P42" i="773"/>
  <c r="B36" i="773"/>
  <c r="B44" i="773"/>
  <c r="L3" i="774"/>
  <c r="B4" i="776"/>
  <c r="B12" i="776"/>
  <c r="N7" i="776"/>
  <c r="N15" i="776"/>
  <c r="T9" i="776"/>
  <c r="C29" i="777"/>
  <c r="C37" i="777"/>
  <c r="H3" i="778"/>
  <c r="K4" i="778"/>
  <c r="I6" i="778"/>
  <c r="G8" i="778"/>
  <c r="G10" i="778"/>
  <c r="H12" i="778"/>
  <c r="AF10" i="821"/>
  <c r="D17" i="766"/>
  <c r="N8" i="776"/>
  <c r="G5" i="778"/>
  <c r="H8" i="778"/>
  <c r="J12" i="778"/>
  <c r="D10" i="766"/>
  <c r="T4" i="773"/>
  <c r="P36" i="773"/>
  <c r="P44" i="773"/>
  <c r="B38" i="773"/>
  <c r="B46" i="773"/>
  <c r="L4" i="774"/>
  <c r="B6" i="776"/>
  <c r="B14" i="776"/>
  <c r="N9" i="776"/>
  <c r="T11" i="776"/>
  <c r="C31" i="777"/>
  <c r="C39" i="777"/>
  <c r="J3" i="778"/>
  <c r="H5" i="778"/>
  <c r="K6" i="778"/>
  <c r="I8" i="778"/>
  <c r="J10" i="778"/>
  <c r="K12" i="778"/>
  <c r="F9" i="817"/>
  <c r="E9" i="817"/>
  <c r="F8" i="817"/>
  <c r="E8" i="817"/>
  <c r="F11" i="817"/>
  <c r="F7" i="817"/>
  <c r="E11" i="817"/>
  <c r="E7" i="817"/>
  <c r="E10" i="817"/>
  <c r="I3" i="778"/>
  <c r="J6" i="778"/>
  <c r="H10" i="778"/>
  <c r="D11" i="766"/>
  <c r="P37" i="773"/>
  <c r="B39" i="773"/>
  <c r="B7" i="776"/>
  <c r="T4" i="776"/>
  <c r="C32" i="777"/>
  <c r="K3" i="778"/>
  <c r="I5" i="778"/>
  <c r="G7" i="778"/>
  <c r="J8" i="778"/>
  <c r="K10" i="778"/>
  <c r="I13" i="778"/>
  <c r="F10" i="817"/>
  <c r="G9" i="778"/>
  <c r="W20" i="814"/>
  <c r="V20" i="814"/>
  <c r="W23" i="814"/>
  <c r="W19" i="814"/>
  <c r="V23" i="814"/>
  <c r="V19" i="814"/>
  <c r="W22" i="814"/>
  <c r="W18" i="814"/>
  <c r="V22" i="814"/>
  <c r="V18" i="814"/>
  <c r="V21" i="814"/>
  <c r="S6" i="778"/>
  <c r="S14" i="778"/>
  <c r="S22" i="778"/>
  <c r="S30" i="778"/>
  <c r="S38" i="778"/>
  <c r="S46" i="778"/>
  <c r="S54" i="778"/>
  <c r="S62" i="778"/>
  <c r="Q20" i="814"/>
  <c r="E22" i="814"/>
  <c r="I20" i="814"/>
  <c r="I24" i="814"/>
  <c r="E30" i="814"/>
  <c r="I30" i="814"/>
  <c r="M7" i="816"/>
  <c r="S21" i="816"/>
  <c r="F23" i="816"/>
  <c r="J25" i="816"/>
  <c r="J29" i="816"/>
  <c r="N8" i="817"/>
  <c r="R9" i="818"/>
  <c r="R17" i="818"/>
  <c r="N35" i="818"/>
  <c r="P9" i="819"/>
  <c r="R12" i="819"/>
  <c r="E5" i="820"/>
  <c r="F9" i="824"/>
  <c r="F17" i="824"/>
  <c r="N8" i="824"/>
  <c r="W8" i="824"/>
  <c r="Y8" i="824"/>
  <c r="AC9" i="824"/>
  <c r="L9" i="826"/>
  <c r="E10" i="825"/>
  <c r="E18" i="825"/>
  <c r="E26" i="825"/>
  <c r="E34" i="825"/>
  <c r="E42" i="825"/>
  <c r="E50" i="825"/>
  <c r="E58" i="825"/>
  <c r="E66" i="825"/>
  <c r="E74" i="825"/>
  <c r="E82" i="825"/>
  <c r="G9" i="825"/>
  <c r="G17" i="825"/>
  <c r="G25" i="825"/>
  <c r="G33" i="825"/>
  <c r="G41" i="825"/>
  <c r="G49" i="825"/>
  <c r="G57" i="825"/>
  <c r="G65" i="825"/>
  <c r="J7" i="825"/>
  <c r="F5" i="821"/>
  <c r="F9" i="821"/>
  <c r="O5" i="821"/>
  <c r="O9" i="821"/>
  <c r="R8" i="821"/>
  <c r="R12" i="821"/>
  <c r="V8" i="821"/>
  <c r="V12" i="821"/>
  <c r="Y9" i="821"/>
  <c r="AC7" i="821"/>
  <c r="AC11" i="821"/>
  <c r="S8" i="778"/>
  <c r="S16" i="778"/>
  <c r="S24" i="778"/>
  <c r="S32" i="778"/>
  <c r="S40" i="778"/>
  <c r="S48" i="778"/>
  <c r="S56" i="778"/>
  <c r="Q21" i="814"/>
  <c r="E23" i="814"/>
  <c r="M9" i="816"/>
  <c r="F24" i="816"/>
  <c r="R11" i="818"/>
  <c r="R19" i="818"/>
  <c r="R13" i="819"/>
  <c r="F11" i="824"/>
  <c r="F19" i="824"/>
  <c r="N10" i="824"/>
  <c r="W10" i="824"/>
  <c r="Y9" i="824"/>
  <c r="E12" i="825"/>
  <c r="E20" i="825"/>
  <c r="E28" i="825"/>
  <c r="E36" i="825"/>
  <c r="E44" i="825"/>
  <c r="E52" i="825"/>
  <c r="E60" i="825"/>
  <c r="E68" i="825"/>
  <c r="E76" i="825"/>
  <c r="E84" i="825"/>
  <c r="G11" i="825"/>
  <c r="G19" i="825"/>
  <c r="G27" i="825"/>
  <c r="G35" i="825"/>
  <c r="G43" i="825"/>
  <c r="G51" i="825"/>
  <c r="G59" i="825"/>
  <c r="J8" i="825"/>
  <c r="F6" i="821"/>
  <c r="F10" i="821"/>
  <c r="O6" i="821"/>
  <c r="O10" i="821"/>
  <c r="R9" i="821"/>
  <c r="R13" i="821"/>
  <c r="V9" i="821"/>
  <c r="V13" i="821"/>
  <c r="Y10" i="821"/>
  <c r="AC8" i="821"/>
  <c r="R21" i="814"/>
  <c r="F23" i="814"/>
  <c r="G24" i="816"/>
  <c r="R12" i="818"/>
  <c r="R20" i="818"/>
  <c r="S13" i="819"/>
  <c r="Z9" i="824"/>
  <c r="M10" i="826"/>
  <c r="E5" i="825"/>
  <c r="E13" i="825"/>
  <c r="E21" i="825"/>
  <c r="E29" i="825"/>
  <c r="E37" i="825"/>
  <c r="E45" i="825"/>
  <c r="E53" i="825"/>
  <c r="E61" i="825"/>
  <c r="E69" i="825"/>
  <c r="E77" i="825"/>
  <c r="G12" i="825"/>
  <c r="G20" i="825"/>
  <c r="G28" i="825"/>
  <c r="G36" i="825"/>
  <c r="G44" i="825"/>
  <c r="G52" i="825"/>
  <c r="G60" i="825"/>
  <c r="I5" i="825"/>
  <c r="I9" i="825"/>
  <c r="G6" i="821"/>
  <c r="G10" i="821"/>
  <c r="N7" i="821"/>
  <c r="N11" i="821"/>
  <c r="S9" i="821"/>
  <c r="S13" i="821"/>
  <c r="U10" i="821"/>
  <c r="Z10" i="821"/>
  <c r="AB9" i="821"/>
  <c r="S10" i="778"/>
  <c r="S18" i="778"/>
  <c r="S26" i="778"/>
  <c r="S34" i="778"/>
  <c r="S42" i="778"/>
  <c r="S50" i="778"/>
  <c r="S58" i="778"/>
  <c r="Q18" i="814"/>
  <c r="Q22" i="814"/>
  <c r="E20" i="814"/>
  <c r="E24" i="814"/>
  <c r="I22" i="814"/>
  <c r="E28" i="814"/>
  <c r="I28" i="814"/>
  <c r="F21" i="816"/>
  <c r="F25" i="816"/>
  <c r="N10" i="817"/>
  <c r="R13" i="818"/>
  <c r="R21" i="818"/>
  <c r="P13" i="819"/>
  <c r="R14" i="819"/>
  <c r="F5" i="824"/>
  <c r="F13" i="824"/>
  <c r="N4" i="824"/>
  <c r="W4" i="824"/>
  <c r="Y6" i="824"/>
  <c r="Y10" i="824"/>
  <c r="AC7" i="824"/>
  <c r="AC11" i="824"/>
  <c r="L7" i="826"/>
  <c r="L11" i="826"/>
  <c r="E6" i="825"/>
  <c r="E14" i="825"/>
  <c r="E22" i="825"/>
  <c r="E30" i="825"/>
  <c r="E38" i="825"/>
  <c r="E46" i="825"/>
  <c r="E54" i="825"/>
  <c r="E62" i="825"/>
  <c r="E70" i="825"/>
  <c r="E78" i="825"/>
  <c r="G5" i="825"/>
  <c r="G13" i="825"/>
  <c r="G21" i="825"/>
  <c r="G29" i="825"/>
  <c r="G37" i="825"/>
  <c r="G45" i="825"/>
  <c r="G53" i="825"/>
  <c r="G61" i="825"/>
  <c r="J5" i="825"/>
  <c r="J9" i="825"/>
  <c r="F7" i="821"/>
  <c r="F11" i="821"/>
  <c r="O7" i="821"/>
  <c r="O11" i="821"/>
  <c r="V10" i="821"/>
  <c r="Y7" i="821"/>
  <c r="Y11" i="821"/>
  <c r="AC9" i="821"/>
  <c r="S3" i="778"/>
  <c r="S11" i="778"/>
  <c r="S19" i="778"/>
  <c r="S27" i="778"/>
  <c r="S35" i="778"/>
  <c r="S43" i="778"/>
  <c r="S51" i="778"/>
  <c r="S59" i="778"/>
  <c r="R18" i="814"/>
  <c r="R22" i="814"/>
  <c r="F20" i="814"/>
  <c r="F24" i="814"/>
  <c r="H23" i="814"/>
  <c r="F28" i="814"/>
  <c r="H29" i="814"/>
  <c r="M4" i="816"/>
  <c r="G21" i="816"/>
  <c r="G25" i="816"/>
  <c r="I28" i="816"/>
  <c r="M7" i="817"/>
  <c r="M11" i="817"/>
  <c r="R14" i="818"/>
  <c r="R22" i="818"/>
  <c r="M34" i="818"/>
  <c r="O8" i="819"/>
  <c r="O14" i="819"/>
  <c r="E9" i="820"/>
  <c r="F6" i="824"/>
  <c r="F14" i="824"/>
  <c r="N5" i="824"/>
  <c r="W5" i="824"/>
  <c r="Z6" i="824"/>
  <c r="Z10" i="824"/>
  <c r="AB8" i="824"/>
  <c r="M7" i="826"/>
  <c r="M11" i="826"/>
  <c r="E7" i="825"/>
  <c r="E15" i="825"/>
  <c r="E23" i="825"/>
  <c r="E31" i="825"/>
  <c r="E39" i="825"/>
  <c r="E47" i="825"/>
  <c r="E55" i="825"/>
  <c r="E63" i="825"/>
  <c r="E71" i="825"/>
  <c r="E79" i="825"/>
  <c r="G6" i="825"/>
  <c r="G14" i="825"/>
  <c r="G22" i="825"/>
  <c r="G30" i="825"/>
  <c r="G38" i="825"/>
  <c r="G46" i="825"/>
  <c r="G54" i="825"/>
  <c r="G62" i="825"/>
  <c r="I6" i="825"/>
  <c r="G7" i="821"/>
  <c r="G11" i="821"/>
  <c r="N8" i="821"/>
  <c r="S10" i="821"/>
  <c r="U7" i="821"/>
  <c r="U11" i="821"/>
  <c r="Z7" i="821"/>
  <c r="AB10" i="821"/>
  <c r="S4" i="778"/>
  <c r="S12" i="778"/>
  <c r="S20" i="778"/>
  <c r="S28" i="778"/>
  <c r="S36" i="778"/>
  <c r="S44" i="778"/>
  <c r="S52" i="778"/>
  <c r="Q19" i="814"/>
  <c r="N7" i="817"/>
  <c r="R15" i="818"/>
  <c r="R23" i="818"/>
  <c r="F7" i="824"/>
  <c r="Y7" i="824"/>
  <c r="L8" i="826"/>
  <c r="E8" i="825"/>
  <c r="E16" i="825"/>
  <c r="E24" i="825"/>
  <c r="E32" i="825"/>
  <c r="E40" i="825"/>
  <c r="E48" i="825"/>
  <c r="E56" i="825"/>
  <c r="E64" i="825"/>
  <c r="E72" i="825"/>
  <c r="G7" i="825"/>
  <c r="G15" i="825"/>
  <c r="G23" i="825"/>
  <c r="G31" i="825"/>
  <c r="G39" i="825"/>
  <c r="G47" i="825"/>
  <c r="G55" i="825"/>
  <c r="F8" i="821"/>
  <c r="R7" i="821"/>
  <c r="V7" i="821"/>
  <c r="A17" i="825"/>
  <c r="A18" i="825" s="1"/>
  <c r="A19" i="825" s="1"/>
  <c r="A20" i="825" s="1"/>
  <c r="A21" i="825" s="1"/>
  <c r="A22" i="825" s="1"/>
  <c r="A23" i="825" s="1"/>
  <c r="A24" i="825" s="1"/>
  <c r="A25" i="825" s="1"/>
  <c r="C14" i="825"/>
  <c r="B14" i="825"/>
  <c r="A5" i="825"/>
  <c r="C14" i="826"/>
  <c r="B14" i="826"/>
  <c r="D13" i="826"/>
  <c r="D12" i="826"/>
  <c r="J11" i="826"/>
  <c r="D11" i="826"/>
  <c r="J10" i="826"/>
  <c r="D10" i="826"/>
  <c r="D9" i="826"/>
  <c r="D8" i="826"/>
  <c r="D7" i="826"/>
  <c r="D6" i="826"/>
  <c r="D5" i="826"/>
  <c r="F4" i="826"/>
  <c r="F5" i="826" s="1"/>
  <c r="F6" i="826" s="1"/>
  <c r="F7" i="826" s="1"/>
  <c r="E4" i="826"/>
  <c r="E5" i="826" s="1"/>
  <c r="E6" i="826" s="1"/>
  <c r="E7" i="826" s="1"/>
  <c r="E8" i="826" s="1"/>
  <c r="E9" i="826" s="1"/>
  <c r="E10" i="826" s="1"/>
  <c r="E11" i="826" s="1"/>
  <c r="E12" i="826" s="1"/>
  <c r="E13" i="826" s="1"/>
  <c r="D4" i="826"/>
  <c r="D14" i="826" s="1"/>
  <c r="U10" i="824"/>
  <c r="U9" i="824"/>
  <c r="K9" i="824"/>
  <c r="U8" i="824"/>
  <c r="K8" i="824"/>
  <c r="K10" i="824" s="1"/>
  <c r="E6" i="824"/>
  <c r="E7" i="824" s="1"/>
  <c r="E8" i="824" s="1"/>
  <c r="E9" i="824" s="1"/>
  <c r="E10" i="824" s="1"/>
  <c r="E11" i="824" s="1"/>
  <c r="E12" i="824" s="1"/>
  <c r="E13" i="824" s="1"/>
  <c r="E14" i="824" s="1"/>
  <c r="E15" i="824" s="1"/>
  <c r="E16" i="824" s="1"/>
  <c r="E17" i="824" s="1"/>
  <c r="E18" i="824" s="1"/>
  <c r="M5" i="824"/>
  <c r="M6" i="824" s="1"/>
  <c r="M7" i="824" s="1"/>
  <c r="M8" i="824" s="1"/>
  <c r="M9" i="824" s="1"/>
  <c r="M10" i="824" s="1"/>
  <c r="E5" i="824"/>
  <c r="A5" i="824"/>
  <c r="A6" i="824" s="1"/>
  <c r="A7" i="824" s="1"/>
  <c r="A8" i="824" s="1"/>
  <c r="A9" i="824" s="1"/>
  <c r="A10" i="824" s="1"/>
  <c r="A11" i="824" s="1"/>
  <c r="T55" i="778" l="1"/>
  <c r="T47" i="778"/>
  <c r="T39" i="778"/>
  <c r="T31" i="778"/>
  <c r="T23" i="778"/>
  <c r="T62" i="778"/>
  <c r="T54" i="778"/>
  <c r="T46" i="778"/>
  <c r="T38" i="778"/>
  <c r="T30" i="778"/>
  <c r="T22" i="778"/>
  <c r="T16" i="778"/>
  <c r="T13" i="778"/>
  <c r="T9" i="778"/>
  <c r="T5" i="778"/>
  <c r="T61" i="778"/>
  <c r="T53" i="778"/>
  <c r="T45" i="778"/>
  <c r="T37" i="778"/>
  <c r="T29" i="778"/>
  <c r="T21" i="778"/>
  <c r="T15" i="778"/>
  <c r="T60" i="778"/>
  <c r="T52" i="778"/>
  <c r="T44" i="778"/>
  <c r="T36" i="778"/>
  <c r="T28" i="778"/>
  <c r="T59" i="778"/>
  <c r="T51" i="778"/>
  <c r="T43" i="778"/>
  <c r="T35" i="778"/>
  <c r="T27" i="778"/>
  <c r="T19" i="778"/>
  <c r="T57" i="778"/>
  <c r="T49" i="778"/>
  <c r="T41" i="778"/>
  <c r="T33" i="778"/>
  <c r="T25" i="778"/>
  <c r="T34" i="778"/>
  <c r="T10" i="778"/>
  <c r="T3" i="778"/>
  <c r="T26" i="778"/>
  <c r="T32" i="778"/>
  <c r="T14" i="778"/>
  <c r="T7" i="778"/>
  <c r="T11" i="778"/>
  <c r="T4" i="778"/>
  <c r="T58" i="778"/>
  <c r="T56" i="778"/>
  <c r="T24" i="778"/>
  <c r="T8" i="778"/>
  <c r="T48" i="778"/>
  <c r="T50" i="778"/>
  <c r="T20" i="778"/>
  <c r="T12" i="778"/>
  <c r="T18" i="778"/>
  <c r="T42" i="778"/>
  <c r="T40" i="778"/>
  <c r="T17" i="778"/>
  <c r="T6" i="778"/>
  <c r="G11" i="824"/>
  <c r="H11" i="824" s="1"/>
  <c r="Y15" i="824"/>
  <c r="G9" i="824"/>
  <c r="H9" i="824" s="1"/>
  <c r="G13" i="824"/>
  <c r="H13" i="824" s="1"/>
  <c r="A6" i="825"/>
  <c r="A7" i="825" s="1"/>
  <c r="A8" i="825" s="1"/>
  <c r="A9" i="825" s="1"/>
  <c r="A10" i="825" s="1"/>
  <c r="A11" i="825" s="1"/>
  <c r="A12" i="825" s="1"/>
  <c r="G6" i="826"/>
  <c r="G7" i="826"/>
  <c r="G5" i="826"/>
  <c r="G4" i="826"/>
  <c r="F8" i="826"/>
  <c r="F9" i="826" s="1"/>
  <c r="Y16" i="824"/>
  <c r="Y14" i="824"/>
  <c r="G15" i="824"/>
  <c r="H15" i="824" s="1"/>
  <c r="G7" i="824"/>
  <c r="H7" i="824" s="1"/>
  <c r="G18" i="824"/>
  <c r="G10" i="824"/>
  <c r="H10" i="824" s="1"/>
  <c r="G16" i="824"/>
  <c r="H16" i="824" s="1"/>
  <c r="G8" i="824"/>
  <c r="H8" i="824" s="1"/>
  <c r="G14" i="824"/>
  <c r="H14" i="824" s="1"/>
  <c r="G6" i="824"/>
  <c r="H6" i="824" s="1"/>
  <c r="G12" i="824"/>
  <c r="H12" i="824" s="1"/>
  <c r="G4" i="824"/>
  <c r="H4" i="824" s="1"/>
  <c r="G17" i="824"/>
  <c r="H17" i="824" s="1"/>
  <c r="G5" i="824"/>
  <c r="H5" i="824" s="1"/>
  <c r="A13" i="825" l="1"/>
  <c r="F10" i="826"/>
  <c r="G9" i="826"/>
  <c r="G8" i="826"/>
  <c r="K7" i="824"/>
  <c r="O5" i="824"/>
  <c r="P5" i="824"/>
  <c r="P9" i="824"/>
  <c r="O9" i="824"/>
  <c r="O7" i="824"/>
  <c r="P7" i="824"/>
  <c r="O6" i="824"/>
  <c r="P6" i="824"/>
  <c r="P4" i="824"/>
  <c r="O4" i="824"/>
  <c r="P10" i="824"/>
  <c r="O10" i="824"/>
  <c r="O8" i="824"/>
  <c r="P8" i="824"/>
  <c r="Q15" i="822"/>
  <c r="P6" i="822"/>
  <c r="I15" i="822"/>
  <c r="H6" i="822"/>
  <c r="H7" i="822" s="1"/>
  <c r="H8" i="822" s="1"/>
  <c r="H9" i="822" s="1"/>
  <c r="H10" i="822" s="1"/>
  <c r="H11" i="822" s="1"/>
  <c r="H12" i="822" s="1"/>
  <c r="H13" i="822" s="1"/>
  <c r="H14" i="822" s="1"/>
  <c r="P7" i="822" l="1"/>
  <c r="P8" i="822" s="1"/>
  <c r="P9" i="822" s="1"/>
  <c r="P10" i="822" s="1"/>
  <c r="P11" i="822" s="1"/>
  <c r="P12" i="822" s="1"/>
  <c r="P13" i="822" s="1"/>
  <c r="P14" i="822" s="1"/>
  <c r="T10" i="822"/>
  <c r="T11" i="822" s="1"/>
  <c r="G10" i="826"/>
  <c r="F11" i="826"/>
  <c r="Q4" i="824"/>
  <c r="Q5" i="824" s="1"/>
  <c r="Q6" i="824" s="1"/>
  <c r="Q7" i="824" s="1"/>
  <c r="Q8" i="824" s="1"/>
  <c r="Q9" i="824" s="1"/>
  <c r="Q10" i="824" s="1"/>
  <c r="O11" i="824"/>
  <c r="O18" i="821"/>
  <c r="J12" i="821"/>
  <c r="B12" i="821"/>
  <c r="G14" i="821" s="1"/>
  <c r="G15" i="821" s="1"/>
  <c r="C10" i="821" s="1"/>
  <c r="K10" i="821"/>
  <c r="L11" i="821" s="1"/>
  <c r="K9" i="821"/>
  <c r="L9" i="821" s="1"/>
  <c r="K8" i="821"/>
  <c r="L8" i="821" s="1"/>
  <c r="K7" i="821"/>
  <c r="K6" i="821"/>
  <c r="L6" i="821" s="1"/>
  <c r="K5" i="821"/>
  <c r="L4" i="821"/>
  <c r="K4" i="821"/>
  <c r="B5" i="820"/>
  <c r="B6" i="820" s="1"/>
  <c r="B7" i="820" s="1"/>
  <c r="B8" i="820" s="1"/>
  <c r="B9" i="820" s="1"/>
  <c r="B10" i="820" s="1"/>
  <c r="B11" i="820" s="1"/>
  <c r="B12" i="820" s="1"/>
  <c r="B13" i="820" s="1"/>
  <c r="B14" i="820" s="1"/>
  <c r="B15" i="820" s="1"/>
  <c r="B16" i="820" s="1"/>
  <c r="B17" i="820" s="1"/>
  <c r="B18" i="820" s="1"/>
  <c r="C18" i="819"/>
  <c r="C17" i="819"/>
  <c r="C16" i="819"/>
  <c r="C15" i="819"/>
  <c r="C14" i="819"/>
  <c r="C13" i="819"/>
  <c r="C12" i="819"/>
  <c r="C11" i="819"/>
  <c r="C10" i="819"/>
  <c r="C9" i="819"/>
  <c r="C8" i="819"/>
  <c r="C7" i="819"/>
  <c r="F6" i="819"/>
  <c r="C6" i="819"/>
  <c r="C5" i="819"/>
  <c r="B5" i="819"/>
  <c r="C4" i="819"/>
  <c r="L20" i="818"/>
  <c r="L19" i="818"/>
  <c r="L18" i="818"/>
  <c r="L17" i="818"/>
  <c r="L16" i="818"/>
  <c r="L15" i="818"/>
  <c r="C15" i="818"/>
  <c r="L14" i="818"/>
  <c r="L12" i="818"/>
  <c r="L11" i="818"/>
  <c r="Q10" i="818"/>
  <c r="Q11" i="818" s="1"/>
  <c r="L10" i="818"/>
  <c r="L9" i="818"/>
  <c r="L8" i="818"/>
  <c r="L7" i="818"/>
  <c r="R6" i="818"/>
  <c r="L6" i="818"/>
  <c r="R5" i="818"/>
  <c r="L5" i="818"/>
  <c r="G5" i="818"/>
  <c r="G20" i="818" s="1"/>
  <c r="B5" i="818"/>
  <c r="B6" i="818" s="1"/>
  <c r="B7" i="818" s="1"/>
  <c r="R4" i="818"/>
  <c r="S4" i="818" s="1"/>
  <c r="S9" i="818" s="1"/>
  <c r="G4" i="818"/>
  <c r="C4" i="818"/>
  <c r="G3" i="818"/>
  <c r="C12" i="818" s="1"/>
  <c r="C14" i="817"/>
  <c r="B14" i="817"/>
  <c r="C14" i="816"/>
  <c r="B14" i="816"/>
  <c r="F4" i="816"/>
  <c r="E4" i="816"/>
  <c r="E5" i="816" s="1"/>
  <c r="B21" i="815"/>
  <c r="B19" i="815"/>
  <c r="B20" i="815" s="1"/>
  <c r="D4" i="815"/>
  <c r="E4" i="815" l="1"/>
  <c r="C5" i="818"/>
  <c r="C7" i="818"/>
  <c r="C14" i="818"/>
  <c r="C8" i="818"/>
  <c r="L13" i="818"/>
  <c r="L5" i="821"/>
  <c r="O21" i="821" s="1"/>
  <c r="L10" i="821"/>
  <c r="G4" i="816"/>
  <c r="T4" i="822" a="1"/>
  <c r="T4" i="822" s="1"/>
  <c r="T5" i="822" s="1"/>
  <c r="C6" i="818"/>
  <c r="C18" i="818"/>
  <c r="F12" i="826"/>
  <c r="G11" i="826"/>
  <c r="R7" i="824"/>
  <c r="R6" i="824"/>
  <c r="R8" i="824"/>
  <c r="R5" i="824"/>
  <c r="R9" i="824"/>
  <c r="R4" i="824"/>
  <c r="Q16" i="779"/>
  <c r="T23" i="818"/>
  <c r="T19" i="818"/>
  <c r="T15" i="818"/>
  <c r="T11" i="818"/>
  <c r="T22" i="818"/>
  <c r="T18" i="818"/>
  <c r="T14" i="818"/>
  <c r="T10" i="818"/>
  <c r="T21" i="818"/>
  <c r="T13" i="818"/>
  <c r="T20" i="818"/>
  <c r="T12" i="818"/>
  <c r="T17" i="818"/>
  <c r="T9" i="818"/>
  <c r="T16" i="818"/>
  <c r="O8" i="818"/>
  <c r="D11" i="821"/>
  <c r="D5" i="815"/>
  <c r="F18" i="815"/>
  <c r="F17" i="815"/>
  <c r="F16" i="815"/>
  <c r="F15" i="815"/>
  <c r="F14" i="815"/>
  <c r="F13" i="815"/>
  <c r="F12" i="815"/>
  <c r="F11" i="815"/>
  <c r="F10" i="815"/>
  <c r="F9" i="815"/>
  <c r="F8" i="815"/>
  <c r="F7" i="815"/>
  <c r="F6" i="815"/>
  <c r="F5" i="815"/>
  <c r="F4" i="815"/>
  <c r="G4" i="815" s="1"/>
  <c r="B8" i="818"/>
  <c r="Q12" i="818"/>
  <c r="S11" i="818"/>
  <c r="F5" i="816"/>
  <c r="F6" i="816" s="1"/>
  <c r="F7" i="816" s="1"/>
  <c r="F8" i="816" s="1"/>
  <c r="F9" i="816" s="1"/>
  <c r="F10" i="816" s="1"/>
  <c r="F11" i="816" s="1"/>
  <c r="F12" i="816" s="1"/>
  <c r="F13" i="816" s="1"/>
  <c r="S10" i="818"/>
  <c r="B6" i="819"/>
  <c r="J5" i="819"/>
  <c r="L7" i="821"/>
  <c r="E6" i="816"/>
  <c r="J4" i="819"/>
  <c r="G18" i="821"/>
  <c r="C7" i="821"/>
  <c r="C6" i="821"/>
  <c r="C8" i="821"/>
  <c r="C9" i="821"/>
  <c r="D9" i="821" s="1"/>
  <c r="C5" i="821"/>
  <c r="C4" i="821"/>
  <c r="D4" i="821" s="1"/>
  <c r="C16" i="818"/>
  <c r="C17" i="818"/>
  <c r="C13" i="818"/>
  <c r="C11" i="818"/>
  <c r="C9" i="818"/>
  <c r="C10" i="818"/>
  <c r="G26" i="818"/>
  <c r="L12" i="821" l="1"/>
  <c r="D4" i="818"/>
  <c r="D8" i="821"/>
  <c r="D6" i="821"/>
  <c r="G5" i="816"/>
  <c r="F13" i="826"/>
  <c r="G12" i="826"/>
  <c r="G14" i="826" s="1"/>
  <c r="J7" i="826" s="1"/>
  <c r="R11" i="824"/>
  <c r="U7" i="824" s="1"/>
  <c r="B9" i="818"/>
  <c r="D8" i="818"/>
  <c r="D5" i="818"/>
  <c r="N7" i="816"/>
  <c r="O7" i="816"/>
  <c r="J6" i="819"/>
  <c r="B7" i="819"/>
  <c r="N5" i="816"/>
  <c r="O5" i="816"/>
  <c r="O4" i="816"/>
  <c r="N4" i="816"/>
  <c r="D6" i="818"/>
  <c r="O6" i="816"/>
  <c r="N6" i="816"/>
  <c r="O10" i="816"/>
  <c r="N10" i="816"/>
  <c r="Q13" i="818"/>
  <c r="S12" i="818"/>
  <c r="E5" i="815"/>
  <c r="G5" i="815" s="1"/>
  <c r="D6" i="815"/>
  <c r="C18" i="820"/>
  <c r="C16" i="820"/>
  <c r="C14" i="820"/>
  <c r="C12" i="820"/>
  <c r="C11" i="820"/>
  <c r="C10" i="820"/>
  <c r="C9" i="820"/>
  <c r="C6" i="820"/>
  <c r="C4" i="820"/>
  <c r="C15" i="820"/>
  <c r="C5" i="820"/>
  <c r="C13" i="820"/>
  <c r="C7" i="820"/>
  <c r="C17" i="820"/>
  <c r="C8" i="820"/>
  <c r="G6" i="816"/>
  <c r="E7" i="816"/>
  <c r="D5" i="821"/>
  <c r="D7" i="821"/>
  <c r="D7" i="818"/>
  <c r="D10" i="821"/>
  <c r="N9" i="816"/>
  <c r="O9" i="816"/>
  <c r="O8" i="816"/>
  <c r="N8" i="816"/>
  <c r="D12" i="821" l="1"/>
  <c r="G7" i="816"/>
  <c r="E8" i="816"/>
  <c r="O11" i="816"/>
  <c r="B10" i="818"/>
  <c r="D9" i="818"/>
  <c r="E6" i="815"/>
  <c r="G6" i="815" s="1"/>
  <c r="D7" i="815"/>
  <c r="Q14" i="818"/>
  <c r="S13" i="818"/>
  <c r="N11" i="816"/>
  <c r="Q4" i="816" s="1"/>
  <c r="Q5" i="816" s="1"/>
  <c r="B8" i="819"/>
  <c r="J7" i="819"/>
  <c r="B9" i="819" l="1"/>
  <c r="J8" i="819"/>
  <c r="Q15" i="818"/>
  <c r="S14" i="818"/>
  <c r="G8" i="816"/>
  <c r="E9" i="816"/>
  <c r="R4" i="816"/>
  <c r="R5" i="816" s="1"/>
  <c r="R6" i="816" s="1"/>
  <c r="R7" i="816" s="1"/>
  <c r="R8" i="816" s="1"/>
  <c r="R9" i="816" s="1"/>
  <c r="R10" i="816" s="1"/>
  <c r="B11" i="818"/>
  <c r="D10" i="818"/>
  <c r="Q6" i="816"/>
  <c r="E7" i="815"/>
  <c r="G7" i="815" s="1"/>
  <c r="D8" i="815"/>
  <c r="S5" i="816" l="1"/>
  <c r="D11" i="818"/>
  <c r="B12" i="818"/>
  <c r="S4" i="816"/>
  <c r="Q16" i="818"/>
  <c r="S15" i="818"/>
  <c r="S6" i="816"/>
  <c r="Q7" i="816"/>
  <c r="G9" i="816"/>
  <c r="E10" i="816"/>
  <c r="E8" i="815"/>
  <c r="G8" i="815" s="1"/>
  <c r="D9" i="815"/>
  <c r="B10" i="819"/>
  <c r="J9" i="819"/>
  <c r="S16" i="818" l="1"/>
  <c r="Q17" i="818"/>
  <c r="E9" i="815"/>
  <c r="G9" i="815" s="1"/>
  <c r="D10" i="815"/>
  <c r="S7" i="816"/>
  <c r="Q8" i="816"/>
  <c r="D12" i="818"/>
  <c r="B13" i="818"/>
  <c r="B11" i="819"/>
  <c r="J10" i="819"/>
  <c r="G10" i="816"/>
  <c r="E11" i="816"/>
  <c r="J11" i="819" l="1"/>
  <c r="B12" i="819"/>
  <c r="S8" i="816"/>
  <c r="Q9" i="816"/>
  <c r="S17" i="818"/>
  <c r="Q18" i="818"/>
  <c r="E10" i="815"/>
  <c r="G10" i="815" s="1"/>
  <c r="D11" i="815"/>
  <c r="E12" i="816"/>
  <c r="G11" i="816"/>
  <c r="B14" i="818"/>
  <c r="D13" i="818"/>
  <c r="E11" i="815" l="1"/>
  <c r="G11" i="815" s="1"/>
  <c r="D12" i="815"/>
  <c r="B15" i="818"/>
  <c r="D14" i="818"/>
  <c r="S18" i="818"/>
  <c r="Q19" i="818"/>
  <c r="J12" i="819"/>
  <c r="B13" i="819"/>
  <c r="S9" i="816"/>
  <c r="Q10" i="816"/>
  <c r="S10" i="816" s="1"/>
  <c r="E13" i="816"/>
  <c r="G13" i="816" s="1"/>
  <c r="G14" i="816" s="1"/>
  <c r="G12" i="816"/>
  <c r="S11" i="816" l="1"/>
  <c r="G16" i="816"/>
  <c r="B16" i="818"/>
  <c r="D15" i="818"/>
  <c r="E12" i="815"/>
  <c r="G12" i="815" s="1"/>
  <c r="D13" i="815"/>
  <c r="Q20" i="818"/>
  <c r="S19" i="818"/>
  <c r="J13" i="819"/>
  <c r="B14" i="819"/>
  <c r="S13" i="816" l="1"/>
  <c r="D16" i="818"/>
  <c r="B17" i="818"/>
  <c r="B15" i="819"/>
  <c r="J14" i="819"/>
  <c r="E13" i="815"/>
  <c r="G13" i="815" s="1"/>
  <c r="D14" i="815"/>
  <c r="S20" i="818"/>
  <c r="Q21" i="818"/>
  <c r="S21" i="818" l="1"/>
  <c r="Q22" i="818"/>
  <c r="B16" i="819"/>
  <c r="J15" i="819"/>
  <c r="E14" i="815"/>
  <c r="G14" i="815" s="1"/>
  <c r="D15" i="815"/>
  <c r="D17" i="818"/>
  <c r="B18" i="818"/>
  <c r="J16" i="819" l="1"/>
  <c r="B17" i="819"/>
  <c r="E15" i="815"/>
  <c r="G15" i="815" s="1"/>
  <c r="D16" i="815"/>
  <c r="S22" i="818"/>
  <c r="Q23" i="818"/>
  <c r="S23" i="818" s="1"/>
  <c r="D18" i="818"/>
  <c r="G12" i="818"/>
  <c r="G13" i="818" s="1"/>
  <c r="G8" i="818" l="1"/>
  <c r="G10" i="818"/>
  <c r="G14" i="818" s="1"/>
  <c r="G9" i="818"/>
  <c r="G7" i="818"/>
  <c r="E16" i="815"/>
  <c r="G16" i="815" s="1"/>
  <c r="D17" i="815"/>
  <c r="J17" i="819"/>
  <c r="B18" i="819"/>
  <c r="E17" i="815" l="1"/>
  <c r="G17" i="815" s="1"/>
  <c r="D18" i="815"/>
  <c r="E18" i="815" s="1"/>
  <c r="G18" i="815" s="1"/>
  <c r="G20" i="815" s="1"/>
  <c r="J18" i="819"/>
  <c r="M9" i="819"/>
  <c r="E15" i="814" l="1"/>
  <c r="G15" i="814" s="1"/>
  <c r="W8" i="814"/>
  <c r="R8" i="814"/>
  <c r="W5" i="814"/>
  <c r="W9" i="814" s="1"/>
  <c r="W12" i="814" s="1"/>
  <c r="R5" i="814"/>
  <c r="R9" i="814" s="1"/>
  <c r="R13" i="814" s="1"/>
  <c r="R12" i="814" l="1"/>
  <c r="W13" i="814"/>
  <c r="W10" i="814"/>
  <c r="W11" i="814" s="1"/>
  <c r="E14" i="814"/>
  <c r="R10" i="814"/>
  <c r="E13" i="814" l="1"/>
  <c r="G14" i="814"/>
  <c r="R11" i="814"/>
  <c r="AB5" i="814"/>
  <c r="AB6" i="814" s="1"/>
  <c r="F15" i="814" l="1"/>
  <c r="G13" i="814"/>
  <c r="E12" i="814"/>
  <c r="G12" i="814" l="1"/>
  <c r="E11" i="814"/>
  <c r="F14" i="814"/>
  <c r="G11" i="814" l="1"/>
  <c r="F12" i="814" s="1"/>
  <c r="E10" i="814"/>
  <c r="F13" i="814"/>
  <c r="G10" i="814" l="1"/>
  <c r="F11" i="814" s="1"/>
  <c r="E9" i="814"/>
  <c r="G9" i="814" l="1"/>
  <c r="F9" i="814" s="1"/>
  <c r="E8" i="814"/>
  <c r="F10" i="814" l="1"/>
  <c r="AJ5" i="779" l="1"/>
  <c r="U8" i="779"/>
  <c r="U9" i="779"/>
  <c r="V14" i="779"/>
  <c r="V13" i="779" s="1" a="1"/>
  <c r="V13" i="779" s="1"/>
  <c r="W14" i="779"/>
  <c r="W13" i="779" s="1" a="1"/>
  <c r="W13" i="779" s="1"/>
  <c r="V15" i="779"/>
  <c r="V9" i="779" s="1"/>
  <c r="W15" i="779"/>
  <c r="W8" i="779" s="1"/>
  <c r="V16" i="779"/>
  <c r="V17" i="779" s="1" a="1"/>
  <c r="V17" i="779" s="1"/>
  <c r="V10" i="779" s="1"/>
  <c r="W16" i="779"/>
  <c r="W9" i="779" s="1"/>
  <c r="V18" i="779"/>
  <c r="W18" i="779"/>
  <c r="U18" i="779"/>
  <c r="U17" i="779" a="1"/>
  <c r="U17" i="779" s="1"/>
  <c r="U10" i="779" s="1"/>
  <c r="U16" i="779"/>
  <c r="U15" i="779"/>
  <c r="U14" i="779"/>
  <c r="V5" i="779"/>
  <c r="W5" i="779"/>
  <c r="U5" i="779"/>
  <c r="V8" i="779" l="1"/>
  <c r="W7" i="779"/>
  <c r="W17" i="779" a="1"/>
  <c r="W17" i="779" s="1"/>
  <c r="W10" i="779" s="1"/>
  <c r="V7" i="779"/>
  <c r="AE9" i="769"/>
  <c r="AE16" i="769"/>
  <c r="AH16" i="769"/>
  <c r="AH9" i="769"/>
  <c r="AJ9" i="779"/>
  <c r="AJ16" i="779"/>
  <c r="U13" i="779" a="1"/>
  <c r="U13" i="779" s="1"/>
  <c r="U20" i="779" l="1"/>
  <c r="U6" i="779" s="1"/>
  <c r="U7" i="779"/>
  <c r="L6" i="779"/>
  <c r="L7" i="779"/>
  <c r="M6" i="779"/>
  <c r="M7" i="779"/>
  <c r="L8" i="779"/>
  <c r="M8" i="779"/>
  <c r="L9" i="779"/>
  <c r="M9" i="779"/>
  <c r="L10" i="779"/>
  <c r="M10" i="779"/>
  <c r="L11" i="779"/>
  <c r="M11" i="779"/>
  <c r="K11" i="779"/>
  <c r="K10" i="779"/>
  <c r="K9" i="779"/>
  <c r="K8" i="779"/>
  <c r="K6" i="779"/>
  <c r="K7" i="779" s="1"/>
  <c r="L5" i="779"/>
  <c r="M5" i="779"/>
  <c r="K5" i="779"/>
  <c r="D11" i="768"/>
  <c r="D10" i="768"/>
  <c r="D9" i="768"/>
  <c r="D8" i="768"/>
  <c r="D6" i="768"/>
  <c r="D7" i="768" s="1"/>
  <c r="D5" i="768"/>
  <c r="G6" i="774"/>
  <c r="D18" i="777"/>
  <c r="D17" i="777"/>
  <c r="D6" i="777"/>
  <c r="D7" i="777"/>
  <c r="D8" i="777"/>
  <c r="D9" i="777"/>
  <c r="H9" i="777" s="1"/>
  <c r="D10" i="777"/>
  <c r="H10" i="777" s="1"/>
  <c r="D11" i="777"/>
  <c r="D5" i="777"/>
  <c r="E17" i="776"/>
  <c r="E16" i="776"/>
  <c r="E6" i="776"/>
  <c r="E7" i="776"/>
  <c r="E8" i="776"/>
  <c r="E9" i="776"/>
  <c r="E10" i="776"/>
  <c r="E5" i="776"/>
  <c r="F5" i="779"/>
  <c r="G5" i="779"/>
  <c r="H5" i="779"/>
  <c r="P5" i="779"/>
  <c r="Q5" i="779"/>
  <c r="R5" i="779"/>
  <c r="F6" i="779"/>
  <c r="G6" i="779"/>
  <c r="H6" i="779"/>
  <c r="F7" i="779"/>
  <c r="G7" i="779"/>
  <c r="H7" i="779"/>
  <c r="F8" i="779"/>
  <c r="G8" i="779"/>
  <c r="H8" i="779"/>
  <c r="F9" i="779"/>
  <c r="G9" i="779"/>
  <c r="H9" i="779"/>
  <c r="F10" i="779"/>
  <c r="G10" i="779"/>
  <c r="H10" i="779"/>
  <c r="F11" i="779"/>
  <c r="G11" i="779"/>
  <c r="H11" i="779"/>
  <c r="F12" i="779"/>
  <c r="G12" i="779"/>
  <c r="H12" i="779"/>
  <c r="F13" i="779"/>
  <c r="G13" i="779"/>
  <c r="H13" i="779"/>
  <c r="F15" i="779"/>
  <c r="G15" i="779"/>
  <c r="G14" i="779" s="1"/>
  <c r="H15" i="779"/>
  <c r="H14" i="779" s="1"/>
  <c r="F16" i="779"/>
  <c r="G16" i="779"/>
  <c r="H16" i="779"/>
  <c r="F17" i="779"/>
  <c r="G17" i="779"/>
  <c r="H17" i="779"/>
  <c r="F18" i="779"/>
  <c r="G18" i="779"/>
  <c r="H18" i="779"/>
  <c r="F19" i="779"/>
  <c r="G19" i="779"/>
  <c r="H19" i="779"/>
  <c r="F20" i="779"/>
  <c r="G20" i="779"/>
  <c r="H20" i="779"/>
  <c r="F21" i="779"/>
  <c r="G21" i="779"/>
  <c r="H21" i="779"/>
  <c r="D3" i="777"/>
  <c r="G5" i="777"/>
  <c r="H5" i="777"/>
  <c r="G6" i="777"/>
  <c r="H6" i="777" s="1"/>
  <c r="G7" i="777"/>
  <c r="H7" i="777"/>
  <c r="G8" i="777"/>
  <c r="H8" i="777" s="1"/>
  <c r="G9" i="777"/>
  <c r="G10" i="777"/>
  <c r="G11" i="777"/>
  <c r="H11" i="777"/>
  <c r="D14" i="777"/>
  <c r="B27" i="777"/>
  <c r="A28" i="777"/>
  <c r="A29" i="777" s="1"/>
  <c r="A30" i="777" s="1"/>
  <c r="A31" i="777" s="1"/>
  <c r="A32" i="777" s="1"/>
  <c r="A33" i="777" s="1"/>
  <c r="A34" i="777" s="1"/>
  <c r="A35" i="777" s="1"/>
  <c r="A36" i="777" s="1"/>
  <c r="A37" i="777" s="1"/>
  <c r="A38" i="777" s="1"/>
  <c r="A39" i="777" s="1"/>
  <c r="A40" i="777" s="1"/>
  <c r="A41" i="777" s="1"/>
  <c r="B28" i="777"/>
  <c r="B29" i="777"/>
  <c r="B30" i="777"/>
  <c r="J43" i="777" s="1"/>
  <c r="B31" i="777"/>
  <c r="B32" i="777"/>
  <c r="B33" i="777"/>
  <c r="B34" i="777"/>
  <c r="B35" i="777"/>
  <c r="B36" i="777"/>
  <c r="B37" i="777"/>
  <c r="B38" i="777"/>
  <c r="B39" i="777"/>
  <c r="B40" i="777"/>
  <c r="B41" i="777"/>
  <c r="L5" i="776"/>
  <c r="L6" i="776" s="1"/>
  <c r="R5" i="776"/>
  <c r="R6" i="776"/>
  <c r="R7" i="776" s="1"/>
  <c r="R8" i="776" s="1"/>
  <c r="L7" i="776"/>
  <c r="L8" i="776" s="1"/>
  <c r="L9" i="776" s="1"/>
  <c r="L10" i="776" s="1"/>
  <c r="L11" i="776" s="1"/>
  <c r="L12" i="776" s="1"/>
  <c r="L13" i="776" s="1"/>
  <c r="L14" i="776" s="1"/>
  <c r="L15" i="776" s="1"/>
  <c r="B5" i="774"/>
  <c r="B6" i="774" s="1"/>
  <c r="D4" i="773"/>
  <c r="N4" i="773"/>
  <c r="D5" i="773"/>
  <c r="D6" i="773" s="1"/>
  <c r="E6" i="773" s="1"/>
  <c r="B19" i="773"/>
  <c r="L19" i="773"/>
  <c r="B20" i="773"/>
  <c r="L20" i="773"/>
  <c r="P14" i="773" s="1"/>
  <c r="Q14" i="773" s="1"/>
  <c r="B21" i="773"/>
  <c r="E4" i="773" s="1"/>
  <c r="E5" i="773"/>
  <c r="P7" i="773"/>
  <c r="Q7" i="773" s="1"/>
  <c r="P11" i="773"/>
  <c r="Q11" i="773" s="1"/>
  <c r="P15" i="773"/>
  <c r="Q15" i="773" s="1"/>
  <c r="P16" i="773"/>
  <c r="Q16" i="773" s="1"/>
  <c r="P6" i="773"/>
  <c r="Q6" i="773" s="1"/>
  <c r="F9" i="773"/>
  <c r="G9" i="773" s="1"/>
  <c r="F13" i="773"/>
  <c r="G13" i="773" s="1"/>
  <c r="F17" i="773"/>
  <c r="G17" i="773" s="1"/>
  <c r="F6" i="773"/>
  <c r="G6" i="773" s="1"/>
  <c r="H6" i="773" s="1"/>
  <c r="F18" i="773"/>
  <c r="G18" i="773" s="1"/>
  <c r="P10" i="773"/>
  <c r="Q10" i="773" s="1"/>
  <c r="P18" i="773"/>
  <c r="Q18" i="773"/>
  <c r="P8" i="773"/>
  <c r="Q8" i="773" s="1"/>
  <c r="P5" i="773"/>
  <c r="Q5" i="773"/>
  <c r="L21" i="773"/>
  <c r="P29" i="773"/>
  <c r="Q29" i="773" s="1"/>
  <c r="Q34" i="773" s="1"/>
  <c r="P30" i="773"/>
  <c r="B31" i="773"/>
  <c r="C31" i="773" s="1"/>
  <c r="C36" i="773" s="1"/>
  <c r="P31" i="773"/>
  <c r="B32" i="773"/>
  <c r="B33" i="773"/>
  <c r="O35" i="773"/>
  <c r="A37" i="773"/>
  <c r="Y3" i="772"/>
  <c r="Z3" i="772" s="1"/>
  <c r="AA3" i="772" s="1"/>
  <c r="AB3" i="772" s="1"/>
  <c r="AC3" i="772" s="1"/>
  <c r="AD3" i="772" s="1"/>
  <c r="AE3" i="772" s="1"/>
  <c r="AF3" i="772" s="1"/>
  <c r="AG3" i="772" s="1"/>
  <c r="C4" i="772"/>
  <c r="J4" i="772" s="1"/>
  <c r="I4" i="772"/>
  <c r="K4" i="772" s="1"/>
  <c r="R4" i="772"/>
  <c r="A5" i="772"/>
  <c r="C5" i="772"/>
  <c r="C6" i="772" s="1"/>
  <c r="I5" i="772"/>
  <c r="R5" i="772"/>
  <c r="A6" i="772"/>
  <c r="R6" i="772"/>
  <c r="A7" i="772"/>
  <c r="A8" i="772"/>
  <c r="A9" i="772" s="1"/>
  <c r="R7" i="772"/>
  <c r="R8" i="772"/>
  <c r="R9" i="772"/>
  <c r="R10" i="772"/>
  <c r="R11" i="772"/>
  <c r="R12" i="772"/>
  <c r="R13" i="772"/>
  <c r="B14" i="772"/>
  <c r="D4" i="772" s="1"/>
  <c r="J6" i="772"/>
  <c r="B4" i="771"/>
  <c r="E4" i="771"/>
  <c r="D4" i="771"/>
  <c r="F4" i="771"/>
  <c r="A5" i="771"/>
  <c r="B5" i="771"/>
  <c r="E5" i="771" s="1"/>
  <c r="D5" i="771"/>
  <c r="L5" i="771"/>
  <c r="L6" i="771" s="1"/>
  <c r="L7" i="771" s="1"/>
  <c r="L8" i="771" s="1"/>
  <c r="L9" i="771" s="1"/>
  <c r="L10" i="771" s="1"/>
  <c r="A6" i="771"/>
  <c r="D7" i="771" s="1"/>
  <c r="F7" i="771" s="1"/>
  <c r="B6" i="771"/>
  <c r="D6" i="771"/>
  <c r="F6" i="771"/>
  <c r="A7" i="771"/>
  <c r="B7" i="771"/>
  <c r="M6" i="771"/>
  <c r="B8" i="771"/>
  <c r="M7" i="771" s="1"/>
  <c r="B9" i="771"/>
  <c r="M8" i="771"/>
  <c r="B10" i="771"/>
  <c r="M9" i="771" s="1"/>
  <c r="B11" i="771"/>
  <c r="B12" i="771"/>
  <c r="B13" i="771"/>
  <c r="M11" i="771" s="1"/>
  <c r="B14" i="771"/>
  <c r="D4" i="770"/>
  <c r="E4" i="770"/>
  <c r="I4" i="770"/>
  <c r="A5" i="770"/>
  <c r="D5" i="770" s="1"/>
  <c r="E5" i="770" s="1"/>
  <c r="F5" i="770" s="1"/>
  <c r="J4" i="770" s="1"/>
  <c r="H5" i="770"/>
  <c r="H6" i="770" s="1"/>
  <c r="I5" i="770"/>
  <c r="A6" i="770"/>
  <c r="D6" i="770" s="1"/>
  <c r="I6" i="770"/>
  <c r="H7" i="770"/>
  <c r="H8" i="770" s="1"/>
  <c r="H9" i="770" s="1"/>
  <c r="H10" i="770" s="1"/>
  <c r="I7" i="770"/>
  <c r="I8" i="770"/>
  <c r="I9" i="770"/>
  <c r="I10" i="770"/>
  <c r="I11" i="770"/>
  <c r="B14" i="770"/>
  <c r="R4" i="769"/>
  <c r="S4" i="769"/>
  <c r="T4" i="769"/>
  <c r="U4" i="769"/>
  <c r="V4" i="769"/>
  <c r="W4" i="769"/>
  <c r="X4" i="769"/>
  <c r="Y4" i="769"/>
  <c r="Z4" i="769"/>
  <c r="AA4" i="769"/>
  <c r="AB4" i="769"/>
  <c r="D5" i="769"/>
  <c r="E5" i="769"/>
  <c r="D6" i="769"/>
  <c r="D7" i="769"/>
  <c r="F17" i="769"/>
  <c r="C11" i="769"/>
  <c r="C12" i="769"/>
  <c r="C13" i="769" s="1"/>
  <c r="A24" i="769"/>
  <c r="D26" i="769" s="1"/>
  <c r="E26" i="769" s="1"/>
  <c r="A25" i="769"/>
  <c r="A26" i="769"/>
  <c r="A27" i="769"/>
  <c r="A28" i="769"/>
  <c r="A29" i="769"/>
  <c r="A30" i="769"/>
  <c r="A31" i="769"/>
  <c r="A32" i="769"/>
  <c r="C32" i="769"/>
  <c r="A33" i="769"/>
  <c r="A34" i="769"/>
  <c r="B46" i="769"/>
  <c r="B47" i="769"/>
  <c r="D15" i="768"/>
  <c r="D23" i="768" s="1"/>
  <c r="D24" i="768" s="1"/>
  <c r="D27" i="769"/>
  <c r="F14" i="769"/>
  <c r="F4" i="770"/>
  <c r="M4" i="771"/>
  <c r="C33" i="769"/>
  <c r="F12" i="769"/>
  <c r="I12" i="770"/>
  <c r="D16" i="768"/>
  <c r="C34" i="769"/>
  <c r="C14" i="769"/>
  <c r="E14" i="769" s="1"/>
  <c r="D18" i="768"/>
  <c r="I18" i="768"/>
  <c r="D19" i="768"/>
  <c r="I19" i="768"/>
  <c r="C35" i="769"/>
  <c r="C36" i="769" s="1"/>
  <c r="C15" i="769"/>
  <c r="D5" i="767"/>
  <c r="E5" i="767"/>
  <c r="E10" i="767" s="1"/>
  <c r="D6" i="767"/>
  <c r="F25" i="767" s="1"/>
  <c r="D7" i="767"/>
  <c r="C11" i="767"/>
  <c r="E11" i="767"/>
  <c r="D5" i="766"/>
  <c r="E5" i="766" s="1"/>
  <c r="E10" i="766" s="1"/>
  <c r="D6" i="766"/>
  <c r="D7" i="766"/>
  <c r="C12" i="767"/>
  <c r="E12" i="767" s="1"/>
  <c r="C11" i="766"/>
  <c r="C12" i="766"/>
  <c r="C13" i="766" s="1"/>
  <c r="C14" i="766"/>
  <c r="C15" i="766" s="1"/>
  <c r="E5" i="765"/>
  <c r="E6" i="765" s="1"/>
  <c r="E7" i="765" s="1"/>
  <c r="E8" i="765" s="1"/>
  <c r="E9" i="765" s="1"/>
  <c r="E10" i="765" s="1"/>
  <c r="E11" i="765" s="1"/>
  <c r="E12" i="765" s="1"/>
  <c r="B24" i="765"/>
  <c r="B25" i="765"/>
  <c r="C14" i="765" s="1"/>
  <c r="C50" i="389"/>
  <c r="D50" i="389"/>
  <c r="E50" i="389" s="1"/>
  <c r="F50" i="389" s="1"/>
  <c r="G50" i="389" s="1"/>
  <c r="H50" i="389" s="1"/>
  <c r="I50" i="389" s="1"/>
  <c r="J50" i="389" s="1"/>
  <c r="K50" i="389" s="1"/>
  <c r="L50" i="389" s="1"/>
  <c r="M50" i="389" s="1"/>
  <c r="C29" i="389"/>
  <c r="D29" i="389" s="1"/>
  <c r="E29" i="389" s="1"/>
  <c r="F29" i="389"/>
  <c r="G29" i="389" s="1"/>
  <c r="H29" i="389" s="1"/>
  <c r="I29" i="389" s="1"/>
  <c r="J29" i="389" s="1"/>
  <c r="K29" i="389" s="1"/>
  <c r="L29" i="389" s="1"/>
  <c r="M29" i="389" s="1"/>
  <c r="A82" i="389"/>
  <c r="A83" i="389" s="1"/>
  <c r="A84" i="389" s="1"/>
  <c r="A85" i="389" s="1"/>
  <c r="A86" i="389" s="1"/>
  <c r="A87" i="389" s="1"/>
  <c r="A88" i="389" s="1"/>
  <c r="A89" i="389" s="1"/>
  <c r="A90" i="389"/>
  <c r="A91" i="389" s="1"/>
  <c r="A92" i="389" s="1"/>
  <c r="A93" i="389" s="1"/>
  <c r="A94" i="389" s="1"/>
  <c r="A95" i="389" s="1"/>
  <c r="A96" i="389" s="1"/>
  <c r="A97" i="389" s="1"/>
  <c r="A98" i="389"/>
  <c r="A99" i="389" s="1"/>
  <c r="A100" i="389" s="1"/>
  <c r="A101" i="389" s="1"/>
  <c r="A102" i="389" s="1"/>
  <c r="A103" i="389" s="1"/>
  <c r="A104" i="389" s="1"/>
  <c r="A105" i="389" s="1"/>
  <c r="A106" i="389" s="1"/>
  <c r="A107" i="389" s="1"/>
  <c r="A108" i="389" s="1"/>
  <c r="A109" i="389" s="1"/>
  <c r="A110" i="389" s="1"/>
  <c r="A111" i="389" s="1"/>
  <c r="A112" i="389" s="1"/>
  <c r="A113" i="389" s="1"/>
  <c r="A114" i="389" s="1"/>
  <c r="A115" i="389" s="1"/>
  <c r="A116" i="389" s="1"/>
  <c r="A117" i="389" s="1"/>
  <c r="A118" i="389" s="1"/>
  <c r="A119" i="389" s="1"/>
  <c r="A120" i="389" s="1"/>
  <c r="A121" i="389" s="1"/>
  <c r="A122" i="389" s="1"/>
  <c r="A123" i="389" s="1"/>
  <c r="A124" i="389" s="1"/>
  <c r="A125" i="389" s="1"/>
  <c r="A126" i="389" s="1"/>
  <c r="A127" i="389" s="1"/>
  <c r="A128" i="389" s="1"/>
  <c r="C14" i="389"/>
  <c r="D14" i="389"/>
  <c r="E14" i="389" s="1"/>
  <c r="F14" i="389" s="1"/>
  <c r="G14" i="389" s="1"/>
  <c r="H14" i="389" s="1"/>
  <c r="I14" i="389" s="1"/>
  <c r="J14" i="389" s="1"/>
  <c r="K14" i="389" s="1"/>
  <c r="L14" i="389" s="1"/>
  <c r="M14" i="389" s="1"/>
  <c r="C5" i="389"/>
  <c r="D5" i="389"/>
  <c r="E5" i="389" s="1"/>
  <c r="F5" i="389" s="1"/>
  <c r="G5" i="389" s="1"/>
  <c r="H5" i="389" s="1"/>
  <c r="I5" i="389" s="1"/>
  <c r="J5" i="389" s="1"/>
  <c r="K5" i="389" s="1"/>
  <c r="L5" i="389" s="1"/>
  <c r="M5" i="389" s="1"/>
  <c r="N5" i="389" s="1"/>
  <c r="A36" i="40"/>
  <c r="A37" i="40"/>
  <c r="A38" i="40"/>
  <c r="A39" i="40" s="1"/>
  <c r="A40" i="40" s="1"/>
  <c r="A41" i="40" s="1"/>
  <c r="A42" i="40" s="1"/>
  <c r="A43" i="40" s="1"/>
  <c r="A44" i="40" s="1"/>
  <c r="A45" i="40" s="1"/>
  <c r="A46" i="40"/>
  <c r="A47" i="40" s="1"/>
  <c r="A48" i="40" s="1"/>
  <c r="A49" i="40" s="1"/>
  <c r="A50" i="40" s="1"/>
  <c r="A51" i="40" s="1"/>
  <c r="A52" i="40" s="1"/>
  <c r="A53" i="40" s="1"/>
  <c r="A54" i="40" s="1"/>
  <c r="A55" i="40" s="1"/>
  <c r="A56" i="40" s="1"/>
  <c r="A57" i="40" s="1"/>
  <c r="A58" i="40" s="1"/>
  <c r="A59" i="40" s="1"/>
  <c r="A60" i="40" s="1"/>
  <c r="A61" i="40" s="1"/>
  <c r="A62" i="40" s="1"/>
  <c r="A63" i="40" s="1"/>
  <c r="A64" i="40" s="1"/>
  <c r="A65" i="40" s="1"/>
  <c r="A66" i="40" s="1"/>
  <c r="A67" i="40" s="1"/>
  <c r="A68" i="40" s="1"/>
  <c r="A69" i="40" s="1"/>
  <c r="A70" i="40" s="1"/>
  <c r="A71" i="40" s="1"/>
  <c r="A72" i="40" s="1"/>
  <c r="A73" i="40" s="1"/>
  <c r="A74" i="40" s="1"/>
  <c r="A75" i="40" s="1"/>
  <c r="A76" i="40" s="1"/>
  <c r="A77" i="40" s="1"/>
  <c r="A78" i="40" s="1"/>
  <c r="A79" i="40" s="1"/>
  <c r="A80" i="40" s="1"/>
  <c r="A81" i="40" s="1"/>
  <c r="A82" i="40" s="1"/>
  <c r="C5" i="40"/>
  <c r="D5" i="40" s="1"/>
  <c r="E5" i="40" s="1"/>
  <c r="F5" i="40" s="1"/>
  <c r="G5" i="40" s="1"/>
  <c r="H5" i="40" s="1"/>
  <c r="I5" i="40" s="1"/>
  <c r="J5" i="40" s="1"/>
  <c r="K5" i="40" s="1"/>
  <c r="L5" i="40" s="1"/>
  <c r="M5" i="40" s="1"/>
  <c r="N5" i="40" s="1"/>
  <c r="O5" i="40" s="1"/>
  <c r="P5" i="40" s="1"/>
  <c r="Q5" i="40" s="1"/>
  <c r="R5" i="40" s="1"/>
  <c r="S5" i="40" s="1"/>
  <c r="T5" i="40" s="1"/>
  <c r="U5" i="40" s="1"/>
  <c r="V5" i="40" s="1"/>
  <c r="W5" i="40" s="1"/>
  <c r="X5" i="40" s="1"/>
  <c r="Y5" i="40" s="1"/>
  <c r="Z5" i="40" s="1"/>
  <c r="AA5" i="40" s="1"/>
  <c r="AB5" i="40" s="1"/>
  <c r="AC5" i="40" s="1"/>
  <c r="AD5" i="40" s="1"/>
  <c r="AE5" i="40" s="1"/>
  <c r="AF5" i="40" s="1"/>
  <c r="AG5" i="40" s="1"/>
  <c r="AH5" i="40" s="1"/>
  <c r="AI5" i="40" s="1"/>
  <c r="AJ5" i="40" s="1"/>
  <c r="AK5" i="40" s="1"/>
  <c r="AL5" i="40" s="1"/>
  <c r="AM5" i="40" s="1"/>
  <c r="AN5" i="40" s="1"/>
  <c r="AO5" i="40" s="1"/>
  <c r="AP5" i="40" s="1"/>
  <c r="AQ5" i="40" s="1"/>
  <c r="AR5" i="40" s="1"/>
  <c r="AS5" i="40" s="1"/>
  <c r="AT5" i="40" s="1"/>
  <c r="AU5" i="40" s="1"/>
  <c r="AV5" i="40" s="1"/>
  <c r="AW5" i="40" s="1"/>
  <c r="AX5" i="40" s="1"/>
  <c r="E15" i="766" l="1"/>
  <c r="C16" i="766"/>
  <c r="K4" i="770"/>
  <c r="R9" i="776"/>
  <c r="A10" i="772"/>
  <c r="E32" i="769"/>
  <c r="E33" i="769"/>
  <c r="E31" i="769"/>
  <c r="E35" i="769"/>
  <c r="C20" i="765"/>
  <c r="C5" i="765"/>
  <c r="F29" i="767"/>
  <c r="E15" i="769"/>
  <c r="C16" i="769"/>
  <c r="F11" i="769"/>
  <c r="F13" i="769"/>
  <c r="F18" i="769"/>
  <c r="F10" i="769"/>
  <c r="F19" i="769"/>
  <c r="F20" i="769"/>
  <c r="F16" i="769"/>
  <c r="F15" i="769"/>
  <c r="F5" i="771"/>
  <c r="A38" i="773"/>
  <c r="C37" i="773"/>
  <c r="D7" i="773"/>
  <c r="C6" i="765"/>
  <c r="C8" i="765"/>
  <c r="C13" i="767"/>
  <c r="C22" i="765"/>
  <c r="F24" i="767"/>
  <c r="E10" i="769"/>
  <c r="E12" i="769"/>
  <c r="E11" i="769"/>
  <c r="F14" i="779"/>
  <c r="F11" i="767"/>
  <c r="F28" i="767"/>
  <c r="F13" i="767"/>
  <c r="F22" i="767"/>
  <c r="F20" i="767"/>
  <c r="F17" i="767"/>
  <c r="F18" i="767"/>
  <c r="F27" i="767"/>
  <c r="F16" i="767"/>
  <c r="F21" i="767"/>
  <c r="F14" i="767"/>
  <c r="F23" i="767"/>
  <c r="E6" i="770"/>
  <c r="F6" i="770" s="1"/>
  <c r="J5" i="770" s="1"/>
  <c r="K5" i="770" s="1"/>
  <c r="F26" i="767"/>
  <c r="C15" i="765"/>
  <c r="C11" i="765"/>
  <c r="E14" i="766"/>
  <c r="F15" i="767"/>
  <c r="A8" i="771"/>
  <c r="N5" i="773"/>
  <c r="O4" i="773"/>
  <c r="H12" i="777"/>
  <c r="D15" i="777" s="1"/>
  <c r="D16" i="777" s="1"/>
  <c r="D19" i="777" s="1"/>
  <c r="D21" i="777" s="1"/>
  <c r="C9" i="765"/>
  <c r="C12" i="765"/>
  <c r="C10" i="765"/>
  <c r="C18" i="765"/>
  <c r="C17" i="765"/>
  <c r="C16" i="765"/>
  <c r="C23" i="765"/>
  <c r="E7" i="771"/>
  <c r="G16" i="772"/>
  <c r="C4" i="765"/>
  <c r="C19" i="765"/>
  <c r="C13" i="765"/>
  <c r="E12" i="766"/>
  <c r="F19" i="767"/>
  <c r="D28" i="769"/>
  <c r="F34" i="769" s="1"/>
  <c r="C46" i="769"/>
  <c r="C47" i="769"/>
  <c r="M10" i="771"/>
  <c r="I6" i="772"/>
  <c r="K5" i="772"/>
  <c r="C21" i="765"/>
  <c r="E13" i="766"/>
  <c r="E13" i="769"/>
  <c r="A7" i="770"/>
  <c r="D5" i="772"/>
  <c r="Q35" i="773"/>
  <c r="O36" i="773"/>
  <c r="F7" i="773"/>
  <c r="G7" i="773" s="1"/>
  <c r="F15" i="773"/>
  <c r="G15" i="773" s="1"/>
  <c r="F8" i="773"/>
  <c r="G8" i="773" s="1"/>
  <c r="F14" i="773"/>
  <c r="G14" i="773" s="1"/>
  <c r="F10" i="773"/>
  <c r="G10" i="773" s="1"/>
  <c r="F11" i="773"/>
  <c r="G11" i="773" s="1"/>
  <c r="F5" i="773"/>
  <c r="G5" i="773" s="1"/>
  <c r="H5" i="773" s="1"/>
  <c r="F16" i="773"/>
  <c r="G16" i="773" s="1"/>
  <c r="F4" i="773"/>
  <c r="G4" i="773" s="1"/>
  <c r="H4" i="773" s="1"/>
  <c r="F12" i="773"/>
  <c r="G12" i="773" s="1"/>
  <c r="F13" i="771"/>
  <c r="E13" i="771"/>
  <c r="E11" i="766"/>
  <c r="F10" i="767"/>
  <c r="F12" i="767"/>
  <c r="C37" i="769"/>
  <c r="E36" i="769"/>
  <c r="F38" i="769"/>
  <c r="E34" i="769"/>
  <c r="E6" i="771"/>
  <c r="D6" i="772"/>
  <c r="C7" i="772"/>
  <c r="M5" i="771"/>
  <c r="J5" i="772"/>
  <c r="P17" i="773"/>
  <c r="Q17" i="773" s="1"/>
  <c r="P9" i="773"/>
  <c r="Q9" i="773" s="1"/>
  <c r="C7" i="765"/>
  <c r="P12" i="773"/>
  <c r="Q12" i="773" s="1"/>
  <c r="P13" i="773"/>
  <c r="Q13" i="773" s="1"/>
  <c r="P4" i="773"/>
  <c r="Q4" i="773" s="1"/>
  <c r="R4" i="773" s="1"/>
  <c r="V6" i="779"/>
  <c r="U11" i="779"/>
  <c r="W11" i="779"/>
  <c r="V11" i="779"/>
  <c r="W6" i="779"/>
  <c r="H9" i="776"/>
  <c r="I9" i="776" s="1"/>
  <c r="H6" i="776"/>
  <c r="I6" i="776" s="1"/>
  <c r="B47" i="777"/>
  <c r="D50" i="773"/>
  <c r="D44" i="773"/>
  <c r="D49" i="773"/>
  <c r="D47" i="773"/>
  <c r="D43" i="773"/>
  <c r="D41" i="773"/>
  <c r="D48" i="773"/>
  <c r="D36" i="773"/>
  <c r="D38" i="773"/>
  <c r="D37" i="773"/>
  <c r="D39" i="773"/>
  <c r="D45" i="773"/>
  <c r="D42" i="773"/>
  <c r="D40" i="773"/>
  <c r="D46" i="773"/>
  <c r="M20" i="776"/>
  <c r="P16" i="779"/>
  <c r="Q9" i="779"/>
  <c r="J37" i="777"/>
  <c r="J34" i="777"/>
  <c r="J30" i="777"/>
  <c r="J38" i="777"/>
  <c r="J40" i="777"/>
  <c r="J36" i="777"/>
  <c r="J31" i="777"/>
  <c r="J39" i="777"/>
  <c r="J32" i="777"/>
  <c r="J35" i="777"/>
  <c r="J28" i="777"/>
  <c r="J33" i="777"/>
  <c r="J29" i="777"/>
  <c r="J41" i="777"/>
  <c r="B20" i="778"/>
  <c r="F14" i="766"/>
  <c r="F13" i="766"/>
  <c r="F12" i="766"/>
  <c r="F16" i="766"/>
  <c r="F15" i="766"/>
  <c r="F11" i="766"/>
  <c r="F10" i="766"/>
  <c r="F17" i="766"/>
  <c r="R9" i="779"/>
  <c r="P9" i="779"/>
  <c r="R35" i="773"/>
  <c r="R41" i="773"/>
  <c r="R47" i="773"/>
  <c r="R48" i="773"/>
  <c r="R34" i="773"/>
  <c r="R39" i="773"/>
  <c r="R40" i="773"/>
  <c r="R45" i="773"/>
  <c r="R43" i="773"/>
  <c r="R44" i="773"/>
  <c r="R42" i="773"/>
  <c r="R36" i="773"/>
  <c r="R46" i="773"/>
  <c r="R37" i="773"/>
  <c r="R38" i="773"/>
  <c r="R16" i="779"/>
  <c r="A11" i="772" l="1"/>
  <c r="D7" i="772"/>
  <c r="C8" i="772"/>
  <c r="J7" i="772"/>
  <c r="I7" i="772"/>
  <c r="K6" i="772"/>
  <c r="N6" i="773"/>
  <c r="O5" i="773"/>
  <c r="R5" i="773" s="1"/>
  <c r="C38" i="773"/>
  <c r="A39" i="773"/>
  <c r="R10" i="776"/>
  <c r="F41" i="769"/>
  <c r="C38" i="769"/>
  <c r="E37" i="769"/>
  <c r="C14" i="767"/>
  <c r="E13" i="767"/>
  <c r="F33" i="769"/>
  <c r="C17" i="766"/>
  <c r="E17" i="766" s="1"/>
  <c r="E16" i="766"/>
  <c r="D7" i="770"/>
  <c r="E7" i="770" s="1"/>
  <c r="F7" i="770" s="1"/>
  <c r="J6" i="770" s="1"/>
  <c r="A8" i="770"/>
  <c r="F35" i="769"/>
  <c r="F32" i="769"/>
  <c r="M12" i="771"/>
  <c r="E7" i="773"/>
  <c r="H7" i="773" s="1"/>
  <c r="D8" i="773"/>
  <c r="F39" i="769"/>
  <c r="Q36" i="773"/>
  <c r="O37" i="773"/>
  <c r="E16" i="769"/>
  <c r="C17" i="769"/>
  <c r="F31" i="769"/>
  <c r="A9" i="771"/>
  <c r="D9" i="771" s="1"/>
  <c r="F37" i="769"/>
  <c r="D8" i="771"/>
  <c r="F36" i="769"/>
  <c r="F40" i="769"/>
  <c r="H10" i="776"/>
  <c r="I10" i="776" s="1"/>
  <c r="E13" i="776"/>
  <c r="E3" i="776"/>
  <c r="J27" i="777"/>
  <c r="J42" i="777" s="1"/>
  <c r="J44" i="777" s="1"/>
  <c r="B44" i="777"/>
  <c r="H5" i="776"/>
  <c r="I5" i="776" s="1"/>
  <c r="H8" i="776"/>
  <c r="I8" i="776" s="1"/>
  <c r="H7" i="776"/>
  <c r="I7" i="776" s="1"/>
  <c r="F9" i="771" l="1"/>
  <c r="E9" i="771"/>
  <c r="D8" i="772"/>
  <c r="C9" i="772"/>
  <c r="J8" i="772"/>
  <c r="D10" i="771"/>
  <c r="A10" i="771"/>
  <c r="E17" i="769"/>
  <c r="C18" i="769"/>
  <c r="E8" i="773"/>
  <c r="H8" i="773" s="1"/>
  <c r="D9" i="773"/>
  <c r="E14" i="767"/>
  <c r="C15" i="767"/>
  <c r="K7" i="772"/>
  <c r="I8" i="772"/>
  <c r="F8" i="771"/>
  <c r="E8" i="771"/>
  <c r="A9" i="770"/>
  <c r="D8" i="770"/>
  <c r="E8" i="770" s="1"/>
  <c r="F8" i="770" s="1"/>
  <c r="J7" i="770" s="1"/>
  <c r="K7" i="770" s="1"/>
  <c r="R11" i="776"/>
  <c r="A12" i="772"/>
  <c r="O6" i="773"/>
  <c r="R6" i="773" s="1"/>
  <c r="N7" i="773"/>
  <c r="Q37" i="773"/>
  <c r="O38" i="773"/>
  <c r="K6" i="770"/>
  <c r="C39" i="773"/>
  <c r="A40" i="773"/>
  <c r="E38" i="769"/>
  <c r="C39" i="769"/>
  <c r="I11" i="776"/>
  <c r="E14" i="776" s="1"/>
  <c r="E15" i="776" s="1"/>
  <c r="E18" i="776" s="1"/>
  <c r="O39" i="773" l="1"/>
  <c r="Q38" i="773"/>
  <c r="E15" i="767"/>
  <c r="C16" i="767"/>
  <c r="F10" i="771"/>
  <c r="E10" i="771"/>
  <c r="R12" i="776"/>
  <c r="D10" i="773"/>
  <c r="E9" i="773"/>
  <c r="H9" i="773" s="1"/>
  <c r="A10" i="770"/>
  <c r="D9" i="770"/>
  <c r="E9" i="770" s="1"/>
  <c r="F9" i="770" s="1"/>
  <c r="J8" i="770" s="1"/>
  <c r="K8" i="770" s="1"/>
  <c r="C19" i="769"/>
  <c r="E18" i="769"/>
  <c r="N8" i="773"/>
  <c r="O7" i="773"/>
  <c r="R7" i="773" s="1"/>
  <c r="J9" i="772"/>
  <c r="D9" i="772"/>
  <c r="C10" i="772"/>
  <c r="A41" i="773"/>
  <c r="C40" i="773"/>
  <c r="A13" i="772"/>
  <c r="E39" i="769"/>
  <c r="C40" i="769"/>
  <c r="I9" i="772"/>
  <c r="K8" i="772"/>
  <c r="A11" i="771"/>
  <c r="D11" i="771" s="1"/>
  <c r="F11" i="771" l="1"/>
  <c r="E11" i="771"/>
  <c r="C41" i="769"/>
  <c r="E41" i="769" s="1"/>
  <c r="E40" i="769"/>
  <c r="A11" i="770"/>
  <c r="D10" i="770"/>
  <c r="E10" i="770" s="1"/>
  <c r="F10" i="770" s="1"/>
  <c r="J9" i="770" s="1"/>
  <c r="K9" i="770" s="1"/>
  <c r="O8" i="773"/>
  <c r="R8" i="773" s="1"/>
  <c r="N9" i="773"/>
  <c r="C17" i="767"/>
  <c r="E16" i="767"/>
  <c r="A12" i="771"/>
  <c r="K9" i="772"/>
  <c r="I10" i="772"/>
  <c r="C41" i="773"/>
  <c r="A42" i="773"/>
  <c r="E10" i="773"/>
  <c r="H10" i="773" s="1"/>
  <c r="D11" i="773"/>
  <c r="Q39" i="773"/>
  <c r="O40" i="773"/>
  <c r="D10" i="772"/>
  <c r="C11" i="772"/>
  <c r="J10" i="772"/>
  <c r="E19" i="769"/>
  <c r="C20" i="769"/>
  <c r="E20" i="769" s="1"/>
  <c r="R13" i="776"/>
  <c r="C18" i="767" l="1"/>
  <c r="E17" i="767"/>
  <c r="I11" i="772"/>
  <c r="K10" i="772"/>
  <c r="O9" i="773"/>
  <c r="R9" i="773" s="1"/>
  <c r="N10" i="773"/>
  <c r="Q40" i="773"/>
  <c r="O41" i="773"/>
  <c r="A43" i="773"/>
  <c r="C42" i="773"/>
  <c r="R14" i="776"/>
  <c r="J11" i="772"/>
  <c r="C12" i="772"/>
  <c r="D11" i="772"/>
  <c r="D12" i="773"/>
  <c r="E11" i="773"/>
  <c r="H11" i="773" s="1"/>
  <c r="D12" i="771"/>
  <c r="A12" i="770"/>
  <c r="D12" i="770" s="1"/>
  <c r="D11" i="770"/>
  <c r="E11" i="770" s="1"/>
  <c r="F11" i="770" s="1"/>
  <c r="J10" i="770" s="1"/>
  <c r="D12" i="772" l="1"/>
  <c r="J12" i="772"/>
  <c r="C13" i="772"/>
  <c r="O10" i="773"/>
  <c r="R10" i="773" s="1"/>
  <c r="N11" i="773"/>
  <c r="E13" i="770"/>
  <c r="F13" i="770" s="1"/>
  <c r="E12" i="770"/>
  <c r="F12" i="770" s="1"/>
  <c r="J11" i="770" s="1"/>
  <c r="K11" i="772"/>
  <c r="I12" i="772"/>
  <c r="F12" i="771"/>
  <c r="F14" i="771" s="1"/>
  <c r="F17" i="771" s="1"/>
  <c r="F18" i="771" s="1"/>
  <c r="E12" i="771"/>
  <c r="E14" i="771" s="1"/>
  <c r="F16" i="771" s="1"/>
  <c r="R15" i="776"/>
  <c r="C43" i="773"/>
  <c r="A44" i="773"/>
  <c r="K10" i="770"/>
  <c r="E12" i="773"/>
  <c r="H12" i="773" s="1"/>
  <c r="D13" i="773"/>
  <c r="Q41" i="773"/>
  <c r="O42" i="773"/>
  <c r="E18" i="767"/>
  <c r="C19" i="767"/>
  <c r="K11" i="770" l="1"/>
  <c r="K12" i="770" s="1"/>
  <c r="K16" i="770" s="1"/>
  <c r="K14" i="770"/>
  <c r="K15" i="770" s="1"/>
  <c r="E19" i="767"/>
  <c r="C20" i="767"/>
  <c r="C44" i="773"/>
  <c r="A45" i="773"/>
  <c r="Y3" i="776"/>
  <c r="U15" i="776" s="1"/>
  <c r="N12" i="773"/>
  <c r="O11" i="773"/>
  <c r="R11" i="773" s="1"/>
  <c r="F14" i="770"/>
  <c r="E13" i="773"/>
  <c r="H13" i="773" s="1"/>
  <c r="D14" i="773"/>
  <c r="H6" i="771"/>
  <c r="I6" i="771" s="1"/>
  <c r="J6" i="771" s="1"/>
  <c r="N5" i="771" s="1"/>
  <c r="O5" i="771" s="1"/>
  <c r="H4" i="771"/>
  <c r="I4" i="771" s="1"/>
  <c r="J4" i="771" s="1"/>
  <c r="H5" i="771"/>
  <c r="H7" i="771"/>
  <c r="I7" i="771" s="1"/>
  <c r="J7" i="771" s="1"/>
  <c r="N6" i="771" s="1"/>
  <c r="O6" i="771" s="1"/>
  <c r="H8" i="771"/>
  <c r="I8" i="771" s="1"/>
  <c r="J8" i="771" s="1"/>
  <c r="N7" i="771" s="1"/>
  <c r="O7" i="771" s="1"/>
  <c r="H9" i="771"/>
  <c r="H10" i="771"/>
  <c r="H11" i="771"/>
  <c r="I11" i="771" s="1"/>
  <c r="J11" i="771" s="1"/>
  <c r="N10" i="771" s="1"/>
  <c r="O10" i="771" s="1"/>
  <c r="H12" i="771"/>
  <c r="J13" i="772"/>
  <c r="D13" i="772"/>
  <c r="G13" i="772" s="1"/>
  <c r="O43" i="773"/>
  <c r="Q42" i="773"/>
  <c r="J12" i="770"/>
  <c r="K12" i="772"/>
  <c r="I13" i="772"/>
  <c r="Q43" i="773" l="1"/>
  <c r="O44" i="773"/>
  <c r="I5" i="771"/>
  <c r="J5" i="771" s="1"/>
  <c r="D15" i="773"/>
  <c r="E14" i="773"/>
  <c r="H14" i="773" s="1"/>
  <c r="N4" i="771"/>
  <c r="I13" i="771"/>
  <c r="J13" i="771" s="1"/>
  <c r="I12" i="771"/>
  <c r="J12" i="771" s="1"/>
  <c r="C45" i="773"/>
  <c r="A46" i="773"/>
  <c r="K13" i="772"/>
  <c r="N5" i="772"/>
  <c r="I10" i="771"/>
  <c r="J10" i="771" s="1"/>
  <c r="N9" i="771" s="1"/>
  <c r="O9" i="771" s="1"/>
  <c r="C21" i="767"/>
  <c r="E20" i="767"/>
  <c r="J14" i="772"/>
  <c r="N4" i="772" s="1"/>
  <c r="N7" i="772"/>
  <c r="U4" i="776"/>
  <c r="Y4" i="776"/>
  <c r="Y11" i="776"/>
  <c r="Y10" i="776"/>
  <c r="U6" i="776"/>
  <c r="U5" i="776"/>
  <c r="U7" i="776"/>
  <c r="U8" i="776"/>
  <c r="U9" i="776"/>
  <c r="U10" i="776"/>
  <c r="U11" i="776"/>
  <c r="U12" i="776"/>
  <c r="U13" i="776"/>
  <c r="U14" i="776"/>
  <c r="I9" i="771"/>
  <c r="J9" i="771" s="1"/>
  <c r="N8" i="771" s="1"/>
  <c r="O8" i="771" s="1"/>
  <c r="N13" i="773"/>
  <c r="O12" i="773"/>
  <c r="R12" i="773" s="1"/>
  <c r="N11" i="771" l="1"/>
  <c r="O11" i="771" s="1"/>
  <c r="N6" i="772"/>
  <c r="E4" i="772"/>
  <c r="F4" i="772" s="1"/>
  <c r="E15" i="773"/>
  <c r="H15" i="773" s="1"/>
  <c r="D16" i="773"/>
  <c r="C22" i="767"/>
  <c r="E21" i="767"/>
  <c r="V14" i="776"/>
  <c r="V5" i="776" s="1"/>
  <c r="N12" i="771"/>
  <c r="O14" i="771"/>
  <c r="O15" i="771" s="1"/>
  <c r="O4" i="771"/>
  <c r="O12" i="771" s="1"/>
  <c r="O16" i="771" s="1"/>
  <c r="Y5" i="776"/>
  <c r="V15" i="776" s="1"/>
  <c r="V4" i="776" s="1"/>
  <c r="Y9" i="776" s="1"/>
  <c r="Y12" i="776" s="1"/>
  <c r="Y13" i="776" s="1"/>
  <c r="Y15" i="776" s="1"/>
  <c r="A47" i="773"/>
  <c r="C46" i="773"/>
  <c r="Q44" i="773"/>
  <c r="O45" i="773"/>
  <c r="O13" i="773"/>
  <c r="R13" i="773" s="1"/>
  <c r="N14" i="773"/>
  <c r="N8" i="772"/>
  <c r="N9" i="772" s="1"/>
  <c r="N10" i="772" s="1"/>
  <c r="E9" i="772" s="1"/>
  <c r="F9" i="772" s="1"/>
  <c r="G9" i="772" l="1"/>
  <c r="O14" i="773"/>
  <c r="R14" i="773" s="1"/>
  <c r="N15" i="773"/>
  <c r="Q45" i="773"/>
  <c r="O46" i="773"/>
  <c r="E16" i="773"/>
  <c r="H16" i="773" s="1"/>
  <c r="D17" i="773"/>
  <c r="E6" i="772"/>
  <c r="F6" i="772" s="1"/>
  <c r="E12" i="772"/>
  <c r="F12" i="772" s="1"/>
  <c r="E5" i="772"/>
  <c r="F5" i="772" s="1"/>
  <c r="C47" i="773"/>
  <c r="A48" i="773"/>
  <c r="E11" i="772"/>
  <c r="F11" i="772" s="1"/>
  <c r="Y6" i="776"/>
  <c r="E10" i="772"/>
  <c r="F10" i="772" s="1"/>
  <c r="G4" i="772"/>
  <c r="S4" i="772"/>
  <c r="T4" i="772" s="1"/>
  <c r="E7" i="772"/>
  <c r="F7" i="772" s="1"/>
  <c r="E8" i="772"/>
  <c r="F8" i="772" s="1"/>
  <c r="E22" i="767"/>
  <c r="C23" i="767"/>
  <c r="V7" i="776" l="1"/>
  <c r="V13" i="776"/>
  <c r="V11" i="776"/>
  <c r="V9" i="776"/>
  <c r="V8" i="776"/>
  <c r="V12" i="776"/>
  <c r="V10" i="776"/>
  <c r="V6" i="776"/>
  <c r="S10" i="772"/>
  <c r="T10" i="772" s="1"/>
  <c r="G10" i="772"/>
  <c r="E17" i="773"/>
  <c r="H17" i="773" s="1"/>
  <c r="D18" i="773"/>
  <c r="E18" i="773" s="1"/>
  <c r="H18" i="773" s="1"/>
  <c r="H20" i="773" s="1"/>
  <c r="G8" i="774" s="1"/>
  <c r="G9" i="774" s="1"/>
  <c r="E23" i="767"/>
  <c r="C24" i="767"/>
  <c r="O47" i="773"/>
  <c r="Q46" i="773"/>
  <c r="C48" i="773"/>
  <c r="A49" i="773"/>
  <c r="G8" i="772"/>
  <c r="S8" i="772"/>
  <c r="T8" i="772" s="1"/>
  <c r="O15" i="773"/>
  <c r="R15" i="773" s="1"/>
  <c r="N16" i="773"/>
  <c r="S7" i="772"/>
  <c r="T7" i="772" s="1"/>
  <c r="G7" i="772"/>
  <c r="G5" i="772"/>
  <c r="S5" i="772"/>
  <c r="T5" i="772" s="1"/>
  <c r="S13" i="772"/>
  <c r="T13" i="772" s="1"/>
  <c r="S12" i="772"/>
  <c r="T12" i="772" s="1"/>
  <c r="G12" i="772"/>
  <c r="S9" i="772"/>
  <c r="T9" i="772" s="1"/>
  <c r="G11" i="772"/>
  <c r="S11" i="772"/>
  <c r="T11" i="772" s="1"/>
  <c r="S6" i="772"/>
  <c r="T6" i="772" s="1"/>
  <c r="T18" i="772" s="1"/>
  <c r="T19" i="772" s="1"/>
  <c r="G6" i="772"/>
  <c r="G15" i="772" s="1"/>
  <c r="B8" i="774" s="1"/>
  <c r="B9" i="774" s="1"/>
  <c r="C25" i="767" l="1"/>
  <c r="E24" i="767"/>
  <c r="T15" i="772"/>
  <c r="T16" i="772" s="1"/>
  <c r="Q47" i="773"/>
  <c r="O48" i="773"/>
  <c r="Q48" i="773" s="1"/>
  <c r="O16" i="773"/>
  <c r="R16" i="773" s="1"/>
  <c r="N17" i="773"/>
  <c r="C49" i="773"/>
  <c r="A50" i="773"/>
  <c r="C50" i="773" s="1"/>
  <c r="O17" i="773" l="1"/>
  <c r="R17" i="773" s="1"/>
  <c r="N18" i="773"/>
  <c r="O18" i="773" s="1"/>
  <c r="R18" i="773" s="1"/>
  <c r="R20" i="773" s="1"/>
  <c r="C26" i="767"/>
  <c r="E25" i="767"/>
  <c r="E26" i="767" l="1"/>
  <c r="C27" i="767"/>
  <c r="E27" i="767" l="1"/>
  <c r="C28" i="767"/>
  <c r="E28" i="767" l="1"/>
  <c r="C29" i="767"/>
  <c r="E29" i="767" s="1"/>
</calcChain>
</file>

<file path=xl/sharedStrings.xml><?xml version="1.0" encoding="utf-8"?>
<sst xmlns="http://schemas.openxmlformats.org/spreadsheetml/2006/main" count="1191" uniqueCount="414">
  <si>
    <t>Table of Contents</t>
  </si>
  <si>
    <t>Age</t>
  </si>
  <si>
    <t>x</t>
  </si>
  <si>
    <t>Geometric Mean</t>
  </si>
  <si>
    <t>mean</t>
  </si>
  <si>
    <t>var</t>
  </si>
  <si>
    <t>stdev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</si>
  <si>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</si>
  <si>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</si>
  <si>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</si>
  <si>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</si>
  <si>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</si>
  <si>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</si>
  <si>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</si>
  <si>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</si>
  <si>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</si>
  <si>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</si>
  <si>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</si>
  <si>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</si>
  <si>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</si>
  <si>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Harmonic Mean</t>
  </si>
  <si>
    <t>AAD</t>
  </si>
  <si>
    <t>MAD</t>
  </si>
  <si>
    <t>IQR</t>
  </si>
  <si>
    <t>Descriptive Statistics</t>
  </si>
  <si>
    <t>Sample 1</t>
  </si>
  <si>
    <t>Sample 2</t>
  </si>
  <si>
    <t>freq</t>
  </si>
  <si>
    <t>lower</t>
  </si>
  <si>
    <t>upper</t>
  </si>
  <si>
    <t>n</t>
  </si>
  <si>
    <t>Frequency</t>
  </si>
  <si>
    <t>Bins</t>
  </si>
  <si>
    <t>Bin</t>
  </si>
  <si>
    <t>More</t>
  </si>
  <si>
    <t>Alpha</t>
  </si>
  <si>
    <t>z</t>
  </si>
  <si>
    <t>Frequency Table</t>
  </si>
  <si>
    <t>Score</t>
  </si>
  <si>
    <t>Freq</t>
  </si>
  <si>
    <t>Raw Data</t>
  </si>
  <si>
    <t>a</t>
  </si>
  <si>
    <t>b</t>
  </si>
  <si>
    <t>d</t>
  </si>
  <si>
    <t>α = .10</t>
  </si>
  <si>
    <t>α = .05</t>
  </si>
  <si>
    <t>α = .01</t>
  </si>
  <si>
    <t>α</t>
  </si>
  <si>
    <t>Min</t>
  </si>
  <si>
    <t>Q1-Min</t>
  </si>
  <si>
    <t>Med-Q1</t>
  </si>
  <si>
    <t>Q3-Med</t>
  </si>
  <si>
    <t>Max-Q3</t>
  </si>
  <si>
    <t>Q1</t>
  </si>
  <si>
    <t>Std Dev</t>
  </si>
  <si>
    <t>df</t>
  </si>
  <si>
    <t>t</t>
  </si>
  <si>
    <t>p-value</t>
  </si>
  <si>
    <t>reject</t>
  </si>
  <si>
    <t>Group 1</t>
  </si>
  <si>
    <t>QQ Tables</t>
  </si>
  <si>
    <t>Interval</t>
  </si>
  <si>
    <t>Data</t>
  </si>
  <si>
    <t>Std Data</t>
  </si>
  <si>
    <t>std dev</t>
  </si>
  <si>
    <t>Before</t>
  </si>
  <si>
    <t>After</t>
  </si>
  <si>
    <t>-</t>
  </si>
  <si>
    <r>
      <t xml:space="preserve">n \ </t>
    </r>
    <r>
      <rPr>
        <vertAlign val="superscript"/>
        <sz val="18"/>
        <color theme="1"/>
        <rFont val="Calibri"/>
        <family val="2"/>
      </rPr>
      <t>α</t>
    </r>
  </si>
  <si>
    <t>  ___</t>
  </si>
  <si>
    <t>  ___</t>
  </si>
  <si>
    <t>___</t>
  </si>
  <si>
    <t>Shapiro-Wilk Tables</t>
  </si>
  <si>
    <t>n =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</si>
  <si>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</si>
  <si>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</si>
  <si>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</si>
  <si>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</si>
  <si>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</si>
  <si>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</si>
  <si>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</si>
  <si>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</si>
  <si>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</si>
  <si>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</si>
  <si>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</si>
  <si>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</si>
  <si>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</si>
  <si>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r>
      <t xml:space="preserve">n \ </t>
    </r>
    <r>
      <rPr>
        <vertAlign val="superscript"/>
        <sz val="16"/>
        <color theme="1"/>
        <rFont val="Calibri"/>
        <family val="2"/>
        <scheme val="minor"/>
      </rPr>
      <t>p</t>
    </r>
  </si>
  <si>
    <t>alpha</t>
  </si>
  <si>
    <t>chi-sq</t>
  </si>
  <si>
    <t>D</t>
  </si>
  <si>
    <t>A</t>
  </si>
  <si>
    <t>count</t>
  </si>
  <si>
    <t>Std Norm</t>
  </si>
  <si>
    <t>QQ Plot</t>
  </si>
  <si>
    <t>SS</t>
  </si>
  <si>
    <t>Sorted</t>
  </si>
  <si>
    <t>sig</t>
  </si>
  <si>
    <t>m</t>
  </si>
  <si>
    <t>Q3</t>
  </si>
  <si>
    <t>Diff</t>
  </si>
  <si>
    <t>W</t>
  </si>
  <si>
    <r>
      <t>Ö</t>
    </r>
    <r>
      <rPr>
        <sz val="9"/>
        <color rgb="FF000000"/>
        <rFont val="Arial"/>
        <family val="2"/>
      </rPr>
      <t xml:space="preserve">  n</t>
    </r>
  </si>
  <si>
    <t>If calculated ratio is greater than value shown, then reject</t>
  </si>
  <si>
    <r>
      <t>the null hypothesis at the chosen level of confidence (</t>
    </r>
    <r>
      <rPr>
        <sz val="11"/>
        <color theme="1"/>
        <rFont val="Calibri"/>
        <family val="2"/>
      </rPr>
      <t>α)</t>
    </r>
    <r>
      <rPr>
        <sz val="11"/>
        <color theme="1"/>
        <rFont val="Calibri"/>
        <family val="2"/>
        <scheme val="minor"/>
      </rPr>
      <t>.</t>
    </r>
  </si>
  <si>
    <t>OVER 50</t>
  </si>
  <si>
    <t>a14</t>
  </si>
  <si>
    <t>a15</t>
  </si>
  <si>
    <t/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</si>
  <si>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</si>
  <si>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</si>
  <si>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</si>
  <si>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</si>
  <si>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</si>
  <si>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</si>
  <si>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</si>
  <si>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</si>
  <si>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</si>
  <si>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</si>
  <si>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Concise Table of Contents</t>
  </si>
  <si>
    <t>Tables</t>
  </si>
  <si>
    <t>Shapiro Wilk Tables</t>
  </si>
  <si>
    <t>item</t>
  </si>
  <si>
    <t>Index</t>
  </si>
  <si>
    <t>u</t>
  </si>
  <si>
    <t>Box Plot</t>
  </si>
  <si>
    <t>Shapiro-Wilk Test</t>
  </si>
  <si>
    <t>normal</t>
  </si>
  <si>
    <t>France</t>
  </si>
  <si>
    <t>Italy</t>
  </si>
  <si>
    <t>cum</t>
  </si>
  <si>
    <t>Bin size</t>
  </si>
  <si>
    <t>Table 2 - p-values</t>
  </si>
  <si>
    <t>Table 1 - coefficients</t>
  </si>
  <si>
    <t>Kolmogorov-Smirnov two sample test</t>
  </si>
  <si>
    <t>KS test (Example 1)</t>
  </si>
  <si>
    <t>Kolmogrov-Smirnov Table - one sample</t>
  </si>
  <si>
    <t>lambda</t>
  </si>
  <si>
    <t>Kolmogorov-Smirnov one sample test</t>
  </si>
  <si>
    <t>KS Test for exponential distribution (Example 1)</t>
  </si>
  <si>
    <t>Real Statistics functions</t>
  </si>
  <si>
    <t>Two sample KS test (freq)</t>
  </si>
  <si>
    <t>Two sample KS test (raw)</t>
  </si>
  <si>
    <t>Lilliefors Test Table</t>
  </si>
  <si>
    <t>OVER 30</t>
  </si>
  <si>
    <t>f(n)</t>
  </si>
  <si>
    <t>Lilliefors Test Table - original table</t>
  </si>
  <si>
    <t>Lilliefors Test Table - newer, enlarged table</t>
  </si>
  <si>
    <t>Grand Min</t>
  </si>
  <si>
    <t>Two Sample Kolmogorov-Smirnov Table</t>
  </si>
  <si>
    <t>Kolmogrov-Smirnov Table - two sample</t>
  </si>
  <si>
    <t>α = .02</t>
  </si>
  <si>
    <t>α = .20</t>
  </si>
  <si>
    <t>Normality with known parameters</t>
  </si>
  <si>
    <t>Normality with unknown parameters</t>
  </si>
  <si>
    <t>Gamma distribution</t>
  </si>
  <si>
    <t>Chi-square Goodness of Fit</t>
  </si>
  <si>
    <t>Normality example</t>
  </si>
  <si>
    <t>Chi-square test</t>
  </si>
  <si>
    <t>Anderson-Darling Test Normality</t>
  </si>
  <si>
    <t>QQ Plot - Group 1</t>
  </si>
  <si>
    <t>i</t>
  </si>
  <si>
    <t>F(x)</t>
  </si>
  <si>
    <t>F(x*)</t>
  </si>
  <si>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.6</t>
    </r>
  </si>
  <si>
    <t>crit (.05)</t>
  </si>
  <si>
    <t>crit (.025)</t>
  </si>
  <si>
    <t>Anderson-Darling Test</t>
  </si>
  <si>
    <t>Distrib</t>
  </si>
  <si>
    <t>Normal</t>
  </si>
  <si>
    <t>AD stat</t>
  </si>
  <si>
    <t>Method</t>
  </si>
  <si>
    <t>Moments</t>
  </si>
  <si>
    <t>crit</t>
  </si>
  <si>
    <t>=ANDERSON(C4:C18)</t>
  </si>
  <si>
    <t>AD Stat</t>
  </si>
  <si>
    <t>Explicit</t>
  </si>
  <si>
    <t>crit value</t>
  </si>
  <si>
    <t>Anderson-Darling Test (Gamma)</t>
  </si>
  <si>
    <t>Gamma</t>
  </si>
  <si>
    <t>Chi-square Goodness of Fit Test</t>
  </si>
  <si>
    <t>data</t>
  </si>
  <si>
    <t>exp cdf</t>
  </si>
  <si>
    <t>exp</t>
  </si>
  <si>
    <t>Est. from sample</t>
  </si>
  <si>
    <t>Known parameters</t>
  </si>
  <si>
    <t>Weibull</t>
  </si>
  <si>
    <t>Expon</t>
  </si>
  <si>
    <t>MLE</t>
  </si>
  <si>
    <t>Anderson-Darling test (parameters estimated from samples)</t>
  </si>
  <si>
    <t>Anderson-Darling test (no unknown parameters)</t>
  </si>
  <si>
    <t>Kolmogrov-Smirnov (one sample, exponential distribution)</t>
  </si>
  <si>
    <t>Cumul</t>
  </si>
  <si>
    <r>
      <t>S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(x)</t>
    </r>
  </si>
  <si>
    <t>Difference</t>
  </si>
  <si>
    <r>
      <t>D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</t>
    </r>
  </si>
  <si>
    <r>
      <t>D</t>
    </r>
    <r>
      <rPr>
        <vertAlign val="subscript"/>
        <sz val="11"/>
        <color theme="1"/>
        <rFont val="Calibri"/>
        <family val="2"/>
        <scheme val="minor"/>
      </rPr>
      <t>n,</t>
    </r>
    <r>
      <rPr>
        <vertAlign val="subscript"/>
        <sz val="11"/>
        <color theme="1"/>
        <rFont val="Calibri"/>
        <family val="2"/>
      </rPr>
      <t xml:space="preserve">α </t>
    </r>
    <r>
      <rPr>
        <sz val="11"/>
        <color theme="1"/>
        <rFont val="Calibri"/>
        <family val="2"/>
      </rPr>
      <t>=</t>
    </r>
  </si>
  <si>
    <t>D-crit</t>
  </si>
  <si>
    <t>KS Two Sample Test</t>
  </si>
  <si>
    <t>Men</t>
  </si>
  <si>
    <t>Women</t>
  </si>
  <si>
    <t>Cum% M</t>
  </si>
  <si>
    <t>Cum% W</t>
  </si>
  <si>
    <t>Cum% It</t>
  </si>
  <si>
    <t>Cum% Fr</t>
  </si>
  <si>
    <t>21-22</t>
  </si>
  <si>
    <t>23-24</t>
  </si>
  <si>
    <t>25-26</t>
  </si>
  <si>
    <t>27-28</t>
  </si>
  <si>
    <t>29-30</t>
  </si>
  <si>
    <t>31-32</t>
  </si>
  <si>
    <t>33-34</t>
  </si>
  <si>
    <t>35-36</t>
  </si>
  <si>
    <t>D-stat</t>
  </si>
  <si>
    <t>37-38</t>
  </si>
  <si>
    <t>39-40</t>
  </si>
  <si>
    <t>Data Analysis Tool</t>
  </si>
  <si>
    <t>Two Sample Kolmogorov-Smirnov Test</t>
  </si>
  <si>
    <t>Testing for Normality and Symmetry</t>
  </si>
  <si>
    <t>Z-scores</t>
  </si>
  <si>
    <t>Test for Normality - Histogram</t>
  </si>
  <si>
    <t>QQ Plot - Scores</t>
  </si>
  <si>
    <t>Scores</t>
  </si>
  <si>
    <t>Test for Normality - QQ Plot</t>
  </si>
  <si>
    <t>JB</t>
  </si>
  <si>
    <t>=CHISQ.DIST.RT(D21,2)</t>
  </si>
  <si>
    <t>JB Test</t>
  </si>
  <si>
    <t>S.E. Kurt</t>
  </si>
  <si>
    <t>S.E. Skew</t>
  </si>
  <si>
    <t>Kurt</t>
  </si>
  <si>
    <t>Skew</t>
  </si>
  <si>
    <t>Skewness and Kurtosis (Population)</t>
  </si>
  <si>
    <t>Skewness and Kurtosis (Sample)</t>
  </si>
  <si>
    <t>Test for normality/symmetry using Box Plot and Skewness/Kurtosis</t>
  </si>
  <si>
    <t>Skewness and kurtosis</t>
  </si>
  <si>
    <t>Log transform</t>
  </si>
  <si>
    <t>Raw data</t>
  </si>
  <si>
    <t>Transformations - Log</t>
  </si>
  <si>
    <r>
      <rPr>
        <sz val="11"/>
        <color theme="1"/>
        <rFont val="Calibri"/>
        <family val="2"/>
      </rPr>
      <t>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-crit</t>
    </r>
  </si>
  <si>
    <t>over 8</t>
  </si>
  <si>
    <t>over 7</t>
  </si>
  <si>
    <r>
      <t>(O-E)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/E</t>
    </r>
  </si>
  <si>
    <t>Exp Freq</t>
  </si>
  <si>
    <t>Obs Freq</t>
  </si>
  <si>
    <t>Up to</t>
  </si>
  <si>
    <t>P(a&lt;x&lt;=b)</t>
  </si>
  <si>
    <t>P(x&lt;=b)</t>
  </si>
  <si>
    <t>Test for Normality - Chi-Square</t>
  </si>
  <si>
    <r>
      <t>fx</t>
    </r>
    <r>
      <rPr>
        <vertAlign val="superscript"/>
        <sz val="11"/>
        <color theme="1"/>
        <rFont val="Calibri"/>
        <family val="2"/>
        <scheme val="minor"/>
      </rPr>
      <t>2</t>
    </r>
  </si>
  <si>
    <t>fx</t>
  </si>
  <si>
    <t>x = midpt</t>
  </si>
  <si>
    <t>=1-KDIST(G15*SQRT(B14)) or KSDIST(G15,B14)</t>
  </si>
  <si>
    <t>=KINV(0.05)/SQRT(B14) or KSINV(.05,1000)</t>
  </si>
  <si>
    <t>Chi-sq</t>
  </si>
  <si>
    <t>=KSPROB(G15,B14)</t>
  </si>
  <si>
    <t>=KSCRIT(B14,0.05)</t>
  </si>
  <si>
    <r>
      <t>D</t>
    </r>
    <r>
      <rPr>
        <vertAlign val="subscript"/>
        <sz val="11"/>
        <color theme="1"/>
        <rFont val="Calibri"/>
        <family val="2"/>
        <scheme val="minor"/>
      </rPr>
      <t>n,</t>
    </r>
    <r>
      <rPr>
        <vertAlign val="subscript"/>
        <sz val="11"/>
        <color theme="1"/>
        <rFont val="Calibri"/>
        <family val="2"/>
      </rPr>
      <t>α</t>
    </r>
  </si>
  <si>
    <r>
      <t>D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max</t>
    </r>
  </si>
  <si>
    <t>=SQRT(N9)</t>
  </si>
  <si>
    <t>=N8*J14/(J14-1)</t>
  </si>
  <si>
    <t>=N7-N6</t>
  </si>
  <si>
    <t>varp</t>
  </si>
  <si>
    <t>=SUMPRODUCT(J4:J13,K4:K13)/B14</t>
  </si>
  <si>
    <t>sq-sum/n</t>
  </si>
  <si>
    <t>=N5^2</t>
  </si>
  <si>
    <t>mean-sq</t>
  </si>
  <si>
    <t>=SUMPRODUCT(I4:I13,J4:J1e)/B14</t>
  </si>
  <si>
    <t>=J14</t>
  </si>
  <si>
    <t>n = count</t>
  </si>
  <si>
    <t>Exp</t>
  </si>
  <si>
    <t>Obs</t>
  </si>
  <si>
    <t>midpt-sq</t>
  </si>
  <si>
    <t>midpt</t>
  </si>
  <si>
    <t>Z-Score</t>
  </si>
  <si>
    <t>Chi-square</t>
  </si>
  <si>
    <t>Calculate mean and std dev</t>
  </si>
  <si>
    <t>Kolmogrov-Smirnov</t>
  </si>
  <si>
    <t>=KSPROB(U20,L21)</t>
  </si>
  <si>
    <t>=KSCRIT(L21,0.05)</t>
  </si>
  <si>
    <r>
      <t>D</t>
    </r>
    <r>
      <rPr>
        <vertAlign val="subscript"/>
        <sz val="11"/>
        <color theme="1"/>
        <rFont val="Calibri"/>
        <family val="2"/>
        <scheme val="minor"/>
      </rPr>
      <t>n</t>
    </r>
  </si>
  <si>
    <r>
      <t>D</t>
    </r>
    <r>
      <rPr>
        <vertAlign val="subscript"/>
        <sz val="11"/>
        <color theme="1"/>
        <rFont val="Calibri"/>
        <family val="2"/>
        <scheme val="minor"/>
      </rPr>
      <t>n,α</t>
    </r>
  </si>
  <si>
    <t>Lilliefors Test</t>
  </si>
  <si>
    <r>
      <t>W = b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/SS</t>
    </r>
  </si>
  <si>
    <t>x7 - x6</t>
  </si>
  <si>
    <t>x8 - x5</t>
  </si>
  <si>
    <t>x9 - x4</t>
  </si>
  <si>
    <t>x10 - x3</t>
  </si>
  <si>
    <t>ϵ</t>
  </si>
  <si>
    <t>x11 - x2</t>
  </si>
  <si>
    <t>x12 - x1</t>
  </si>
  <si>
    <t>a*diff</t>
  </si>
  <si>
    <t>diff</t>
  </si>
  <si>
    <t>ai</t>
  </si>
  <si>
    <t>mi</t>
  </si>
  <si>
    <t>Coeff</t>
  </si>
  <si>
    <t>Royston Method</t>
  </si>
  <si>
    <t>Royston Method - using Real Statistics formulas</t>
  </si>
  <si>
    <t>Test for Normality - Shapiro-Wilk</t>
  </si>
  <si>
    <t>=SHAPIRO(B25:B39)</t>
  </si>
  <si>
    <t>den</t>
  </si>
  <si>
    <t>num</t>
  </si>
  <si>
    <t>Coeff x Data</t>
  </si>
  <si>
    <t>Alternative way of calculating W</t>
  </si>
  <si>
    <t>Royston algorithm via Real Statistics functions</t>
  </si>
  <si>
    <t>x9 - x7</t>
  </si>
  <si>
    <t>x10 - x6</t>
  </si>
  <si>
    <t>x11 - x5</t>
  </si>
  <si>
    <t>x12 - x4</t>
  </si>
  <si>
    <t>SWPROB</t>
  </si>
  <si>
    <t>x13 - x3</t>
  </si>
  <si>
    <t>SWTEST</t>
  </si>
  <si>
    <t>x14 - x2</t>
  </si>
  <si>
    <t>SHAPIRO</t>
  </si>
  <si>
    <t>x15 - x1</t>
  </si>
  <si>
    <t>Using the Real Statistics functions (SW algorithm)</t>
  </si>
  <si>
    <t>Using unsorted data</t>
  </si>
  <si>
    <t xml:space="preserve"> =IF(B18&lt;=B19,"yes","no")</t>
  </si>
  <si>
    <t xml:space="preserve"> =SWTEST(A3:E14)</t>
  </si>
  <si>
    <t xml:space="preserve"> =SHAPIRO(A3:E14)</t>
  </si>
  <si>
    <t>Coefficients</t>
  </si>
  <si>
    <t>Sorted data</t>
  </si>
  <si>
    <t>Sample 3</t>
  </si>
  <si>
    <t>Shapiro-Wilk Test using data analysis tool</t>
  </si>
  <si>
    <t>Graphical tests</t>
  </si>
  <si>
    <t>Testing for normality via histogram (Example 1)</t>
  </si>
  <si>
    <t>Testing for normality via QQ plot (Example 2)</t>
  </si>
  <si>
    <t>Testing for normality via QQ plot (Example 3)</t>
  </si>
  <si>
    <t>Testing for normality/symmetry via Box plot (Example 4)</t>
  </si>
  <si>
    <t>Analysis of skewness and kurtosis</t>
  </si>
  <si>
    <t>Testing for normality using skewness and kurtosis (Example 1)</t>
  </si>
  <si>
    <t>Statistical tests</t>
  </si>
  <si>
    <t>Chi-square test for normality</t>
  </si>
  <si>
    <t>Chi-square Test (Example 1)</t>
  </si>
  <si>
    <t>Chi-square Test (Example 2)</t>
  </si>
  <si>
    <t>Kolmogorov-Smirnov test</t>
  </si>
  <si>
    <t>KS Test (Example 1)</t>
  </si>
  <si>
    <t>KS Test (Example 2)</t>
  </si>
  <si>
    <t>Lilliefors Test (Example 3)</t>
  </si>
  <si>
    <t>Shapiro-Wilk original test</t>
  </si>
  <si>
    <t>SW Test (Example 1)</t>
  </si>
  <si>
    <t>SW Test (Example 2)</t>
  </si>
  <si>
    <t>Shapiro-Wilk expanded test</t>
  </si>
  <si>
    <t>SW Test using Real Statistics formulas (Example 1)</t>
  </si>
  <si>
    <t>SW Test using Real Statistics formulas (Example 2)</t>
  </si>
  <si>
    <t>SW Test using Real Statistics data analysis tool (Example 3)</t>
  </si>
  <si>
    <t>D'Agostino-Pearson test</t>
  </si>
  <si>
    <t>D'Agostino-Pearson test (Example 1)</t>
  </si>
  <si>
    <t>Transformations</t>
  </si>
  <si>
    <t>Log transformation (Example 1)</t>
  </si>
  <si>
    <t>Anderson-Darling Tables</t>
  </si>
  <si>
    <r>
      <t xml:space="preserve">k \ </t>
    </r>
    <r>
      <rPr>
        <sz val="11"/>
        <color theme="1"/>
        <rFont val="Calibri"/>
        <family val="2"/>
      </rPr>
      <t>α</t>
    </r>
  </si>
  <si>
    <t>Kolmogrov-Smirnov (one sample, normal distribution)</t>
  </si>
  <si>
    <t>W-stat</t>
  </si>
  <si>
    <t>d'Agostino-Pearson</t>
  </si>
  <si>
    <t>DA-stat</t>
  </si>
  <si>
    <t>Max</t>
  </si>
  <si>
    <t>Log Transformation</t>
  </si>
  <si>
    <t>D'Agostino-Pearson Test</t>
  </si>
  <si>
    <t>Skewness Test</t>
  </si>
  <si>
    <t>Kurtosis Test</t>
  </si>
  <si>
    <t>size</t>
  </si>
  <si>
    <t>stat</t>
  </si>
  <si>
    <t>=CHISQ.DIST.RT(AB5,2)</t>
  </si>
  <si>
    <t>skewness</t>
  </si>
  <si>
    <t>kurtosis</t>
  </si>
  <si>
    <t>s.e.</t>
  </si>
  <si>
    <t>test stat</t>
  </si>
  <si>
    <t>=2*NORM.S.DIST(-ABS(R10),TRUE)</t>
  </si>
  <si>
    <t>=2*NORM.S.DIST(-ABS(W10),TRUE)</t>
  </si>
  <si>
    <t>=R8-R9*NORM.S.INV(1-R6/2)</t>
  </si>
  <si>
    <t>=W8-W9*NORM.S.INV(1-W6/2)</t>
  </si>
  <si>
    <t>=R8+R9*NORM.S.INV(1-R6/2)</t>
  </si>
  <si>
    <t>=W8+W9*NORM.S.INV(1-W6/2)</t>
  </si>
  <si>
    <t>Goodness of Fit</t>
  </si>
  <si>
    <t>Real Statistics Using Excel - Examples Workbook Goodness of Fit</t>
  </si>
  <si>
    <t>Goodness of Fit Tests</t>
  </si>
  <si>
    <t>Real Statistics data analysis tools</t>
  </si>
  <si>
    <t>D'Agostino-Pearson Test (sample)</t>
  </si>
  <si>
    <t>KS Stat</t>
  </si>
  <si>
    <t>KS/Lilliefors Test</t>
  </si>
  <si>
    <t>Real Statistics KSTEST</t>
  </si>
  <si>
    <t>KS stat</t>
  </si>
  <si>
    <t>Specified</t>
  </si>
  <si>
    <t>Gumbel</t>
  </si>
  <si>
    <t>Logistic</t>
  </si>
  <si>
    <t>&gt;</t>
  </si>
  <si>
    <t>Lognormal</t>
  </si>
  <si>
    <t>prob</t>
  </si>
  <si>
    <t>--</t>
  </si>
  <si>
    <t>inf</t>
  </si>
  <si>
    <t>Two-sample Anderson-Darling Table</t>
  </si>
  <si>
    <t>One-sample Kolmogorov-Smirnov Table</t>
  </si>
  <si>
    <t>One-sample Kolmogorov-Smirnov Table (alternative)</t>
  </si>
  <si>
    <t>One-sample Anderson-Darling Tables</t>
  </si>
  <si>
    <t>One-sample Anderson-Darling test</t>
  </si>
  <si>
    <t>Charles Zaiontz, 16 December 2019</t>
  </si>
  <si>
    <t>Two-sample Anderson-Darling test</t>
  </si>
  <si>
    <t>Two-sample AD test (Example 1)</t>
  </si>
  <si>
    <t>Two-sample AD test, frequency table (Example 2)</t>
  </si>
  <si>
    <t>Two-sample AD test (Example 2, raw data version)</t>
  </si>
  <si>
    <t>Two-sample Anderson-Darling</t>
  </si>
  <si>
    <t>Two-sample AD Test</t>
  </si>
  <si>
    <t>w/o ties</t>
  </si>
  <si>
    <t>with ties</t>
  </si>
  <si>
    <t>c</t>
  </si>
  <si>
    <t>AD</t>
  </si>
  <si>
    <t>Two Sample AD Test</t>
  </si>
  <si>
    <t>f</t>
  </si>
  <si>
    <t>AD-stat</t>
  </si>
  <si>
    <t>k</t>
  </si>
  <si>
    <t>AD-crit</t>
  </si>
  <si>
    <t>size 1</t>
  </si>
  <si>
    <t>size 2</t>
  </si>
  <si>
    <t>Copyright © 2013 - 2020 Charles Zaiontz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</si>
</sst>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"/>
    <numFmt numFmtId="165" formatCode="0.0"/>
    <numFmt numFmtId="166" formatCode="0.000"/>
    <numFmt numFmtId="167" formatCode="0.00000"/>
    <numFmt numFmtId="168" formatCode="_-* #,##0.0000_-;\-* #,##0.0000_-;_-* &quot;-&quot;??_-;_-@_-"/>
    <numFmt numFmtId="169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8"/>
      <color theme="1"/>
      <name val="Calibri"/>
      <family val="2"/>
    </font>
    <font>
      <vertAlign val="superscript"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Verdana"/>
      <family val="2"/>
    </font>
    <font>
      <sz val="9"/>
      <color rgb="FF000000"/>
      <name val="Symbol"/>
      <family val="1"/>
      <charset val="2"/>
    </font>
    <font>
      <sz val="9"/>
      <color rgb="FF000000"/>
      <name val="Arial"/>
      <family val="2"/>
    </font>
    <font>
      <sz val="10"/>
      <name val="Courier New"/>
      <family val="3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rgb="FF444444"/>
      <name val="Arial"/>
      <family val="2"/>
    </font>
    <font>
      <vertAlign val="subscript"/>
      <sz val="11"/>
      <color theme="1"/>
      <name val="Calibri"/>
      <family val="2"/>
    </font>
    <font>
      <b/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5" fillId="0" borderId="0"/>
    <xf numFmtId="43" fontId="1" fillId="0" borderId="0" applyFont="0" applyFill="0" applyBorder="0" applyAlignment="0" applyProtection="0"/>
  </cellStyleXfs>
  <cellXfs count="207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quotePrefix="1"/>
    <xf numFmtId="164" fontId="0" fillId="0" borderId="0" xfId="0" applyNumberFormat="1"/>
    <xf numFmtId="0" fontId="0" fillId="0" borderId="0" xfId="0" applyFont="1"/>
    <xf numFmtId="0" fontId="0" fillId="0" borderId="0" xfId="0" applyFill="1" applyBorder="1" applyAlignment="1"/>
    <xf numFmtId="0" fontId="0" fillId="0" borderId="0" xfId="0" applyNumberFormat="1" applyFill="1" applyBorder="1" applyAlignment="1"/>
    <xf numFmtId="0" fontId="0" fillId="0" borderId="4" xfId="0" applyFill="1" applyBorder="1" applyAlignment="1"/>
    <xf numFmtId="0" fontId="0" fillId="0" borderId="0" xfId="0" applyBorder="1" applyAlignment="1">
      <alignment horizontal="right"/>
    </xf>
    <xf numFmtId="0" fontId="0" fillId="0" borderId="0" xfId="0" applyNumberFormat="1"/>
    <xf numFmtId="165" fontId="0" fillId="0" borderId="2" xfId="0" applyNumberFormat="1" applyBorder="1"/>
    <xf numFmtId="164" fontId="0" fillId="0" borderId="1" xfId="0" applyNumberFormat="1" applyBorder="1"/>
    <xf numFmtId="164" fontId="0" fillId="0" borderId="0" xfId="0" applyNumberFormat="1" applyBorder="1"/>
    <xf numFmtId="165" fontId="0" fillId="0" borderId="0" xfId="0" applyNumberFormat="1"/>
    <xf numFmtId="0" fontId="4" fillId="0" borderId="0" xfId="0" applyFont="1"/>
    <xf numFmtId="0" fontId="0" fillId="0" borderId="0" xfId="0" applyFill="1" applyBorder="1"/>
    <xf numFmtId="1" fontId="0" fillId="0" borderId="0" xfId="0" applyNumberFormat="1"/>
    <xf numFmtId="166" fontId="0" fillId="0" borderId="0" xfId="0" applyNumberFormat="1"/>
    <xf numFmtId="166" fontId="0" fillId="0" borderId="1" xfId="0" applyNumberFormat="1" applyBorder="1"/>
    <xf numFmtId="166" fontId="0" fillId="0" borderId="0" xfId="0" applyNumberFormat="1" applyBorder="1"/>
    <xf numFmtId="0" fontId="0" fillId="0" borderId="0" xfId="0" applyAlignment="1">
      <alignment horizontal="left"/>
    </xf>
    <xf numFmtId="0" fontId="0" fillId="0" borderId="9" xfId="0" applyBorder="1"/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 applyAlignment="1">
      <alignment horizontal="right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18" xfId="0" applyBorder="1"/>
    <xf numFmtId="0" fontId="0" fillId="0" borderId="21" xfId="0" applyBorder="1" applyAlignment="1">
      <alignment horizontal="right"/>
    </xf>
    <xf numFmtId="0" fontId="0" fillId="0" borderId="23" xfId="0" applyBorder="1"/>
    <xf numFmtId="164" fontId="0" fillId="0" borderId="22" xfId="0" applyNumberFormat="1" applyBorder="1"/>
    <xf numFmtId="164" fontId="0" fillId="0" borderId="18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0" fontId="0" fillId="0" borderId="20" xfId="0" applyNumberFormat="1" applyBorder="1"/>
    <xf numFmtId="0" fontId="0" fillId="0" borderId="23" xfId="0" applyBorder="1" applyAlignment="1">
      <alignment horizontal="center"/>
    </xf>
    <xf numFmtId="0" fontId="11" fillId="2" borderId="7" xfId="0" applyFont="1" applyFill="1" applyBorder="1" applyAlignment="1">
      <alignment horizontal="center" wrapText="1"/>
    </xf>
    <xf numFmtId="166" fontId="11" fillId="2" borderId="7" xfId="0" applyNumberFormat="1" applyFont="1" applyFill="1" applyBorder="1" applyAlignment="1">
      <alignment horizontal="center" wrapText="1"/>
    </xf>
    <xf numFmtId="0" fontId="11" fillId="0" borderId="8" xfId="0" applyFont="1" applyFill="1" applyBorder="1" applyAlignment="1">
      <alignment horizontal="center" wrapText="1"/>
    </xf>
    <xf numFmtId="0" fontId="12" fillId="0" borderId="6" xfId="0" applyFont="1" applyFill="1" applyBorder="1" applyAlignment="1">
      <alignment horizontal="center" wrapText="1"/>
    </xf>
    <xf numFmtId="0" fontId="11" fillId="2" borderId="24" xfId="0" applyFont="1" applyFill="1" applyBorder="1" applyAlignment="1">
      <alignment horizontal="center" wrapText="1"/>
    </xf>
    <xf numFmtId="0" fontId="11" fillId="2" borderId="5" xfId="0" applyFont="1" applyFill="1" applyBorder="1" applyAlignment="1">
      <alignment horizontal="center" wrapText="1"/>
    </xf>
    <xf numFmtId="0" fontId="0" fillId="0" borderId="25" xfId="0" applyBorder="1"/>
    <xf numFmtId="166" fontId="0" fillId="0" borderId="25" xfId="0" applyNumberFormat="1" applyBorder="1"/>
    <xf numFmtId="166" fontId="0" fillId="0" borderId="26" xfId="0" applyNumberFormat="1" applyBorder="1"/>
    <xf numFmtId="166" fontId="0" fillId="0" borderId="22" xfId="0" applyNumberFormat="1" applyBorder="1"/>
    <xf numFmtId="166" fontId="0" fillId="0" borderId="18" xfId="0" applyNumberFormat="1" applyBorder="1"/>
    <xf numFmtId="166" fontId="0" fillId="0" borderId="12" xfId="0" applyNumberFormat="1" applyBorder="1"/>
    <xf numFmtId="166" fontId="0" fillId="0" borderId="13" xfId="0" applyNumberFormat="1" applyBorder="1"/>
    <xf numFmtId="166" fontId="0" fillId="0" borderId="14" xfId="0" applyNumberFormat="1" applyBorder="1"/>
    <xf numFmtId="164" fontId="0" fillId="0" borderId="26" xfId="0" applyNumberFormat="1" applyBorder="1"/>
    <xf numFmtId="164" fontId="0" fillId="0" borderId="25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0" fontId="10" fillId="0" borderId="0" xfId="0" applyFont="1"/>
    <xf numFmtId="0" fontId="0" fillId="0" borderId="27" xfId="0" applyBorder="1"/>
    <xf numFmtId="0" fontId="0" fillId="0" borderId="29" xfId="0" applyBorder="1"/>
    <xf numFmtId="0" fontId="0" fillId="0" borderId="29" xfId="0" applyBorder="1" applyAlignment="1">
      <alignment horizontal="right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3" xfId="0" applyBorder="1" applyAlignment="1">
      <alignment horizontal="right"/>
    </xf>
    <xf numFmtId="0" fontId="5" fillId="0" borderId="33" xfId="0" applyFont="1" applyBorder="1" applyAlignment="1">
      <alignment horizontal="center"/>
    </xf>
    <xf numFmtId="167" fontId="11" fillId="2" borderId="7" xfId="0" applyNumberFormat="1" applyFont="1" applyFill="1" applyBorder="1" applyAlignment="1">
      <alignment horizontal="center" wrapText="1"/>
    </xf>
    <xf numFmtId="165" fontId="0" fillId="0" borderId="33" xfId="0" applyNumberFormat="1" applyBorder="1"/>
    <xf numFmtId="166" fontId="0" fillId="0" borderId="33" xfId="0" applyNumberFormat="1" applyBorder="1"/>
    <xf numFmtId="0" fontId="2" fillId="0" borderId="0" xfId="0" applyNumberFormat="1" applyFont="1"/>
    <xf numFmtId="0" fontId="5" fillId="0" borderId="3" xfId="0" applyFont="1" applyFill="1" applyBorder="1" applyAlignment="1">
      <alignment horizontal="center"/>
    </xf>
    <xf numFmtId="2" fontId="11" fillId="2" borderId="7" xfId="0" applyNumberFormat="1" applyFont="1" applyFill="1" applyBorder="1" applyAlignment="1">
      <alignment horizontal="center" wrapText="1"/>
    </xf>
    <xf numFmtId="166" fontId="11" fillId="0" borderId="8" xfId="0" applyNumberFormat="1" applyFont="1" applyFill="1" applyBorder="1" applyAlignment="1">
      <alignment horizontal="center" wrapText="1"/>
    </xf>
    <xf numFmtId="166" fontId="12" fillId="0" borderId="6" xfId="0" applyNumberFormat="1" applyFont="1" applyFill="1" applyBorder="1" applyAlignment="1">
      <alignment horizontal="center" wrapText="1"/>
    </xf>
    <xf numFmtId="0" fontId="0" fillId="0" borderId="23" xfId="0" applyNumberFormat="1" applyBorder="1" applyAlignment="1">
      <alignment horizontal="center"/>
    </xf>
    <xf numFmtId="0" fontId="11" fillId="2" borderId="7" xfId="0" applyNumberFormat="1" applyFont="1" applyFill="1" applyBorder="1" applyAlignment="1">
      <alignment horizontal="center" wrapText="1"/>
    </xf>
    <xf numFmtId="164" fontId="11" fillId="2" borderId="7" xfId="0" applyNumberFormat="1" applyFont="1" applyFill="1" applyBorder="1" applyAlignment="1">
      <alignment horizontal="center" wrapText="1"/>
    </xf>
    <xf numFmtId="166" fontId="11" fillId="0" borderId="6" xfId="0" applyNumberFormat="1" applyFont="1" applyFill="1" applyBorder="1" applyAlignment="1">
      <alignment horizontal="center" wrapText="1"/>
    </xf>
    <xf numFmtId="0" fontId="0" fillId="0" borderId="34" xfId="0" applyBorder="1"/>
    <xf numFmtId="0" fontId="0" fillId="0" borderId="35" xfId="0" applyBorder="1"/>
    <xf numFmtId="0" fontId="0" fillId="0" borderId="3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3" xfId="0" applyBorder="1"/>
    <xf numFmtId="0" fontId="16" fillId="0" borderId="0" xfId="0" applyFont="1" applyAlignment="1">
      <alignment horizontal="right" vertical="center" wrapText="1"/>
    </xf>
    <xf numFmtId="0" fontId="16" fillId="0" borderId="40" xfId="0" applyFont="1" applyBorder="1" applyAlignment="1">
      <alignment horizontal="right" vertical="center" wrapText="1"/>
    </xf>
    <xf numFmtId="0" fontId="16" fillId="0" borderId="0" xfId="0" applyFont="1" applyBorder="1" applyAlignment="1">
      <alignment horizontal="right" vertical="center" wrapText="1"/>
    </xf>
    <xf numFmtId="0" fontId="16" fillId="0" borderId="18" xfId="0" applyFont="1" applyBorder="1" applyAlignment="1">
      <alignment horizontal="right" vertical="center" wrapText="1"/>
    </xf>
    <xf numFmtId="0" fontId="11" fillId="2" borderId="47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wrapText="1"/>
    </xf>
    <xf numFmtId="0" fontId="16" fillId="0" borderId="17" xfId="0" applyFont="1" applyBorder="1" applyAlignment="1">
      <alignment horizontal="right" vertical="center" wrapText="1"/>
    </xf>
    <xf numFmtId="0" fontId="16" fillId="0" borderId="39" xfId="0" applyFont="1" applyBorder="1" applyAlignment="1">
      <alignment horizontal="right" vertical="center" wrapText="1"/>
    </xf>
    <xf numFmtId="0" fontId="16" fillId="0" borderId="2" xfId="0" applyFont="1" applyBorder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28" xfId="0" applyFont="1" applyBorder="1" applyAlignment="1">
      <alignment horizontal="right" vertical="center" wrapText="1"/>
    </xf>
    <xf numFmtId="0" fontId="16" fillId="0" borderId="11" xfId="0" applyFont="1" applyBorder="1" applyAlignment="1">
      <alignment horizontal="right" vertical="center" wrapText="1"/>
    </xf>
    <xf numFmtId="0" fontId="16" fillId="3" borderId="17" xfId="0" applyFont="1" applyFill="1" applyBorder="1" applyAlignment="1">
      <alignment horizontal="right" vertical="center" wrapText="1"/>
    </xf>
    <xf numFmtId="0" fontId="16" fillId="3" borderId="40" xfId="0" applyFont="1" applyFill="1" applyBorder="1" applyAlignment="1">
      <alignment horizontal="right" vertical="center" wrapText="1"/>
    </xf>
    <xf numFmtId="0" fontId="16" fillId="3" borderId="39" xfId="0" applyFont="1" applyFill="1" applyBorder="1" applyAlignment="1">
      <alignment horizontal="right" vertical="center" wrapText="1"/>
    </xf>
    <xf numFmtId="0" fontId="16" fillId="3" borderId="2" xfId="0" applyFont="1" applyFill="1" applyBorder="1" applyAlignment="1">
      <alignment horizontal="right" vertical="center" wrapText="1"/>
    </xf>
    <xf numFmtId="0" fontId="16" fillId="0" borderId="0" xfId="0" quotePrefix="1" applyFont="1" applyBorder="1" applyAlignment="1">
      <alignment horizontal="right" vertical="center" wrapText="1"/>
    </xf>
    <xf numFmtId="0" fontId="16" fillId="3" borderId="10" xfId="0" applyFont="1" applyFill="1" applyBorder="1" applyAlignment="1">
      <alignment horizontal="right" vertical="center" wrapText="1"/>
    </xf>
    <xf numFmtId="0" fontId="0" fillId="0" borderId="0" xfId="0" applyNumberFormat="1" applyAlignment="1">
      <alignment horizontal="center"/>
    </xf>
    <xf numFmtId="0" fontId="3" fillId="0" borderId="0" xfId="1" applyFill="1" applyBorder="1" applyAlignment="1" applyProtection="1"/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left" vertical="center"/>
    </xf>
    <xf numFmtId="165" fontId="0" fillId="0" borderId="0" xfId="0" applyNumberFormat="1" applyBorder="1" applyAlignment="1">
      <alignment horizontal="center"/>
    </xf>
    <xf numFmtId="0" fontId="17" fillId="0" borderId="0" xfId="0" applyFont="1" applyAlignment="1">
      <alignment vertical="center"/>
    </xf>
    <xf numFmtId="166" fontId="0" fillId="0" borderId="20" xfId="0" applyNumberFormat="1" applyBorder="1"/>
    <xf numFmtId="165" fontId="0" fillId="0" borderId="33" xfId="0" applyNumberFormat="1" applyBorder="1" applyAlignment="1">
      <alignment horizontal="center"/>
    </xf>
    <xf numFmtId="2" fontId="0" fillId="0" borderId="15" xfId="0" applyNumberFormat="1" applyBorder="1"/>
    <xf numFmtId="0" fontId="0" fillId="0" borderId="33" xfId="0" applyNumberFormat="1" applyBorder="1"/>
    <xf numFmtId="0" fontId="0" fillId="0" borderId="27" xfId="0" applyBorder="1" applyAlignment="1">
      <alignment horizontal="right"/>
    </xf>
    <xf numFmtId="0" fontId="0" fillId="0" borderId="0" xfId="0" applyNumberFormat="1" applyBorder="1"/>
    <xf numFmtId="0" fontId="0" fillId="0" borderId="33" xfId="0" applyNumberFormat="1" applyBorder="1" applyAlignment="1">
      <alignment horizontal="center"/>
    </xf>
    <xf numFmtId="165" fontId="0" fillId="0" borderId="0" xfId="0" applyNumberFormat="1" applyBorder="1"/>
    <xf numFmtId="1" fontId="0" fillId="0" borderId="33" xfId="0" applyNumberFormat="1" applyBorder="1"/>
    <xf numFmtId="166" fontId="0" fillId="0" borderId="15" xfId="0" applyNumberFormat="1" applyBorder="1"/>
    <xf numFmtId="0" fontId="0" fillId="0" borderId="16" xfId="0" applyBorder="1" applyAlignment="1">
      <alignment horizontal="right"/>
    </xf>
    <xf numFmtId="168" fontId="0" fillId="0" borderId="0" xfId="4" applyNumberFormat="1" applyFont="1" applyBorder="1"/>
    <xf numFmtId="168" fontId="0" fillId="0" borderId="15" xfId="4" applyNumberFormat="1" applyFont="1" applyBorder="1"/>
    <xf numFmtId="43" fontId="0" fillId="0" borderId="20" xfId="4" applyFont="1" applyBorder="1"/>
    <xf numFmtId="43" fontId="0" fillId="0" borderId="0" xfId="4" applyFont="1" applyBorder="1"/>
    <xf numFmtId="169" fontId="0" fillId="0" borderId="0" xfId="4" applyNumberFormat="1" applyFont="1" applyBorder="1"/>
    <xf numFmtId="169" fontId="0" fillId="0" borderId="16" xfId="4" applyNumberFormat="1" applyFont="1" applyBorder="1"/>
    <xf numFmtId="0" fontId="0" fillId="0" borderId="48" xfId="0" applyBorder="1"/>
    <xf numFmtId="0" fontId="0" fillId="0" borderId="49" xfId="0" applyBorder="1"/>
    <xf numFmtId="0" fontId="0" fillId="0" borderId="50" xfId="0" applyBorder="1" applyAlignment="1">
      <alignment horizontal="center"/>
    </xf>
    <xf numFmtId="165" fontId="0" fillId="0" borderId="12" xfId="0" applyNumberFormat="1" applyBorder="1"/>
    <xf numFmtId="164" fontId="0" fillId="0" borderId="15" xfId="0" applyNumberFormat="1" applyBorder="1"/>
    <xf numFmtId="164" fontId="0" fillId="0" borderId="20" xfId="0" applyNumberFormat="1" applyBorder="1"/>
    <xf numFmtId="165" fontId="0" fillId="0" borderId="48" xfId="0" applyNumberFormat="1" applyBorder="1"/>
    <xf numFmtId="0" fontId="19" fillId="0" borderId="0" xfId="0" applyFont="1" applyAlignment="1">
      <alignment horizontal="justify" vertical="center"/>
    </xf>
    <xf numFmtId="2" fontId="0" fillId="0" borderId="0" xfId="0" applyNumberFormat="1" applyBorder="1"/>
    <xf numFmtId="166" fontId="0" fillId="0" borderId="0" xfId="0" applyNumberFormat="1" applyFill="1" applyBorder="1"/>
    <xf numFmtId="164" fontId="0" fillId="0" borderId="35" xfId="0" applyNumberFormat="1" applyBorder="1"/>
    <xf numFmtId="165" fontId="0" fillId="0" borderId="42" xfId="0" applyNumberFormat="1" applyBorder="1" applyAlignment="1">
      <alignment horizontal="center"/>
    </xf>
    <xf numFmtId="165" fontId="0" fillId="0" borderId="27" xfId="0" applyNumberFormat="1" applyBorder="1" applyAlignment="1">
      <alignment horizontal="center"/>
    </xf>
    <xf numFmtId="165" fontId="0" fillId="0" borderId="29" xfId="0" applyNumberFormat="1" applyBorder="1" applyAlignment="1">
      <alignment horizontal="center"/>
    </xf>
    <xf numFmtId="0" fontId="11" fillId="0" borderId="51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0" xfId="0" applyBorder="1" applyAlignment="1">
      <alignment horizontal="right"/>
    </xf>
    <xf numFmtId="0" fontId="0" fillId="0" borderId="50" xfId="0" applyBorder="1"/>
    <xf numFmtId="0" fontId="0" fillId="0" borderId="3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50" xfId="0" applyNumberFormat="1" applyBorder="1" applyAlignment="1">
      <alignment horizontal="center"/>
    </xf>
    <xf numFmtId="0" fontId="0" fillId="0" borderId="52" xfId="0" applyBorder="1"/>
    <xf numFmtId="0" fontId="0" fillId="0" borderId="0" xfId="0" applyFill="1" applyBorder="1" applyAlignment="1">
      <alignment horizontal="right"/>
    </xf>
    <xf numFmtId="164" fontId="0" fillId="0" borderId="50" xfId="0" applyNumberFormat="1" applyBorder="1"/>
    <xf numFmtId="166" fontId="0" fillId="0" borderId="50" xfId="0" applyNumberFormat="1" applyBorder="1"/>
    <xf numFmtId="166" fontId="0" fillId="0" borderId="48" xfId="0" applyNumberFormat="1" applyBorder="1"/>
    <xf numFmtId="166" fontId="0" fillId="0" borderId="40" xfId="0" applyNumberFormat="1" applyBorder="1"/>
    <xf numFmtId="166" fontId="0" fillId="0" borderId="39" xfId="0" applyNumberFormat="1" applyBorder="1"/>
    <xf numFmtId="166" fontId="0" fillId="0" borderId="2" xfId="0" applyNumberFormat="1" applyBorder="1"/>
    <xf numFmtId="166" fontId="0" fillId="0" borderId="53" xfId="0" applyNumberFormat="1" applyBorder="1"/>
    <xf numFmtId="166" fontId="0" fillId="0" borderId="28" xfId="0" applyNumberFormat="1" applyBorder="1"/>
    <xf numFmtId="166" fontId="0" fillId="0" borderId="54" xfId="0" applyNumberFormat="1" applyBorder="1"/>
    <xf numFmtId="2" fontId="0" fillId="0" borderId="50" xfId="0" applyNumberFormat="1" applyBorder="1"/>
    <xf numFmtId="2" fontId="0" fillId="0" borderId="28" xfId="0" applyNumberFormat="1" applyBorder="1"/>
    <xf numFmtId="166" fontId="0" fillId="0" borderId="0" xfId="0" applyNumberFormat="1" applyAlignment="1">
      <alignment horizontal="right"/>
    </xf>
    <xf numFmtId="2" fontId="0" fillId="0" borderId="0" xfId="0" applyNumberFormat="1"/>
    <xf numFmtId="166" fontId="0" fillId="0" borderId="50" xfId="0" applyNumberFormat="1" applyBorder="1" applyAlignment="1">
      <alignment horizontal="right"/>
    </xf>
    <xf numFmtId="166" fontId="0" fillId="0" borderId="0" xfId="0" quotePrefix="1" applyNumberFormat="1" applyBorder="1" applyAlignment="1">
      <alignment horizontal="right"/>
    </xf>
    <xf numFmtId="166" fontId="0" fillId="0" borderId="0" xfId="0" applyNumberFormat="1" applyBorder="1" applyAlignment="1">
      <alignment horizontal="right"/>
    </xf>
    <xf numFmtId="0" fontId="4" fillId="0" borderId="50" xfId="0" applyFont="1" applyBorder="1" applyAlignment="1">
      <alignment horizontal="right"/>
    </xf>
    <xf numFmtId="0" fontId="0" fillId="0" borderId="50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8" xfId="0" applyBorder="1"/>
    <xf numFmtId="0" fontId="0" fillId="0" borderId="42" xfId="0" applyBorder="1"/>
    <xf numFmtId="0" fontId="0" fillId="0" borderId="20" xfId="0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1" fillId="0" borderId="5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>
      <alignment horizontal="center" vertical="center" wrapText="1"/>
    </xf>
    <xf numFmtId="166" fontId="11" fillId="0" borderId="0" xfId="0" applyNumberFormat="1" applyFont="1" applyAlignment="1">
      <alignment wrapText="1"/>
    </xf>
  </cellXfs>
  <cellStyles count="5">
    <cellStyle name="Comma" xfId="4" builtinId="3"/>
    <cellStyle name="Hyperlink" xfId="1" builtinId="8"/>
    <cellStyle name="Normal" xfId="0" builtinId="0"/>
    <cellStyle name="Normal 2" xfId="2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'Norm Histogram'!$G$4:$G$13</c:f>
              <c:strCache>
                <c:ptCount val="10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More</c:v>
                </c:pt>
              </c:strCache>
            </c:strRef>
          </c:cat>
          <c:val>
            <c:numRef>
              <c:f>'Norm Histogram'!$H$4:$H$13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7F-45DE-B7CF-A0C20E44E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1156552"/>
        <c:axId val="751156160"/>
      </c:barChart>
      <c:catAx>
        <c:axId val="751156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51156160"/>
        <c:crosses val="autoZero"/>
        <c:auto val="1"/>
        <c:lblAlgn val="ctr"/>
        <c:lblOffset val="100"/>
        <c:noMultiLvlLbl val="0"/>
      </c:catAx>
      <c:valAx>
        <c:axId val="751156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1156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'Norm Histogram'!$G$4:$G$13</c:f>
              <c:strCache>
                <c:ptCount val="10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More</c:v>
                </c:pt>
              </c:strCache>
            </c:strRef>
          </c:cat>
          <c:val>
            <c:numRef>
              <c:f>'Norm Histogram'!$H$4:$H$13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F-4D25-85C6-93D846873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1156944"/>
        <c:axId val="751157336"/>
      </c:barChart>
      <c:catAx>
        <c:axId val="751156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51157336"/>
        <c:crosses val="autoZero"/>
        <c:auto val="1"/>
        <c:lblAlgn val="ctr"/>
        <c:lblOffset val="100"/>
        <c:noMultiLvlLbl val="0"/>
      </c:catAx>
      <c:valAx>
        <c:axId val="751157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1156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'Norm Histogram'!$G$4:$G$13</c:f>
              <c:strCache>
                <c:ptCount val="10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More</c:v>
                </c:pt>
              </c:strCache>
            </c:strRef>
          </c:cat>
          <c:val>
            <c:numRef>
              <c:f>'Norm Histogram'!$H$4:$H$13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E-4734-B34F-B5AFB81E9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136480"/>
        <c:axId val="505135696"/>
      </c:barChart>
      <c:catAx>
        <c:axId val="505136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5135696"/>
        <c:crosses val="autoZero"/>
        <c:auto val="1"/>
        <c:lblAlgn val="ctr"/>
        <c:lblOffset val="100"/>
        <c:noMultiLvlLbl val="0"/>
      </c:catAx>
      <c:valAx>
        <c:axId val="505135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5136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'Norm Histogram'!$G$4:$G$13</c:f>
              <c:strCache>
                <c:ptCount val="10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More</c:v>
                </c:pt>
              </c:strCache>
            </c:strRef>
          </c:cat>
          <c:val>
            <c:numRef>
              <c:f>'Norm Histogram'!$H$4:$H$13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2-4E3C-8C8D-DA37897C0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5941320"/>
        <c:axId val="785942104"/>
      </c:barChart>
      <c:catAx>
        <c:axId val="785941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85942104"/>
        <c:crosses val="autoZero"/>
        <c:auto val="1"/>
        <c:lblAlgn val="ctr"/>
        <c:lblOffset val="100"/>
        <c:noMultiLvlLbl val="0"/>
      </c:catAx>
      <c:valAx>
        <c:axId val="785942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5941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'Norm Histogram'!$G$4:$G$13</c:f>
              <c:strCache>
                <c:ptCount val="10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More</c:v>
                </c:pt>
              </c:strCache>
            </c:strRef>
          </c:cat>
          <c:val>
            <c:numRef>
              <c:f>'Norm Histogram'!$H$4:$H$13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4-4EA5-B59E-801477A13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5942496"/>
        <c:axId val="785940536"/>
      </c:barChart>
      <c:catAx>
        <c:axId val="785942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85940536"/>
        <c:crosses val="autoZero"/>
        <c:auto val="1"/>
        <c:lblAlgn val="ctr"/>
        <c:lblOffset val="100"/>
        <c:noMultiLvlLbl val="0"/>
      </c:catAx>
      <c:valAx>
        <c:axId val="785940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5942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'Norm Histogram'!$G$4:$G$13</c:f>
              <c:strCache>
                <c:ptCount val="10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More</c:v>
                </c:pt>
              </c:strCache>
            </c:strRef>
          </c:cat>
          <c:val>
            <c:numRef>
              <c:f>'Norm Histogram'!$H$4:$H$13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F-4BC2-BAF4-83C62818B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5942888"/>
        <c:axId val="785943672"/>
      </c:barChart>
      <c:catAx>
        <c:axId val="785942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85943672"/>
        <c:crosses val="autoZero"/>
        <c:auto val="1"/>
        <c:lblAlgn val="ctr"/>
        <c:lblOffset val="100"/>
        <c:noMultiLvlLbl val="0"/>
      </c:catAx>
      <c:valAx>
        <c:axId val="785943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5942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'Norm Histogram'!$G$4:$G$13</c:f>
              <c:strCache>
                <c:ptCount val="10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More</c:v>
                </c:pt>
              </c:strCache>
            </c:strRef>
          </c:cat>
          <c:val>
            <c:numRef>
              <c:f>'Norm Histogram'!$H$4:$H$13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C8-4FAB-A631-875B747A5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5940928"/>
        <c:axId val="863327696"/>
      </c:barChart>
      <c:catAx>
        <c:axId val="785940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863327696"/>
        <c:crosses val="autoZero"/>
        <c:auto val="1"/>
        <c:lblAlgn val="ctr"/>
        <c:lblOffset val="100"/>
        <c:noMultiLvlLbl val="0"/>
      </c:catAx>
      <c:valAx>
        <c:axId val="863327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5940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'Norm Histogram'!$G$4:$G$13</c:f>
              <c:strCache>
                <c:ptCount val="10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More</c:v>
                </c:pt>
              </c:strCache>
            </c:strRef>
          </c:cat>
          <c:val>
            <c:numRef>
              <c:f>'Norm Histogram'!$H$4:$H$13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4F-4D92-B316-513C609FD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324168"/>
        <c:axId val="863327304"/>
      </c:barChart>
      <c:catAx>
        <c:axId val="863324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863327304"/>
        <c:crosses val="autoZero"/>
        <c:auto val="1"/>
        <c:lblAlgn val="ctr"/>
        <c:lblOffset val="100"/>
        <c:noMultiLvlLbl val="0"/>
      </c:catAx>
      <c:valAx>
        <c:axId val="863327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3324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'Norm QQ Plot 1'!$D$10:$D$17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'Norm QQ Plot 1'!$E$10:$E$17</c:f>
              <c:numCache>
                <c:formatCode>General</c:formatCode>
                <c:ptCount val="8"/>
                <c:pt idx="0">
                  <c:v>-1.5341205443525459</c:v>
                </c:pt>
                <c:pt idx="1">
                  <c:v>-0.88714655901887607</c:v>
                </c:pt>
                <c:pt idx="2">
                  <c:v>-0.48877641111466941</c:v>
                </c:pt>
                <c:pt idx="3">
                  <c:v>-0.1573106846101707</c:v>
                </c:pt>
                <c:pt idx="4">
                  <c:v>0.1573106846101707</c:v>
                </c:pt>
                <c:pt idx="5">
                  <c:v>0.48877641111466941</c:v>
                </c:pt>
                <c:pt idx="6">
                  <c:v>0.88714655901887607</c:v>
                </c:pt>
                <c:pt idx="7">
                  <c:v>1.5341205443525465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47-4BE6-B9B4-E2C96D7E1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098544"/>
        <c:axId val="877101680"/>
      </c:scatterChart>
      <c:valAx>
        <c:axId val="877098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7101680"/>
        <c:crosses val="autoZero"/>
        <c:crossBetween val="midCat"/>
      </c:valAx>
      <c:valAx>
        <c:axId val="877101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7098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Scores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'Norm QQ Plot 2'!$D$10:$D$29</c:f>
              <c:numCache>
                <c:formatCode>General</c:formatCode>
                <c:ptCount val="20"/>
                <c:pt idx="0">
                  <c:v>4</c:v>
                </c:pt>
                <c:pt idx="1">
                  <c:v>4.7</c:v>
                </c:pt>
                <c:pt idx="2">
                  <c:v>4.9000000000000004</c:v>
                </c:pt>
                <c:pt idx="3">
                  <c:v>5</c:v>
                </c:pt>
                <c:pt idx="4">
                  <c:v>5</c:v>
                </c:pt>
                <c:pt idx="5">
                  <c:v>5.4</c:v>
                </c:pt>
                <c:pt idx="6">
                  <c:v>5.5</c:v>
                </c:pt>
                <c:pt idx="7">
                  <c:v>6.1</c:v>
                </c:pt>
                <c:pt idx="8">
                  <c:v>6.3</c:v>
                </c:pt>
                <c:pt idx="9">
                  <c:v>6.8</c:v>
                </c:pt>
                <c:pt idx="10">
                  <c:v>7.1</c:v>
                </c:pt>
                <c:pt idx="11">
                  <c:v>8</c:v>
                </c:pt>
                <c:pt idx="12">
                  <c:v>8.8000000000000007</c:v>
                </c:pt>
                <c:pt idx="13">
                  <c:v>9.6999999999999993</c:v>
                </c:pt>
                <c:pt idx="14">
                  <c:v>9.8000000000000007</c:v>
                </c:pt>
                <c:pt idx="15">
                  <c:v>10.1</c:v>
                </c:pt>
                <c:pt idx="16">
                  <c:v>10.6</c:v>
                </c:pt>
                <c:pt idx="17">
                  <c:v>10.7</c:v>
                </c:pt>
                <c:pt idx="18">
                  <c:v>10.8</c:v>
                </c:pt>
                <c:pt idx="19">
                  <c:v>11.7</c:v>
                </c:pt>
              </c:numCache>
            </c:numRef>
          </c:xVal>
          <c:yVal>
            <c:numRef>
              <c:f>'Norm QQ Plot 2'!$E$10:$E$29</c:f>
              <c:numCache>
                <c:formatCode>General</c:formatCode>
                <c:ptCount val="20"/>
                <c:pt idx="0">
                  <c:v>-1.9599639845400538</c:v>
                </c:pt>
                <c:pt idx="1">
                  <c:v>-1.4395314709384572</c:v>
                </c:pt>
                <c:pt idx="2">
                  <c:v>-1.1503493803760083</c:v>
                </c:pt>
                <c:pt idx="3">
                  <c:v>-0.93458929107347943</c:v>
                </c:pt>
                <c:pt idx="4">
                  <c:v>-0.75541502636046909</c:v>
                </c:pt>
                <c:pt idx="5">
                  <c:v>-0.59776012604247841</c:v>
                </c:pt>
                <c:pt idx="6">
                  <c:v>-0.45376219016987951</c:v>
                </c:pt>
                <c:pt idx="7">
                  <c:v>-0.3186393639643752</c:v>
                </c:pt>
                <c:pt idx="8">
                  <c:v>-0.18911842627279254</c:v>
                </c:pt>
                <c:pt idx="9">
                  <c:v>-6.2706777943213846E-2</c:v>
                </c:pt>
                <c:pt idx="10">
                  <c:v>6.2706777943213846E-2</c:v>
                </c:pt>
                <c:pt idx="11">
                  <c:v>0.18911842627279243</c:v>
                </c:pt>
                <c:pt idx="12">
                  <c:v>0.3186393639643752</c:v>
                </c:pt>
                <c:pt idx="13">
                  <c:v>0.45376219016987968</c:v>
                </c:pt>
                <c:pt idx="14">
                  <c:v>0.59776012604247841</c:v>
                </c:pt>
                <c:pt idx="15">
                  <c:v>0.75541502636046909</c:v>
                </c:pt>
                <c:pt idx="16">
                  <c:v>0.9345892910734801</c:v>
                </c:pt>
                <c:pt idx="17">
                  <c:v>1.1503493803760083</c:v>
                </c:pt>
                <c:pt idx="18">
                  <c:v>1.4395314709384563</c:v>
                </c:pt>
                <c:pt idx="19">
                  <c:v>1.9599639845400536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5E-46CE-85C1-E5816D4BE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104424"/>
        <c:axId val="877098152"/>
      </c:scatterChart>
      <c:valAx>
        <c:axId val="877104424"/>
        <c:scaling>
          <c:orientation val="minMax"/>
          <c:max val="12"/>
          <c:min val="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7098152"/>
        <c:crosses val="autoZero"/>
        <c:crossBetween val="midCat"/>
      </c:valAx>
      <c:valAx>
        <c:axId val="877098152"/>
        <c:scaling>
          <c:orientation val="minMax"/>
          <c:max val="2"/>
          <c:min val="-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7104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'Norm Box Plot'!$C$6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'Norm Box Plot'!$D$5</c:f>
              <c:strCache>
                <c:ptCount val="1"/>
                <c:pt idx="0">
                  <c:v>Data</c:v>
                </c:pt>
              </c:strCache>
            </c:strRef>
          </c:cat>
          <c:val>
            <c:numRef>
              <c:f>'Norm Box Plot'!$D$6</c:f>
              <c:numCache>
                <c:formatCode>0.0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9F-4DB5-91A3-AC89EC0F381F}"/>
            </c:ext>
          </c:extLst>
        </c:ser>
        <c:ser>
          <c:idx val="1"/>
          <c:order val="1"/>
          <c:tx>
            <c:strRef>
              <c:f>'Norm Box Plot'!$C$7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'Norm Box Plot'!$D$5</c:f>
              <c:strCache>
                <c:ptCount val="1"/>
                <c:pt idx="0">
                  <c:v>Data</c:v>
                </c:pt>
              </c:strCache>
            </c:strRef>
          </c:cat>
          <c:val>
            <c:numRef>
              <c:f>'Norm Box Plot'!$D$7</c:f>
              <c:numCache>
                <c:formatCode>0.0</c:formatCode>
                <c:ptCount val="1"/>
                <c:pt idx="0">
                  <c:v>1.3000000000000007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9F-4DB5-91A3-AC89EC0F381F}"/>
            </c:ext>
          </c:extLst>
        </c:ser>
        <c:ser>
          <c:idx val="2"/>
          <c:order val="2"/>
          <c:tx>
            <c:strRef>
              <c:f>'Norm Box Plot'!$C$8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'Norm Box Plot'!$D$5</c:f>
              <c:strCache>
                <c:ptCount val="1"/>
                <c:pt idx="0">
                  <c:v>Data</c:v>
                </c:pt>
              </c:strCache>
            </c:strRef>
          </c:cat>
          <c:val>
            <c:numRef>
              <c:f>'Norm Box Plot'!$D$8</c:f>
              <c:numCache>
                <c:formatCode>0.0</c:formatCode>
                <c:ptCount val="1"/>
                <c:pt idx="0">
                  <c:v>1.6499999999999986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9F-4DB5-91A3-AC89EC0F381F}"/>
            </c:ext>
          </c:extLst>
        </c:ser>
        <c:ser>
          <c:idx val="3"/>
          <c:order val="3"/>
          <c:tx>
            <c:strRef>
              <c:f>'Norm Box Plot'!$C$9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'Norm Box Plot'!$D$10</c:f>
                <c:numCache>
                  <c:formatCode>General</c:formatCode>
                  <c:ptCount val="1"/>
                  <c:pt idx="0">
                    <c:v>1.8249999999999993</c:v>
                  </c:pt>
                </c:numCache>
              </c:numRef>
            </c:plus>
          </c:errBars>
          <c:cat>
            <c:strRef>
              <c:f>'Norm Box Plot'!$D$5</c:f>
              <c:strCache>
                <c:ptCount val="1"/>
                <c:pt idx="0">
                  <c:v>Data</c:v>
                </c:pt>
              </c:strCache>
            </c:strRef>
          </c:cat>
          <c:val>
            <c:numRef>
              <c:f>'Norm Box Plot'!$D$9</c:f>
              <c:numCache>
                <c:formatCode>0.0</c:formatCode>
                <c:ptCount val="1"/>
                <c:pt idx="0">
                  <c:v>2.9250000000000007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9F-4DB5-91A3-AC89EC0F3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3325736"/>
        <c:axId val="863326912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'Norm Box Plot'!$D$11</c:f>
              <c:numCache>
                <c:formatCode>0.0</c:formatCode>
                <c:ptCount val="1"/>
                <c:pt idx="0">
                  <c:v>7.5499999999999989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9F-4DB5-91A3-AC89EC0F3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325736"/>
        <c:axId val="863326912"/>
      </c:scatterChart>
      <c:catAx>
        <c:axId val="86332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3326912"/>
        <c:crosses val="autoZero"/>
        <c:auto val="1"/>
        <c:lblAlgn val="ctr"/>
        <c:lblOffset val="100"/>
        <c:noMultiLvlLbl val="0"/>
      </c:catAx>
      <c:valAx>
        <c:axId val="863326912"/>
        <c:scaling>
          <c:orientation val="minMax"/>
          <c:min val="2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863325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Log Transform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'Log Trans'!$D$31:$D$41</c:f>
              <c:numCache>
                <c:formatCode>General</c:formatCode>
                <c:ptCount val="11"/>
                <c:pt idx="0">
                  <c:v>1.5440680443502757</c:v>
                </c:pt>
                <c:pt idx="1">
                  <c:v>1.8061799739838871</c:v>
                </c:pt>
                <c:pt idx="2">
                  <c:v>1.8450980400142569</c:v>
                </c:pt>
                <c:pt idx="3">
                  <c:v>1.968482948553935</c:v>
                </c:pt>
                <c:pt idx="4">
                  <c:v>1.9777236052888478</c:v>
                </c:pt>
                <c:pt idx="5">
                  <c:v>2</c:v>
                </c:pt>
                <c:pt idx="6">
                  <c:v>2.0413926851582249</c:v>
                </c:pt>
                <c:pt idx="7">
                  <c:v>2.0606978403536118</c:v>
                </c:pt>
                <c:pt idx="8">
                  <c:v>2.1461280356782382</c:v>
                </c:pt>
                <c:pt idx="9">
                  <c:v>2.3010299956639813</c:v>
                </c:pt>
                <c:pt idx="10">
                  <c:v>2.3802112417116059</c:v>
                </c:pt>
              </c:numCache>
            </c:numRef>
          </c:xVal>
          <c:yVal>
            <c:numRef>
              <c:f>'Log Trans'!$E$31:$E$41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4B-4D22-8F4E-A96153F47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325344"/>
        <c:axId val="863326128"/>
      </c:scatterChart>
      <c:valAx>
        <c:axId val="863325344"/>
        <c:scaling>
          <c:orientation val="minMax"/>
          <c:min val="1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3326128"/>
        <c:crosses val="autoZero"/>
        <c:crossBetween val="midCat"/>
      </c:valAx>
      <c:valAx>
        <c:axId val="863326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3325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Raw Data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'Log Trans'!$D$10:$D$20</c:f>
              <c:numCache>
                <c:formatCode>General</c:formatCode>
                <c:ptCount val="11"/>
                <c:pt idx="0">
                  <c:v>35</c:v>
                </c:pt>
                <c:pt idx="1">
                  <c:v>64</c:v>
                </c:pt>
                <c:pt idx="2">
                  <c:v>70</c:v>
                </c:pt>
                <c:pt idx="3">
                  <c:v>93</c:v>
                </c:pt>
                <c:pt idx="4">
                  <c:v>95</c:v>
                </c:pt>
                <c:pt idx="5">
                  <c:v>100</c:v>
                </c:pt>
                <c:pt idx="6">
                  <c:v>110</c:v>
                </c:pt>
                <c:pt idx="7">
                  <c:v>115</c:v>
                </c:pt>
                <c:pt idx="8">
                  <c:v>140</c:v>
                </c:pt>
                <c:pt idx="9">
                  <c:v>200</c:v>
                </c:pt>
                <c:pt idx="10">
                  <c:v>240</c:v>
                </c:pt>
              </c:numCache>
            </c:numRef>
          </c:xVal>
          <c:yVal>
            <c:numRef>
              <c:f>'Log Trans'!$E$10:$E$20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BD-4071-A5D7-008DCFA13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933200"/>
        <c:axId val="752934376"/>
      </c:scatterChart>
      <c:valAx>
        <c:axId val="752933200"/>
        <c:scaling>
          <c:orientation val="minMax"/>
          <c:max val="2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934376"/>
        <c:crosses val="autoZero"/>
        <c:crossBetween val="midCat"/>
      </c:valAx>
      <c:valAx>
        <c:axId val="752934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933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Reduction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 Chi-sq 1'!$B$3</c:f>
              <c:strCache>
                <c:ptCount val="1"/>
                <c:pt idx="0">
                  <c:v>Freq</c:v>
                </c:pt>
              </c:strCache>
            </c:strRef>
          </c:tx>
          <c:invertIfNegative val="0"/>
          <c:cat>
            <c:strRef>
              <c:f>'Norm Chi-sq 1'!$A$4:$A$13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over 8</c:v>
                </c:pt>
              </c:strCache>
            </c:strRef>
          </c:cat>
          <c:val>
            <c:numRef>
              <c:f>'Norm Chi-sq 1'!$B$4:$B$13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10</c:v>
                </c:pt>
                <c:pt idx="3">
                  <c:v>13</c:v>
                </c:pt>
                <c:pt idx="4">
                  <c:v>18</c:v>
                </c:pt>
                <c:pt idx="5">
                  <c:v>16</c:v>
                </c:pt>
                <c:pt idx="6">
                  <c:v>9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98-4808-B5CB-F5831EB7D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2932808"/>
        <c:axId val="752931632"/>
      </c:barChart>
      <c:catAx>
        <c:axId val="752932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Loss (kg)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52931632"/>
        <c:crosses val="autoZero"/>
        <c:auto val="1"/>
        <c:lblAlgn val="ctr"/>
        <c:lblOffset val="100"/>
        <c:noMultiLvlLbl val="0"/>
      </c:catAx>
      <c:valAx>
        <c:axId val="752931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932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Reduction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'Norm Chi-sq 2'!$A$4:$A$13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over 8</c:v>
                </c:pt>
              </c:strCache>
            </c:strRef>
          </c:cat>
          <c:val>
            <c:numRef>
              <c:f>'Norm Chi-sq 2'!$B$4:$B$13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10</c:v>
                </c:pt>
                <c:pt idx="3">
                  <c:v>13</c:v>
                </c:pt>
                <c:pt idx="4">
                  <c:v>18</c:v>
                </c:pt>
                <c:pt idx="5">
                  <c:v>16</c:v>
                </c:pt>
                <c:pt idx="6">
                  <c:v>9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AE-4B90-9BBF-CB4010BA4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2931240"/>
        <c:axId val="752930848"/>
      </c:barChart>
      <c:catAx>
        <c:axId val="752931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Loss (kg)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52930848"/>
        <c:crosses val="autoZero"/>
        <c:auto val="1"/>
        <c:lblAlgn val="ctr"/>
        <c:lblOffset val="100"/>
        <c:noMultiLvlLbl val="0"/>
      </c:catAx>
      <c:valAx>
        <c:axId val="752930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931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'KS B'!$B$36:$B$50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'KS B'!$C$36:$C$50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37-4F0C-8C54-F1B7FCBAF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180336"/>
        <c:axId val="812179944"/>
      </c:scatterChart>
      <c:valAx>
        <c:axId val="812180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179944"/>
        <c:crosses val="autoZero"/>
        <c:crossBetween val="midCat"/>
      </c:valAx>
      <c:valAx>
        <c:axId val="812179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180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'KS B'!$P$34:$P$48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'KS B'!$Q$34:$Q$48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61-4F87-A9E5-BDE237747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181512"/>
        <c:axId val="812181904"/>
      </c:scatterChart>
      <c:valAx>
        <c:axId val="812181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181904"/>
        <c:crosses val="autoZero"/>
        <c:crossBetween val="midCat"/>
      </c:valAx>
      <c:valAx>
        <c:axId val="812181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1815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'SW 4'!$J$6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'SW 4'!$K$5:$M$5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'SW 4'!$K$6:$M$6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8A-4E49-8097-38FF7514662E}"/>
            </c:ext>
          </c:extLst>
        </c:ser>
        <c:ser>
          <c:idx val="1"/>
          <c:order val="1"/>
          <c:tx>
            <c:strRef>
              <c:f>'SW 4'!$J$7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'SW 4'!$K$5:$M$5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'SW 4'!$K$7:$M$7</c:f>
              <c:numCache>
                <c:formatCode>General</c:formatCode>
                <c:ptCount val="3"/>
                <c:pt idx="0">
                  <c:v>11</c:v>
                </c:pt>
                <c:pt idx="1">
                  <c:v>20</c:v>
                </c:pt>
                <c:pt idx="2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A-4E49-8097-38FF7514662E}"/>
            </c:ext>
          </c:extLst>
        </c:ser>
        <c:ser>
          <c:idx val="2"/>
          <c:order val="2"/>
          <c:tx>
            <c:strRef>
              <c:f>'SW 4'!$J$8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'SW 4'!$K$5:$M$5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'SW 4'!$K$8:$M$8</c:f>
              <c:numCache>
                <c:formatCode>General</c:formatCode>
                <c:ptCount val="3"/>
                <c:pt idx="0">
                  <c:v>16</c:v>
                </c:pt>
                <c:pt idx="1">
                  <c:v>4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8A-4E49-8097-38FF7514662E}"/>
            </c:ext>
          </c:extLst>
        </c:ser>
        <c:ser>
          <c:idx val="3"/>
          <c:order val="3"/>
          <c:tx>
            <c:strRef>
              <c:f>'SW 4'!$J$9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'SW 4'!$K$10:$M$10</c:f>
                <c:numCache>
                  <c:formatCode>General</c:formatCode>
                  <c:ptCount val="3"/>
                  <c:pt idx="0">
                    <c:v>47</c:v>
                  </c:pt>
                  <c:pt idx="1">
                    <c:v>72</c:v>
                  </c:pt>
                  <c:pt idx="2">
                    <c:v>55</c:v>
                  </c:pt>
                </c:numCache>
              </c:numRef>
            </c:plus>
          </c:errBars>
          <c:cat>
            <c:strRef>
              <c:f>'SW 4'!$K$5:$M$5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'SW 4'!$K$9:$M$9</c:f>
              <c:numCache>
                <c:formatCode>General</c:formatCode>
                <c:ptCount val="3"/>
                <c:pt idx="0">
                  <c:v>13</c:v>
                </c:pt>
                <c:pt idx="1">
                  <c:v>26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8A-4E49-8097-38FF75146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2179552"/>
        <c:axId val="812178768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'SW 4'!$K$11:$M$11</c:f>
              <c:numCache>
                <c:formatCode>General</c:formatCode>
                <c:ptCount val="3"/>
                <c:pt idx="0">
                  <c:v>36.846153846153847</c:v>
                </c:pt>
                <c:pt idx="1">
                  <c:v>41.153846153846153</c:v>
                </c:pt>
                <c:pt idx="2">
                  <c:v>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F8A-4E49-8097-38FF75146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179552"/>
        <c:axId val="812178768"/>
      </c:scatterChart>
      <c:catAx>
        <c:axId val="812179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2178768"/>
        <c:crosses val="autoZero"/>
        <c:auto val="1"/>
        <c:lblAlgn val="ctr"/>
        <c:lblOffset val="100"/>
        <c:noMultiLvlLbl val="0"/>
      </c:catAx>
      <c:valAx>
        <c:axId val="812178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2179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'SW 4'!$T$6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'SW 4'!$U$5:$W$5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'SW 4'!$U$6:$W$6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3-4C49-B2B8-FA6B73DD1CBE}"/>
            </c:ext>
          </c:extLst>
        </c:ser>
        <c:ser>
          <c:idx val="1"/>
          <c:order val="1"/>
          <c:tx>
            <c:strRef>
              <c:f>'SW 4'!$T$7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'SW 4'!$U$5:$W$5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'SW 4'!$U$7:$W$7</c:f>
              <c:numCache>
                <c:formatCode>General</c:formatCode>
                <c:ptCount val="3"/>
                <c:pt idx="0">
                  <c:v>11</c:v>
                </c:pt>
                <c:pt idx="1">
                  <c:v>20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A3-4C49-B2B8-FA6B73DD1CBE}"/>
            </c:ext>
          </c:extLst>
        </c:ser>
        <c:ser>
          <c:idx val="2"/>
          <c:order val="2"/>
          <c:tx>
            <c:strRef>
              <c:f>'SW 4'!$T$8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'SW 4'!$U$5:$W$5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'SW 4'!$U$8:$W$8</c:f>
              <c:numCache>
                <c:formatCode>General</c:formatCode>
                <c:ptCount val="3"/>
                <c:pt idx="0">
                  <c:v>16</c:v>
                </c:pt>
                <c:pt idx="1">
                  <c:v>4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A3-4C49-B2B8-FA6B73DD1CBE}"/>
            </c:ext>
          </c:extLst>
        </c:ser>
        <c:ser>
          <c:idx val="3"/>
          <c:order val="3"/>
          <c:tx>
            <c:strRef>
              <c:f>'SW 4'!$T$9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'SW 4'!$U$10:$W$10</c:f>
                <c:numCache>
                  <c:formatCode>General</c:formatCode>
                  <c:ptCount val="3"/>
                  <c:pt idx="0">
                    <c:v>11</c:v>
                  </c:pt>
                  <c:pt idx="1">
                    <c:v>19</c:v>
                  </c:pt>
                  <c:pt idx="2">
                    <c:v>55</c:v>
                  </c:pt>
                </c:numCache>
              </c:numRef>
            </c:plus>
          </c:errBars>
          <c:cat>
            <c:strRef>
              <c:f>'SW 4'!$U$5:$W$5</c:f>
              <c:strCache>
                <c:ptCount val="3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</c:strCache>
            </c:strRef>
          </c:cat>
          <c:val>
            <c:numRef>
              <c:f>'SW 4'!$U$9:$W$9</c:f>
              <c:numCache>
                <c:formatCode>General</c:formatCode>
                <c:ptCount val="3"/>
                <c:pt idx="0">
                  <c:v>13</c:v>
                </c:pt>
                <c:pt idx="1">
                  <c:v>26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A3-4C49-B2B8-FA6B73DD1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2180728"/>
        <c:axId val="777234408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'SW 4'!$U$11:$W$11</c:f>
              <c:numCache>
                <c:formatCode>General</c:formatCode>
                <c:ptCount val="3"/>
                <c:pt idx="0">
                  <c:v>36.846153846153847</c:v>
                </c:pt>
                <c:pt idx="1">
                  <c:v>41.153846153846153</c:v>
                </c:pt>
                <c:pt idx="2">
                  <c:v>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A3-4C49-B2B8-FA6B73DD1CBE}"/>
            </c:ext>
          </c:extLst>
        </c:ser>
        <c:ser>
          <c:idx val="5"/>
          <c:order val="5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'SW 4'!$A$7</c:f>
              <c:numCache>
                <c:formatCode>General</c:formatCode>
                <c:ptCount val="1"/>
                <c:pt idx="0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A3-4C49-B2B8-FA6B73DD1CBE}"/>
            </c:ext>
          </c:extLst>
        </c:ser>
        <c:ser>
          <c:idx val="6"/>
          <c:order val="6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'SW 4'!$B$15</c:f>
              <c:numCache>
                <c:formatCode>General</c:formatCode>
                <c:ptCount val="1"/>
                <c:pt idx="0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AA3-4C49-B2B8-FA6B73DD1CBE}"/>
            </c:ext>
          </c:extLst>
        </c:ser>
        <c:ser>
          <c:idx val="7"/>
          <c:order val="7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'SW 4'!$C$9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AA3-4C49-B2B8-FA6B73DD1CBE}"/>
            </c:ext>
          </c:extLst>
        </c:ser>
        <c:ser>
          <c:idx val="8"/>
          <c:order val="8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'SW 4'!$C$12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AA3-4C49-B2B8-FA6B73DD1CBE}"/>
            </c:ext>
          </c:extLst>
        </c:ser>
        <c:ser>
          <c:idx val="9"/>
          <c:order val="9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'SW 4'!$C$16</c:f>
              <c:numCache>
                <c:formatCode>General</c:formatCode>
                <c:ptCount val="1"/>
                <c:pt idx="0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AA3-4C49-B2B8-FA6B73DD1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180728"/>
        <c:axId val="777234408"/>
      </c:scatterChart>
      <c:catAx>
        <c:axId val="812180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7234408"/>
        <c:crosses val="autoZero"/>
        <c:auto val="1"/>
        <c:lblAlgn val="ctr"/>
        <c:lblOffset val="100"/>
        <c:noMultiLvlLbl val="0"/>
      </c:catAx>
      <c:valAx>
        <c:axId val="777234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2180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DAgost!$E$9:$E$15</c:f>
              <c:numCache>
                <c:formatCode>General</c:formatCode>
                <c:ptCount val="7"/>
                <c:pt idx="0">
                  <c:v>26</c:v>
                </c:pt>
                <c:pt idx="1">
                  <c:v>38</c:v>
                </c:pt>
                <c:pt idx="2">
                  <c:v>50</c:v>
                </c:pt>
                <c:pt idx="3">
                  <c:v>62</c:v>
                </c:pt>
                <c:pt idx="4">
                  <c:v>74</c:v>
                </c:pt>
                <c:pt idx="5">
                  <c:v>86</c:v>
                </c:pt>
                <c:pt idx="6">
                  <c:v>98</c:v>
                </c:pt>
              </c:numCache>
            </c:numRef>
          </c:cat>
          <c:val>
            <c:numRef>
              <c:f>DAgost!$F$9:$F$15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AB-48B5-AD34-33F2F0862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7235192"/>
        <c:axId val="777232840"/>
      </c:barChart>
      <c:catAx>
        <c:axId val="777235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232840"/>
        <c:crosses val="autoZero"/>
        <c:auto val="1"/>
        <c:lblAlgn val="ctr"/>
        <c:lblOffset val="100"/>
        <c:noMultiLvlLbl val="0"/>
      </c:catAx>
      <c:valAx>
        <c:axId val="777232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235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Group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'AD 1'!$R$9:$R$23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'AD 1'!$S$9:$S$23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20-4D05-9C4E-509BE1851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235976"/>
        <c:axId val="777234016"/>
      </c:scatterChart>
      <c:valAx>
        <c:axId val="777235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234016"/>
        <c:crosses val="autoZero"/>
        <c:crossBetween val="midCat"/>
      </c:valAx>
      <c:valAx>
        <c:axId val="7772340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235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2</xdr:row>
      <xdr:rowOff>180975</xdr:rowOff>
    </xdr:from>
    <xdr:to>
      <xdr:col>15</xdr:col>
      <xdr:colOff>238125</xdr:colOff>
      <xdr:row>12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2</xdr:row>
      <xdr:rowOff>180975</xdr:rowOff>
    </xdr:from>
    <xdr:to>
      <xdr:col>15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238125</xdr:colOff>
      <xdr:row>2</xdr:row>
      <xdr:rowOff>180975</xdr:rowOff>
    </xdr:from>
    <xdr:to>
      <xdr:col>15</xdr:col>
      <xdr:colOff>238125</xdr:colOff>
      <xdr:row>12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</xdr:row>
      <xdr:rowOff>180975</xdr:rowOff>
    </xdr:from>
    <xdr:to>
      <xdr:col>15</xdr:col>
      <xdr:colOff>238125</xdr:colOff>
      <xdr:row>12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238125</xdr:colOff>
      <xdr:row>2</xdr:row>
      <xdr:rowOff>180975</xdr:rowOff>
    </xdr:from>
    <xdr:to>
      <xdr:col>15</xdr:col>
      <xdr:colOff>238125</xdr:colOff>
      <xdr:row>12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238125</xdr:colOff>
      <xdr:row>2</xdr:row>
      <xdr:rowOff>180975</xdr:rowOff>
    </xdr:from>
    <xdr:to>
      <xdr:col>15</xdr:col>
      <xdr:colOff>238125</xdr:colOff>
      <xdr:row>12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238125</xdr:colOff>
      <xdr:row>2</xdr:row>
      <xdr:rowOff>180975</xdr:rowOff>
    </xdr:from>
    <xdr:to>
      <xdr:col>15</xdr:col>
      <xdr:colOff>238125</xdr:colOff>
      <xdr:row>12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238125</xdr:colOff>
      <xdr:row>2</xdr:row>
      <xdr:rowOff>180975</xdr:rowOff>
    </xdr:from>
    <xdr:to>
      <xdr:col>15</xdr:col>
      <xdr:colOff>238125</xdr:colOff>
      <xdr:row>12</xdr:row>
      <xdr:rowOff>180975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162464</xdr:colOff>
      <xdr:row>2</xdr:row>
      <xdr:rowOff>56161</xdr:rowOff>
    </xdr:from>
    <xdr:to>
      <xdr:col>13</xdr:col>
      <xdr:colOff>467264</xdr:colOff>
      <xdr:row>16</xdr:row>
      <xdr:rowOff>130564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145256</xdr:colOff>
      <xdr:row>9</xdr:row>
      <xdr:rowOff>100012</xdr:rowOff>
    </xdr:from>
    <xdr:to>
      <xdr:col>13</xdr:col>
      <xdr:colOff>450056</xdr:colOff>
      <xdr:row>23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1838325</xdr:colOff>
      <xdr:row>0</xdr:row>
      <xdr:rowOff>52387</xdr:rowOff>
    </xdr:from>
    <xdr:to>
      <xdr:col>10</xdr:col>
      <xdr:colOff>952499</xdr:colOff>
      <xdr:row>11</xdr:row>
      <xdr:rowOff>105726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23</xdr:row>
      <xdr:rowOff>4762</xdr:rowOff>
    </xdr:from>
    <xdr:to>
      <xdr:col>14</xdr:col>
      <xdr:colOff>295275</xdr:colOff>
      <xdr:row>37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</xdr:row>
      <xdr:rowOff>0</xdr:rowOff>
    </xdr:from>
    <xdr:to>
      <xdr:col>14</xdr:col>
      <xdr:colOff>304800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2</xdr:row>
      <xdr:rowOff>4762</xdr:rowOff>
    </xdr:from>
    <xdr:to>
      <xdr:col>19</xdr:col>
      <xdr:colOff>314325</xdr:colOff>
      <xdr:row>16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266700</xdr:colOff>
      <xdr:row>1</xdr:row>
      <xdr:rowOff>52387</xdr:rowOff>
    </xdr:from>
    <xdr:to>
      <xdr:col>22</xdr:col>
      <xdr:colOff>571500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30</xdr:row>
      <xdr:rowOff>100012</xdr:rowOff>
    </xdr:from>
    <xdr:to>
      <xdr:col>11</xdr:col>
      <xdr:colOff>581025</xdr:colOff>
      <xdr:row>44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400050</xdr:colOff>
      <xdr:row>30</xdr:row>
      <xdr:rowOff>23812</xdr:rowOff>
    </xdr:from>
    <xdr:to>
      <xdr:col>25</xdr:col>
      <xdr:colOff>314325</xdr:colOff>
      <xdr:row>44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16</xdr:row>
      <xdr:rowOff>80963</xdr:rowOff>
    </xdr:from>
    <xdr:to>
      <xdr:col>16</xdr:col>
      <xdr:colOff>9524</xdr:colOff>
      <xdr:row>27</xdr:row>
      <xdr:rowOff>174307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3</xdr:row>
      <xdr:rowOff>80962</xdr:rowOff>
    </xdr:from>
    <xdr:to>
      <xdr:col>30</xdr:col>
      <xdr:colOff>457200</xdr:colOff>
      <xdr:row>17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1</xdr:row>
      <xdr:rowOff>109537</xdr:rowOff>
    </xdr:from>
    <xdr:to>
      <xdr:col>14</xdr:col>
      <xdr:colOff>504825</xdr:colOff>
      <xdr:row>15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361950</xdr:colOff>
      <xdr:row>1</xdr:row>
      <xdr:rowOff>61912</xdr:rowOff>
    </xdr:from>
    <xdr:to>
      <xdr:col>28</xdr:col>
      <xdr:colOff>57150</xdr:colOff>
      <xdr:row>15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95250</xdr:rowOff>
    </xdr:to>
    <xdr:pic>
      <xdr:nvPicPr>
        <xdr:cNvPr id="2" name="Picture 1" descr="http://www.eridlc.com/images/1pix.gif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62575" y="381000"/>
          <a:ext cx="9525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95250</xdr:rowOff>
    </xdr:to>
    <xdr:pic>
      <xdr:nvPicPr>
        <xdr:cNvPr id="3" name="Picture 2" descr="http://www.eridlc.com/images/1pix.gif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81000"/>
          <a:ext cx="9525" cy="95250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95250</xdr:rowOff>
    </xdr:to>
    <xdr:pic>
      <xdr:nvPicPr>
        <xdr:cNvPr id="2" name="Picture 1" descr="http://www.eridlc.com/images/1pix.gif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9525" cy="952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95250</xdr:rowOff>
    </xdr:to>
    <xdr:pic>
      <xdr:nvPicPr>
        <xdr:cNvPr id="3" name="Picture 2" descr="http://www.eridlc.com/images/1pix.gif"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81000"/>
          <a:ext cx="9525" cy="95250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95250</xdr:rowOff>
    </xdr:to>
    <xdr:pic>
      <xdr:nvPicPr>
        <xdr:cNvPr id="2" name="Picture 1" descr="http://www.eridlc.com/images/1pix.gif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9525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95250</xdr:rowOff>
    </xdr:to>
    <xdr:pic>
      <xdr:nvPicPr>
        <xdr:cNvPr id="3" name="Picture 2" descr="http://www.eridlc.com/images/1pix.gif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52775" y="381000"/>
          <a:ext cx="9525" cy="95250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95250</xdr:rowOff>
    </xdr:to>
    <xdr:pic>
      <xdr:nvPicPr>
        <xdr:cNvPr id="2" name="Picture 1" descr="http://www.eridlc.com/images/1pix.gif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9525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95250</xdr:rowOff>
    </xdr:to>
    <xdr:pic>
      <xdr:nvPicPr>
        <xdr:cNvPr id="3" name="Picture 2" descr="http://www.eridlc.com/images/1pix.gif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43175" y="381000"/>
          <a:ext cx="9525" cy="95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1"/>
  <dimension ref="A1:B10"/>
  <sheetViews>
    <sheetView tabSelected="1" zoomScaleNormal="100" workbookViewId="0"/>
  </sheetViews>
  <sheetFormatPr defaultRowHeight="14.5" x14ac:dyDescent="0.35"/>
  <cols>
    <col min="1" max="1" width="57.54296875" customWidth="1"/>
  </cols>
  <sheetData>
    <row r="1" spans="1:2" x14ac:dyDescent="0.35">
      <c r="A1" s="1" t="s">
        <v>374</v>
      </c>
      <c r="B1" s="1"/>
    </row>
    <row r="2" spans="1:2" x14ac:dyDescent="0.35">
      <c r="A2" s="1" t="s">
        <v>395</v>
      </c>
      <c r="B2" s="1"/>
    </row>
    <row r="3" spans="1:2" x14ac:dyDescent="0.35">
      <c r="A3" s="1"/>
      <c r="B3" s="1"/>
    </row>
    <row r="4" spans="1:2" x14ac:dyDescent="0.35">
      <c r="A4" s="68" t="s">
        <v>413</v>
      </c>
    </row>
    <row r="6" spans="1:2" x14ac:dyDescent="0.35">
      <c r="A6" s="1" t="s">
        <v>119</v>
      </c>
    </row>
    <row r="8" spans="1:2" x14ac:dyDescent="0.35">
      <c r="A8" s="2" t="s">
        <v>218</v>
      </c>
    </row>
    <row r="9" spans="1:2" x14ac:dyDescent="0.35">
      <c r="A9" s="2" t="s">
        <v>373</v>
      </c>
    </row>
    <row r="10" spans="1:2" x14ac:dyDescent="0.35">
      <c r="A10" s="2" t="s">
        <v>120</v>
      </c>
    </row>
  </sheetData>
  <hyperlinks>
    <hyperlink ref="A9" location="TOC!A47" display="Goodness of Fit" xr:uid="{00000000-0004-0000-0000-000000000000}"/>
    <hyperlink ref="A10" location="TOC!A75" display="Tables" xr:uid="{00000000-0004-0000-0000-000001000000}"/>
    <hyperlink ref="A8" location="TOC!A8" display="Testing for Normality and Symmetry" xr:uid="{00000000-0004-0000-0000-000002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83"/>
  <sheetViews>
    <sheetView zoomScale="110" zoomScaleNormal="110" workbookViewId="0">
      <selection activeCell="A4" sqref="A4"/>
    </sheetView>
  </sheetViews>
  <sheetFormatPr defaultRowHeight="15" customHeight="1" x14ac:dyDescent="0.35"/>
  <cols>
    <col min="1" max="1" width="4" customWidth="1"/>
    <col min="2" max="2" width="85.54296875" customWidth="1"/>
  </cols>
  <sheetData>
    <row r="1" spans="1:2" ht="14.5" x14ac:dyDescent="0.35">
      <c r="A1" s="1" t="s">
        <v>374</v>
      </c>
      <c r="B1" s="1"/>
    </row>
    <row r="2" spans="1:2" ht="14.5" x14ac:dyDescent="0.35">
      <c r="A2" s="1" t="s">
        <v>395</v>
      </c>
      <c r="B2" s="1"/>
    </row>
    <row r="3" spans="1:2" ht="14.5" x14ac:dyDescent="0.35">
      <c r="A3" s="1"/>
      <c r="B3" s="1"/>
    </row>
    <row r="4" spans="1:2" ht="14.5" x14ac:dyDescent="0.35">
      <c r="A4" s="68" t="s">
        <v>413</v>
      </c>
    </row>
    <row r="6" spans="1:2" ht="15" customHeight="1" x14ac:dyDescent="0.35">
      <c r="A6" s="1" t="s">
        <v>0</v>
      </c>
    </row>
    <row r="7" spans="1:2" ht="15" customHeight="1" x14ac:dyDescent="0.35">
      <c r="A7" s="1"/>
    </row>
    <row r="8" spans="1:2" ht="15" customHeight="1" x14ac:dyDescent="0.35">
      <c r="A8" s="1" t="s">
        <v>218</v>
      </c>
      <c r="B8" s="2"/>
    </row>
    <row r="9" spans="1:2" ht="15" customHeight="1" x14ac:dyDescent="0.35">
      <c r="B9" s="8"/>
    </row>
    <row r="10" spans="1:2" ht="15" customHeight="1" x14ac:dyDescent="0.35">
      <c r="A10" t="s">
        <v>323</v>
      </c>
      <c r="B10" s="2"/>
    </row>
    <row r="11" spans="1:2" ht="15" customHeight="1" x14ac:dyDescent="0.35">
      <c r="B11" s="2" t="s">
        <v>324</v>
      </c>
    </row>
    <row r="12" spans="1:2" ht="15" customHeight="1" x14ac:dyDescent="0.35">
      <c r="B12" s="2" t="s">
        <v>325</v>
      </c>
    </row>
    <row r="13" spans="1:2" ht="15" customHeight="1" x14ac:dyDescent="0.35">
      <c r="B13" s="2" t="s">
        <v>326</v>
      </c>
    </row>
    <row r="14" spans="1:2" ht="15" customHeight="1" x14ac:dyDescent="0.35">
      <c r="B14" s="2" t="s">
        <v>327</v>
      </c>
    </row>
    <row r="15" spans="1:2" ht="15" customHeight="1" x14ac:dyDescent="0.35">
      <c r="B15" s="2"/>
    </row>
    <row r="16" spans="1:2" ht="15" customHeight="1" x14ac:dyDescent="0.35">
      <c r="A16" t="s">
        <v>328</v>
      </c>
      <c r="B16" s="2"/>
    </row>
    <row r="17" spans="1:2" ht="15" customHeight="1" x14ac:dyDescent="0.35">
      <c r="B17" s="2" t="s">
        <v>329</v>
      </c>
    </row>
    <row r="18" spans="1:2" ht="15" customHeight="1" x14ac:dyDescent="0.35">
      <c r="B18" s="2"/>
    </row>
    <row r="19" spans="1:2" ht="15" customHeight="1" x14ac:dyDescent="0.35">
      <c r="A19" t="s">
        <v>330</v>
      </c>
      <c r="B19" s="2"/>
    </row>
    <row r="20" spans="1:2" ht="15" customHeight="1" x14ac:dyDescent="0.35">
      <c r="B20" s="155"/>
    </row>
    <row r="21" spans="1:2" ht="15" customHeight="1" x14ac:dyDescent="0.35">
      <c r="A21" t="s">
        <v>331</v>
      </c>
      <c r="B21" s="2"/>
    </row>
    <row r="22" spans="1:2" ht="15" customHeight="1" x14ac:dyDescent="0.35">
      <c r="B22" s="2" t="s">
        <v>332</v>
      </c>
    </row>
    <row r="23" spans="1:2" ht="15" customHeight="1" x14ac:dyDescent="0.35">
      <c r="B23" s="2" t="s">
        <v>333</v>
      </c>
    </row>
    <row r="24" spans="1:2" ht="15" customHeight="1" x14ac:dyDescent="0.35">
      <c r="B24" s="2"/>
    </row>
    <row r="25" spans="1:2" ht="15" customHeight="1" x14ac:dyDescent="0.35">
      <c r="A25" t="s">
        <v>334</v>
      </c>
      <c r="B25" s="2"/>
    </row>
    <row r="26" spans="1:2" ht="15" customHeight="1" x14ac:dyDescent="0.35">
      <c r="B26" s="2" t="s">
        <v>335</v>
      </c>
    </row>
    <row r="27" spans="1:2" ht="15" customHeight="1" x14ac:dyDescent="0.35">
      <c r="B27" s="2" t="s">
        <v>336</v>
      </c>
    </row>
    <row r="28" spans="1:2" ht="15" customHeight="1" x14ac:dyDescent="0.35">
      <c r="B28" s="2" t="s">
        <v>337</v>
      </c>
    </row>
    <row r="29" spans="1:2" ht="15" customHeight="1" x14ac:dyDescent="0.35">
      <c r="B29" s="2" t="s">
        <v>380</v>
      </c>
    </row>
    <row r="30" spans="1:2" ht="15" customHeight="1" x14ac:dyDescent="0.35">
      <c r="B30" s="2"/>
    </row>
    <row r="31" spans="1:2" ht="15" customHeight="1" x14ac:dyDescent="0.35">
      <c r="A31" t="s">
        <v>338</v>
      </c>
      <c r="B31" s="2"/>
    </row>
    <row r="32" spans="1:2" ht="15" customHeight="1" x14ac:dyDescent="0.35">
      <c r="B32" s="2" t="s">
        <v>339</v>
      </c>
    </row>
    <row r="33" spans="1:2" ht="15" customHeight="1" x14ac:dyDescent="0.35">
      <c r="A33" s="8"/>
      <c r="B33" s="2" t="s">
        <v>340</v>
      </c>
    </row>
    <row r="34" spans="1:2" ht="15" customHeight="1" x14ac:dyDescent="0.35">
      <c r="B34" s="2"/>
    </row>
    <row r="35" spans="1:2" ht="15" customHeight="1" x14ac:dyDescent="0.35">
      <c r="A35" t="s">
        <v>341</v>
      </c>
      <c r="B35" s="2"/>
    </row>
    <row r="36" spans="1:2" ht="15" customHeight="1" x14ac:dyDescent="0.35">
      <c r="B36" s="2" t="s">
        <v>339</v>
      </c>
    </row>
    <row r="37" spans="1:2" ht="15" customHeight="1" x14ac:dyDescent="0.35">
      <c r="B37" s="2" t="s">
        <v>342</v>
      </c>
    </row>
    <row r="38" spans="1:2" ht="15" customHeight="1" x14ac:dyDescent="0.35">
      <c r="B38" s="2" t="s">
        <v>343</v>
      </c>
    </row>
    <row r="39" spans="1:2" ht="15" customHeight="1" x14ac:dyDescent="0.35">
      <c r="B39" s="2" t="s">
        <v>344</v>
      </c>
    </row>
    <row r="40" spans="1:2" ht="15" customHeight="1" x14ac:dyDescent="0.35">
      <c r="B40" s="2"/>
    </row>
    <row r="41" spans="1:2" ht="15" customHeight="1" x14ac:dyDescent="0.35">
      <c r="A41" t="s">
        <v>345</v>
      </c>
      <c r="B41" s="2"/>
    </row>
    <row r="42" spans="1:2" ht="15" customHeight="1" x14ac:dyDescent="0.35">
      <c r="B42" s="2" t="s">
        <v>346</v>
      </c>
    </row>
    <row r="43" spans="1:2" ht="15" customHeight="1" x14ac:dyDescent="0.35">
      <c r="B43" s="2"/>
    </row>
    <row r="44" spans="1:2" ht="15" customHeight="1" x14ac:dyDescent="0.35">
      <c r="A44" t="s">
        <v>347</v>
      </c>
      <c r="B44" s="2"/>
    </row>
    <row r="45" spans="1:2" ht="15" customHeight="1" x14ac:dyDescent="0.35">
      <c r="B45" s="2" t="s">
        <v>348</v>
      </c>
    </row>
    <row r="46" spans="1:2" ht="15" customHeight="1" x14ac:dyDescent="0.35">
      <c r="B46" s="2"/>
    </row>
    <row r="47" spans="1:2" ht="15" customHeight="1" x14ac:dyDescent="0.35">
      <c r="A47" s="1" t="s">
        <v>375</v>
      </c>
      <c r="B47" s="2"/>
    </row>
    <row r="48" spans="1:2" ht="15" customHeight="1" x14ac:dyDescent="0.35">
      <c r="A48" s="1"/>
      <c r="B48" s="2"/>
    </row>
    <row r="49" spans="1:2" ht="15" customHeight="1" x14ac:dyDescent="0.35">
      <c r="A49" t="s">
        <v>138</v>
      </c>
      <c r="B49" s="2"/>
    </row>
    <row r="50" spans="1:2" ht="15" customHeight="1" x14ac:dyDescent="0.35">
      <c r="B50" s="2" t="s">
        <v>139</v>
      </c>
    </row>
    <row r="51" spans="1:2" ht="15" customHeight="1" x14ac:dyDescent="0.35">
      <c r="B51" s="2"/>
    </row>
    <row r="52" spans="1:2" ht="15" customHeight="1" x14ac:dyDescent="0.35">
      <c r="A52" t="s">
        <v>134</v>
      </c>
      <c r="B52" s="2"/>
    </row>
    <row r="53" spans="1:2" ht="15" customHeight="1" x14ac:dyDescent="0.35">
      <c r="B53" s="2" t="s">
        <v>135</v>
      </c>
    </row>
    <row r="54" spans="1:2" ht="15" customHeight="1" x14ac:dyDescent="0.35">
      <c r="B54" s="2"/>
    </row>
    <row r="55" spans="1:2" ht="15" customHeight="1" x14ac:dyDescent="0.35">
      <c r="A55" t="s">
        <v>394</v>
      </c>
      <c r="B55" s="2"/>
    </row>
    <row r="56" spans="1:2" ht="15" customHeight="1" x14ac:dyDescent="0.35">
      <c r="B56" s="2" t="s">
        <v>154</v>
      </c>
    </row>
    <row r="57" spans="1:2" ht="15" customHeight="1" x14ac:dyDescent="0.35">
      <c r="B57" s="2" t="s">
        <v>153</v>
      </c>
    </row>
    <row r="58" spans="1:2" ht="15" customHeight="1" x14ac:dyDescent="0.35">
      <c r="B58" s="2" t="s">
        <v>155</v>
      </c>
    </row>
    <row r="59" spans="1:2" ht="15" customHeight="1" x14ac:dyDescent="0.35">
      <c r="B59" s="2"/>
    </row>
    <row r="60" spans="1:2" ht="15" customHeight="1" x14ac:dyDescent="0.35">
      <c r="A60" t="s">
        <v>396</v>
      </c>
      <c r="B60" s="2"/>
    </row>
    <row r="61" spans="1:2" ht="15" customHeight="1" x14ac:dyDescent="0.35">
      <c r="B61" s="2" t="s">
        <v>397</v>
      </c>
    </row>
    <row r="62" spans="1:2" ht="15" customHeight="1" x14ac:dyDescent="0.35">
      <c r="B62" s="2" t="s">
        <v>398</v>
      </c>
    </row>
    <row r="63" spans="1:2" ht="15" customHeight="1" x14ac:dyDescent="0.35">
      <c r="B63" s="2" t="s">
        <v>399</v>
      </c>
    </row>
    <row r="64" spans="1:2" ht="15" customHeight="1" x14ac:dyDescent="0.35">
      <c r="B64" s="2"/>
    </row>
    <row r="65" spans="1:2" ht="15" customHeight="1" x14ac:dyDescent="0.35">
      <c r="A65" t="s">
        <v>156</v>
      </c>
      <c r="B65" s="2"/>
    </row>
    <row r="66" spans="1:2" ht="15" customHeight="1" x14ac:dyDescent="0.35">
      <c r="B66" s="2" t="s">
        <v>157</v>
      </c>
    </row>
    <row r="67" spans="1:2" ht="15" customHeight="1" x14ac:dyDescent="0.35">
      <c r="B67" s="2"/>
    </row>
    <row r="68" spans="1:2" ht="15" customHeight="1" x14ac:dyDescent="0.35">
      <c r="A68" t="s">
        <v>376</v>
      </c>
      <c r="B68" s="2"/>
    </row>
    <row r="69" spans="1:2" ht="15" customHeight="1" x14ac:dyDescent="0.35">
      <c r="B69" s="2" t="s">
        <v>141</v>
      </c>
    </row>
    <row r="70" spans="1:2" ht="15" customHeight="1" x14ac:dyDescent="0.35">
      <c r="B70" s="2" t="s">
        <v>142</v>
      </c>
    </row>
    <row r="71" spans="1:2" ht="15" customHeight="1" x14ac:dyDescent="0.35">
      <c r="B71" s="122" t="s">
        <v>189</v>
      </c>
    </row>
    <row r="72" spans="1:2" ht="15" customHeight="1" x14ac:dyDescent="0.35">
      <c r="B72" s="122" t="s">
        <v>190</v>
      </c>
    </row>
    <row r="73" spans="1:2" ht="15" customHeight="1" x14ac:dyDescent="0.35">
      <c r="B73" s="2" t="s">
        <v>158</v>
      </c>
    </row>
    <row r="75" spans="1:2" ht="15" customHeight="1" x14ac:dyDescent="0.35">
      <c r="A75" s="1" t="s">
        <v>120</v>
      </c>
    </row>
    <row r="76" spans="1:2" ht="15" customHeight="1" x14ac:dyDescent="0.35">
      <c r="B76" s="2" t="s">
        <v>391</v>
      </c>
    </row>
    <row r="77" spans="1:2" ht="15" customHeight="1" x14ac:dyDescent="0.35">
      <c r="B77" s="2" t="s">
        <v>392</v>
      </c>
    </row>
    <row r="78" spans="1:2" ht="15" customHeight="1" x14ac:dyDescent="0.35">
      <c r="B78" s="2" t="s">
        <v>149</v>
      </c>
    </row>
    <row r="79" spans="1:2" ht="15" customHeight="1" x14ac:dyDescent="0.35">
      <c r="B79" s="2" t="s">
        <v>146</v>
      </c>
    </row>
    <row r="80" spans="1:2" ht="15" customHeight="1" x14ac:dyDescent="0.35">
      <c r="B80" s="2" t="s">
        <v>147</v>
      </c>
    </row>
    <row r="81" spans="2:2" ht="15" customHeight="1" x14ac:dyDescent="0.35">
      <c r="B81" s="2" t="s">
        <v>121</v>
      </c>
    </row>
    <row r="82" spans="2:2" ht="15" customHeight="1" x14ac:dyDescent="0.35">
      <c r="B82" s="2" t="s">
        <v>393</v>
      </c>
    </row>
    <row r="83" spans="2:2" ht="15" customHeight="1" x14ac:dyDescent="0.35">
      <c r="B83" s="2" t="s">
        <v>390</v>
      </c>
    </row>
  </sheetData>
  <hyperlinks>
    <hyperlink ref="B11" location="'Norm Histogram'!A1" display="Testing for normality via histogram (Example 13.1)" xr:uid="{00000000-0004-0000-0100-000000000000}"/>
    <hyperlink ref="B12" location="'Norm QQ Plot 1'!A1" display="Testing for normality via QQ plot (Example 13.2)" xr:uid="{00000000-0004-0000-0100-000001000000}"/>
    <hyperlink ref="B13" location="'Norm QQ Plot 2'!A1" display="Testing for normality via QQ plot (Example 13.3)" xr:uid="{00000000-0004-0000-0100-000002000000}"/>
    <hyperlink ref="B17" location="'Norm Box Plot'!C11" display="Testing for normality using skewness and kurtosis (Example 13.5)" xr:uid="{00000000-0004-0000-0100-000003000000}"/>
    <hyperlink ref="B26" location="'KS A'!A1" display="KS Test (Example 1)" xr:uid="{00000000-0004-0000-0100-000004000000}"/>
    <hyperlink ref="B27" location="'KS B'!A1" display="KS Test (Example 2)" xr:uid="{00000000-0004-0000-0100-000005000000}"/>
    <hyperlink ref="B32" location="'SW 1'!A1" display="SW Test (Example E3.5)" xr:uid="{00000000-0004-0000-0100-000006000000}"/>
    <hyperlink ref="B33" location="'SW 2'!A1" display="SW Test (Example E3.6)" xr:uid="{00000000-0004-0000-0100-000007000000}"/>
    <hyperlink ref="B22" location="'Norm Chi-sq 1'!A1" display="Chi-square Test (Example 1)" xr:uid="{00000000-0004-0000-0100-000008000000}"/>
    <hyperlink ref="B23" location="'Norm Chi-sq 2'!A1" display="Chi-square Test (Example 2)" xr:uid="{00000000-0004-0000-0100-000009000000}"/>
    <hyperlink ref="B45" location="'Log Trans'!A1" display="Log transformation (Example 14.5)" xr:uid="{00000000-0004-0000-0100-00000A000000}"/>
    <hyperlink ref="B14" location="'Norm Box Plot'!A1" display="Testing for normality/symmetry via Box plot (Example 13.4)" xr:uid="{00000000-0004-0000-0100-00000B000000}"/>
    <hyperlink ref="B36" location="'SW 1'!R1" display="SW Test (Example 1)" xr:uid="{00000000-0004-0000-0100-00000C000000}"/>
    <hyperlink ref="B37" location="'SW 1'!L1" display="SW Test using supplemental formulas (Example 1)" xr:uid="{00000000-0004-0000-0100-00000D000000}"/>
    <hyperlink ref="B38" location="'SW 3'!A1" display="SW Test using supplemental formulas (Example 2)" xr:uid="{00000000-0004-0000-0100-00000E000000}"/>
    <hyperlink ref="B39" location="'SW 4'!A1" display="SW Test using supplemental data analysis tool (Example 3)" xr:uid="{00000000-0004-0000-0100-00000F000000}"/>
    <hyperlink ref="B28" location="Lil!A1" display="Lilliefors Test (Example 3)" xr:uid="{00000000-0004-0000-0100-000010000000}"/>
    <hyperlink ref="B42" location="DAgost!A1" display="D'Agostino-Pearson test (Example 1)" xr:uid="{00000000-0004-0000-0100-000011000000}"/>
    <hyperlink ref="B53" location="'KS 2'!A1" display="KS test (Example 1)" xr:uid="{00000000-0004-0000-0100-000012000000}"/>
    <hyperlink ref="B50" location="'KS 1'!A1" display="KS Test for exponential distribution (Example 1)" xr:uid="{00000000-0004-0000-0100-000013000000}"/>
    <hyperlink ref="B69" location="'KS 3'!A1" display="Two sample KS test (freq)" xr:uid="{00000000-0004-0000-0100-000014000000}"/>
    <hyperlink ref="B70" location="'KS 3'!J1" display="Two sample KS test (raw)" xr:uid="{00000000-0004-0000-0100-000015000000}"/>
    <hyperlink ref="B56" location="'AD 1'!A1" display="Normality with unknown parameters" xr:uid="{00000000-0004-0000-0100-000016000000}"/>
    <hyperlink ref="B57" location="'AD 2'!A1" display="Normality with known parameters" xr:uid="{00000000-0004-0000-0100-000017000000}"/>
    <hyperlink ref="B58" location="'AD 3'!A1" display="Gamma distribution" xr:uid="{00000000-0004-0000-0100-000018000000}"/>
    <hyperlink ref="B66" location="GOF!A1" display="Normality example" xr:uid="{00000000-0004-0000-0100-000019000000}"/>
    <hyperlink ref="B73" location="GOF!R1" display="Chi-square test" xr:uid="{00000000-0004-0000-0100-00001A000000}"/>
    <hyperlink ref="B71" location="'AD 1'!M28" display="Anderson-Darling test" xr:uid="{00000000-0004-0000-0100-00001B000000}"/>
    <hyperlink ref="B72" location="'AD 2'!R6" display="Anderson-Darling test (no unknown parameters)" xr:uid="{00000000-0004-0000-0100-00001C000000}"/>
    <hyperlink ref="B76" location="'KS Table'!A1" display="'KS Table'!A1" xr:uid="{00000000-0004-0000-0100-00001D000000}"/>
    <hyperlink ref="B81" location="'SW Table'!A1" display="Shapiro Wilk Tables" xr:uid="{00000000-0004-0000-0100-00001E000000}"/>
    <hyperlink ref="B79" location="'Lill Table'!A1" display="Lillefore Table" xr:uid="{00000000-0004-0000-0100-00001F000000}"/>
    <hyperlink ref="B77" location="'KS Table 1'!A1" display="Kolmogorov-Smirnov Table (alternative)" xr:uid="{00000000-0004-0000-0100-000020000000}"/>
    <hyperlink ref="B80" location="'Lill Table 1'!A1" display="Lilliefors Test Table - newer, enlarged table" xr:uid="{00000000-0004-0000-0100-000021000000}"/>
    <hyperlink ref="B82" location="'AD Table'!A1" display="Anderson-Darling Tables" xr:uid="{00000000-0004-0000-0100-000022000000}"/>
    <hyperlink ref="B78" location="'KS2 Table'!A1" display="Two Sample Kolmogorov-Smirnov Table" xr:uid="{00000000-0004-0000-0100-000023000000}"/>
    <hyperlink ref="B29" location="'Lil 1'!A1" display="Real Statistics KSTEST" xr:uid="{00000000-0004-0000-0100-000024000000}"/>
    <hyperlink ref="B83" location="'AD2 Table'!A1" display="Two-sample Anderson-Darling Table" xr:uid="{00000000-0004-0000-0100-000025000000}"/>
    <hyperlink ref="B61" location="'AD2 1'!A1" display="Two-sample AD test (Example 1)" xr:uid="{00000000-0004-0000-0100-000026000000}"/>
    <hyperlink ref="B62" location="'AD2 2'!A1" display="Two-sample AD test, frequency table (Example 2)" xr:uid="{00000000-0004-0000-0100-000027000000}"/>
    <hyperlink ref="B63" location="'AD2 2a'!A1" display="Two-sample AD test (Example 2, raw data version)" xr:uid="{00000000-0004-0000-0100-000028000000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4"/>
  <dimension ref="A1:H25"/>
  <sheetViews>
    <sheetView workbookViewId="0"/>
  </sheetViews>
  <sheetFormatPr defaultRowHeight="14.5" x14ac:dyDescent="0.35"/>
  <cols>
    <col min="1" max="1" width="7.54296875" customWidth="1"/>
    <col min="2" max="2" width="6.26953125" customWidth="1"/>
    <col min="5" max="5" width="6.26953125" customWidth="1"/>
  </cols>
  <sheetData>
    <row r="1" spans="1:8" x14ac:dyDescent="0.35">
      <c r="A1" s="1" t="s">
        <v>220</v>
      </c>
    </row>
    <row r="2" spans="1:8" ht="15" thickBot="1" x14ac:dyDescent="0.4">
      <c r="B2" s="1"/>
    </row>
    <row r="3" spans="1:8" x14ac:dyDescent="0.35">
      <c r="B3" s="42" t="s">
        <v>62</v>
      </c>
      <c r="C3" s="42" t="s">
        <v>219</v>
      </c>
      <c r="D3" s="12"/>
      <c r="E3" s="42" t="s">
        <v>32</v>
      </c>
      <c r="G3" s="82" t="s">
        <v>33</v>
      </c>
      <c r="H3" s="82" t="s">
        <v>31</v>
      </c>
    </row>
    <row r="4" spans="1:8" x14ac:dyDescent="0.35">
      <c r="B4" s="17">
        <v>4</v>
      </c>
      <c r="C4">
        <f t="shared" ref="C4:C23" si="0">STANDARDIZE(B4,$B$24,$B$25)</f>
        <v>-1.4186864564316524</v>
      </c>
      <c r="E4">
        <v>-2</v>
      </c>
      <c r="G4" s="10">
        <v>-2</v>
      </c>
      <c r="H4" s="9">
        <v>0</v>
      </c>
    </row>
    <row r="5" spans="1:8" x14ac:dyDescent="0.35">
      <c r="B5" s="17">
        <v>4.7</v>
      </c>
      <c r="C5">
        <f t="shared" si="0"/>
        <v>-1.1389454650225939</v>
      </c>
      <c r="E5">
        <f t="shared" ref="E5:E12" si="1">E4+0.5</f>
        <v>-1.5</v>
      </c>
      <c r="G5" s="10">
        <v>-1.5</v>
      </c>
      <c r="H5" s="9">
        <v>0</v>
      </c>
    </row>
    <row r="6" spans="1:8" x14ac:dyDescent="0.35">
      <c r="B6" s="17">
        <v>4.9000000000000004</v>
      </c>
      <c r="C6">
        <f t="shared" si="0"/>
        <v>-1.0590194674771487</v>
      </c>
      <c r="E6">
        <f t="shared" si="1"/>
        <v>-1</v>
      </c>
      <c r="G6" s="10">
        <v>-1</v>
      </c>
      <c r="H6" s="9">
        <v>5</v>
      </c>
    </row>
    <row r="7" spans="1:8" x14ac:dyDescent="0.35">
      <c r="B7" s="17">
        <v>5</v>
      </c>
      <c r="C7">
        <f t="shared" si="0"/>
        <v>-1.0190564687044261</v>
      </c>
      <c r="E7">
        <f t="shared" si="1"/>
        <v>-0.5</v>
      </c>
      <c r="G7" s="10">
        <v>-0.5</v>
      </c>
      <c r="H7" s="9">
        <v>3</v>
      </c>
    </row>
    <row r="8" spans="1:8" x14ac:dyDescent="0.35">
      <c r="B8" s="17">
        <v>5</v>
      </c>
      <c r="C8">
        <f t="shared" si="0"/>
        <v>-1.0190564687044261</v>
      </c>
      <c r="E8">
        <f t="shared" si="1"/>
        <v>0</v>
      </c>
      <c r="G8" s="10">
        <v>0</v>
      </c>
      <c r="H8" s="9">
        <v>3</v>
      </c>
    </row>
    <row r="9" spans="1:8" x14ac:dyDescent="0.35">
      <c r="B9" s="17">
        <v>5.4</v>
      </c>
      <c r="C9">
        <f t="shared" si="0"/>
        <v>-0.85920447361353558</v>
      </c>
      <c r="E9">
        <f t="shared" si="1"/>
        <v>0.5</v>
      </c>
      <c r="G9" s="10">
        <v>0.5</v>
      </c>
      <c r="H9" s="9">
        <v>2</v>
      </c>
    </row>
    <row r="10" spans="1:8" x14ac:dyDescent="0.35">
      <c r="B10" s="17">
        <v>5.5</v>
      </c>
      <c r="C10">
        <f t="shared" si="0"/>
        <v>-0.81924147484081311</v>
      </c>
      <c r="E10">
        <f t="shared" si="1"/>
        <v>1</v>
      </c>
      <c r="G10" s="10">
        <v>1</v>
      </c>
      <c r="H10" s="9">
        <v>2</v>
      </c>
    </row>
    <row r="11" spans="1:8" x14ac:dyDescent="0.35">
      <c r="B11" s="17">
        <v>6.1</v>
      </c>
      <c r="C11">
        <f t="shared" si="0"/>
        <v>-0.57946348220447752</v>
      </c>
      <c r="E11">
        <f t="shared" si="1"/>
        <v>1.5</v>
      </c>
      <c r="G11" s="10">
        <v>1.5</v>
      </c>
      <c r="H11" s="9">
        <v>4</v>
      </c>
    </row>
    <row r="12" spans="1:8" x14ac:dyDescent="0.35">
      <c r="B12" s="17">
        <v>6.3</v>
      </c>
      <c r="C12">
        <f t="shared" si="0"/>
        <v>-0.4995374846590323</v>
      </c>
      <c r="E12" s="79">
        <f t="shared" si="1"/>
        <v>2</v>
      </c>
      <c r="G12" s="10">
        <v>2</v>
      </c>
      <c r="H12" s="9">
        <v>1</v>
      </c>
    </row>
    <row r="13" spans="1:8" ht="15" thickBot="1" x14ac:dyDescent="0.4">
      <c r="B13" s="17">
        <v>6.8</v>
      </c>
      <c r="C13">
        <f t="shared" si="0"/>
        <v>-0.29972249079541924</v>
      </c>
      <c r="G13" s="11" t="s">
        <v>34</v>
      </c>
      <c r="H13" s="11">
        <v>0</v>
      </c>
    </row>
    <row r="14" spans="1:8" x14ac:dyDescent="0.35">
      <c r="B14" s="17">
        <v>7.1</v>
      </c>
      <c r="C14">
        <f t="shared" si="0"/>
        <v>-0.17983349447725147</v>
      </c>
    </row>
    <row r="15" spans="1:8" x14ac:dyDescent="0.35">
      <c r="B15" s="17">
        <v>8</v>
      </c>
      <c r="C15">
        <f t="shared" si="0"/>
        <v>0.17983349447725216</v>
      </c>
    </row>
    <row r="16" spans="1:8" x14ac:dyDescent="0.35">
      <c r="B16" s="17">
        <v>8.8000000000000007</v>
      </c>
      <c r="C16">
        <f t="shared" si="0"/>
        <v>0.49953748465903336</v>
      </c>
    </row>
    <row r="17" spans="1:4" x14ac:dyDescent="0.35">
      <c r="B17" s="17">
        <v>9.6999999999999993</v>
      </c>
      <c r="C17">
        <f t="shared" si="0"/>
        <v>0.85920447361353625</v>
      </c>
    </row>
    <row r="18" spans="1:4" x14ac:dyDescent="0.35">
      <c r="B18" s="17">
        <v>9.8000000000000007</v>
      </c>
      <c r="C18">
        <f t="shared" si="0"/>
        <v>0.89916747238625949</v>
      </c>
    </row>
    <row r="19" spans="1:4" x14ac:dyDescent="0.35">
      <c r="B19" s="17">
        <v>10.1</v>
      </c>
      <c r="C19">
        <f t="shared" si="0"/>
        <v>1.0190564687044268</v>
      </c>
    </row>
    <row r="20" spans="1:4" x14ac:dyDescent="0.35">
      <c r="B20" s="17">
        <v>10.6</v>
      </c>
      <c r="C20">
        <f t="shared" si="0"/>
        <v>1.2188714625680399</v>
      </c>
    </row>
    <row r="21" spans="1:4" x14ac:dyDescent="0.35">
      <c r="B21" s="17">
        <v>10.7</v>
      </c>
      <c r="C21">
        <f t="shared" si="0"/>
        <v>1.2588344613407625</v>
      </c>
    </row>
    <row r="22" spans="1:4" x14ac:dyDescent="0.35">
      <c r="B22" s="17">
        <v>10.8</v>
      </c>
      <c r="C22">
        <f t="shared" si="0"/>
        <v>1.2987974601134855</v>
      </c>
    </row>
    <row r="23" spans="1:4" x14ac:dyDescent="0.35">
      <c r="B23" s="79">
        <v>11.7</v>
      </c>
      <c r="C23" s="79">
        <f t="shared" si="0"/>
        <v>1.6584644490679885</v>
      </c>
    </row>
    <row r="24" spans="1:4" x14ac:dyDescent="0.35">
      <c r="A24" t="s">
        <v>4</v>
      </c>
      <c r="B24" s="17">
        <f>AVERAGE(B4:B23)</f>
        <v>7.5499999999999989</v>
      </c>
    </row>
    <row r="25" spans="1:4" x14ac:dyDescent="0.35">
      <c r="A25" t="s">
        <v>64</v>
      </c>
      <c r="B25" s="79">
        <f>STDEV(B4:B23)</f>
        <v>2.502314717889905</v>
      </c>
      <c r="C25" s="75"/>
      <c r="D25" s="4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8"/>
  <dimension ref="A1:F17"/>
  <sheetViews>
    <sheetView zoomScale="106" workbookViewId="0">
      <selection activeCell="D17" sqref="D17"/>
    </sheetView>
  </sheetViews>
  <sheetFormatPr defaultRowHeight="14.5" x14ac:dyDescent="0.35"/>
  <cols>
    <col min="1" max="1" width="5.81640625" customWidth="1"/>
    <col min="2" max="2" width="3.54296875" customWidth="1"/>
    <col min="3" max="3" width="7.7265625" customWidth="1"/>
  </cols>
  <sheetData>
    <row r="1" spans="1:6" x14ac:dyDescent="0.35">
      <c r="A1" s="1" t="s">
        <v>94</v>
      </c>
    </row>
    <row r="3" spans="1:6" x14ac:dyDescent="0.35">
      <c r="A3" s="39" t="s">
        <v>62</v>
      </c>
      <c r="C3" t="s">
        <v>60</v>
      </c>
    </row>
    <row r="4" spans="1:6" x14ac:dyDescent="0.35">
      <c r="A4" s="5">
        <v>4.9000000000000004</v>
      </c>
    </row>
    <row r="5" spans="1:6" x14ac:dyDescent="0.35">
      <c r="A5" s="5">
        <v>2.7</v>
      </c>
      <c r="C5" t="s">
        <v>19</v>
      </c>
      <c r="D5">
        <f>COUNT(A4:A11)</f>
        <v>8</v>
      </c>
      <c r="E5">
        <f>2*D5</f>
        <v>16</v>
      </c>
    </row>
    <row r="6" spans="1:6" x14ac:dyDescent="0.35">
      <c r="A6" s="5">
        <v>-5.2</v>
      </c>
      <c r="C6" t="s">
        <v>7</v>
      </c>
      <c r="D6">
        <f>AVERAGE(A4:A11)</f>
        <v>0.37500000000000006</v>
      </c>
    </row>
    <row r="7" spans="1:6" x14ac:dyDescent="0.35">
      <c r="A7" s="5">
        <v>1.1000000000000001</v>
      </c>
      <c r="C7" t="s">
        <v>54</v>
      </c>
      <c r="D7">
        <f>STDEV(A4:A11)</f>
        <v>3.8945933218831903</v>
      </c>
    </row>
    <row r="8" spans="1:6" x14ac:dyDescent="0.35">
      <c r="A8" s="5">
        <v>5.3</v>
      </c>
    </row>
    <row r="9" spans="1:6" x14ac:dyDescent="0.35">
      <c r="A9" s="5">
        <v>0.2</v>
      </c>
      <c r="C9" s="39" t="s">
        <v>61</v>
      </c>
      <c r="D9" s="39" t="s">
        <v>62</v>
      </c>
      <c r="E9" s="39" t="s">
        <v>93</v>
      </c>
      <c r="F9" s="39" t="s">
        <v>63</v>
      </c>
    </row>
    <row r="10" spans="1:6" x14ac:dyDescent="0.35">
      <c r="A10" s="5">
        <v>-2.1</v>
      </c>
      <c r="C10">
        <v>1</v>
      </c>
      <c r="D10" t="e">
        <f t="array" aca="1" ref="D10:D17" ca="1">QSORT(A4:A11)</f>
        <v>#NAME?</v>
      </c>
      <c r="E10">
        <f t="shared" ref="E10:E17" si="0">NORMSINV(C10/E$5)</f>
        <v>-1.5341205443525459</v>
      </c>
      <c r="F10" t="e">
        <f t="shared" ref="F10:F17" ca="1" si="1">STANDARDIZE(D10,D$6,D$7)</f>
        <v>#NAME?</v>
      </c>
    </row>
    <row r="11" spans="1:6" x14ac:dyDescent="0.35">
      <c r="A11" s="76">
        <v>-3.9</v>
      </c>
      <c r="C11">
        <f t="shared" ref="C11:C17" si="2">C10+2</f>
        <v>3</v>
      </c>
      <c r="D11" t="e">
        <f ca="1"/>
        <v>#NAME?</v>
      </c>
      <c r="E11">
        <f t="shared" si="0"/>
        <v>-0.88714655901887607</v>
      </c>
      <c r="F11" t="e">
        <f t="shared" ca="1" si="1"/>
        <v>#NAME?</v>
      </c>
    </row>
    <row r="12" spans="1:6" x14ac:dyDescent="0.35">
      <c r="C12">
        <f t="shared" si="2"/>
        <v>5</v>
      </c>
      <c r="D12" t="e">
        <f ca="1"/>
        <v>#NAME?</v>
      </c>
      <c r="E12">
        <f t="shared" si="0"/>
        <v>-0.48877641111466941</v>
      </c>
      <c r="F12" t="e">
        <f t="shared" ca="1" si="1"/>
        <v>#NAME?</v>
      </c>
    </row>
    <row r="13" spans="1:6" x14ac:dyDescent="0.35">
      <c r="C13">
        <f t="shared" si="2"/>
        <v>7</v>
      </c>
      <c r="D13" t="e">
        <f ca="1"/>
        <v>#NAME?</v>
      </c>
      <c r="E13">
        <f t="shared" si="0"/>
        <v>-0.1573106846101707</v>
      </c>
      <c r="F13" t="e">
        <f t="shared" ca="1" si="1"/>
        <v>#NAME?</v>
      </c>
    </row>
    <row r="14" spans="1:6" x14ac:dyDescent="0.35">
      <c r="C14">
        <f t="shared" si="2"/>
        <v>9</v>
      </c>
      <c r="D14" t="e">
        <f ca="1"/>
        <v>#NAME?</v>
      </c>
      <c r="E14">
        <f t="shared" si="0"/>
        <v>0.1573106846101707</v>
      </c>
      <c r="F14" t="e">
        <f t="shared" ca="1" si="1"/>
        <v>#NAME?</v>
      </c>
    </row>
    <row r="15" spans="1:6" x14ac:dyDescent="0.35">
      <c r="C15">
        <f t="shared" si="2"/>
        <v>11</v>
      </c>
      <c r="D15" t="e">
        <f ca="1"/>
        <v>#NAME?</v>
      </c>
      <c r="E15">
        <f t="shared" si="0"/>
        <v>0.48877641111466941</v>
      </c>
      <c r="F15" t="e">
        <f t="shared" ca="1" si="1"/>
        <v>#NAME?</v>
      </c>
    </row>
    <row r="16" spans="1:6" x14ac:dyDescent="0.35">
      <c r="C16">
        <f t="shared" si="2"/>
        <v>13</v>
      </c>
      <c r="D16" t="e">
        <f ca="1"/>
        <v>#NAME?</v>
      </c>
      <c r="E16">
        <f t="shared" si="0"/>
        <v>0.88714655901887607</v>
      </c>
      <c r="F16" t="e">
        <f t="shared" ca="1" si="1"/>
        <v>#NAME?</v>
      </c>
    </row>
    <row r="17" spans="3:6" x14ac:dyDescent="0.35">
      <c r="C17" s="75">
        <f t="shared" si="2"/>
        <v>15</v>
      </c>
      <c r="D17" s="75" t="e">
        <f ca="1"/>
        <v>#NAME?</v>
      </c>
      <c r="E17" s="75">
        <f t="shared" si="0"/>
        <v>1.5341205443525465</v>
      </c>
      <c r="F17" s="75" t="e">
        <f t="shared" ca="1" si="1"/>
        <v>#NAME?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1"/>
  <dimension ref="A1:F29"/>
  <sheetViews>
    <sheetView zoomScaleNormal="100" workbookViewId="0"/>
  </sheetViews>
  <sheetFormatPr defaultRowHeight="14.5" x14ac:dyDescent="0.35"/>
  <cols>
    <col min="2" max="2" width="5.453125" customWidth="1"/>
  </cols>
  <sheetData>
    <row r="1" spans="1:6" x14ac:dyDescent="0.35">
      <c r="A1" s="1" t="s">
        <v>223</v>
      </c>
    </row>
    <row r="3" spans="1:6" x14ac:dyDescent="0.35">
      <c r="A3" s="39" t="s">
        <v>222</v>
      </c>
      <c r="C3" t="s">
        <v>221</v>
      </c>
    </row>
    <row r="4" spans="1:6" x14ac:dyDescent="0.35">
      <c r="A4" s="126">
        <v>4</v>
      </c>
    </row>
    <row r="5" spans="1:6" x14ac:dyDescent="0.35">
      <c r="A5" s="126">
        <v>4.7</v>
      </c>
      <c r="C5" t="s">
        <v>19</v>
      </c>
      <c r="D5">
        <f>COUNT(A4:A23)</f>
        <v>20</v>
      </c>
      <c r="E5">
        <f>2*D5</f>
        <v>40</v>
      </c>
    </row>
    <row r="6" spans="1:6" x14ac:dyDescent="0.35">
      <c r="A6" s="126">
        <v>4.9000000000000004</v>
      </c>
      <c r="C6" t="s">
        <v>7</v>
      </c>
      <c r="D6" s="17">
        <f>AVERAGE(A4:A23)</f>
        <v>7.5499999999999989</v>
      </c>
    </row>
    <row r="7" spans="1:6" x14ac:dyDescent="0.35">
      <c r="A7" s="126">
        <v>5</v>
      </c>
      <c r="C7" t="s">
        <v>54</v>
      </c>
      <c r="D7">
        <f>STDEV(A4:A23)</f>
        <v>2.502314717889905</v>
      </c>
    </row>
    <row r="8" spans="1:6" x14ac:dyDescent="0.35">
      <c r="A8" s="126">
        <v>5</v>
      </c>
    </row>
    <row r="9" spans="1:6" x14ac:dyDescent="0.35">
      <c r="A9" s="126">
        <v>5.4</v>
      </c>
      <c r="C9" t="s">
        <v>61</v>
      </c>
      <c r="D9" t="s">
        <v>62</v>
      </c>
      <c r="E9" t="s">
        <v>93</v>
      </c>
      <c r="F9" t="s">
        <v>63</v>
      </c>
    </row>
    <row r="10" spans="1:6" x14ac:dyDescent="0.35">
      <c r="A10" s="126">
        <v>5.5</v>
      </c>
      <c r="C10">
        <v>1</v>
      </c>
      <c r="D10">
        <v>4</v>
      </c>
      <c r="E10">
        <f t="shared" ref="E10:E29" si="0">NORMSINV(C10/E$5)</f>
        <v>-1.9599639845400538</v>
      </c>
      <c r="F10">
        <f t="shared" ref="F10:F29" si="1">STANDARDIZE(D10,D$6,D$7)</f>
        <v>-1.4186864564316524</v>
      </c>
    </row>
    <row r="11" spans="1:6" x14ac:dyDescent="0.35">
      <c r="A11" s="126">
        <v>6.1</v>
      </c>
      <c r="C11">
        <f t="shared" ref="C11:C29" si="2">C10+2</f>
        <v>3</v>
      </c>
      <c r="D11">
        <v>4.7</v>
      </c>
      <c r="E11">
        <f t="shared" si="0"/>
        <v>-1.4395314709384572</v>
      </c>
      <c r="F11">
        <f t="shared" si="1"/>
        <v>-1.1389454650225939</v>
      </c>
    </row>
    <row r="12" spans="1:6" x14ac:dyDescent="0.35">
      <c r="A12" s="126">
        <v>6.3</v>
      </c>
      <c r="C12">
        <f t="shared" si="2"/>
        <v>5</v>
      </c>
      <c r="D12">
        <v>4.9000000000000004</v>
      </c>
      <c r="E12">
        <f t="shared" si="0"/>
        <v>-1.1503493803760083</v>
      </c>
      <c r="F12">
        <f t="shared" si="1"/>
        <v>-1.0590194674771487</v>
      </c>
    </row>
    <row r="13" spans="1:6" x14ac:dyDescent="0.35">
      <c r="A13" s="126">
        <v>6.8</v>
      </c>
      <c r="C13">
        <f t="shared" si="2"/>
        <v>7</v>
      </c>
      <c r="D13">
        <v>5</v>
      </c>
      <c r="E13">
        <f t="shared" si="0"/>
        <v>-0.93458929107347943</v>
      </c>
      <c r="F13">
        <f t="shared" si="1"/>
        <v>-1.0190564687044261</v>
      </c>
    </row>
    <row r="14" spans="1:6" x14ac:dyDescent="0.35">
      <c r="A14" s="126">
        <v>7.1</v>
      </c>
      <c r="C14">
        <f t="shared" si="2"/>
        <v>9</v>
      </c>
      <c r="D14">
        <v>5</v>
      </c>
      <c r="E14">
        <f t="shared" si="0"/>
        <v>-0.75541502636046909</v>
      </c>
      <c r="F14">
        <f t="shared" si="1"/>
        <v>-1.0190564687044261</v>
      </c>
    </row>
    <row r="15" spans="1:6" x14ac:dyDescent="0.35">
      <c r="A15" s="126">
        <v>8</v>
      </c>
      <c r="C15">
        <f t="shared" si="2"/>
        <v>11</v>
      </c>
      <c r="D15">
        <v>5.4</v>
      </c>
      <c r="E15">
        <f t="shared" si="0"/>
        <v>-0.59776012604247841</v>
      </c>
      <c r="F15">
        <f t="shared" si="1"/>
        <v>-0.85920447361353558</v>
      </c>
    </row>
    <row r="16" spans="1:6" x14ac:dyDescent="0.35">
      <c r="A16" s="126">
        <v>8.8000000000000007</v>
      </c>
      <c r="C16">
        <f t="shared" si="2"/>
        <v>13</v>
      </c>
      <c r="D16">
        <v>5.5</v>
      </c>
      <c r="E16">
        <f t="shared" si="0"/>
        <v>-0.45376219016987951</v>
      </c>
      <c r="F16">
        <f t="shared" si="1"/>
        <v>-0.81924147484081311</v>
      </c>
    </row>
    <row r="17" spans="1:6" x14ac:dyDescent="0.35">
      <c r="A17" s="126">
        <v>9.6999999999999993</v>
      </c>
      <c r="C17">
        <f t="shared" si="2"/>
        <v>15</v>
      </c>
      <c r="D17">
        <v>6.1</v>
      </c>
      <c r="E17">
        <f t="shared" si="0"/>
        <v>-0.3186393639643752</v>
      </c>
      <c r="F17">
        <f t="shared" si="1"/>
        <v>-0.57946348220447752</v>
      </c>
    </row>
    <row r="18" spans="1:6" x14ac:dyDescent="0.35">
      <c r="A18" s="126">
        <v>9.8000000000000007</v>
      </c>
      <c r="C18">
        <f t="shared" si="2"/>
        <v>17</v>
      </c>
      <c r="D18">
        <v>6.3</v>
      </c>
      <c r="E18">
        <f t="shared" si="0"/>
        <v>-0.18911842627279254</v>
      </c>
      <c r="F18">
        <f t="shared" si="1"/>
        <v>-0.4995374846590323</v>
      </c>
    </row>
    <row r="19" spans="1:6" x14ac:dyDescent="0.35">
      <c r="A19" s="126">
        <v>10.1</v>
      </c>
      <c r="C19">
        <f t="shared" si="2"/>
        <v>19</v>
      </c>
      <c r="D19">
        <v>6.8</v>
      </c>
      <c r="E19">
        <f t="shared" si="0"/>
        <v>-6.2706777943213846E-2</v>
      </c>
      <c r="F19">
        <f t="shared" si="1"/>
        <v>-0.29972249079541924</v>
      </c>
    </row>
    <row r="20" spans="1:6" x14ac:dyDescent="0.35">
      <c r="A20" s="126">
        <v>10.6</v>
      </c>
      <c r="C20">
        <f t="shared" si="2"/>
        <v>21</v>
      </c>
      <c r="D20">
        <v>7.1</v>
      </c>
      <c r="E20">
        <f t="shared" si="0"/>
        <v>6.2706777943213846E-2</v>
      </c>
      <c r="F20">
        <f t="shared" si="1"/>
        <v>-0.17983349447725147</v>
      </c>
    </row>
    <row r="21" spans="1:6" x14ac:dyDescent="0.35">
      <c r="A21" s="126">
        <v>10.7</v>
      </c>
      <c r="C21">
        <f t="shared" si="2"/>
        <v>23</v>
      </c>
      <c r="D21">
        <v>8</v>
      </c>
      <c r="E21">
        <f t="shared" si="0"/>
        <v>0.18911842627279243</v>
      </c>
      <c r="F21">
        <f t="shared" si="1"/>
        <v>0.17983349447725216</v>
      </c>
    </row>
    <row r="22" spans="1:6" x14ac:dyDescent="0.35">
      <c r="A22" s="126">
        <v>10.8</v>
      </c>
      <c r="C22">
        <f t="shared" si="2"/>
        <v>25</v>
      </c>
      <c r="D22">
        <v>8.8000000000000007</v>
      </c>
      <c r="E22">
        <f t="shared" si="0"/>
        <v>0.3186393639643752</v>
      </c>
      <c r="F22">
        <f t="shared" si="1"/>
        <v>0.49953748465903336</v>
      </c>
    </row>
    <row r="23" spans="1:6" x14ac:dyDescent="0.35">
      <c r="A23" s="132">
        <v>11.7</v>
      </c>
      <c r="C23">
        <f t="shared" si="2"/>
        <v>27</v>
      </c>
      <c r="D23">
        <v>9.6999999999999993</v>
      </c>
      <c r="E23">
        <f t="shared" si="0"/>
        <v>0.45376219016987968</v>
      </c>
      <c r="F23">
        <f t="shared" si="1"/>
        <v>0.85920447361353625</v>
      </c>
    </row>
    <row r="24" spans="1:6" x14ac:dyDescent="0.35">
      <c r="C24">
        <f t="shared" si="2"/>
        <v>29</v>
      </c>
      <c r="D24">
        <v>9.8000000000000007</v>
      </c>
      <c r="E24">
        <f t="shared" si="0"/>
        <v>0.59776012604247841</v>
      </c>
      <c r="F24">
        <f t="shared" si="1"/>
        <v>0.89916747238625949</v>
      </c>
    </row>
    <row r="25" spans="1:6" x14ac:dyDescent="0.35">
      <c r="C25">
        <f t="shared" si="2"/>
        <v>31</v>
      </c>
      <c r="D25">
        <v>10.1</v>
      </c>
      <c r="E25">
        <f t="shared" si="0"/>
        <v>0.75541502636046909</v>
      </c>
      <c r="F25">
        <f t="shared" si="1"/>
        <v>1.0190564687044268</v>
      </c>
    </row>
    <row r="26" spans="1:6" x14ac:dyDescent="0.35">
      <c r="C26">
        <f t="shared" si="2"/>
        <v>33</v>
      </c>
      <c r="D26">
        <v>10.6</v>
      </c>
      <c r="E26">
        <f t="shared" si="0"/>
        <v>0.9345892910734801</v>
      </c>
      <c r="F26">
        <f t="shared" si="1"/>
        <v>1.2188714625680399</v>
      </c>
    </row>
    <row r="27" spans="1:6" x14ac:dyDescent="0.35">
      <c r="C27">
        <f t="shared" si="2"/>
        <v>35</v>
      </c>
      <c r="D27">
        <v>10.7</v>
      </c>
      <c r="E27">
        <f t="shared" si="0"/>
        <v>1.1503493803760083</v>
      </c>
      <c r="F27">
        <f t="shared" si="1"/>
        <v>1.2588344613407625</v>
      </c>
    </row>
    <row r="28" spans="1:6" x14ac:dyDescent="0.35">
      <c r="C28">
        <f t="shared" si="2"/>
        <v>37</v>
      </c>
      <c r="D28">
        <v>10.8</v>
      </c>
      <c r="E28">
        <f t="shared" si="0"/>
        <v>1.4395314709384563</v>
      </c>
      <c r="F28">
        <f t="shared" si="1"/>
        <v>1.2987974601134855</v>
      </c>
    </row>
    <row r="29" spans="1:6" x14ac:dyDescent="0.35">
      <c r="C29">
        <f t="shared" si="2"/>
        <v>39</v>
      </c>
      <c r="D29">
        <v>11.7</v>
      </c>
      <c r="E29">
        <f t="shared" si="0"/>
        <v>1.9599639845400536</v>
      </c>
      <c r="F29">
        <f t="shared" si="1"/>
        <v>1.6584644490679885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32"/>
  <dimension ref="A1:K27"/>
  <sheetViews>
    <sheetView zoomScaleNormal="100" workbookViewId="0">
      <selection activeCell="I15" sqref="I15"/>
    </sheetView>
  </sheetViews>
  <sheetFormatPr defaultRowHeight="14.5" x14ac:dyDescent="0.35"/>
  <cols>
    <col min="2" max="2" width="5.453125" customWidth="1"/>
    <col min="5" max="5" width="4.1796875" customWidth="1"/>
    <col min="6" max="6" width="35" customWidth="1"/>
    <col min="10" max="10" width="4.54296875" customWidth="1"/>
    <col min="11" max="11" width="34.1796875" customWidth="1"/>
  </cols>
  <sheetData>
    <row r="1" spans="1:9" x14ac:dyDescent="0.35">
      <c r="A1" s="1" t="s">
        <v>233</v>
      </c>
    </row>
    <row r="3" spans="1:9" x14ac:dyDescent="0.35">
      <c r="A3" s="39" t="s">
        <v>62</v>
      </c>
      <c r="C3" t="s">
        <v>125</v>
      </c>
    </row>
    <row r="4" spans="1:9" x14ac:dyDescent="0.35">
      <c r="A4" s="126">
        <v>4</v>
      </c>
    </row>
    <row r="5" spans="1:9" x14ac:dyDescent="0.35">
      <c r="A5" s="126">
        <v>4.7</v>
      </c>
      <c r="D5" s="28" t="str">
        <f>A3</f>
        <v>Data</v>
      </c>
    </row>
    <row r="6" spans="1:9" x14ac:dyDescent="0.35">
      <c r="A6" s="126">
        <v>4.9000000000000004</v>
      </c>
      <c r="C6" t="s">
        <v>48</v>
      </c>
      <c r="D6" s="159">
        <f>MIN(A4:A23)</f>
        <v>4</v>
      </c>
    </row>
    <row r="7" spans="1:9" x14ac:dyDescent="0.35">
      <c r="A7" s="126">
        <v>5</v>
      </c>
      <c r="C7" t="s">
        <v>49</v>
      </c>
      <c r="D7" s="160">
        <f>QUARTILE(A4:A23,1)-D6</f>
        <v>1.3000000000000007</v>
      </c>
    </row>
    <row r="8" spans="1:9" x14ac:dyDescent="0.35">
      <c r="A8" s="126">
        <v>5</v>
      </c>
      <c r="C8" t="s">
        <v>50</v>
      </c>
      <c r="D8" s="160">
        <f>MEDIAN(A4:A23)-QUARTILE(A4:A23,1)</f>
        <v>1.6499999999999986</v>
      </c>
    </row>
    <row r="9" spans="1:9" x14ac:dyDescent="0.35">
      <c r="A9" s="126">
        <v>5.4</v>
      </c>
      <c r="C9" t="s">
        <v>51</v>
      </c>
      <c r="D9" s="160">
        <f>QUARTILE(A4:A23,3)-MEDIAN(A4:A23)</f>
        <v>2.9250000000000007</v>
      </c>
    </row>
    <row r="10" spans="1:9" x14ac:dyDescent="0.35">
      <c r="A10" s="126">
        <v>5.5</v>
      </c>
      <c r="C10" t="s">
        <v>52</v>
      </c>
      <c r="D10" s="160">
        <f>MAX(A4:A23)-QUARTILE(A4:A23,3)</f>
        <v>1.8249999999999993</v>
      </c>
    </row>
    <row r="11" spans="1:9" x14ac:dyDescent="0.35">
      <c r="A11" s="126">
        <v>6.1</v>
      </c>
      <c r="C11" t="s">
        <v>7</v>
      </c>
      <c r="D11" s="161">
        <f>AVERAGE(A4:A23)</f>
        <v>7.5499999999999989</v>
      </c>
    </row>
    <row r="12" spans="1:9" x14ac:dyDescent="0.35">
      <c r="A12" s="126">
        <v>6.3</v>
      </c>
    </row>
    <row r="13" spans="1:9" x14ac:dyDescent="0.35">
      <c r="A13" s="126">
        <v>6.8</v>
      </c>
      <c r="C13" t="s">
        <v>232</v>
      </c>
      <c r="H13" t="s">
        <v>231</v>
      </c>
    </row>
    <row r="14" spans="1:9" x14ac:dyDescent="0.35">
      <c r="A14" s="126">
        <v>7.1</v>
      </c>
    </row>
    <row r="15" spans="1:9" x14ac:dyDescent="0.35">
      <c r="A15" s="126">
        <v>8</v>
      </c>
      <c r="C15" t="s">
        <v>230</v>
      </c>
      <c r="D15" s="34">
        <f>SKEW(A4:A23)</f>
        <v>0.23011951213947515</v>
      </c>
      <c r="H15" t="s">
        <v>230</v>
      </c>
      <c r="I15" s="34" t="e">
        <f ca="1">SKEWP(A4:A23)</f>
        <v>#NAME?</v>
      </c>
    </row>
    <row r="16" spans="1:9" x14ac:dyDescent="0.35">
      <c r="A16" s="126">
        <v>8.8000000000000007</v>
      </c>
      <c r="C16" t="s">
        <v>229</v>
      </c>
      <c r="D16" s="35">
        <f>KURT(A4:A23)</f>
        <v>-1.5311509783670325</v>
      </c>
      <c r="H16" t="s">
        <v>229</v>
      </c>
      <c r="I16" s="35" t="e">
        <f ca="1">KURTP(A4:A23)</f>
        <v>#NAME?</v>
      </c>
    </row>
    <row r="17" spans="1:11" x14ac:dyDescent="0.35">
      <c r="A17" s="126">
        <v>9.6999999999999993</v>
      </c>
    </row>
    <row r="18" spans="1:11" x14ac:dyDescent="0.35">
      <c r="A18" s="126">
        <v>9.8000000000000007</v>
      </c>
      <c r="C18" t="s">
        <v>228</v>
      </c>
      <c r="D18" s="34">
        <f>SQRT(6/COUNT(A4:A23))</f>
        <v>0.54772255750516607</v>
      </c>
      <c r="H18" t="s">
        <v>228</v>
      </c>
      <c r="I18" s="34">
        <f>SQRT(6/COUNT(A4:A23))</f>
        <v>0.54772255750516607</v>
      </c>
    </row>
    <row r="19" spans="1:11" x14ac:dyDescent="0.35">
      <c r="A19" s="126">
        <v>10.1</v>
      </c>
      <c r="C19" t="s">
        <v>227</v>
      </c>
      <c r="D19" s="35">
        <f>SQRT(24/COUNT(A4:A23))</f>
        <v>1.0954451150103321</v>
      </c>
      <c r="H19" t="s">
        <v>227</v>
      </c>
      <c r="I19" s="35">
        <f>SQRT(24/COUNT(A4:A23))</f>
        <v>1.0954451150103321</v>
      </c>
    </row>
    <row r="20" spans="1:11" x14ac:dyDescent="0.35">
      <c r="A20" s="126">
        <v>10.6</v>
      </c>
    </row>
    <row r="21" spans="1:11" x14ac:dyDescent="0.35">
      <c r="A21" s="126">
        <v>10.7</v>
      </c>
      <c r="C21" t="s">
        <v>226</v>
      </c>
    </row>
    <row r="22" spans="1:11" x14ac:dyDescent="0.35">
      <c r="A22" s="126">
        <v>10.8</v>
      </c>
    </row>
    <row r="23" spans="1:11" x14ac:dyDescent="0.35">
      <c r="A23" s="132">
        <v>11.7</v>
      </c>
      <c r="C23" t="s">
        <v>224</v>
      </c>
      <c r="D23" s="34">
        <f>COUNT(A4:A23)*(D15^2/6+D16^2/24)</f>
        <v>2.130202731686301</v>
      </c>
      <c r="F23" t="e">
        <f ca="1">FTEXT(D23)</f>
        <v>#NAME?</v>
      </c>
    </row>
    <row r="24" spans="1:11" x14ac:dyDescent="0.35">
      <c r="C24" t="s">
        <v>57</v>
      </c>
      <c r="D24" s="35">
        <f>CHIDIST(D23,2)</f>
        <v>0.34469291290854964</v>
      </c>
      <c r="F24" s="6" t="s">
        <v>225</v>
      </c>
      <c r="H24" t="s">
        <v>226</v>
      </c>
    </row>
    <row r="26" spans="1:11" x14ac:dyDescent="0.35">
      <c r="C26" t="s">
        <v>224</v>
      </c>
      <c r="D26" s="34" t="e">
        <f ca="1">JARQUE(A4:A23,FALSE)</f>
        <v>#NAME?</v>
      </c>
      <c r="F26" t="e">
        <f ca="1">FTEXT(D26)</f>
        <v>#NAME?</v>
      </c>
      <c r="H26" t="s">
        <v>224</v>
      </c>
      <c r="I26" s="34" t="e">
        <f ca="1">JARQUE(A4:A23)</f>
        <v>#NAME?</v>
      </c>
      <c r="K26" t="e">
        <f ca="1">FTEXT(I26)</f>
        <v>#NAME?</v>
      </c>
    </row>
    <row r="27" spans="1:11" x14ac:dyDescent="0.35">
      <c r="C27" t="s">
        <v>57</v>
      </c>
      <c r="D27" s="35" t="e">
        <f ca="1">JBTEST(A4:A23,FALSE)</f>
        <v>#NAME?</v>
      </c>
      <c r="F27" t="e">
        <f ca="1">FTEXT(D27)</f>
        <v>#NAME?</v>
      </c>
      <c r="H27" t="s">
        <v>57</v>
      </c>
      <c r="I27" s="35" t="e">
        <f ca="1">JBTEST(A4:A23)</f>
        <v>#NAME?</v>
      </c>
      <c r="K27" t="e">
        <f ca="1">FTEXT(I27)</f>
        <v>#NAME?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3"/>
  <dimension ref="A1:AH47"/>
  <sheetViews>
    <sheetView workbookViewId="0"/>
  </sheetViews>
  <sheetFormatPr defaultRowHeight="14.5" x14ac:dyDescent="0.35"/>
  <cols>
    <col min="1" max="1" width="9.81640625" customWidth="1"/>
    <col min="17" max="17" width="13.26953125" customWidth="1"/>
    <col min="18" max="28" width="6.54296875" customWidth="1"/>
  </cols>
  <sheetData>
    <row r="1" spans="1:34" x14ac:dyDescent="0.35">
      <c r="A1" s="1" t="s">
        <v>237</v>
      </c>
      <c r="AD1" t="s">
        <v>40</v>
      </c>
      <c r="AG1" t="s">
        <v>356</v>
      </c>
    </row>
    <row r="3" spans="1:34" x14ac:dyDescent="0.35">
      <c r="A3">
        <v>35</v>
      </c>
      <c r="C3" t="s">
        <v>60</v>
      </c>
      <c r="Q3" t="s">
        <v>236</v>
      </c>
      <c r="R3" s="36">
        <v>35</v>
      </c>
      <c r="S3" s="97">
        <v>64</v>
      </c>
      <c r="T3" s="97">
        <v>70</v>
      </c>
      <c r="U3" s="97">
        <v>93</v>
      </c>
      <c r="V3" s="97">
        <v>95</v>
      </c>
      <c r="W3" s="97">
        <v>100</v>
      </c>
      <c r="X3" s="97">
        <v>110</v>
      </c>
      <c r="Y3" s="97">
        <v>115</v>
      </c>
      <c r="Z3" s="97">
        <v>140</v>
      </c>
      <c r="AA3" s="97">
        <v>200</v>
      </c>
      <c r="AB3" s="96">
        <v>240</v>
      </c>
      <c r="AD3" t="s">
        <v>126</v>
      </c>
      <c r="AG3" t="s">
        <v>126</v>
      </c>
    </row>
    <row r="4" spans="1:34" x14ac:dyDescent="0.35">
      <c r="A4">
        <v>64</v>
      </c>
      <c r="Q4" t="s">
        <v>235</v>
      </c>
      <c r="R4" s="61">
        <f t="shared" ref="R4:AB4" si="0">LOG(R3)</f>
        <v>1.5440680443502757</v>
      </c>
      <c r="S4" s="80">
        <f t="shared" si="0"/>
        <v>1.8061799739838871</v>
      </c>
      <c r="T4" s="80">
        <f t="shared" si="0"/>
        <v>1.8450980400142569</v>
      </c>
      <c r="U4" s="80">
        <f t="shared" si="0"/>
        <v>1.968482948553935</v>
      </c>
      <c r="V4" s="80">
        <f t="shared" si="0"/>
        <v>1.9777236052888478</v>
      </c>
      <c r="W4" s="80">
        <f t="shared" si="0"/>
        <v>2</v>
      </c>
      <c r="X4" s="80">
        <f t="shared" si="0"/>
        <v>2.0413926851582249</v>
      </c>
      <c r="Y4" s="80">
        <f t="shared" si="0"/>
        <v>2.0606978403536118</v>
      </c>
      <c r="Z4" s="80">
        <f t="shared" si="0"/>
        <v>2.1461280356782382</v>
      </c>
      <c r="AA4" s="80">
        <f t="shared" si="0"/>
        <v>2.3010299956639813</v>
      </c>
      <c r="AB4" s="63">
        <f t="shared" si="0"/>
        <v>2.3802112417116059</v>
      </c>
    </row>
    <row r="5" spans="1:34" x14ac:dyDescent="0.35">
      <c r="A5">
        <v>70</v>
      </c>
      <c r="C5" t="s">
        <v>19</v>
      </c>
      <c r="D5">
        <f>COUNT(A3:A13)</f>
        <v>11</v>
      </c>
      <c r="E5">
        <f>2*D5</f>
        <v>22</v>
      </c>
      <c r="AD5" s="77"/>
      <c r="AE5" s="77" t="s">
        <v>59</v>
      </c>
      <c r="AG5" s="77"/>
      <c r="AH5" s="77" t="s">
        <v>59</v>
      </c>
    </row>
    <row r="6" spans="1:34" x14ac:dyDescent="0.35">
      <c r="A6">
        <v>93</v>
      </c>
      <c r="C6" t="s">
        <v>7</v>
      </c>
      <c r="D6">
        <f>AVERAGE(A3:A13)</f>
        <v>114.72727272727273</v>
      </c>
      <c r="AD6" t="s">
        <v>352</v>
      </c>
      <c r="AE6" t="e">
        <f ca="1">SHAPIRO(A3:A13)</f>
        <v>#NAME?</v>
      </c>
      <c r="AG6" t="s">
        <v>352</v>
      </c>
      <c r="AH6" t="e">
        <f ca="1">SHAPIRO(A24:A34)</f>
        <v>#NAME?</v>
      </c>
    </row>
    <row r="7" spans="1:34" x14ac:dyDescent="0.35">
      <c r="A7">
        <v>95</v>
      </c>
      <c r="C7" t="s">
        <v>54</v>
      </c>
      <c r="D7">
        <f>STDEV(A3:A13)</f>
        <v>59.694373116887512</v>
      </c>
      <c r="AD7" t="s">
        <v>57</v>
      </c>
      <c r="AE7" t="e">
        <f ca="1">SWTEST(A3:A13)</f>
        <v>#NAME?</v>
      </c>
      <c r="AG7" t="s">
        <v>57</v>
      </c>
      <c r="AH7" t="e">
        <f ca="1">SWTEST(A24:A34)</f>
        <v>#NAME?</v>
      </c>
    </row>
    <row r="8" spans="1:34" x14ac:dyDescent="0.35">
      <c r="A8">
        <v>100</v>
      </c>
      <c r="AD8" t="s">
        <v>88</v>
      </c>
      <c r="AE8">
        <v>0.05</v>
      </c>
      <c r="AG8" t="s">
        <v>88</v>
      </c>
      <c r="AH8">
        <v>0.05</v>
      </c>
    </row>
    <row r="9" spans="1:34" x14ac:dyDescent="0.35">
      <c r="A9">
        <v>110</v>
      </c>
      <c r="C9" t="s">
        <v>61</v>
      </c>
      <c r="D9" t="s">
        <v>62</v>
      </c>
      <c r="E9" t="s">
        <v>93</v>
      </c>
      <c r="F9" t="s">
        <v>63</v>
      </c>
      <c r="AD9" s="75" t="s">
        <v>127</v>
      </c>
      <c r="AE9" s="76" t="e">
        <f ca="1">IF(AE7&lt;AE8,"no","yes")</f>
        <v>#NAME?</v>
      </c>
      <c r="AG9" s="75" t="s">
        <v>127</v>
      </c>
      <c r="AH9" s="76" t="e">
        <f ca="1">IF(AH7&lt;AH8,"no","yes")</f>
        <v>#NAME?</v>
      </c>
    </row>
    <row r="10" spans="1:34" x14ac:dyDescent="0.35">
      <c r="A10">
        <v>115</v>
      </c>
      <c r="C10">
        <v>1</v>
      </c>
      <c r="D10">
        <v>35</v>
      </c>
      <c r="E10">
        <f t="shared" ref="E10:E20" si="1">NORMSINV(C10/E$5)</f>
        <v>-1.6906216295848977</v>
      </c>
      <c r="F10">
        <f t="shared" ref="F10:F20" si="2">STANDARDIZE(D10,D$6,D$7)</f>
        <v>-1.3355910878092114</v>
      </c>
    </row>
    <row r="11" spans="1:34" x14ac:dyDescent="0.35">
      <c r="A11">
        <v>140</v>
      </c>
      <c r="C11">
        <f t="shared" ref="C11:C20" si="3">C10+2</f>
        <v>3</v>
      </c>
      <c r="D11">
        <v>64</v>
      </c>
      <c r="E11">
        <f t="shared" si="1"/>
        <v>-1.096803562093513</v>
      </c>
      <c r="F11">
        <f t="shared" si="2"/>
        <v>-0.84978315507131119</v>
      </c>
      <c r="AD11" t="s">
        <v>353</v>
      </c>
      <c r="AG11" t="s">
        <v>353</v>
      </c>
    </row>
    <row r="12" spans="1:34" x14ac:dyDescent="0.35">
      <c r="A12">
        <v>200</v>
      </c>
      <c r="C12">
        <f t="shared" si="3"/>
        <v>5</v>
      </c>
      <c r="D12">
        <v>70</v>
      </c>
      <c r="E12">
        <f t="shared" si="1"/>
        <v>-0.74785859476330196</v>
      </c>
      <c r="F12">
        <f t="shared" si="2"/>
        <v>-0.74927116898760782</v>
      </c>
    </row>
    <row r="13" spans="1:34" x14ac:dyDescent="0.35">
      <c r="A13">
        <v>240</v>
      </c>
      <c r="C13">
        <f t="shared" si="3"/>
        <v>7</v>
      </c>
      <c r="D13">
        <v>93</v>
      </c>
      <c r="E13">
        <f t="shared" si="1"/>
        <v>-0.47278912099226744</v>
      </c>
      <c r="F13">
        <f t="shared" si="2"/>
        <v>-0.36397522233341117</v>
      </c>
      <c r="AD13" s="97" t="s">
        <v>354</v>
      </c>
      <c r="AE13" s="97" t="e">
        <f ca="1">DAGOSTINO(A3:A13)</f>
        <v>#NAME?</v>
      </c>
      <c r="AG13" s="97" t="s">
        <v>354</v>
      </c>
      <c r="AH13" s="97" t="e">
        <f ca="1">DAGOSTINO(A24:A34)</f>
        <v>#NAME?</v>
      </c>
    </row>
    <row r="14" spans="1:34" x14ac:dyDescent="0.35">
      <c r="C14">
        <f t="shared" si="3"/>
        <v>9</v>
      </c>
      <c r="D14">
        <v>95</v>
      </c>
      <c r="E14">
        <f t="shared" si="1"/>
        <v>-0.22988411757923208</v>
      </c>
      <c r="F14">
        <f t="shared" si="2"/>
        <v>-0.33047122697217668</v>
      </c>
      <c r="AD14" t="s">
        <v>57</v>
      </c>
      <c r="AE14" t="e">
        <f ca="1">DPTEST(A3:A13)</f>
        <v>#NAME?</v>
      </c>
      <c r="AG14" t="s">
        <v>57</v>
      </c>
      <c r="AH14" t="e">
        <f ca="1">DPTEST(A24:A34)</f>
        <v>#NAME?</v>
      </c>
    </row>
    <row r="15" spans="1:34" x14ac:dyDescent="0.35">
      <c r="C15">
        <f t="shared" si="3"/>
        <v>11</v>
      </c>
      <c r="D15">
        <v>100</v>
      </c>
      <c r="E15">
        <f t="shared" si="1"/>
        <v>0</v>
      </c>
      <c r="F15">
        <f t="shared" si="2"/>
        <v>-0.24671123856909044</v>
      </c>
      <c r="AD15" t="s">
        <v>88</v>
      </c>
      <c r="AE15">
        <v>0.05</v>
      </c>
      <c r="AG15" t="s">
        <v>88</v>
      </c>
      <c r="AH15">
        <v>0.05</v>
      </c>
    </row>
    <row r="16" spans="1:34" x14ac:dyDescent="0.35">
      <c r="C16">
        <f t="shared" si="3"/>
        <v>13</v>
      </c>
      <c r="D16">
        <v>110</v>
      </c>
      <c r="E16">
        <f t="shared" si="1"/>
        <v>0.22988411757923222</v>
      </c>
      <c r="F16">
        <f t="shared" si="2"/>
        <v>-7.9191261762917992E-2</v>
      </c>
      <c r="AD16" s="75" t="s">
        <v>127</v>
      </c>
      <c r="AE16" s="76" t="e">
        <f ca="1">IF(AE14&lt;AE15,"no","yes")</f>
        <v>#NAME?</v>
      </c>
      <c r="AG16" s="75" t="s">
        <v>127</v>
      </c>
      <c r="AH16" s="76" t="e">
        <f ca="1">IF(AH14&lt;AH15,"no","yes")</f>
        <v>#NAME?</v>
      </c>
    </row>
    <row r="17" spans="1:6" x14ac:dyDescent="0.35">
      <c r="C17">
        <f t="shared" si="3"/>
        <v>15</v>
      </c>
      <c r="D17">
        <v>115</v>
      </c>
      <c r="E17">
        <f t="shared" si="1"/>
        <v>0.47278912099226728</v>
      </c>
      <c r="F17">
        <f t="shared" si="2"/>
        <v>4.5687266401682313E-3</v>
      </c>
    </row>
    <row r="18" spans="1:6" x14ac:dyDescent="0.35">
      <c r="C18">
        <f t="shared" si="3"/>
        <v>17</v>
      </c>
      <c r="D18">
        <v>140</v>
      </c>
      <c r="E18">
        <f t="shared" si="1"/>
        <v>0.74785859476330196</v>
      </c>
      <c r="F18">
        <f t="shared" si="2"/>
        <v>0.42336866865559936</v>
      </c>
    </row>
    <row r="19" spans="1:6" x14ac:dyDescent="0.35">
      <c r="C19">
        <f t="shared" si="3"/>
        <v>19</v>
      </c>
      <c r="D19">
        <v>200</v>
      </c>
      <c r="E19">
        <f t="shared" si="1"/>
        <v>1.096803562093513</v>
      </c>
      <c r="F19">
        <f t="shared" si="2"/>
        <v>1.4284885294926339</v>
      </c>
    </row>
    <row r="20" spans="1:6" x14ac:dyDescent="0.35">
      <c r="C20">
        <f t="shared" si="3"/>
        <v>21</v>
      </c>
      <c r="D20">
        <v>240</v>
      </c>
      <c r="E20">
        <f t="shared" si="1"/>
        <v>1.6906216295848984</v>
      </c>
      <c r="F20">
        <f t="shared" si="2"/>
        <v>2.0985684367173238</v>
      </c>
    </row>
    <row r="22" spans="1:6" x14ac:dyDescent="0.35">
      <c r="A22" t="s">
        <v>235</v>
      </c>
    </row>
    <row r="24" spans="1:6" x14ac:dyDescent="0.35">
      <c r="A24">
        <f t="shared" ref="A24:A34" si="4">LOG(A3)</f>
        <v>1.5440680443502757</v>
      </c>
      <c r="C24" t="s">
        <v>60</v>
      </c>
    </row>
    <row r="25" spans="1:6" x14ac:dyDescent="0.35">
      <c r="A25">
        <f t="shared" si="4"/>
        <v>1.8061799739838871</v>
      </c>
    </row>
    <row r="26" spans="1:6" x14ac:dyDescent="0.35">
      <c r="A26">
        <f t="shared" si="4"/>
        <v>1.8450980400142569</v>
      </c>
      <c r="C26" t="s">
        <v>19</v>
      </c>
      <c r="D26">
        <f>COUNT(A24:A34)</f>
        <v>11</v>
      </c>
      <c r="E26">
        <f>2*D26</f>
        <v>22</v>
      </c>
    </row>
    <row r="27" spans="1:6" x14ac:dyDescent="0.35">
      <c r="A27">
        <f t="shared" si="4"/>
        <v>1.968482948553935</v>
      </c>
      <c r="C27" t="s">
        <v>7</v>
      </c>
      <c r="D27">
        <f>AVERAGE(A24:A34)</f>
        <v>2.0064556737051693</v>
      </c>
    </row>
    <row r="28" spans="1:6" x14ac:dyDescent="0.35">
      <c r="A28">
        <f t="shared" si="4"/>
        <v>1.9777236052888478</v>
      </c>
      <c r="C28" t="s">
        <v>54</v>
      </c>
      <c r="D28">
        <f>STDEV(A24:A34)</f>
        <v>0.23073719441128815</v>
      </c>
    </row>
    <row r="29" spans="1:6" x14ac:dyDescent="0.35">
      <c r="A29">
        <f t="shared" si="4"/>
        <v>2</v>
      </c>
    </row>
    <row r="30" spans="1:6" x14ac:dyDescent="0.35">
      <c r="A30">
        <f t="shared" si="4"/>
        <v>2.0413926851582249</v>
      </c>
      <c r="C30" t="s">
        <v>61</v>
      </c>
      <c r="D30" t="s">
        <v>62</v>
      </c>
      <c r="E30" t="s">
        <v>93</v>
      </c>
      <c r="F30" t="s">
        <v>63</v>
      </c>
    </row>
    <row r="31" spans="1:6" x14ac:dyDescent="0.35">
      <c r="A31">
        <f t="shared" si="4"/>
        <v>2.0606978403536118</v>
      </c>
      <c r="C31">
        <v>1</v>
      </c>
      <c r="D31">
        <v>1.5440680443502757</v>
      </c>
      <c r="E31">
        <f t="shared" ref="E31:E41" si="5">NORMSINV(C31/E$26)</f>
        <v>-1.6906216295848977</v>
      </c>
      <c r="F31">
        <f t="shared" ref="F31:F41" si="6">STANDARDIZE(D31,D$27,D$28)</f>
        <v>-2.003957925095897</v>
      </c>
    </row>
    <row r="32" spans="1:6" x14ac:dyDescent="0.35">
      <c r="A32">
        <f t="shared" si="4"/>
        <v>2.1461280356782382</v>
      </c>
      <c r="C32">
        <f t="shared" ref="C32:C41" si="7">C31+2</f>
        <v>3</v>
      </c>
      <c r="D32">
        <v>1.8061799739838871</v>
      </c>
      <c r="E32">
        <f t="shared" si="5"/>
        <v>-1.096803562093513</v>
      </c>
      <c r="F32">
        <f t="shared" si="6"/>
        <v>-0.8679818623619544</v>
      </c>
    </row>
    <row r="33" spans="1:6" x14ac:dyDescent="0.35">
      <c r="A33">
        <f t="shared" si="4"/>
        <v>2.3010299956639813</v>
      </c>
      <c r="C33">
        <f t="shared" si="7"/>
        <v>5</v>
      </c>
      <c r="D33">
        <v>1.8450980400142569</v>
      </c>
      <c r="E33">
        <f t="shared" si="5"/>
        <v>-0.74785859476330196</v>
      </c>
      <c r="F33">
        <f t="shared" si="6"/>
        <v>-0.69931349430943079</v>
      </c>
    </row>
    <row r="34" spans="1:6" x14ac:dyDescent="0.35">
      <c r="A34">
        <f t="shared" si="4"/>
        <v>2.3802112417116059</v>
      </c>
      <c r="C34">
        <f t="shared" si="7"/>
        <v>7</v>
      </c>
      <c r="D34">
        <v>1.968482948553935</v>
      </c>
      <c r="E34">
        <f t="shared" si="5"/>
        <v>-0.47278912099226744</v>
      </c>
      <c r="F34">
        <f t="shared" si="6"/>
        <v>-0.16457132214040904</v>
      </c>
    </row>
    <row r="35" spans="1:6" x14ac:dyDescent="0.35">
      <c r="C35">
        <f t="shared" si="7"/>
        <v>9</v>
      </c>
      <c r="D35">
        <v>1.9777236052888478</v>
      </c>
      <c r="E35">
        <f t="shared" si="5"/>
        <v>-0.22988411757923208</v>
      </c>
      <c r="F35">
        <f t="shared" si="6"/>
        <v>-0.12452291660054893</v>
      </c>
    </row>
    <row r="36" spans="1:6" x14ac:dyDescent="0.35">
      <c r="C36">
        <f t="shared" si="7"/>
        <v>11</v>
      </c>
      <c r="D36">
        <v>2</v>
      </c>
      <c r="E36">
        <f t="shared" si="5"/>
        <v>0</v>
      </c>
      <c r="F36">
        <f t="shared" si="6"/>
        <v>-2.7978470144965416E-2</v>
      </c>
    </row>
    <row r="37" spans="1:6" x14ac:dyDescent="0.35">
      <c r="C37">
        <f t="shared" si="7"/>
        <v>13</v>
      </c>
      <c r="D37">
        <v>2.0413926851582249</v>
      </c>
      <c r="E37">
        <f t="shared" si="5"/>
        <v>0.22988411757923222</v>
      </c>
      <c r="F37">
        <f t="shared" si="6"/>
        <v>0.15141473632890121</v>
      </c>
    </row>
    <row r="38" spans="1:6" x14ac:dyDescent="0.35">
      <c r="C38">
        <f t="shared" si="7"/>
        <v>15</v>
      </c>
      <c r="D38">
        <v>2.0606978403536118</v>
      </c>
      <c r="E38">
        <f t="shared" si="5"/>
        <v>0.47278912099226728</v>
      </c>
      <c r="F38">
        <f t="shared" si="6"/>
        <v>0.23508202388799115</v>
      </c>
    </row>
    <row r="39" spans="1:6" x14ac:dyDescent="0.35">
      <c r="C39">
        <f t="shared" si="7"/>
        <v>17</v>
      </c>
      <c r="D39">
        <v>2.1461280356782382</v>
      </c>
      <c r="E39">
        <f t="shared" si="5"/>
        <v>0.74785859476330196</v>
      </c>
      <c r="F39">
        <f t="shared" si="6"/>
        <v>0.60533093647703551</v>
      </c>
    </row>
    <row r="40" spans="1:6" x14ac:dyDescent="0.35">
      <c r="C40">
        <f t="shared" si="7"/>
        <v>19</v>
      </c>
      <c r="D40">
        <v>2.3010299956639813</v>
      </c>
      <c r="E40">
        <f t="shared" si="5"/>
        <v>1.096803562093513</v>
      </c>
      <c r="F40">
        <f t="shared" si="6"/>
        <v>1.276665960641501</v>
      </c>
    </row>
    <row r="41" spans="1:6" x14ac:dyDescent="0.35">
      <c r="C41">
        <f t="shared" si="7"/>
        <v>21</v>
      </c>
      <c r="D41">
        <v>2.3802112417116059</v>
      </c>
      <c r="E41">
        <f t="shared" si="5"/>
        <v>1.6906216295848984</v>
      </c>
      <c r="F41">
        <f t="shared" si="6"/>
        <v>1.6198323333177864</v>
      </c>
    </row>
    <row r="43" spans="1:6" x14ac:dyDescent="0.35">
      <c r="A43" t="s">
        <v>234</v>
      </c>
    </row>
    <row r="45" spans="1:6" x14ac:dyDescent="0.35">
      <c r="B45" s="5" t="s">
        <v>65</v>
      </c>
      <c r="C45" s="5" t="s">
        <v>66</v>
      </c>
    </row>
    <row r="46" spans="1:6" x14ac:dyDescent="0.35">
      <c r="A46" t="s">
        <v>14</v>
      </c>
      <c r="B46" s="36">
        <f>SKEW(A3:A13)</f>
        <v>1.0653312240538844</v>
      </c>
      <c r="C46" s="96">
        <f>SKEW(A24:A34)</f>
        <v>-0.30318873984434541</v>
      </c>
    </row>
    <row r="47" spans="1:6" x14ac:dyDescent="0.35">
      <c r="A47" t="s">
        <v>13</v>
      </c>
      <c r="B47" s="30">
        <f>KURT(A3:A13)</f>
        <v>0.90122471790304015</v>
      </c>
      <c r="C47" s="33">
        <f>KURT(A24:A34)</f>
        <v>0.71251751779173755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3"/>
  <dimension ref="A1:K16"/>
  <sheetViews>
    <sheetView workbookViewId="0"/>
  </sheetViews>
  <sheetFormatPr defaultRowHeight="14.5" x14ac:dyDescent="0.35"/>
  <cols>
    <col min="1" max="2" width="6.54296875" customWidth="1"/>
    <col min="3" max="3" width="4.7265625" customWidth="1"/>
    <col min="7" max="7" width="4.453125" customWidth="1"/>
    <col min="8" max="8" width="7" customWidth="1"/>
    <col min="12" max="12" width="5.54296875" customWidth="1"/>
  </cols>
  <sheetData>
    <row r="1" spans="1:11" x14ac:dyDescent="0.35">
      <c r="A1" s="1" t="s">
        <v>247</v>
      </c>
    </row>
    <row r="3" spans="1:11" ht="16.5" x14ac:dyDescent="0.35">
      <c r="A3" s="150" t="s">
        <v>244</v>
      </c>
      <c r="B3" s="150" t="s">
        <v>39</v>
      </c>
      <c r="D3" s="150" t="s">
        <v>246</v>
      </c>
      <c r="E3" s="150" t="s">
        <v>245</v>
      </c>
      <c r="F3" s="150" t="s">
        <v>242</v>
      </c>
      <c r="H3" s="150" t="s">
        <v>244</v>
      </c>
      <c r="I3" s="150" t="s">
        <v>243</v>
      </c>
      <c r="J3" s="150" t="s">
        <v>242</v>
      </c>
      <c r="K3" s="150" t="s">
        <v>241</v>
      </c>
    </row>
    <row r="4" spans="1:11" x14ac:dyDescent="0.35">
      <c r="A4" s="4">
        <v>0</v>
      </c>
      <c r="B4" s="4">
        <v>4</v>
      </c>
      <c r="D4" s="4">
        <f t="shared" ref="D4:D12" si="0">NORMDIST(A4,4,2.5,TRUE)</f>
        <v>5.4799291699557967E-2</v>
      </c>
      <c r="E4" s="4">
        <f>D4</f>
        <v>5.4799291699557967E-2</v>
      </c>
      <c r="F4" s="4">
        <f t="shared" ref="F4:F13" si="1">$B$14*E4</f>
        <v>4.9319362529602166</v>
      </c>
      <c r="H4">
        <v>1</v>
      </c>
      <c r="I4" s="4">
        <f>B4+B5</f>
        <v>9</v>
      </c>
      <c r="J4" s="4">
        <f>F4+F5</f>
        <v>10.356270319953744</v>
      </c>
      <c r="K4" s="4">
        <f t="shared" ref="K4:K11" si="2">(I4-J4)^2/J4</f>
        <v>0.17761888440119886</v>
      </c>
    </row>
    <row r="5" spans="1:11" x14ac:dyDescent="0.35">
      <c r="A5" s="4">
        <f t="shared" ref="A5:A12" si="3">A4+1</f>
        <v>1</v>
      </c>
      <c r="B5" s="4">
        <v>5</v>
      </c>
      <c r="D5" s="4">
        <f t="shared" si="0"/>
        <v>0.11506967022170828</v>
      </c>
      <c r="E5" s="4">
        <f t="shared" ref="E5:E13" si="4">D5-D4</f>
        <v>6.0270378522150309E-2</v>
      </c>
      <c r="F5" s="4">
        <f t="shared" si="1"/>
        <v>5.424334066993528</v>
      </c>
      <c r="H5">
        <f t="shared" ref="H5:H10" si="5">H4+1</f>
        <v>2</v>
      </c>
      <c r="I5" s="4">
        <f t="shared" ref="I5:I10" si="6">B6</f>
        <v>10</v>
      </c>
      <c r="J5" s="4">
        <f t="shared" ref="J5:J10" si="7">F6</f>
        <v>8.7107155525519495</v>
      </c>
      <c r="K5" s="4">
        <f t="shared" si="2"/>
        <v>0.19082868409638742</v>
      </c>
    </row>
    <row r="6" spans="1:11" x14ac:dyDescent="0.35">
      <c r="A6" s="4">
        <f t="shared" si="3"/>
        <v>2</v>
      </c>
      <c r="B6" s="4">
        <v>10</v>
      </c>
      <c r="D6" s="4">
        <f t="shared" si="0"/>
        <v>0.21185539858339661</v>
      </c>
      <c r="E6" s="4">
        <f t="shared" si="4"/>
        <v>9.6785728361688333E-2</v>
      </c>
      <c r="F6" s="4">
        <f t="shared" si="1"/>
        <v>8.7107155525519495</v>
      </c>
      <c r="H6">
        <f t="shared" si="5"/>
        <v>3</v>
      </c>
      <c r="I6" s="4">
        <f t="shared" si="6"/>
        <v>13</v>
      </c>
      <c r="J6" s="4">
        <f t="shared" si="7"/>
        <v>11.945057382565123</v>
      </c>
      <c r="K6" s="4">
        <f t="shared" si="2"/>
        <v>9.3168570935852665E-2</v>
      </c>
    </row>
    <row r="7" spans="1:11" x14ac:dyDescent="0.35">
      <c r="A7" s="4">
        <f t="shared" si="3"/>
        <v>3</v>
      </c>
      <c r="B7" s="4">
        <v>13</v>
      </c>
      <c r="D7" s="4">
        <f t="shared" si="0"/>
        <v>0.34457825838967576</v>
      </c>
      <c r="E7" s="4">
        <f t="shared" si="4"/>
        <v>0.13272285980627915</v>
      </c>
      <c r="F7" s="4">
        <f t="shared" si="1"/>
        <v>11.945057382565123</v>
      </c>
      <c r="H7">
        <f t="shared" si="5"/>
        <v>4</v>
      </c>
      <c r="I7" s="4">
        <f t="shared" si="6"/>
        <v>18</v>
      </c>
      <c r="J7" s="4">
        <f t="shared" si="7"/>
        <v>13.987956744929182</v>
      </c>
      <c r="K7" s="4">
        <f t="shared" si="2"/>
        <v>1.1507392662187375</v>
      </c>
    </row>
    <row r="8" spans="1:11" x14ac:dyDescent="0.35">
      <c r="A8" s="4">
        <f t="shared" si="3"/>
        <v>4</v>
      </c>
      <c r="B8" s="4">
        <v>18</v>
      </c>
      <c r="D8" s="4">
        <f t="shared" si="0"/>
        <v>0.5</v>
      </c>
      <c r="E8" s="4">
        <f t="shared" si="4"/>
        <v>0.15542174161032424</v>
      </c>
      <c r="F8" s="4">
        <f t="shared" si="1"/>
        <v>13.987956744929182</v>
      </c>
      <c r="H8">
        <f t="shared" si="5"/>
        <v>5</v>
      </c>
      <c r="I8" s="4">
        <f t="shared" si="6"/>
        <v>16</v>
      </c>
      <c r="J8" s="4">
        <f t="shared" si="7"/>
        <v>13.987956744929186</v>
      </c>
      <c r="K8" s="4">
        <f t="shared" si="2"/>
        <v>0.28941453952833573</v>
      </c>
    </row>
    <row r="9" spans="1:11" x14ac:dyDescent="0.35">
      <c r="A9" s="4">
        <f t="shared" si="3"/>
        <v>5</v>
      </c>
      <c r="B9" s="4">
        <v>16</v>
      </c>
      <c r="D9" s="4">
        <f t="shared" si="0"/>
        <v>0.65542174161032429</v>
      </c>
      <c r="E9" s="4">
        <f t="shared" si="4"/>
        <v>0.15542174161032429</v>
      </c>
      <c r="F9" s="4">
        <f t="shared" si="1"/>
        <v>13.987956744929186</v>
      </c>
      <c r="H9">
        <f t="shared" si="5"/>
        <v>6</v>
      </c>
      <c r="I9" s="4">
        <f t="shared" si="6"/>
        <v>9</v>
      </c>
      <c r="J9" s="4">
        <f t="shared" si="7"/>
        <v>11.945057382565116</v>
      </c>
      <c r="K9" s="4">
        <f t="shared" si="2"/>
        <v>0.72610475687298437</v>
      </c>
    </row>
    <row r="10" spans="1:11" x14ac:dyDescent="0.35">
      <c r="A10" s="4">
        <f t="shared" si="3"/>
        <v>6</v>
      </c>
      <c r="B10" s="4">
        <v>9</v>
      </c>
      <c r="D10" s="4">
        <f t="shared" si="0"/>
        <v>0.78814460141660336</v>
      </c>
      <c r="E10" s="4">
        <f t="shared" si="4"/>
        <v>0.13272285980627907</v>
      </c>
      <c r="F10" s="4">
        <f t="shared" si="1"/>
        <v>11.945057382565116</v>
      </c>
      <c r="H10">
        <f t="shared" si="5"/>
        <v>7</v>
      </c>
      <c r="I10" s="4">
        <f t="shared" si="6"/>
        <v>9</v>
      </c>
      <c r="J10" s="4">
        <f t="shared" si="7"/>
        <v>8.7107155525519566</v>
      </c>
      <c r="K10" s="4">
        <f t="shared" si="2"/>
        <v>9.6071891029437459E-3</v>
      </c>
    </row>
    <row r="11" spans="1:11" x14ac:dyDescent="0.35">
      <c r="A11" s="4">
        <f t="shared" si="3"/>
        <v>7</v>
      </c>
      <c r="B11" s="4">
        <v>9</v>
      </c>
      <c r="D11" s="4">
        <f t="shared" si="0"/>
        <v>0.88493032977829178</v>
      </c>
      <c r="E11" s="4">
        <f t="shared" si="4"/>
        <v>9.6785728361688417E-2</v>
      </c>
      <c r="F11" s="4">
        <f t="shared" si="1"/>
        <v>8.7107155525519566</v>
      </c>
      <c r="H11" s="76" t="s">
        <v>240</v>
      </c>
      <c r="I11" s="75">
        <f>B12+B13</f>
        <v>6</v>
      </c>
      <c r="J11" s="75">
        <f>F12+F13</f>
        <v>10.35627031995374</v>
      </c>
      <c r="K11" s="75">
        <f t="shared" si="2"/>
        <v>1.8324252374859438</v>
      </c>
    </row>
    <row r="12" spans="1:11" x14ac:dyDescent="0.35">
      <c r="A12" s="4">
        <f t="shared" si="3"/>
        <v>8</v>
      </c>
      <c r="B12" s="4">
        <v>4</v>
      </c>
      <c r="D12" s="4">
        <f t="shared" si="0"/>
        <v>0.94520070830044201</v>
      </c>
      <c r="E12" s="4">
        <f t="shared" si="4"/>
        <v>6.0270378522150225E-2</v>
      </c>
      <c r="F12" s="4">
        <f t="shared" si="1"/>
        <v>5.4243340669935201</v>
      </c>
      <c r="H12" s="5"/>
      <c r="I12">
        <f>SUM(I4:I11)</f>
        <v>90</v>
      </c>
      <c r="J12">
        <f>SUM(J4:J11)</f>
        <v>90</v>
      </c>
      <c r="K12">
        <f>SUM(K4:K11)</f>
        <v>4.4699071286423839</v>
      </c>
    </row>
    <row r="13" spans="1:11" x14ac:dyDescent="0.35">
      <c r="A13" s="76" t="s">
        <v>239</v>
      </c>
      <c r="B13" s="75">
        <v>2</v>
      </c>
      <c r="D13" s="75">
        <v>1</v>
      </c>
      <c r="E13" s="75">
        <f t="shared" si="4"/>
        <v>5.4799291699557995E-2</v>
      </c>
      <c r="F13" s="75">
        <f t="shared" si="1"/>
        <v>4.9319362529602193</v>
      </c>
    </row>
    <row r="14" spans="1:11" x14ac:dyDescent="0.35">
      <c r="B14">
        <f>SUM(B4:B13)</f>
        <v>90</v>
      </c>
      <c r="F14" s="19">
        <f>SUM(F4:F13)</f>
        <v>90</v>
      </c>
      <c r="J14" s="24" t="s">
        <v>55</v>
      </c>
      <c r="K14" s="149">
        <f>COUNT(J4:J11)-1</f>
        <v>7</v>
      </c>
    </row>
    <row r="15" spans="1:11" ht="16.5" x14ac:dyDescent="0.35">
      <c r="J15" t="s">
        <v>238</v>
      </c>
      <c r="K15" s="38">
        <f>CHIINV(0.05,K14)</f>
        <v>14.067140449340167</v>
      </c>
    </row>
    <row r="16" spans="1:11" x14ac:dyDescent="0.35">
      <c r="J16" t="s">
        <v>57</v>
      </c>
      <c r="K16" s="35">
        <f>CHIDIST(K12,K14)</f>
        <v>0.72433786954355206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1"/>
  <dimension ref="A1:O18"/>
  <sheetViews>
    <sheetView workbookViewId="0"/>
  </sheetViews>
  <sheetFormatPr defaultRowHeight="14.5" x14ac:dyDescent="0.35"/>
  <cols>
    <col min="1" max="2" width="6.1796875" customWidth="1"/>
    <col min="3" max="3" width="4.453125" customWidth="1"/>
    <col min="4" max="6" width="9.1796875" customWidth="1"/>
    <col min="7" max="7" width="4.7265625" customWidth="1"/>
    <col min="11" max="11" width="4.26953125" customWidth="1"/>
    <col min="12" max="12" width="8" customWidth="1"/>
  </cols>
  <sheetData>
    <row r="1" spans="1:15" x14ac:dyDescent="0.35">
      <c r="A1" s="1" t="s">
        <v>247</v>
      </c>
    </row>
    <row r="3" spans="1:15" ht="16.5" x14ac:dyDescent="0.35">
      <c r="A3" s="165" t="s">
        <v>244</v>
      </c>
      <c r="B3" s="165" t="s">
        <v>39</v>
      </c>
      <c r="D3" s="150" t="s">
        <v>250</v>
      </c>
      <c r="E3" s="150" t="s">
        <v>249</v>
      </c>
      <c r="F3" s="150" t="s">
        <v>248</v>
      </c>
      <c r="H3" s="150" t="s">
        <v>246</v>
      </c>
      <c r="I3" s="150" t="s">
        <v>245</v>
      </c>
      <c r="J3" s="150" t="s">
        <v>242</v>
      </c>
      <c r="L3" s="150" t="s">
        <v>244</v>
      </c>
      <c r="M3" s="150" t="s">
        <v>243</v>
      </c>
      <c r="N3" s="150" t="s">
        <v>242</v>
      </c>
      <c r="O3" s="150" t="s">
        <v>241</v>
      </c>
    </row>
    <row r="4" spans="1:15" x14ac:dyDescent="0.35">
      <c r="A4" s="4">
        <v>0</v>
      </c>
      <c r="B4" s="4">
        <f>'Norm Chi-sq 1'!B4</f>
        <v>4</v>
      </c>
      <c r="D4" s="4">
        <f>-1</f>
        <v>-1</v>
      </c>
      <c r="E4" s="4">
        <f t="shared" ref="E4:E13" si="0">B4*D4</f>
        <v>-4</v>
      </c>
      <c r="F4" s="4">
        <f t="shared" ref="F4:F13" si="1">D4^2*B4</f>
        <v>4</v>
      </c>
      <c r="H4" s="4">
        <f t="shared" ref="H4:H12" si="2">NORMDIST(A4,F$16,F$18,TRUE)</f>
        <v>4.4442860449331094E-2</v>
      </c>
      <c r="I4" s="4">
        <f>H4</f>
        <v>4.4442860449331094E-2</v>
      </c>
      <c r="J4" s="4">
        <f t="shared" ref="J4:J13" si="3">$B$14*I4</f>
        <v>3.9998574404397984</v>
      </c>
      <c r="L4">
        <v>1</v>
      </c>
      <c r="M4" s="4">
        <f>B4+B5</f>
        <v>9</v>
      </c>
      <c r="N4" s="4">
        <f>J4+J5</f>
        <v>9.558702803718905</v>
      </c>
      <c r="O4" s="4">
        <f t="shared" ref="O4:O11" si="4">(M4-N4)^2/N4</f>
        <v>3.2655981600549486E-2</v>
      </c>
    </row>
    <row r="5" spans="1:15" x14ac:dyDescent="0.35">
      <c r="A5" s="4">
        <f t="shared" ref="A5:A12" si="5">A4+1</f>
        <v>1</v>
      </c>
      <c r="B5" s="4">
        <f>'Norm Chi-sq 1'!B5</f>
        <v>5</v>
      </c>
      <c r="D5" s="4">
        <f t="shared" ref="D5:D12" si="6">AVERAGE(A4:A5)</f>
        <v>0.5</v>
      </c>
      <c r="E5" s="4">
        <f t="shared" si="0"/>
        <v>2.5</v>
      </c>
      <c r="F5" s="4">
        <f t="shared" si="1"/>
        <v>1.25</v>
      </c>
      <c r="H5" s="4">
        <f t="shared" si="2"/>
        <v>0.10620780893021005</v>
      </c>
      <c r="I5" s="4">
        <f t="shared" ref="I5:I13" si="7">H5-H4</f>
        <v>6.1764948480878955E-2</v>
      </c>
      <c r="J5" s="4">
        <f t="shared" si="3"/>
        <v>5.5588453632791062</v>
      </c>
      <c r="L5">
        <f t="shared" ref="L5:L10" si="8">L4+1</f>
        <v>2</v>
      </c>
      <c r="M5" s="4">
        <f t="shared" ref="M5:M10" si="9">B6</f>
        <v>10</v>
      </c>
      <c r="N5" s="4">
        <f t="shared" ref="N5:N10" si="10">J6</f>
        <v>9.7018898614229627</v>
      </c>
      <c r="O5" s="4">
        <f t="shared" si="4"/>
        <v>9.1600354149336816E-3</v>
      </c>
    </row>
    <row r="6" spans="1:15" x14ac:dyDescent="0.35">
      <c r="A6" s="4">
        <f t="shared" si="5"/>
        <v>2</v>
      </c>
      <c r="B6" s="4">
        <f>'Norm Chi-sq 1'!B6</f>
        <v>10</v>
      </c>
      <c r="D6" s="4">
        <f t="shared" si="6"/>
        <v>1.5</v>
      </c>
      <c r="E6" s="4">
        <f t="shared" si="0"/>
        <v>15</v>
      </c>
      <c r="F6" s="4">
        <f t="shared" si="1"/>
        <v>22.5</v>
      </c>
      <c r="H6" s="4">
        <f t="shared" si="2"/>
        <v>0.21400658516824297</v>
      </c>
      <c r="I6" s="4">
        <f t="shared" si="7"/>
        <v>0.10779877623803293</v>
      </c>
      <c r="J6" s="4">
        <f t="shared" si="3"/>
        <v>9.7018898614229627</v>
      </c>
      <c r="L6">
        <f t="shared" si="8"/>
        <v>3</v>
      </c>
      <c r="M6" s="4">
        <f t="shared" si="9"/>
        <v>13</v>
      </c>
      <c r="N6" s="4">
        <f t="shared" si="10"/>
        <v>13.822556240855871</v>
      </c>
      <c r="O6" s="4">
        <f t="shared" si="4"/>
        <v>4.8948888872746413E-2</v>
      </c>
    </row>
    <row r="7" spans="1:15" x14ac:dyDescent="0.35">
      <c r="A7" s="4">
        <f t="shared" si="5"/>
        <v>3</v>
      </c>
      <c r="B7" s="4">
        <f>'Norm Chi-sq 1'!B7</f>
        <v>13</v>
      </c>
      <c r="D7" s="4">
        <f t="shared" si="6"/>
        <v>2.5</v>
      </c>
      <c r="E7" s="4">
        <f t="shared" si="0"/>
        <v>32.5</v>
      </c>
      <c r="F7" s="4">
        <f t="shared" si="1"/>
        <v>81.25</v>
      </c>
      <c r="H7" s="4">
        <f t="shared" si="2"/>
        <v>0.36759054339997488</v>
      </c>
      <c r="I7" s="4">
        <f t="shared" si="7"/>
        <v>0.1535839582317319</v>
      </c>
      <c r="J7" s="4">
        <f t="shared" si="3"/>
        <v>13.822556240855871</v>
      </c>
      <c r="L7">
        <f t="shared" si="8"/>
        <v>4</v>
      </c>
      <c r="M7" s="4">
        <f t="shared" si="9"/>
        <v>18</v>
      </c>
      <c r="N7" s="4">
        <f t="shared" si="10"/>
        <v>16.076509852251498</v>
      </c>
      <c r="O7" s="4">
        <f t="shared" si="4"/>
        <v>0.23013790819575189</v>
      </c>
    </row>
    <row r="8" spans="1:15" x14ac:dyDescent="0.35">
      <c r="A8" s="4">
        <f t="shared" si="5"/>
        <v>4</v>
      </c>
      <c r="B8" s="4">
        <f>'Norm Chi-sq 1'!B8</f>
        <v>18</v>
      </c>
      <c r="D8" s="4">
        <f t="shared" si="6"/>
        <v>3.5</v>
      </c>
      <c r="E8" s="4">
        <f t="shared" si="0"/>
        <v>63</v>
      </c>
      <c r="F8" s="4">
        <f t="shared" si="1"/>
        <v>220.5</v>
      </c>
      <c r="H8" s="4">
        <f t="shared" si="2"/>
        <v>0.54621843064721376</v>
      </c>
      <c r="I8" s="4">
        <f t="shared" si="7"/>
        <v>0.17862788724723888</v>
      </c>
      <c r="J8" s="4">
        <f t="shared" si="3"/>
        <v>16.076509852251498</v>
      </c>
      <c r="L8">
        <f t="shared" si="8"/>
        <v>5</v>
      </c>
      <c r="M8" s="4">
        <f t="shared" si="9"/>
        <v>16</v>
      </c>
      <c r="N8" s="4">
        <f t="shared" si="10"/>
        <v>15.264104584977735</v>
      </c>
      <c r="O8" s="4">
        <f t="shared" si="4"/>
        <v>3.5478141468170576E-2</v>
      </c>
    </row>
    <row r="9" spans="1:15" x14ac:dyDescent="0.35">
      <c r="A9" s="4">
        <f t="shared" si="5"/>
        <v>5</v>
      </c>
      <c r="B9" s="4">
        <f>'Norm Chi-sq 1'!B9</f>
        <v>16</v>
      </c>
      <c r="D9" s="4">
        <f t="shared" si="6"/>
        <v>4.5</v>
      </c>
      <c r="E9" s="4">
        <f t="shared" si="0"/>
        <v>72</v>
      </c>
      <c r="F9" s="4">
        <f t="shared" si="1"/>
        <v>324</v>
      </c>
      <c r="H9" s="4">
        <f t="shared" si="2"/>
        <v>0.71581959270252193</v>
      </c>
      <c r="I9" s="4">
        <f t="shared" si="7"/>
        <v>0.16960116205530817</v>
      </c>
      <c r="J9" s="4">
        <f t="shared" si="3"/>
        <v>15.264104584977735</v>
      </c>
      <c r="L9">
        <f t="shared" si="8"/>
        <v>6</v>
      </c>
      <c r="M9" s="4">
        <f t="shared" si="9"/>
        <v>9</v>
      </c>
      <c r="N9" s="4">
        <f t="shared" si="10"/>
        <v>11.831107738133534</v>
      </c>
      <c r="O9" s="4">
        <f t="shared" si="4"/>
        <v>0.67746581320406796</v>
      </c>
    </row>
    <row r="10" spans="1:15" x14ac:dyDescent="0.35">
      <c r="A10" s="4">
        <f t="shared" si="5"/>
        <v>6</v>
      </c>
      <c r="B10" s="4">
        <f>'Norm Chi-sq 1'!B10</f>
        <v>9</v>
      </c>
      <c r="D10" s="4">
        <f t="shared" si="6"/>
        <v>5.5</v>
      </c>
      <c r="E10" s="4">
        <f t="shared" si="0"/>
        <v>49.5</v>
      </c>
      <c r="F10" s="4">
        <f t="shared" si="1"/>
        <v>272.25</v>
      </c>
      <c r="H10" s="4">
        <f t="shared" si="2"/>
        <v>0.84727634534845009</v>
      </c>
      <c r="I10" s="4">
        <f t="shared" si="7"/>
        <v>0.13145675264592815</v>
      </c>
      <c r="J10" s="4">
        <f t="shared" si="3"/>
        <v>11.831107738133534</v>
      </c>
      <c r="L10">
        <f t="shared" si="8"/>
        <v>7</v>
      </c>
      <c r="M10" s="4">
        <f t="shared" si="9"/>
        <v>9</v>
      </c>
      <c r="N10" s="4">
        <f t="shared" si="10"/>
        <v>7.4859335957311774</v>
      </c>
      <c r="O10" s="4">
        <f t="shared" si="4"/>
        <v>0.30622727909886238</v>
      </c>
    </row>
    <row r="11" spans="1:15" x14ac:dyDescent="0.35">
      <c r="A11" s="4">
        <f t="shared" si="5"/>
        <v>7</v>
      </c>
      <c r="B11" s="4">
        <f>'Norm Chi-sq 1'!B11</f>
        <v>9</v>
      </c>
      <c r="D11" s="4">
        <f t="shared" si="6"/>
        <v>6.5</v>
      </c>
      <c r="E11" s="4">
        <f t="shared" si="0"/>
        <v>58.5</v>
      </c>
      <c r="F11" s="4">
        <f t="shared" si="1"/>
        <v>380.25</v>
      </c>
      <c r="H11" s="4">
        <f t="shared" si="2"/>
        <v>0.93045338530101873</v>
      </c>
      <c r="I11" s="4">
        <f t="shared" si="7"/>
        <v>8.3177039952568643E-2</v>
      </c>
      <c r="J11" s="4">
        <f t="shared" si="3"/>
        <v>7.4859335957311774</v>
      </c>
      <c r="L11" s="76" t="s">
        <v>240</v>
      </c>
      <c r="M11" s="75">
        <f>B12+B13</f>
        <v>6</v>
      </c>
      <c r="N11" s="75">
        <f>J12+J13</f>
        <v>6.2591953229083144</v>
      </c>
      <c r="O11" s="75">
        <f t="shared" si="4"/>
        <v>1.0733362988635633E-2</v>
      </c>
    </row>
    <row r="12" spans="1:15" x14ac:dyDescent="0.35">
      <c r="A12" s="4">
        <f t="shared" si="5"/>
        <v>8</v>
      </c>
      <c r="B12" s="4">
        <f>'Norm Chi-sq 1'!B12</f>
        <v>4</v>
      </c>
      <c r="D12" s="4">
        <f t="shared" si="6"/>
        <v>7.5</v>
      </c>
      <c r="E12" s="4">
        <f t="shared" si="0"/>
        <v>30</v>
      </c>
      <c r="F12" s="4">
        <f t="shared" si="1"/>
        <v>225</v>
      </c>
      <c r="H12" s="4">
        <f t="shared" si="2"/>
        <v>0.97341457011969679</v>
      </c>
      <c r="I12" s="4">
        <f t="shared" si="7"/>
        <v>4.2961184818678055E-2</v>
      </c>
      <c r="J12" s="4">
        <f t="shared" si="3"/>
        <v>3.8665066336810252</v>
      </c>
      <c r="L12" s="5"/>
      <c r="M12">
        <f>SUM(M4:M11)</f>
        <v>90</v>
      </c>
      <c r="N12">
        <f>SUM(N4:N11)</f>
        <v>90</v>
      </c>
      <c r="O12">
        <f>SUM(O4:O11)</f>
        <v>1.3508074108437182</v>
      </c>
    </row>
    <row r="13" spans="1:15" x14ac:dyDescent="0.35">
      <c r="A13" s="76" t="s">
        <v>239</v>
      </c>
      <c r="B13" s="75">
        <f>'Norm Chi-sq 1'!B13</f>
        <v>2</v>
      </c>
      <c r="D13" s="75">
        <v>9</v>
      </c>
      <c r="E13" s="75">
        <f t="shared" si="0"/>
        <v>18</v>
      </c>
      <c r="F13" s="75">
        <f t="shared" si="1"/>
        <v>162</v>
      </c>
      <c r="H13" s="75">
        <v>1</v>
      </c>
      <c r="I13" s="75">
        <f t="shared" si="7"/>
        <v>2.6585429880303213E-2</v>
      </c>
      <c r="J13" s="75">
        <f t="shared" si="3"/>
        <v>2.3926886892272892</v>
      </c>
    </row>
    <row r="14" spans="1:15" x14ac:dyDescent="0.35">
      <c r="B14">
        <f>SUM(B4:B13)</f>
        <v>90</v>
      </c>
      <c r="E14">
        <f>SUM(E4:E13)</f>
        <v>337</v>
      </c>
      <c r="F14">
        <f>SUM(F4:F13)</f>
        <v>1693</v>
      </c>
      <c r="N14" s="24" t="s">
        <v>55</v>
      </c>
      <c r="O14" s="149">
        <f>COUNT(N4:N11)-3</f>
        <v>5</v>
      </c>
    </row>
    <row r="15" spans="1:15" ht="16.5" x14ac:dyDescent="0.35">
      <c r="N15" t="s">
        <v>238</v>
      </c>
      <c r="O15" s="38">
        <f>CHIINV(0.05,O14)</f>
        <v>11.070497693516353</v>
      </c>
    </row>
    <row r="16" spans="1:15" x14ac:dyDescent="0.35">
      <c r="E16" s="5" t="s">
        <v>4</v>
      </c>
      <c r="F16" s="149">
        <f>E14/B14</f>
        <v>3.7444444444444445</v>
      </c>
      <c r="N16" t="s">
        <v>57</v>
      </c>
      <c r="O16" s="35">
        <f>CHIDIST(O12,O14)</f>
        <v>0.92961783089257088</v>
      </c>
    </row>
    <row r="17" spans="5:6" x14ac:dyDescent="0.35">
      <c r="E17" s="5" t="s">
        <v>5</v>
      </c>
      <c r="F17" s="38">
        <f>(F14-B14*F16^2)/(B14-1)</f>
        <v>4.844069912609239</v>
      </c>
    </row>
    <row r="18" spans="5:6" x14ac:dyDescent="0.35">
      <c r="E18" s="5" t="s">
        <v>6</v>
      </c>
      <c r="F18" s="35">
        <f>SQRT(F17)</f>
        <v>2.2009247857683003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0"/>
  <dimension ref="A1:AG24"/>
  <sheetViews>
    <sheetView topLeftCell="A3" workbookViewId="0">
      <selection activeCell="A3" sqref="A1:B1048576"/>
    </sheetView>
  </sheetViews>
  <sheetFormatPr defaultRowHeight="14.5" x14ac:dyDescent="0.35"/>
  <cols>
    <col min="1" max="1" width="6.26953125" customWidth="1"/>
    <col min="2" max="2" width="6.7265625" customWidth="1"/>
    <col min="3" max="3" width="7.7265625" customWidth="1"/>
    <col min="4" max="4" width="7.1796875" customWidth="1"/>
    <col min="5" max="6" width="10.7265625" customWidth="1"/>
    <col min="7" max="7" width="10" bestFit="1" customWidth="1"/>
    <col min="8" max="8" width="3.54296875" customWidth="1"/>
    <col min="9" max="10" width="7.453125" customWidth="1"/>
    <col min="11" max="11" width="8.54296875" customWidth="1"/>
    <col min="12" max="12" width="3.453125" customWidth="1"/>
    <col min="13" max="13" width="10.54296875" customWidth="1"/>
    <col min="14" max="14" width="9.1796875" customWidth="1"/>
    <col min="15" max="15" width="3.26953125" customWidth="1"/>
    <col min="16" max="16" width="32" customWidth="1"/>
    <col min="17" max="17" width="8.453125" customWidth="1"/>
    <col min="20" max="20" width="10.81640625" customWidth="1"/>
    <col min="23" max="33" width="6" customWidth="1"/>
  </cols>
  <sheetData>
    <row r="1" spans="1:33" x14ac:dyDescent="0.35">
      <c r="A1" s="1" t="s">
        <v>276</v>
      </c>
      <c r="B1" s="1"/>
      <c r="I1" t="s">
        <v>275</v>
      </c>
      <c r="R1" t="s">
        <v>274</v>
      </c>
    </row>
    <row r="3" spans="1:33" ht="17.25" customHeight="1" x14ac:dyDescent="0.45">
      <c r="A3" s="42" t="s">
        <v>2</v>
      </c>
      <c r="B3" s="42" t="s">
        <v>39</v>
      </c>
      <c r="C3" s="42" t="s">
        <v>192</v>
      </c>
      <c r="D3" s="39" t="s">
        <v>193</v>
      </c>
      <c r="E3" s="39" t="s">
        <v>273</v>
      </c>
      <c r="F3" s="39" t="s">
        <v>162</v>
      </c>
      <c r="G3" s="39" t="s">
        <v>194</v>
      </c>
      <c r="H3" s="5"/>
      <c r="I3" s="42" t="s">
        <v>272</v>
      </c>
      <c r="J3" s="42" t="s">
        <v>27</v>
      </c>
      <c r="K3" s="42" t="s">
        <v>271</v>
      </c>
      <c r="R3" s="5" t="s">
        <v>270</v>
      </c>
      <c r="S3" s="124" t="s">
        <v>269</v>
      </c>
      <c r="T3" s="124" t="s">
        <v>241</v>
      </c>
      <c r="W3" s="141" t="s">
        <v>2</v>
      </c>
      <c r="X3" s="97">
        <v>100</v>
      </c>
      <c r="Y3" s="97">
        <f t="shared" ref="Y3:AG3" si="0">X3+100</f>
        <v>200</v>
      </c>
      <c r="Z3" s="97">
        <f t="shared" si="0"/>
        <v>300</v>
      </c>
      <c r="AA3" s="97">
        <f t="shared" si="0"/>
        <v>400</v>
      </c>
      <c r="AB3" s="97">
        <f t="shared" si="0"/>
        <v>500</v>
      </c>
      <c r="AC3" s="97">
        <f t="shared" si="0"/>
        <v>600</v>
      </c>
      <c r="AD3" s="97">
        <f t="shared" si="0"/>
        <v>700</v>
      </c>
      <c r="AE3" s="97">
        <f t="shared" si="0"/>
        <v>800</v>
      </c>
      <c r="AF3" s="97">
        <f t="shared" si="0"/>
        <v>900</v>
      </c>
      <c r="AG3" s="96">
        <f t="shared" si="0"/>
        <v>1000</v>
      </c>
    </row>
    <row r="4" spans="1:33" x14ac:dyDescent="0.35">
      <c r="A4">
        <v>100</v>
      </c>
      <c r="B4">
        <v>8</v>
      </c>
      <c r="C4">
        <f>B4</f>
        <v>8</v>
      </c>
      <c r="D4">
        <f t="shared" ref="D4:D12" si="1">C4/B$14</f>
        <v>8.0000000000000002E-3</v>
      </c>
      <c r="E4">
        <f t="shared" ref="E4:E12" si="2">STANDARDIZE(A4,N$5,N$10)</f>
        <v>-2.4579294796607574</v>
      </c>
      <c r="F4">
        <f t="shared" ref="F4:F12" si="3">NORMSDIST(E4)</f>
        <v>6.9870305651949282E-3</v>
      </c>
      <c r="G4">
        <f t="shared" ref="G4:G13" si="4">ABS(F4-D4)</f>
        <v>1.012969434805072E-3</v>
      </c>
      <c r="I4">
        <f>A4/2</f>
        <v>50</v>
      </c>
      <c r="J4">
        <f>C4</f>
        <v>8</v>
      </c>
      <c r="K4">
        <f t="shared" ref="K4:K13" si="5">I4^2</f>
        <v>2500</v>
      </c>
      <c r="M4" t="s">
        <v>268</v>
      </c>
      <c r="N4" s="34">
        <f>J14</f>
        <v>1000</v>
      </c>
      <c r="P4" s="6" t="s">
        <v>267</v>
      </c>
      <c r="Q4" s="6"/>
      <c r="R4" s="36">
        <f t="shared" ref="R4:R13" si="6">B4</f>
        <v>8</v>
      </c>
      <c r="S4" s="97">
        <f>F4*A$13</f>
        <v>6.987030565194928</v>
      </c>
      <c r="T4" s="96">
        <f t="shared" ref="T4:T13" si="7">((R4-S4)^2)/S4</f>
        <v>0.14685882168037717</v>
      </c>
      <c r="W4" s="32" t="s">
        <v>39</v>
      </c>
      <c r="X4" s="75">
        <v>8</v>
      </c>
      <c r="Y4" s="75">
        <v>25</v>
      </c>
      <c r="Z4" s="75">
        <v>88</v>
      </c>
      <c r="AA4" s="75">
        <v>172</v>
      </c>
      <c r="AB4" s="75">
        <v>243</v>
      </c>
      <c r="AC4" s="75">
        <v>252</v>
      </c>
      <c r="AD4" s="75">
        <v>144</v>
      </c>
      <c r="AE4" s="75">
        <v>49</v>
      </c>
      <c r="AF4" s="75">
        <v>13</v>
      </c>
      <c r="AG4" s="33">
        <v>6</v>
      </c>
    </row>
    <row r="5" spans="1:33" x14ac:dyDescent="0.35">
      <c r="A5">
        <f t="shared" ref="A5:A13" si="8">A4+100</f>
        <v>200</v>
      </c>
      <c r="B5">
        <v>25</v>
      </c>
      <c r="C5">
        <f t="shared" ref="C5:C13" si="9">C4+B5</f>
        <v>33</v>
      </c>
      <c r="D5">
        <f t="shared" si="1"/>
        <v>3.3000000000000002E-2</v>
      </c>
      <c r="E5">
        <f t="shared" si="2"/>
        <v>-1.8134802191309309</v>
      </c>
      <c r="F5">
        <f t="shared" si="3"/>
        <v>3.4878893404836887E-2</v>
      </c>
      <c r="G5">
        <f t="shared" si="4"/>
        <v>1.8788934048368858E-3</v>
      </c>
      <c r="I5">
        <f t="shared" ref="I5:I13" si="10">I4+100</f>
        <v>150</v>
      </c>
      <c r="J5">
        <f t="shared" ref="J5:J13" si="11">C5-C4</f>
        <v>25</v>
      </c>
      <c r="K5">
        <f t="shared" si="5"/>
        <v>22500</v>
      </c>
      <c r="M5" t="s">
        <v>4</v>
      </c>
      <c r="N5" s="38">
        <f>SUMPRODUCT(I4:I13,J4:J13)/B14</f>
        <v>481.4</v>
      </c>
      <c r="P5" s="6" t="s">
        <v>266</v>
      </c>
      <c r="Q5" s="6"/>
      <c r="R5" s="3">
        <f t="shared" si="6"/>
        <v>25</v>
      </c>
      <c r="S5" s="4">
        <f t="shared" ref="S5:S13" si="12">(F5-F4)*A$13</f>
        <v>27.891862839641959</v>
      </c>
      <c r="T5" s="41">
        <f t="shared" si="7"/>
        <v>0.29983191626111583</v>
      </c>
    </row>
    <row r="6" spans="1:33" x14ac:dyDescent="0.35">
      <c r="A6">
        <f t="shared" si="8"/>
        <v>300</v>
      </c>
      <c r="B6">
        <v>88</v>
      </c>
      <c r="C6">
        <f t="shared" si="9"/>
        <v>121</v>
      </c>
      <c r="D6">
        <f t="shared" si="1"/>
        <v>0.121</v>
      </c>
      <c r="E6">
        <f t="shared" si="2"/>
        <v>-1.1690309586011047</v>
      </c>
      <c r="F6">
        <f t="shared" si="3"/>
        <v>0.12119557921966108</v>
      </c>
      <c r="G6">
        <f t="shared" si="4"/>
        <v>1.9557921966108227E-4</v>
      </c>
      <c r="I6">
        <f t="shared" si="10"/>
        <v>250</v>
      </c>
      <c r="J6">
        <f t="shared" si="11"/>
        <v>88</v>
      </c>
      <c r="K6">
        <f t="shared" si="5"/>
        <v>62500</v>
      </c>
      <c r="M6" t="s">
        <v>265</v>
      </c>
      <c r="N6" s="38">
        <f>N5^2</f>
        <v>231745.96</v>
      </c>
      <c r="P6" s="6" t="s">
        <v>264</v>
      </c>
      <c r="Q6" s="6"/>
      <c r="R6" s="3">
        <f t="shared" si="6"/>
        <v>88</v>
      </c>
      <c r="S6" s="4">
        <f t="shared" si="12"/>
        <v>86.316685814824183</v>
      </c>
      <c r="T6" s="41">
        <f t="shared" si="7"/>
        <v>3.2827333664002735E-2</v>
      </c>
    </row>
    <row r="7" spans="1:33" x14ac:dyDescent="0.35">
      <c r="A7">
        <f t="shared" si="8"/>
        <v>400</v>
      </c>
      <c r="B7">
        <v>172</v>
      </c>
      <c r="C7">
        <f t="shared" si="9"/>
        <v>293</v>
      </c>
      <c r="D7">
        <f t="shared" si="1"/>
        <v>0.29299999999999998</v>
      </c>
      <c r="E7">
        <f t="shared" si="2"/>
        <v>-0.52458169807127841</v>
      </c>
      <c r="F7">
        <f t="shared" si="3"/>
        <v>0.29993700618043095</v>
      </c>
      <c r="G7">
        <f t="shared" si="4"/>
        <v>6.9370061804309713E-3</v>
      </c>
      <c r="I7">
        <f t="shared" si="10"/>
        <v>350</v>
      </c>
      <c r="J7">
        <f t="shared" si="11"/>
        <v>172</v>
      </c>
      <c r="K7">
        <f t="shared" si="5"/>
        <v>122500</v>
      </c>
      <c r="M7" t="s">
        <v>263</v>
      </c>
      <c r="N7" s="38">
        <f>SUMPRODUCT(J4:J13,K4:K13)/B14</f>
        <v>255800</v>
      </c>
      <c r="P7" s="6" t="s">
        <v>262</v>
      </c>
      <c r="Q7" s="6"/>
      <c r="R7" s="3">
        <f t="shared" si="6"/>
        <v>172</v>
      </c>
      <c r="S7" s="4">
        <f t="shared" si="12"/>
        <v>178.7414269607699</v>
      </c>
      <c r="T7" s="41">
        <f t="shared" si="7"/>
        <v>0.25426023636574158</v>
      </c>
    </row>
    <row r="8" spans="1:33" x14ac:dyDescent="0.35">
      <c r="A8">
        <f t="shared" si="8"/>
        <v>500</v>
      </c>
      <c r="B8">
        <v>243</v>
      </c>
      <c r="C8">
        <f t="shared" si="9"/>
        <v>536</v>
      </c>
      <c r="D8">
        <f t="shared" si="1"/>
        <v>0.53600000000000003</v>
      </c>
      <c r="E8">
        <f t="shared" si="2"/>
        <v>0.11986756245854784</v>
      </c>
      <c r="F8">
        <f t="shared" si="3"/>
        <v>0.54770596971443952</v>
      </c>
      <c r="G8">
        <f t="shared" si="4"/>
        <v>1.170596971443949E-2</v>
      </c>
      <c r="I8">
        <f t="shared" si="10"/>
        <v>450</v>
      </c>
      <c r="J8">
        <f t="shared" si="11"/>
        <v>243</v>
      </c>
      <c r="K8">
        <f t="shared" si="5"/>
        <v>202500</v>
      </c>
      <c r="M8" t="s">
        <v>261</v>
      </c>
      <c r="N8" s="38">
        <f>N7-N6</f>
        <v>24054.040000000008</v>
      </c>
      <c r="P8" s="6" t="s">
        <v>260</v>
      </c>
      <c r="Q8" s="6"/>
      <c r="R8" s="3">
        <f t="shared" si="6"/>
        <v>243</v>
      </c>
      <c r="S8" s="4">
        <f t="shared" si="12"/>
        <v>247.76896353400858</v>
      </c>
      <c r="T8" s="41">
        <f t="shared" si="7"/>
        <v>9.1791210910005236E-2</v>
      </c>
    </row>
    <row r="9" spans="1:33" x14ac:dyDescent="0.35">
      <c r="A9">
        <f t="shared" si="8"/>
        <v>600</v>
      </c>
      <c r="B9">
        <v>252</v>
      </c>
      <c r="C9">
        <f t="shared" si="9"/>
        <v>788</v>
      </c>
      <c r="D9">
        <f t="shared" si="1"/>
        <v>0.78800000000000003</v>
      </c>
      <c r="E9">
        <f t="shared" si="2"/>
        <v>0.76431682298837411</v>
      </c>
      <c r="F9">
        <f t="shared" si="3"/>
        <v>0.77766076874891288</v>
      </c>
      <c r="G9">
        <f t="shared" si="4"/>
        <v>1.0339231251087155E-2</v>
      </c>
      <c r="I9">
        <f t="shared" si="10"/>
        <v>550</v>
      </c>
      <c r="J9">
        <f t="shared" si="11"/>
        <v>252</v>
      </c>
      <c r="K9">
        <f t="shared" si="5"/>
        <v>302500</v>
      </c>
      <c r="M9" t="s">
        <v>5</v>
      </c>
      <c r="N9" s="38">
        <f>N8*J14/(J14-1)</f>
        <v>24078.118118118127</v>
      </c>
      <c r="P9" s="6" t="s">
        <v>259</v>
      </c>
      <c r="Q9" s="6"/>
      <c r="R9" s="3">
        <f t="shared" si="6"/>
        <v>252</v>
      </c>
      <c r="S9" s="4">
        <f t="shared" si="12"/>
        <v>229.95479903447335</v>
      </c>
      <c r="T9" s="41">
        <f t="shared" si="7"/>
        <v>2.1134191921674153</v>
      </c>
    </row>
    <row r="10" spans="1:33" x14ac:dyDescent="0.35">
      <c r="A10">
        <f t="shared" si="8"/>
        <v>700</v>
      </c>
      <c r="B10">
        <v>144</v>
      </c>
      <c r="C10">
        <f t="shared" si="9"/>
        <v>932</v>
      </c>
      <c r="D10">
        <f t="shared" si="1"/>
        <v>0.93200000000000005</v>
      </c>
      <c r="E10">
        <f t="shared" si="2"/>
        <v>1.4087660835182003</v>
      </c>
      <c r="F10">
        <f t="shared" si="3"/>
        <v>0.92054782644261324</v>
      </c>
      <c r="G10">
        <f t="shared" si="4"/>
        <v>1.1452173557386813E-2</v>
      </c>
      <c r="I10">
        <f t="shared" si="10"/>
        <v>650</v>
      </c>
      <c r="J10">
        <f t="shared" si="11"/>
        <v>144</v>
      </c>
      <c r="K10">
        <f t="shared" si="5"/>
        <v>422500</v>
      </c>
      <c r="M10" t="s">
        <v>6</v>
      </c>
      <c r="N10" s="35">
        <f>SQRT(N9)</f>
        <v>155.17125416171041</v>
      </c>
      <c r="P10" s="6" t="s">
        <v>258</v>
      </c>
      <c r="Q10" s="6"/>
      <c r="R10" s="3">
        <f t="shared" si="6"/>
        <v>144</v>
      </c>
      <c r="S10" s="4">
        <f t="shared" si="12"/>
        <v>142.88705769370037</v>
      </c>
      <c r="T10" s="41">
        <f t="shared" si="7"/>
        <v>8.6686687873911462E-3</v>
      </c>
    </row>
    <row r="11" spans="1:33" x14ac:dyDescent="0.35">
      <c r="A11">
        <f t="shared" si="8"/>
        <v>800</v>
      </c>
      <c r="B11">
        <v>49</v>
      </c>
      <c r="C11">
        <f t="shared" si="9"/>
        <v>981</v>
      </c>
      <c r="D11">
        <f t="shared" si="1"/>
        <v>0.98099999999999998</v>
      </c>
      <c r="E11">
        <f t="shared" si="2"/>
        <v>2.0532153440480267</v>
      </c>
      <c r="F11">
        <f t="shared" si="3"/>
        <v>0.97997415154193446</v>
      </c>
      <c r="G11">
        <f t="shared" si="4"/>
        <v>1.0258484580655258E-3</v>
      </c>
      <c r="I11">
        <f t="shared" si="10"/>
        <v>750</v>
      </c>
      <c r="J11">
        <f t="shared" si="11"/>
        <v>49</v>
      </c>
      <c r="K11">
        <f t="shared" si="5"/>
        <v>562500</v>
      </c>
      <c r="R11" s="3">
        <f t="shared" si="6"/>
        <v>49</v>
      </c>
      <c r="S11" s="4">
        <f t="shared" si="12"/>
        <v>59.426325099321218</v>
      </c>
      <c r="T11" s="41">
        <f t="shared" si="7"/>
        <v>1.8292945911605309</v>
      </c>
    </row>
    <row r="12" spans="1:33" x14ac:dyDescent="0.35">
      <c r="A12">
        <f t="shared" si="8"/>
        <v>900</v>
      </c>
      <c r="B12">
        <v>13</v>
      </c>
      <c r="C12">
        <f t="shared" si="9"/>
        <v>994</v>
      </c>
      <c r="D12">
        <f t="shared" si="1"/>
        <v>0.99399999999999999</v>
      </c>
      <c r="E12">
        <f t="shared" si="2"/>
        <v>2.6976646045778527</v>
      </c>
      <c r="F12">
        <f t="shared" si="3"/>
        <v>0.99650861232488752</v>
      </c>
      <c r="G12">
        <f t="shared" si="4"/>
        <v>2.5086123248875269E-3</v>
      </c>
      <c r="I12">
        <f t="shared" si="10"/>
        <v>850</v>
      </c>
      <c r="J12">
        <f t="shared" si="11"/>
        <v>13</v>
      </c>
      <c r="K12">
        <f t="shared" si="5"/>
        <v>722500</v>
      </c>
      <c r="R12" s="3">
        <f t="shared" si="6"/>
        <v>13</v>
      </c>
      <c r="S12" s="4">
        <f t="shared" si="12"/>
        <v>16.534460782953065</v>
      </c>
      <c r="T12" s="41">
        <f t="shared" si="7"/>
        <v>0.75553797551794377</v>
      </c>
    </row>
    <row r="13" spans="1:33" x14ac:dyDescent="0.35">
      <c r="A13" s="75">
        <f t="shared" si="8"/>
        <v>1000</v>
      </c>
      <c r="B13" s="75">
        <v>6</v>
      </c>
      <c r="C13" s="75">
        <f t="shared" si="9"/>
        <v>1000</v>
      </c>
      <c r="D13" s="75">
        <f>C13/A$13</f>
        <v>1</v>
      </c>
      <c r="E13" s="75"/>
      <c r="F13" s="75">
        <v>1</v>
      </c>
      <c r="G13" s="75">
        <f t="shared" si="4"/>
        <v>0</v>
      </c>
      <c r="I13" s="75">
        <f t="shared" si="10"/>
        <v>950</v>
      </c>
      <c r="J13" s="75">
        <f t="shared" si="11"/>
        <v>6</v>
      </c>
      <c r="K13" s="75">
        <f t="shared" si="5"/>
        <v>902500</v>
      </c>
      <c r="R13" s="30">
        <f t="shared" si="6"/>
        <v>6</v>
      </c>
      <c r="S13" s="75">
        <f t="shared" si="12"/>
        <v>3.4913876751124784</v>
      </c>
      <c r="T13" s="33">
        <f t="shared" si="7"/>
        <v>1.8024740825651329</v>
      </c>
    </row>
    <row r="14" spans="1:33" x14ac:dyDescent="0.35">
      <c r="B14">
        <f>SUM(B4:B13)</f>
        <v>1000</v>
      </c>
      <c r="J14">
        <f>SUM(J4:J13)</f>
        <v>1000</v>
      </c>
    </row>
    <row r="15" spans="1:33" ht="16.5" x14ac:dyDescent="0.45">
      <c r="F15" s="5" t="s">
        <v>257</v>
      </c>
      <c r="G15" s="34">
        <f>MAX(G4:G13)</f>
        <v>1.170596971443949E-2</v>
      </c>
      <c r="S15" s="5" t="s">
        <v>56</v>
      </c>
      <c r="T15" s="34">
        <f>SUM(T4:T13)</f>
        <v>7.3349640290796572</v>
      </c>
    </row>
    <row r="16" spans="1:33" ht="16.5" x14ac:dyDescent="0.45">
      <c r="A16" s="5"/>
      <c r="B16" s="5"/>
      <c r="F16" s="5" t="s">
        <v>256</v>
      </c>
      <c r="G16" s="35">
        <f>'KS Table'!C30/SQRT(B14)</f>
        <v>4.3006976178289961E-2</v>
      </c>
      <c r="S16" s="5" t="s">
        <v>253</v>
      </c>
      <c r="T16" s="35">
        <f>CHIDIST(T15,COUNT(R4:R13)-1)</f>
        <v>0.60228847645753647</v>
      </c>
    </row>
    <row r="18" spans="6:20" x14ac:dyDescent="0.35">
      <c r="F18" s="5" t="s">
        <v>197</v>
      </c>
      <c r="G18" s="34" t="e">
        <f ca="1">KSCRIT(B14,0.05)</f>
        <v>#NAME?</v>
      </c>
      <c r="I18" s="6" t="s">
        <v>255</v>
      </c>
      <c r="S18" s="5" t="s">
        <v>56</v>
      </c>
      <c r="T18" s="34">
        <f>SUM(T4:T12)</f>
        <v>5.5324899465145245</v>
      </c>
    </row>
    <row r="19" spans="6:20" x14ac:dyDescent="0.35">
      <c r="F19" s="5" t="s">
        <v>57</v>
      </c>
      <c r="G19" s="35" t="e">
        <f ca="1">KSPROB(G15,B14)</f>
        <v>#NAME?</v>
      </c>
      <c r="I19" s="6" t="s">
        <v>254</v>
      </c>
      <c r="S19" s="5" t="s">
        <v>253</v>
      </c>
      <c r="T19" s="35">
        <f>CHIDIST(T18,COUNT(R4:R12)-1)</f>
        <v>0.69943778324870076</v>
      </c>
    </row>
    <row r="21" spans="6:20" x14ac:dyDescent="0.35">
      <c r="F21" s="5" t="s">
        <v>197</v>
      </c>
      <c r="G21" s="34" t="e">
        <f ca="1">KINV(0.05)/SQRT(B14)</f>
        <v>#NAME?</v>
      </c>
      <c r="I21" s="6" t="s">
        <v>252</v>
      </c>
    </row>
    <row r="22" spans="6:20" x14ac:dyDescent="0.35">
      <c r="F22" s="5" t="s">
        <v>57</v>
      </c>
      <c r="G22" s="35" t="e">
        <f ca="1">KSDIST(G15,B14)</f>
        <v>#NAME?</v>
      </c>
      <c r="I22" s="6" t="s">
        <v>251</v>
      </c>
    </row>
    <row r="24" spans="6:20" x14ac:dyDescent="0.35">
      <c r="F24" s="17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1"/>
  <dimension ref="A1:W50"/>
  <sheetViews>
    <sheetView workbookViewId="0"/>
  </sheetViews>
  <sheetFormatPr defaultRowHeight="14.5" x14ac:dyDescent="0.35"/>
  <cols>
    <col min="1" max="1" width="6.54296875" customWidth="1"/>
    <col min="2" max="3" width="6.26953125" customWidth="1"/>
    <col min="4" max="4" width="7" customWidth="1"/>
    <col min="8" max="8" width="10.54296875" customWidth="1"/>
    <col min="18" max="18" width="10.26953125" customWidth="1"/>
    <col min="20" max="20" width="12" bestFit="1" customWidth="1"/>
    <col min="21" max="21" width="9.1796875" customWidth="1"/>
    <col min="22" max="22" width="3" customWidth="1"/>
    <col min="23" max="23" width="18.26953125" customWidth="1"/>
  </cols>
  <sheetData>
    <row r="1" spans="1:23" x14ac:dyDescent="0.35">
      <c r="A1" s="1" t="s">
        <v>351</v>
      </c>
    </row>
    <row r="3" spans="1:23" ht="16.5" x14ac:dyDescent="0.45">
      <c r="B3" s="42" t="s">
        <v>2</v>
      </c>
      <c r="C3" s="42" t="s">
        <v>39</v>
      </c>
      <c r="D3" s="42" t="s">
        <v>192</v>
      </c>
      <c r="E3" s="39" t="s">
        <v>193</v>
      </c>
      <c r="F3" s="39" t="s">
        <v>273</v>
      </c>
      <c r="G3" s="39" t="s">
        <v>162</v>
      </c>
      <c r="H3" s="42" t="s">
        <v>194</v>
      </c>
      <c r="L3" s="42" t="s">
        <v>2</v>
      </c>
      <c r="M3" s="42" t="s">
        <v>39</v>
      </c>
      <c r="N3" s="42" t="s">
        <v>192</v>
      </c>
      <c r="O3" s="39" t="s">
        <v>193</v>
      </c>
      <c r="P3" s="39" t="s">
        <v>273</v>
      </c>
      <c r="Q3" s="39" t="s">
        <v>162</v>
      </c>
      <c r="R3" s="42" t="s">
        <v>194</v>
      </c>
    </row>
    <row r="4" spans="1:23" x14ac:dyDescent="0.35">
      <c r="B4" s="138">
        <v>1.2</v>
      </c>
      <c r="C4" s="20">
        <v>1</v>
      </c>
      <c r="D4">
        <f>C4</f>
        <v>1</v>
      </c>
      <c r="E4">
        <f t="shared" ref="E4:E18" si="0">D4/B$21</f>
        <v>6.6666666666666666E-2</v>
      </c>
      <c r="F4">
        <f t="shared" ref="F4:F18" si="1">STANDARDIZE(B4,B$19,B$20)</f>
        <v>-1.0799190997164931</v>
      </c>
      <c r="G4">
        <f t="shared" ref="G4:G18" si="2">NORMSDIST(F4)</f>
        <v>0.14008910360685203</v>
      </c>
      <c r="H4">
        <f t="shared" ref="H4:H18" si="3">ABS(G4-E4)</f>
        <v>7.3422436940185368E-2</v>
      </c>
      <c r="L4" s="138">
        <v>1.2</v>
      </c>
      <c r="M4" s="20">
        <v>1</v>
      </c>
      <c r="N4">
        <f>M4</f>
        <v>1</v>
      </c>
      <c r="O4">
        <f t="shared" ref="O4:O18" si="4">N4/L$21</f>
        <v>6.6666666666666666E-2</v>
      </c>
      <c r="P4">
        <f t="shared" ref="P4:P18" si="5">STANDARDIZE(L4,L$19,L$20)</f>
        <v>-0.88381932340813718</v>
      </c>
      <c r="Q4">
        <f t="shared" ref="Q4:Q18" si="6">NORMSDIST(P4)</f>
        <v>0.18839687673989083</v>
      </c>
      <c r="R4">
        <f t="shared" ref="R4:R18" si="7">ABS(Q4-O4)</f>
        <v>0.12173021007322417</v>
      </c>
      <c r="T4" t="e">
        <f t="array" aca="1" ref="T4:U5" ca="1">LTEST(L4:L18,TRUE)</f>
        <v>#NAME?</v>
      </c>
      <c r="U4" s="34" t="e">
        <f ca="1"/>
        <v>#NAME?</v>
      </c>
      <c r="W4" t="e">
        <f ca="1">FTEXT(T4)</f>
        <v>#NAME?</v>
      </c>
    </row>
    <row r="5" spans="1:23" x14ac:dyDescent="0.35">
      <c r="B5" s="138">
        <v>1.6</v>
      </c>
      <c r="C5" s="20">
        <v>1</v>
      </c>
      <c r="D5">
        <f t="shared" ref="D5:D18" si="8">D4+C5</f>
        <v>2</v>
      </c>
      <c r="E5">
        <f t="shared" si="0"/>
        <v>0.13333333333333333</v>
      </c>
      <c r="F5">
        <f t="shared" si="1"/>
        <v>-0.87806506238630733</v>
      </c>
      <c r="G5">
        <f t="shared" si="2"/>
        <v>0.18995420579836306</v>
      </c>
      <c r="H5">
        <f t="shared" si="3"/>
        <v>5.6620872465029726E-2</v>
      </c>
      <c r="L5" s="138">
        <v>1.3</v>
      </c>
      <c r="M5" s="20">
        <v>1</v>
      </c>
      <c r="N5">
        <f t="shared" ref="N5:N18" si="9">N4+M5</f>
        <v>2</v>
      </c>
      <c r="O5">
        <f t="shared" si="4"/>
        <v>0.13333333333333333</v>
      </c>
      <c r="P5">
        <f t="shared" si="5"/>
        <v>-0.83014608514448507</v>
      </c>
      <c r="Q5">
        <f t="shared" si="6"/>
        <v>0.2032280968675306</v>
      </c>
      <c r="R5">
        <f t="shared" si="7"/>
        <v>6.9894763534197268E-2</v>
      </c>
      <c r="T5" t="e">
        <f ca="1"/>
        <v>#NAME?</v>
      </c>
      <c r="U5" s="35" t="e">
        <f ca="1"/>
        <v>#NAME?</v>
      </c>
    </row>
    <row r="6" spans="1:23" x14ac:dyDescent="0.35">
      <c r="B6" s="138">
        <v>1.7</v>
      </c>
      <c r="C6" s="20">
        <v>1</v>
      </c>
      <c r="D6">
        <f t="shared" si="8"/>
        <v>3</v>
      </c>
      <c r="E6">
        <f t="shared" si="0"/>
        <v>0.2</v>
      </c>
      <c r="F6">
        <f t="shared" si="1"/>
        <v>-0.82760155305376093</v>
      </c>
      <c r="G6">
        <f t="shared" si="2"/>
        <v>0.20394809422089374</v>
      </c>
      <c r="H6">
        <f t="shared" si="3"/>
        <v>3.9480942208937331E-3</v>
      </c>
      <c r="L6" s="138">
        <v>1.7</v>
      </c>
      <c r="M6" s="20">
        <v>1</v>
      </c>
      <c r="N6">
        <f t="shared" si="9"/>
        <v>3</v>
      </c>
      <c r="O6">
        <f t="shared" si="4"/>
        <v>0.2</v>
      </c>
      <c r="P6">
        <f t="shared" si="5"/>
        <v>-0.61545313208987695</v>
      </c>
      <c r="Q6">
        <f t="shared" si="6"/>
        <v>0.2691277559934363</v>
      </c>
      <c r="R6">
        <f t="shared" si="7"/>
        <v>6.9127755993436291E-2</v>
      </c>
    </row>
    <row r="7" spans="1:23" x14ac:dyDescent="0.35">
      <c r="B7" s="138">
        <v>1.8</v>
      </c>
      <c r="C7" s="20">
        <v>1</v>
      </c>
      <c r="D7">
        <f t="shared" si="8"/>
        <v>4</v>
      </c>
      <c r="E7">
        <f t="shared" si="0"/>
        <v>0.26666666666666666</v>
      </c>
      <c r="F7">
        <f t="shared" si="1"/>
        <v>-0.77713804372121453</v>
      </c>
      <c r="G7">
        <f t="shared" si="2"/>
        <v>0.21853866539260436</v>
      </c>
      <c r="H7">
        <f t="shared" si="3"/>
        <v>4.8128001274062304E-2</v>
      </c>
      <c r="L7" s="138">
        <v>1.8</v>
      </c>
      <c r="M7" s="20">
        <v>1</v>
      </c>
      <c r="N7">
        <f t="shared" si="9"/>
        <v>4</v>
      </c>
      <c r="O7">
        <f t="shared" si="4"/>
        <v>0.26666666666666666</v>
      </c>
      <c r="P7">
        <f t="shared" si="5"/>
        <v>-0.56177989382622484</v>
      </c>
      <c r="Q7">
        <f t="shared" si="6"/>
        <v>0.28713299629852873</v>
      </c>
      <c r="R7">
        <f t="shared" si="7"/>
        <v>2.0466329631862068E-2</v>
      </c>
    </row>
    <row r="8" spans="1:23" x14ac:dyDescent="0.35">
      <c r="B8" s="138">
        <v>1.9</v>
      </c>
      <c r="C8" s="20">
        <v>1</v>
      </c>
      <c r="D8">
        <f t="shared" si="8"/>
        <v>5</v>
      </c>
      <c r="E8">
        <f t="shared" si="0"/>
        <v>0.33333333333333331</v>
      </c>
      <c r="F8">
        <f t="shared" si="1"/>
        <v>-0.72667453438866825</v>
      </c>
      <c r="G8">
        <f t="shared" si="2"/>
        <v>0.23371267850970143</v>
      </c>
      <c r="H8">
        <f t="shared" si="3"/>
        <v>9.9620654823631888E-2</v>
      </c>
      <c r="L8" s="138">
        <v>1.9</v>
      </c>
      <c r="M8" s="20">
        <v>1</v>
      </c>
      <c r="N8">
        <f t="shared" si="9"/>
        <v>5</v>
      </c>
      <c r="O8">
        <f t="shared" si="4"/>
        <v>0.33333333333333331</v>
      </c>
      <c r="P8">
        <f t="shared" si="5"/>
        <v>-0.50810665556257284</v>
      </c>
      <c r="Q8">
        <f t="shared" si="6"/>
        <v>0.30568927398990603</v>
      </c>
      <c r="R8">
        <f t="shared" si="7"/>
        <v>2.7644059343427285E-2</v>
      </c>
    </row>
    <row r="9" spans="1:23" x14ac:dyDescent="0.35">
      <c r="B9" s="138">
        <v>2</v>
      </c>
      <c r="C9" s="20">
        <v>1</v>
      </c>
      <c r="D9">
        <f t="shared" si="8"/>
        <v>6</v>
      </c>
      <c r="E9">
        <f t="shared" si="0"/>
        <v>0.4</v>
      </c>
      <c r="F9">
        <f t="shared" si="1"/>
        <v>-0.67621102505612174</v>
      </c>
      <c r="G9">
        <f t="shared" si="2"/>
        <v>0.24945333683886511</v>
      </c>
      <c r="H9">
        <f t="shared" si="3"/>
        <v>0.15054666316113491</v>
      </c>
      <c r="L9" s="138">
        <v>2</v>
      </c>
      <c r="M9" s="20">
        <v>1</v>
      </c>
      <c r="N9">
        <f t="shared" si="9"/>
        <v>6</v>
      </c>
      <c r="O9">
        <f t="shared" si="4"/>
        <v>0.4</v>
      </c>
      <c r="P9">
        <f t="shared" si="5"/>
        <v>-0.45443341729892073</v>
      </c>
      <c r="Q9">
        <f t="shared" si="6"/>
        <v>0.32475845238498868</v>
      </c>
      <c r="R9">
        <f t="shared" si="7"/>
        <v>7.5241547615011339E-2</v>
      </c>
    </row>
    <row r="10" spans="1:23" x14ac:dyDescent="0.35">
      <c r="B10" s="138">
        <v>2.2000000000000002</v>
      </c>
      <c r="C10" s="20">
        <v>1</v>
      </c>
      <c r="D10">
        <f t="shared" si="8"/>
        <v>7</v>
      </c>
      <c r="E10">
        <f t="shared" si="0"/>
        <v>0.46666666666666667</v>
      </c>
      <c r="F10">
        <f t="shared" si="1"/>
        <v>-0.57528400639102895</v>
      </c>
      <c r="G10">
        <f t="shared" si="2"/>
        <v>0.2825496181705533</v>
      </c>
      <c r="H10">
        <f t="shared" si="3"/>
        <v>0.18411704849611338</v>
      </c>
      <c r="L10" s="138">
        <v>2.1</v>
      </c>
      <c r="M10" s="20">
        <v>1</v>
      </c>
      <c r="N10">
        <f t="shared" si="9"/>
        <v>7</v>
      </c>
      <c r="O10">
        <f t="shared" si="4"/>
        <v>0.46666666666666667</v>
      </c>
      <c r="P10">
        <f t="shared" si="5"/>
        <v>-0.40076017903526862</v>
      </c>
      <c r="Q10">
        <f t="shared" si="6"/>
        <v>0.34429834973495732</v>
      </c>
      <c r="R10">
        <f t="shared" si="7"/>
        <v>0.12236831693170935</v>
      </c>
    </row>
    <row r="11" spans="1:23" x14ac:dyDescent="0.35">
      <c r="B11" s="138">
        <v>2.6</v>
      </c>
      <c r="C11" s="20">
        <v>1</v>
      </c>
      <c r="D11">
        <f t="shared" si="8"/>
        <v>8</v>
      </c>
      <c r="E11">
        <f t="shared" si="0"/>
        <v>0.53333333333333333</v>
      </c>
      <c r="F11">
        <f t="shared" si="1"/>
        <v>-0.37342996906084341</v>
      </c>
      <c r="G11">
        <f t="shared" si="2"/>
        <v>0.35441422898988673</v>
      </c>
      <c r="H11">
        <f t="shared" si="3"/>
        <v>0.1789191043434466</v>
      </c>
      <c r="L11" s="138">
        <v>2.2000000000000002</v>
      </c>
      <c r="M11" s="20">
        <v>1</v>
      </c>
      <c r="N11">
        <f t="shared" si="9"/>
        <v>8</v>
      </c>
      <c r="O11">
        <f t="shared" si="4"/>
        <v>0.53333333333333333</v>
      </c>
      <c r="P11">
        <f t="shared" si="5"/>
        <v>-0.3470869407716165</v>
      </c>
      <c r="Q11">
        <f t="shared" si="6"/>
        <v>0.3642630020671262</v>
      </c>
      <c r="R11">
        <f t="shared" si="7"/>
        <v>0.16907033126620713</v>
      </c>
    </row>
    <row r="12" spans="1:23" x14ac:dyDescent="0.35">
      <c r="B12" s="138">
        <v>3</v>
      </c>
      <c r="C12" s="20">
        <v>1</v>
      </c>
      <c r="D12">
        <f t="shared" si="8"/>
        <v>9</v>
      </c>
      <c r="E12">
        <f t="shared" si="0"/>
        <v>0.6</v>
      </c>
      <c r="F12">
        <f t="shared" si="1"/>
        <v>-0.17157593173065788</v>
      </c>
      <c r="G12">
        <f t="shared" si="2"/>
        <v>0.43188546526133176</v>
      </c>
      <c r="H12">
        <f t="shared" si="3"/>
        <v>0.16811453473866822</v>
      </c>
      <c r="L12" s="138">
        <v>2.2999999999999998</v>
      </c>
      <c r="M12" s="20">
        <v>1</v>
      </c>
      <c r="N12">
        <f t="shared" si="9"/>
        <v>9</v>
      </c>
      <c r="O12">
        <f t="shared" si="4"/>
        <v>0.6</v>
      </c>
      <c r="P12">
        <f t="shared" si="5"/>
        <v>-0.29341370250796467</v>
      </c>
      <c r="Q12">
        <f t="shared" si="6"/>
        <v>0.38460297652230363</v>
      </c>
      <c r="R12">
        <f t="shared" si="7"/>
        <v>0.21539702347769635</v>
      </c>
    </row>
    <row r="13" spans="1:23" x14ac:dyDescent="0.35">
      <c r="B13" s="138">
        <v>3.5</v>
      </c>
      <c r="C13" s="20">
        <v>1</v>
      </c>
      <c r="D13">
        <f t="shared" si="8"/>
        <v>10</v>
      </c>
      <c r="E13">
        <f t="shared" si="0"/>
        <v>0.66666666666666663</v>
      </c>
      <c r="F13">
        <f t="shared" si="1"/>
        <v>8.0741614932074074E-2</v>
      </c>
      <c r="G13">
        <f t="shared" si="2"/>
        <v>0.53217627954696556</v>
      </c>
      <c r="H13">
        <f t="shared" si="3"/>
        <v>0.13449038711970107</v>
      </c>
      <c r="L13" s="138">
        <v>2.4</v>
      </c>
      <c r="M13" s="20">
        <v>1</v>
      </c>
      <c r="N13">
        <f t="shared" si="9"/>
        <v>10</v>
      </c>
      <c r="O13">
        <f t="shared" si="4"/>
        <v>0.66666666666666663</v>
      </c>
      <c r="P13">
        <f t="shared" si="5"/>
        <v>-0.23974046424431256</v>
      </c>
      <c r="Q13">
        <f t="shared" si="6"/>
        <v>0.40526573180539044</v>
      </c>
      <c r="R13">
        <f t="shared" si="7"/>
        <v>0.26140093486127619</v>
      </c>
    </row>
    <row r="14" spans="1:23" x14ac:dyDescent="0.35">
      <c r="B14" s="138">
        <v>4</v>
      </c>
      <c r="C14" s="20">
        <v>1</v>
      </c>
      <c r="D14">
        <f t="shared" si="8"/>
        <v>11</v>
      </c>
      <c r="E14">
        <f t="shared" si="0"/>
        <v>0.73333333333333328</v>
      </c>
      <c r="F14">
        <f t="shared" si="1"/>
        <v>0.33305916159480603</v>
      </c>
      <c r="G14">
        <f t="shared" si="2"/>
        <v>0.63045518727576932</v>
      </c>
      <c r="H14">
        <f t="shared" si="3"/>
        <v>0.10287814605756396</v>
      </c>
      <c r="L14" s="138">
        <v>2.5</v>
      </c>
      <c r="M14" s="20">
        <v>1</v>
      </c>
      <c r="N14">
        <f t="shared" si="9"/>
        <v>11</v>
      </c>
      <c r="O14">
        <f t="shared" si="4"/>
        <v>0.73333333333333328</v>
      </c>
      <c r="P14">
        <f t="shared" si="5"/>
        <v>-0.18606722598066044</v>
      </c>
      <c r="Q14">
        <f t="shared" si="6"/>
        <v>0.4261960214736657</v>
      </c>
      <c r="R14">
        <f t="shared" si="7"/>
        <v>0.30713731185966758</v>
      </c>
    </row>
    <row r="15" spans="1:23" x14ac:dyDescent="0.35">
      <c r="B15" s="138">
        <v>4.8</v>
      </c>
      <c r="C15" s="20">
        <v>1</v>
      </c>
      <c r="D15">
        <f t="shared" si="8"/>
        <v>12</v>
      </c>
      <c r="E15">
        <f t="shared" si="0"/>
        <v>0.8</v>
      </c>
      <c r="F15">
        <f t="shared" si="1"/>
        <v>0.73676723625517704</v>
      </c>
      <c r="G15">
        <f t="shared" si="2"/>
        <v>0.76936804459332753</v>
      </c>
      <c r="H15">
        <f t="shared" si="3"/>
        <v>3.0631955406672517E-2</v>
      </c>
      <c r="L15" s="138">
        <v>2.6</v>
      </c>
      <c r="M15" s="20">
        <v>1</v>
      </c>
      <c r="N15">
        <f t="shared" si="9"/>
        <v>12</v>
      </c>
      <c r="O15">
        <f t="shared" si="4"/>
        <v>0.8</v>
      </c>
      <c r="P15">
        <f t="shared" si="5"/>
        <v>-0.13239398771700836</v>
      </c>
      <c r="Q15">
        <f t="shared" si="6"/>
        <v>0.4473363349620828</v>
      </c>
      <c r="R15">
        <f t="shared" si="7"/>
        <v>0.35266366503791724</v>
      </c>
    </row>
    <row r="16" spans="1:23" x14ac:dyDescent="0.35">
      <c r="B16" s="138">
        <v>5.6</v>
      </c>
      <c r="C16" s="20">
        <v>1</v>
      </c>
      <c r="D16">
        <f t="shared" si="8"/>
        <v>13</v>
      </c>
      <c r="E16">
        <f t="shared" si="0"/>
        <v>0.8666666666666667</v>
      </c>
      <c r="F16">
        <f t="shared" si="1"/>
        <v>1.1404753109155481</v>
      </c>
      <c r="G16">
        <f t="shared" si="2"/>
        <v>0.87295583357995654</v>
      </c>
      <c r="H16">
        <f t="shared" si="3"/>
        <v>6.2891669132898453E-3</v>
      </c>
      <c r="L16" s="138">
        <v>5</v>
      </c>
      <c r="M16" s="20">
        <v>1</v>
      </c>
      <c r="N16">
        <f t="shared" si="9"/>
        <v>13</v>
      </c>
      <c r="O16">
        <f t="shared" si="4"/>
        <v>0.8666666666666667</v>
      </c>
      <c r="P16">
        <f t="shared" si="5"/>
        <v>1.155763730610641</v>
      </c>
      <c r="Q16">
        <f t="shared" si="6"/>
        <v>0.87611109391482533</v>
      </c>
      <c r="R16">
        <f t="shared" si="7"/>
        <v>9.4444272481586378E-3</v>
      </c>
    </row>
    <row r="17" spans="1:23" x14ac:dyDescent="0.35">
      <c r="B17" s="138">
        <v>6.6</v>
      </c>
      <c r="C17" s="20">
        <v>1</v>
      </c>
      <c r="D17">
        <f t="shared" si="8"/>
        <v>14</v>
      </c>
      <c r="E17">
        <f t="shared" si="0"/>
        <v>0.93333333333333335</v>
      </c>
      <c r="F17">
        <f t="shared" si="1"/>
        <v>1.6451104042410121</v>
      </c>
      <c r="G17">
        <f t="shared" si="2"/>
        <v>0.95002647729801615</v>
      </c>
      <c r="H17">
        <f t="shared" si="3"/>
        <v>1.6693143964682799E-2</v>
      </c>
      <c r="L17" s="138">
        <v>6.1</v>
      </c>
      <c r="M17" s="20">
        <v>1</v>
      </c>
      <c r="N17">
        <f t="shared" si="9"/>
        <v>14</v>
      </c>
      <c r="O17">
        <f t="shared" si="4"/>
        <v>0.93333333333333335</v>
      </c>
      <c r="P17">
        <f t="shared" si="5"/>
        <v>1.7461693515108132</v>
      </c>
      <c r="Q17">
        <f t="shared" si="6"/>
        <v>0.95960923561878086</v>
      </c>
      <c r="R17">
        <f t="shared" si="7"/>
        <v>2.6275902285447517E-2</v>
      </c>
    </row>
    <row r="18" spans="1:23" x14ac:dyDescent="0.35">
      <c r="B18" s="79">
        <v>7.6</v>
      </c>
      <c r="C18" s="139">
        <v>1</v>
      </c>
      <c r="D18" s="75">
        <f t="shared" si="8"/>
        <v>15</v>
      </c>
      <c r="E18" s="75">
        <f t="shared" si="0"/>
        <v>1</v>
      </c>
      <c r="F18" s="75">
        <f t="shared" si="1"/>
        <v>2.1497454975664763</v>
      </c>
      <c r="G18" s="75">
        <f t="shared" si="2"/>
        <v>0.98421232427284167</v>
      </c>
      <c r="H18" s="75">
        <f t="shared" si="3"/>
        <v>1.5787675727158335E-2</v>
      </c>
      <c r="L18" s="79">
        <v>7.6</v>
      </c>
      <c r="M18" s="139">
        <v>1</v>
      </c>
      <c r="N18" s="75">
        <f t="shared" si="9"/>
        <v>15</v>
      </c>
      <c r="O18" s="75">
        <f t="shared" si="4"/>
        <v>1</v>
      </c>
      <c r="P18" s="75">
        <f t="shared" si="5"/>
        <v>2.5512679254655941</v>
      </c>
      <c r="Q18" s="75">
        <f t="shared" si="6"/>
        <v>0.99463341102839564</v>
      </c>
      <c r="R18" s="75">
        <f t="shared" si="7"/>
        <v>5.366588971604358E-3</v>
      </c>
    </row>
    <row r="19" spans="1:23" x14ac:dyDescent="0.35">
      <c r="A19" t="s">
        <v>4</v>
      </c>
      <c r="B19" s="13">
        <f>AVERAGE(B4:B18)</f>
        <v>3.3400000000000003</v>
      </c>
      <c r="K19" t="s">
        <v>4</v>
      </c>
      <c r="L19" s="13">
        <f>AVERAGE(L4:L18)</f>
        <v>2.8466666666666667</v>
      </c>
    </row>
    <row r="20" spans="1:23" ht="16.5" x14ac:dyDescent="0.45">
      <c r="A20" t="s">
        <v>6</v>
      </c>
      <c r="B20">
        <f>STDEV(B4:B18)</f>
        <v>1.9816299207614778</v>
      </c>
      <c r="G20" s="5" t="s">
        <v>279</v>
      </c>
      <c r="H20" s="34">
        <f>MAX(H4:H18)</f>
        <v>0.18411704849611338</v>
      </c>
      <c r="K20" t="s">
        <v>6</v>
      </c>
      <c r="L20">
        <f>STDEV(L4:L18)</f>
        <v>1.8631258935557984</v>
      </c>
      <c r="Q20" s="5" t="s">
        <v>279</v>
      </c>
      <c r="R20" s="34">
        <f>MAX(R4:R18)</f>
        <v>0.35266366503791724</v>
      </c>
      <c r="T20" s="5" t="s">
        <v>90</v>
      </c>
      <c r="U20" s="90">
        <v>0.35</v>
      </c>
    </row>
    <row r="21" spans="1:23" ht="16.5" x14ac:dyDescent="0.45">
      <c r="A21" t="s">
        <v>92</v>
      </c>
      <c r="B21" s="139">
        <f>COUNT(B4:B18)</f>
        <v>15</v>
      </c>
      <c r="G21" s="5" t="s">
        <v>256</v>
      </c>
      <c r="H21" s="140" t="e">
        <f ca="1">KSCRIT(B21,0.05)</f>
        <v>#NAME?</v>
      </c>
      <c r="K21" t="s">
        <v>92</v>
      </c>
      <c r="L21" s="139">
        <f>COUNT(L4:L18)</f>
        <v>15</v>
      </c>
      <c r="Q21" s="5" t="s">
        <v>256</v>
      </c>
      <c r="R21" s="140" t="e">
        <f ca="1">KSCRIT(L21,0.05)</f>
        <v>#NAME?</v>
      </c>
      <c r="U21" s="21"/>
    </row>
    <row r="23" spans="1:23" x14ac:dyDescent="0.35">
      <c r="G23" s="5" t="s">
        <v>197</v>
      </c>
      <c r="H23" s="34" t="e">
        <f ca="1">KSCRIT(B21,0.05)</f>
        <v>#NAME?</v>
      </c>
      <c r="Q23" s="5" t="s">
        <v>197</v>
      </c>
      <c r="R23" s="34" t="e">
        <f ca="1">KSCRIT(L21,0.05)</f>
        <v>#NAME?</v>
      </c>
      <c r="T23" s="5" t="s">
        <v>197</v>
      </c>
      <c r="U23" s="34" t="e">
        <f ca="1">KSCRIT(L21,0.05)</f>
        <v>#NAME?</v>
      </c>
      <c r="W23" s="6" t="s">
        <v>278</v>
      </c>
    </row>
    <row r="24" spans="1:23" x14ac:dyDescent="0.35">
      <c r="G24" s="5" t="s">
        <v>57</v>
      </c>
      <c r="H24" s="35" t="e">
        <f ca="1">KSPROB(H20,B21)</f>
        <v>#NAME?</v>
      </c>
      <c r="Q24" s="5" t="s">
        <v>57</v>
      </c>
      <c r="R24" s="35" t="e">
        <f ca="1">KSPROB(R20,L21)</f>
        <v>#NAME?</v>
      </c>
      <c r="T24" s="5" t="s">
        <v>57</v>
      </c>
      <c r="U24" s="35" t="e">
        <f ca="1">KSPROB(U20,L21)</f>
        <v>#NAME?</v>
      </c>
      <c r="W24" s="6" t="s">
        <v>277</v>
      </c>
    </row>
    <row r="27" spans="1:23" x14ac:dyDescent="0.35">
      <c r="A27" t="s">
        <v>94</v>
      </c>
      <c r="O27" t="s">
        <v>60</v>
      </c>
    </row>
    <row r="29" spans="1:23" x14ac:dyDescent="0.35">
      <c r="A29" t="s">
        <v>60</v>
      </c>
      <c r="O29" t="s">
        <v>19</v>
      </c>
      <c r="P29">
        <f>COUNT(L4:L18)</f>
        <v>15</v>
      </c>
      <c r="Q29">
        <f>2*P29</f>
        <v>30</v>
      </c>
    </row>
    <row r="30" spans="1:23" x14ac:dyDescent="0.35">
      <c r="O30" t="s">
        <v>7</v>
      </c>
      <c r="P30" s="17">
        <f>AVERAGE(L4:L18)</f>
        <v>2.8466666666666667</v>
      </c>
    </row>
    <row r="31" spans="1:23" x14ac:dyDescent="0.35">
      <c r="A31" t="s">
        <v>19</v>
      </c>
      <c r="B31">
        <f>COUNT(B4:B18)</f>
        <v>15</v>
      </c>
      <c r="C31">
        <f>2*B31</f>
        <v>30</v>
      </c>
      <c r="O31" t="s">
        <v>54</v>
      </c>
      <c r="P31">
        <f>STDEV(L4:L18)</f>
        <v>1.8631258935557984</v>
      </c>
    </row>
    <row r="32" spans="1:23" x14ac:dyDescent="0.35">
      <c r="A32" t="s">
        <v>7</v>
      </c>
      <c r="B32" s="17">
        <f>AVERAGE(B4:B18)</f>
        <v>3.3400000000000003</v>
      </c>
    </row>
    <row r="33" spans="1:18" x14ac:dyDescent="0.35">
      <c r="A33" t="s">
        <v>54</v>
      </c>
      <c r="B33">
        <f>STDEV(B4:B18)</f>
        <v>1.9816299207614778</v>
      </c>
      <c r="O33" t="s">
        <v>61</v>
      </c>
      <c r="P33" t="s">
        <v>62</v>
      </c>
      <c r="Q33" t="s">
        <v>93</v>
      </c>
      <c r="R33" t="s">
        <v>63</v>
      </c>
    </row>
    <row r="34" spans="1:18" x14ac:dyDescent="0.35">
      <c r="O34">
        <v>1</v>
      </c>
      <c r="P34" t="e">
        <f t="array" aca="1" ref="P34:P48" ca="1">QSORT(L4:L18)</f>
        <v>#NAME?</v>
      </c>
      <c r="Q34">
        <f t="shared" ref="Q34:Q48" si="10">NORMSINV(O34/Q$29)</f>
        <v>-1.8339146358159142</v>
      </c>
      <c r="R34" t="e">
        <f t="shared" ref="R34:R48" ca="1" si="11">STANDARDIZE(P34,P$30,P$31)</f>
        <v>#NAME?</v>
      </c>
    </row>
    <row r="35" spans="1:18" x14ac:dyDescent="0.35">
      <c r="A35" t="s">
        <v>61</v>
      </c>
      <c r="B35" t="s">
        <v>62</v>
      </c>
      <c r="C35" t="s">
        <v>93</v>
      </c>
      <c r="D35" t="s">
        <v>63</v>
      </c>
      <c r="O35">
        <f t="shared" ref="O35:O48" si="12">O34+2</f>
        <v>3</v>
      </c>
      <c r="P35" t="e">
        <f ca="1"/>
        <v>#NAME?</v>
      </c>
      <c r="Q35">
        <f t="shared" si="10"/>
        <v>-1.2815515655446006</v>
      </c>
      <c r="R35" t="e">
        <f t="shared" ca="1" si="11"/>
        <v>#NAME?</v>
      </c>
    </row>
    <row r="36" spans="1:18" x14ac:dyDescent="0.35">
      <c r="A36">
        <v>1</v>
      </c>
      <c r="B36" t="e">
        <f t="array" aca="1" ref="B36:B50" ca="1">QSORT(B4:B18)</f>
        <v>#NAME?</v>
      </c>
      <c r="C36">
        <f t="shared" ref="C36:C50" si="13">NORMSINV(A36/C$31)</f>
        <v>-1.8339146358159142</v>
      </c>
      <c r="D36" t="e">
        <f t="shared" ref="D36:D50" ca="1" si="14">STANDARDIZE(B36,B$32,B$33)</f>
        <v>#NAME?</v>
      </c>
      <c r="O36">
        <f t="shared" si="12"/>
        <v>5</v>
      </c>
      <c r="P36" t="e">
        <f ca="1"/>
        <v>#NAME?</v>
      </c>
      <c r="Q36">
        <f t="shared" si="10"/>
        <v>-0.96742156610170071</v>
      </c>
      <c r="R36" t="e">
        <f t="shared" ca="1" si="11"/>
        <v>#NAME?</v>
      </c>
    </row>
    <row r="37" spans="1:18" x14ac:dyDescent="0.35">
      <c r="A37">
        <f t="shared" ref="A37:A50" si="15">A36+2</f>
        <v>3</v>
      </c>
      <c r="B37" t="e">
        <f ca="1"/>
        <v>#NAME?</v>
      </c>
      <c r="C37">
        <f t="shared" si="13"/>
        <v>-1.2815515655446006</v>
      </c>
      <c r="D37" t="e">
        <f t="shared" ca="1" si="14"/>
        <v>#NAME?</v>
      </c>
      <c r="O37">
        <f t="shared" si="12"/>
        <v>7</v>
      </c>
      <c r="P37" t="e">
        <f ca="1"/>
        <v>#NAME?</v>
      </c>
      <c r="Q37">
        <f t="shared" si="10"/>
        <v>-0.72791329088164469</v>
      </c>
      <c r="R37" t="e">
        <f t="shared" ca="1" si="11"/>
        <v>#NAME?</v>
      </c>
    </row>
    <row r="38" spans="1:18" x14ac:dyDescent="0.35">
      <c r="A38">
        <f t="shared" si="15"/>
        <v>5</v>
      </c>
      <c r="B38" t="e">
        <f ca="1"/>
        <v>#NAME?</v>
      </c>
      <c r="C38">
        <f t="shared" si="13"/>
        <v>-0.96742156610170071</v>
      </c>
      <c r="D38" t="e">
        <f t="shared" ca="1" si="14"/>
        <v>#NAME?</v>
      </c>
      <c r="O38">
        <f t="shared" si="12"/>
        <v>9</v>
      </c>
      <c r="P38" t="e">
        <f ca="1"/>
        <v>#NAME?</v>
      </c>
      <c r="Q38">
        <f t="shared" si="10"/>
        <v>-0.52440051270804089</v>
      </c>
      <c r="R38" t="e">
        <f t="shared" ca="1" si="11"/>
        <v>#NAME?</v>
      </c>
    </row>
    <row r="39" spans="1:18" x14ac:dyDescent="0.35">
      <c r="A39">
        <f t="shared" si="15"/>
        <v>7</v>
      </c>
      <c r="B39" t="e">
        <f ca="1"/>
        <v>#NAME?</v>
      </c>
      <c r="C39">
        <f t="shared" si="13"/>
        <v>-0.72791329088164469</v>
      </c>
      <c r="D39" t="e">
        <f t="shared" ca="1" si="14"/>
        <v>#NAME?</v>
      </c>
      <c r="O39">
        <f t="shared" si="12"/>
        <v>11</v>
      </c>
      <c r="P39" t="e">
        <f ca="1"/>
        <v>#NAME?</v>
      </c>
      <c r="Q39">
        <f t="shared" si="10"/>
        <v>-0.34069482708779553</v>
      </c>
      <c r="R39" t="e">
        <f t="shared" ca="1" si="11"/>
        <v>#NAME?</v>
      </c>
    </row>
    <row r="40" spans="1:18" x14ac:dyDescent="0.35">
      <c r="A40">
        <f t="shared" si="15"/>
        <v>9</v>
      </c>
      <c r="B40" t="e">
        <f ca="1"/>
        <v>#NAME?</v>
      </c>
      <c r="C40">
        <f t="shared" si="13"/>
        <v>-0.52440051270804089</v>
      </c>
      <c r="D40" t="e">
        <f t="shared" ca="1" si="14"/>
        <v>#NAME?</v>
      </c>
      <c r="O40">
        <f t="shared" si="12"/>
        <v>13</v>
      </c>
      <c r="P40" t="e">
        <f ca="1"/>
        <v>#NAME?</v>
      </c>
      <c r="Q40">
        <f t="shared" si="10"/>
        <v>-0.16789400478810546</v>
      </c>
      <c r="R40" t="e">
        <f t="shared" ca="1" si="11"/>
        <v>#NAME?</v>
      </c>
    </row>
    <row r="41" spans="1:18" x14ac:dyDescent="0.35">
      <c r="A41">
        <f t="shared" si="15"/>
        <v>11</v>
      </c>
      <c r="B41" t="e">
        <f ca="1"/>
        <v>#NAME?</v>
      </c>
      <c r="C41">
        <f t="shared" si="13"/>
        <v>-0.34069482708779553</v>
      </c>
      <c r="D41" t="e">
        <f t="shared" ca="1" si="14"/>
        <v>#NAME?</v>
      </c>
      <c r="O41">
        <f t="shared" si="12"/>
        <v>15</v>
      </c>
      <c r="P41" t="e">
        <f ca="1"/>
        <v>#NAME?</v>
      </c>
      <c r="Q41">
        <f t="shared" si="10"/>
        <v>0</v>
      </c>
      <c r="R41" t="e">
        <f t="shared" ca="1" si="11"/>
        <v>#NAME?</v>
      </c>
    </row>
    <row r="42" spans="1:18" x14ac:dyDescent="0.35">
      <c r="A42">
        <f t="shared" si="15"/>
        <v>13</v>
      </c>
      <c r="B42" t="e">
        <f ca="1"/>
        <v>#NAME?</v>
      </c>
      <c r="C42">
        <f t="shared" si="13"/>
        <v>-0.16789400478810546</v>
      </c>
      <c r="D42" t="e">
        <f t="shared" ca="1" si="14"/>
        <v>#NAME?</v>
      </c>
      <c r="O42">
        <f t="shared" si="12"/>
        <v>17</v>
      </c>
      <c r="P42" t="e">
        <f ca="1"/>
        <v>#NAME?</v>
      </c>
      <c r="Q42">
        <f t="shared" si="10"/>
        <v>0.16789400478810546</v>
      </c>
      <c r="R42" t="e">
        <f t="shared" ca="1" si="11"/>
        <v>#NAME?</v>
      </c>
    </row>
    <row r="43" spans="1:18" x14ac:dyDescent="0.35">
      <c r="A43">
        <f t="shared" si="15"/>
        <v>15</v>
      </c>
      <c r="B43" t="e">
        <f ca="1"/>
        <v>#NAME?</v>
      </c>
      <c r="C43">
        <f t="shared" si="13"/>
        <v>0</v>
      </c>
      <c r="D43" t="e">
        <f t="shared" ca="1" si="14"/>
        <v>#NAME?</v>
      </c>
      <c r="O43">
        <f t="shared" si="12"/>
        <v>19</v>
      </c>
      <c r="P43" t="e">
        <f ca="1"/>
        <v>#NAME?</v>
      </c>
      <c r="Q43">
        <f t="shared" si="10"/>
        <v>0.34069482708779542</v>
      </c>
      <c r="R43" t="e">
        <f t="shared" ca="1" si="11"/>
        <v>#NAME?</v>
      </c>
    </row>
    <row r="44" spans="1:18" x14ac:dyDescent="0.35">
      <c r="A44">
        <f t="shared" si="15"/>
        <v>17</v>
      </c>
      <c r="B44" t="e">
        <f ca="1"/>
        <v>#NAME?</v>
      </c>
      <c r="C44">
        <f t="shared" si="13"/>
        <v>0.16789400478810546</v>
      </c>
      <c r="D44" t="e">
        <f t="shared" ca="1" si="14"/>
        <v>#NAME?</v>
      </c>
      <c r="O44">
        <f t="shared" si="12"/>
        <v>21</v>
      </c>
      <c r="P44" t="e">
        <f ca="1"/>
        <v>#NAME?</v>
      </c>
      <c r="Q44">
        <f t="shared" si="10"/>
        <v>0.52440051270804078</v>
      </c>
      <c r="R44" t="e">
        <f t="shared" ca="1" si="11"/>
        <v>#NAME?</v>
      </c>
    </row>
    <row r="45" spans="1:18" x14ac:dyDescent="0.35">
      <c r="A45">
        <f t="shared" si="15"/>
        <v>19</v>
      </c>
      <c r="B45" t="e">
        <f ca="1"/>
        <v>#NAME?</v>
      </c>
      <c r="C45">
        <f t="shared" si="13"/>
        <v>0.34069482708779542</v>
      </c>
      <c r="D45" t="e">
        <f t="shared" ca="1" si="14"/>
        <v>#NAME?</v>
      </c>
      <c r="O45">
        <f t="shared" si="12"/>
        <v>23</v>
      </c>
      <c r="P45" t="e">
        <f ca="1"/>
        <v>#NAME?</v>
      </c>
      <c r="Q45">
        <f t="shared" si="10"/>
        <v>0.72791329088164458</v>
      </c>
      <c r="R45" t="e">
        <f t="shared" ca="1" si="11"/>
        <v>#NAME?</v>
      </c>
    </row>
    <row r="46" spans="1:18" x14ac:dyDescent="0.35">
      <c r="A46">
        <f t="shared" si="15"/>
        <v>21</v>
      </c>
      <c r="B46" t="e">
        <f ca="1"/>
        <v>#NAME?</v>
      </c>
      <c r="C46">
        <f t="shared" si="13"/>
        <v>0.52440051270804078</v>
      </c>
      <c r="D46" t="e">
        <f t="shared" ca="1" si="14"/>
        <v>#NAME?</v>
      </c>
      <c r="O46">
        <f t="shared" si="12"/>
        <v>25</v>
      </c>
      <c r="P46" t="e">
        <f ca="1"/>
        <v>#NAME?</v>
      </c>
      <c r="Q46">
        <f t="shared" si="10"/>
        <v>0.96742156610170071</v>
      </c>
      <c r="R46" t="e">
        <f t="shared" ca="1" si="11"/>
        <v>#NAME?</v>
      </c>
    </row>
    <row r="47" spans="1:18" x14ac:dyDescent="0.35">
      <c r="A47">
        <f t="shared" si="15"/>
        <v>23</v>
      </c>
      <c r="B47" t="e">
        <f ca="1"/>
        <v>#NAME?</v>
      </c>
      <c r="C47">
        <f t="shared" si="13"/>
        <v>0.72791329088164458</v>
      </c>
      <c r="D47" t="e">
        <f t="shared" ca="1" si="14"/>
        <v>#NAME?</v>
      </c>
      <c r="O47">
        <f t="shared" si="12"/>
        <v>27</v>
      </c>
      <c r="P47" t="e">
        <f ca="1"/>
        <v>#NAME?</v>
      </c>
      <c r="Q47">
        <f t="shared" si="10"/>
        <v>1.2815515655446006</v>
      </c>
      <c r="R47" t="e">
        <f t="shared" ca="1" si="11"/>
        <v>#NAME?</v>
      </c>
    </row>
    <row r="48" spans="1:18" x14ac:dyDescent="0.35">
      <c r="A48">
        <f t="shared" si="15"/>
        <v>25</v>
      </c>
      <c r="B48" t="e">
        <f ca="1"/>
        <v>#NAME?</v>
      </c>
      <c r="C48">
        <f t="shared" si="13"/>
        <v>0.96742156610170071</v>
      </c>
      <c r="D48" t="e">
        <f t="shared" ca="1" si="14"/>
        <v>#NAME?</v>
      </c>
      <c r="O48">
        <f t="shared" si="12"/>
        <v>29</v>
      </c>
      <c r="P48" t="e">
        <f ca="1"/>
        <v>#NAME?</v>
      </c>
      <c r="Q48">
        <f t="shared" si="10"/>
        <v>1.8339146358159142</v>
      </c>
      <c r="R48" t="e">
        <f t="shared" ca="1" si="11"/>
        <v>#NAME?</v>
      </c>
    </row>
    <row r="49" spans="1:4" x14ac:dyDescent="0.35">
      <c r="A49">
        <f t="shared" si="15"/>
        <v>27</v>
      </c>
      <c r="B49" t="e">
        <f ca="1"/>
        <v>#NAME?</v>
      </c>
      <c r="C49">
        <f t="shared" si="13"/>
        <v>1.2815515655446006</v>
      </c>
      <c r="D49" t="e">
        <f t="shared" ca="1" si="14"/>
        <v>#NAME?</v>
      </c>
    </row>
    <row r="50" spans="1:4" x14ac:dyDescent="0.35">
      <c r="A50">
        <f t="shared" si="15"/>
        <v>29</v>
      </c>
      <c r="B50" t="e">
        <f ca="1"/>
        <v>#NAME?</v>
      </c>
      <c r="C50">
        <f t="shared" si="13"/>
        <v>1.8339146358159142</v>
      </c>
      <c r="D50" t="e">
        <f t="shared" ca="1" si="14"/>
        <v>#NAME?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16"/>
  <dimension ref="A1:O18"/>
  <sheetViews>
    <sheetView workbookViewId="0">
      <selection activeCell="L11" sqref="L11"/>
    </sheetView>
  </sheetViews>
  <sheetFormatPr defaultRowHeight="14.5" x14ac:dyDescent="0.35"/>
  <cols>
    <col min="2" max="2" width="9.1796875" customWidth="1"/>
    <col min="3" max="3" width="4.453125" customWidth="1"/>
    <col min="4" max="4" width="24.1796875" customWidth="1"/>
    <col min="11" max="11" width="11" bestFit="1" customWidth="1"/>
    <col min="14" max="14" width="3.81640625" customWidth="1"/>
    <col min="15" max="15" width="18.1796875" customWidth="1"/>
  </cols>
  <sheetData>
    <row r="1" spans="1:15" x14ac:dyDescent="0.35">
      <c r="A1" s="1" t="s">
        <v>281</v>
      </c>
    </row>
    <row r="3" spans="1:15" x14ac:dyDescent="0.35">
      <c r="A3" t="s">
        <v>30</v>
      </c>
      <c r="B3" s="147">
        <v>1000</v>
      </c>
      <c r="F3" t="s">
        <v>30</v>
      </c>
      <c r="G3" s="147">
        <v>15</v>
      </c>
      <c r="H3" s="146"/>
      <c r="J3" s="39" t="s">
        <v>2</v>
      </c>
      <c r="L3" t="e">
        <f t="array" aca="1" ref="L3:M4" ca="1">LTEST(J4:J18,TRUE)</f>
        <v>#NAME?</v>
      </c>
      <c r="M3" s="34" t="e">
        <f ca="1"/>
        <v>#NAME?</v>
      </c>
      <c r="O3" t="e">
        <f ca="1">FTEXT(M3)</f>
        <v>#NAME?</v>
      </c>
    </row>
    <row r="4" spans="1:15" x14ac:dyDescent="0.35">
      <c r="A4" s="18" t="s">
        <v>47</v>
      </c>
      <c r="B4" s="144">
        <v>0.05</v>
      </c>
      <c r="F4" s="18" t="s">
        <v>47</v>
      </c>
      <c r="G4" s="144">
        <v>0.05</v>
      </c>
      <c r="H4" s="145"/>
      <c r="J4" s="129">
        <v>1.2</v>
      </c>
      <c r="L4" t="e">
        <f ca="1"/>
        <v>#NAME?</v>
      </c>
      <c r="M4" s="35" t="e">
        <f ca="1"/>
        <v>#NAME?</v>
      </c>
    </row>
    <row r="5" spans="1:15" x14ac:dyDescent="0.35">
      <c r="A5" t="s">
        <v>145</v>
      </c>
      <c r="B5" s="144">
        <f>(0.83+B3)/SQRT(B3)-0.01</f>
        <v>31.639023506263193</v>
      </c>
      <c r="D5" t="e">
        <f ca="1">FTEXT(B5)</f>
        <v>#NAME?</v>
      </c>
      <c r="G5" s="38"/>
      <c r="H5" s="4"/>
      <c r="J5" s="129">
        <v>1.6</v>
      </c>
    </row>
    <row r="6" spans="1:15" ht="15.75" customHeight="1" x14ac:dyDescent="0.45">
      <c r="A6" s="24" t="s">
        <v>256</v>
      </c>
      <c r="B6" s="143">
        <f>'Lill Table 1'!D51/B5</f>
        <v>2.5885754654781695E-2</v>
      </c>
      <c r="D6" t="e">
        <f ca="1">FTEXT(B6)</f>
        <v>#NAME?</v>
      </c>
      <c r="F6" s="24" t="s">
        <v>256</v>
      </c>
      <c r="G6" s="143">
        <f>'Lill Table 1'!C15</f>
        <v>0.21959999999999999</v>
      </c>
      <c r="H6" s="142"/>
      <c r="J6" s="129">
        <v>1.7</v>
      </c>
    </row>
    <row r="7" spans="1:15" x14ac:dyDescent="0.35">
      <c r="J7" s="129">
        <v>1.8</v>
      </c>
    </row>
    <row r="8" spans="1:15" ht="15" customHeight="1" x14ac:dyDescent="0.45">
      <c r="A8" s="24" t="s">
        <v>257</v>
      </c>
      <c r="B8" s="34">
        <f>'KS A'!G15</f>
        <v>1.170596971443949E-2</v>
      </c>
      <c r="D8" t="e">
        <f ca="1">FTEXT(B8)</f>
        <v>#NAME?</v>
      </c>
      <c r="F8" s="24" t="s">
        <v>257</v>
      </c>
      <c r="G8" s="34">
        <f>'KS B'!H20</f>
        <v>0.18411704849611338</v>
      </c>
      <c r="H8" s="4"/>
      <c r="J8" s="129">
        <v>1.9</v>
      </c>
    </row>
    <row r="9" spans="1:15" x14ac:dyDescent="0.35">
      <c r="A9" t="s">
        <v>127</v>
      </c>
      <c r="B9" s="32" t="str">
        <f>IF(B8&lt;B6,"yes","no")</f>
        <v>yes</v>
      </c>
      <c r="D9" t="e">
        <f ca="1">FTEXT(B9)</f>
        <v>#NAME?</v>
      </c>
      <c r="F9" t="s">
        <v>127</v>
      </c>
      <c r="G9" s="32" t="str">
        <f>IF(G8&lt;G6,"yes","no")</f>
        <v>yes</v>
      </c>
      <c r="H9" s="12"/>
      <c r="J9" s="129">
        <v>2</v>
      </c>
    </row>
    <row r="10" spans="1:15" x14ac:dyDescent="0.35">
      <c r="J10" s="129">
        <v>2.2000000000000002</v>
      </c>
    </row>
    <row r="11" spans="1:15" x14ac:dyDescent="0.35">
      <c r="A11" t="s">
        <v>140</v>
      </c>
      <c r="F11" t="s">
        <v>140</v>
      </c>
      <c r="J11" s="129">
        <v>2.6</v>
      </c>
    </row>
    <row r="12" spans="1:15" x14ac:dyDescent="0.35">
      <c r="J12" s="129">
        <v>3</v>
      </c>
    </row>
    <row r="13" spans="1:15" ht="15" customHeight="1" x14ac:dyDescent="0.45">
      <c r="A13" t="s">
        <v>280</v>
      </c>
      <c r="B13" s="34" t="e">
        <f ca="1">LCRIT(B3,B4,2)</f>
        <v>#NAME?</v>
      </c>
      <c r="D13" t="e">
        <f ca="1">FTEXT(B13)</f>
        <v>#NAME?</v>
      </c>
      <c r="F13" t="s">
        <v>280</v>
      </c>
      <c r="G13" s="34" t="e">
        <f ca="1">LCRIT(G3,G4,2)</f>
        <v>#NAME?</v>
      </c>
      <c r="H13" s="4"/>
      <c r="J13" s="129">
        <v>3.5</v>
      </c>
    </row>
    <row r="14" spans="1:15" x14ac:dyDescent="0.35">
      <c r="A14" t="s">
        <v>57</v>
      </c>
      <c r="B14" s="38" t="e">
        <f ca="1">LPROB(B8,B3)</f>
        <v>#NAME?</v>
      </c>
      <c r="D14" t="e">
        <f ca="1">FTEXT(B14)</f>
        <v>#NAME?</v>
      </c>
      <c r="F14" t="s">
        <v>57</v>
      </c>
      <c r="G14" s="38" t="e">
        <f ca="1">LPROB(G8,G3)</f>
        <v>#NAME?</v>
      </c>
      <c r="H14" s="4"/>
      <c r="J14" s="129">
        <v>4</v>
      </c>
    </row>
    <row r="15" spans="1:15" x14ac:dyDescent="0.35">
      <c r="A15" t="s">
        <v>57</v>
      </c>
      <c r="B15" s="38" t="e">
        <f ca="1">LDIST(B8,B3)</f>
        <v>#NAME?</v>
      </c>
      <c r="D15" t="e">
        <f ca="1">FTEXT(B15)</f>
        <v>#NAME?</v>
      </c>
      <c r="F15" t="s">
        <v>57</v>
      </c>
      <c r="G15" s="38" t="e">
        <f ca="1">LDIST(G8,G3)</f>
        <v>#NAME?</v>
      </c>
      <c r="H15" s="4"/>
      <c r="J15" s="129">
        <v>4.8</v>
      </c>
    </row>
    <row r="16" spans="1:15" ht="16.5" x14ac:dyDescent="0.45">
      <c r="A16" t="s">
        <v>280</v>
      </c>
      <c r="B16" s="35" t="e">
        <f ca="1">LINV(B4,B3)</f>
        <v>#NAME?</v>
      </c>
      <c r="D16" t="e">
        <f ca="1">FTEXT(B16)</f>
        <v>#NAME?</v>
      </c>
      <c r="F16" t="s">
        <v>280</v>
      </c>
      <c r="G16" s="35" t="e">
        <f ca="1">LINV(G4,G3)</f>
        <v>#NAME?</v>
      </c>
      <c r="H16" s="4"/>
      <c r="J16" s="129">
        <v>5.6</v>
      </c>
    </row>
    <row r="17" spans="10:10" x14ac:dyDescent="0.35">
      <c r="J17" s="129">
        <v>6.6</v>
      </c>
    </row>
    <row r="18" spans="10:10" x14ac:dyDescent="0.35">
      <c r="J18" s="132">
        <v>7.6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AA18"/>
  <sheetViews>
    <sheetView topLeftCell="L1" workbookViewId="0"/>
  </sheetViews>
  <sheetFormatPr defaultRowHeight="14.5" x14ac:dyDescent="0.35"/>
  <cols>
    <col min="1" max="1" width="7" customWidth="1"/>
    <col min="2" max="2" width="3.453125" customWidth="1"/>
    <col min="5" max="5" width="2.54296875" customWidth="1"/>
    <col min="6" max="6" width="22.1796875" customWidth="1"/>
    <col min="8" max="8" width="6.26953125" customWidth="1"/>
    <col min="9" max="9" width="6.7265625" customWidth="1"/>
    <col min="10" max="10" width="5.26953125" customWidth="1"/>
    <col min="13" max="13" width="2.81640625" customWidth="1"/>
    <col min="14" max="14" width="16.26953125" customWidth="1"/>
    <col min="16" max="16" width="6.26953125" customWidth="1"/>
    <col min="17" max="17" width="6.7265625" customWidth="1"/>
    <col min="18" max="18" width="3.453125" customWidth="1"/>
    <col min="21" max="21" width="2.81640625" customWidth="1"/>
    <col min="22" max="22" width="58.453125" customWidth="1"/>
    <col min="26" max="26" width="3.26953125" customWidth="1"/>
    <col min="27" max="27" width="23.7265625" customWidth="1"/>
  </cols>
  <sheetData>
    <row r="1" spans="1:27" x14ac:dyDescent="0.35">
      <c r="A1" s="1" t="s">
        <v>379</v>
      </c>
      <c r="H1" s="1"/>
      <c r="I1" s="1"/>
      <c r="P1" s="1"/>
      <c r="Q1" s="1"/>
    </row>
    <row r="3" spans="1:27" x14ac:dyDescent="0.35">
      <c r="A3" s="39" t="s">
        <v>2</v>
      </c>
      <c r="H3" s="42" t="s">
        <v>2</v>
      </c>
      <c r="I3" s="42" t="s">
        <v>27</v>
      </c>
      <c r="K3" t="s">
        <v>378</v>
      </c>
      <c r="L3" s="149" t="e">
        <f ca="1">KSSTAT(H4:I14)</f>
        <v>#NAME?</v>
      </c>
      <c r="N3" t="e">
        <f ca="1">FTEXT(L3)</f>
        <v>#NAME?</v>
      </c>
      <c r="P3" s="42" t="s">
        <v>2</v>
      </c>
      <c r="Q3" s="42" t="s">
        <v>27</v>
      </c>
    </row>
    <row r="4" spans="1:27" x14ac:dyDescent="0.35">
      <c r="A4" s="129">
        <v>1.2</v>
      </c>
      <c r="C4" t="s">
        <v>378</v>
      </c>
      <c r="D4" s="149" t="e">
        <f ca="1">KSSTAT(A4:A18)</f>
        <v>#NAME?</v>
      </c>
      <c r="F4" t="e">
        <f ca="1">FTEXT(D4)</f>
        <v>#NAME?</v>
      </c>
      <c r="H4">
        <v>0</v>
      </c>
      <c r="K4" t="s">
        <v>57</v>
      </c>
      <c r="L4" s="35" t="e">
        <f ca="1">KSTEST(H4:I14)</f>
        <v>#NAME?</v>
      </c>
      <c r="N4" t="e">
        <f ca="1">FTEXT(L4)</f>
        <v>#NAME?</v>
      </c>
      <c r="P4">
        <v>0</v>
      </c>
      <c r="S4" t="s">
        <v>4</v>
      </c>
      <c r="T4" s="149">
        <f t="array" ref="T4">SUMPRODUCT((P4:P13+P5:P14)/2,Q5:Q14)/Q15</f>
        <v>488.31578947368422</v>
      </c>
      <c r="V4" t="e">
        <f ca="1">FTEXT(T4)</f>
        <v>#NAME?</v>
      </c>
    </row>
    <row r="5" spans="1:27" x14ac:dyDescent="0.35">
      <c r="A5" s="129">
        <v>1.6</v>
      </c>
      <c r="C5" t="s">
        <v>57</v>
      </c>
      <c r="D5" s="35" t="e">
        <f ca="1">KSTEST(A4:A18)</f>
        <v>#NAME?</v>
      </c>
      <c r="F5" t="e">
        <f ca="1">FTEXT(D5)</f>
        <v>#NAME?</v>
      </c>
      <c r="H5">
        <v>100</v>
      </c>
      <c r="I5">
        <v>8</v>
      </c>
      <c r="P5">
        <v>100</v>
      </c>
      <c r="Q5">
        <v>8</v>
      </c>
      <c r="S5" t="s">
        <v>64</v>
      </c>
      <c r="T5" s="35">
        <f>SQRT(SUMPRODUCT(((P4:P13+P5:P14)/2-T4)^2,Q5:Q14)/(Q15-1))</f>
        <v>156.17026610713222</v>
      </c>
      <c r="V5" t="e">
        <f ca="1">FTEXT(T5)</f>
        <v>#NAME?</v>
      </c>
    </row>
    <row r="6" spans="1:27" x14ac:dyDescent="0.35">
      <c r="A6" s="129">
        <v>1.7</v>
      </c>
      <c r="H6">
        <f t="shared" ref="H6:H14" si="0">H5+100</f>
        <v>200</v>
      </c>
      <c r="I6">
        <v>25</v>
      </c>
      <c r="K6" t="s">
        <v>57</v>
      </c>
      <c r="L6" s="171" t="e">
        <f ca="1">LPROB(L3,I15)</f>
        <v>#NAME?</v>
      </c>
      <c r="N6" t="e">
        <f ca="1">FTEXT(L6)</f>
        <v>#NAME?</v>
      </c>
      <c r="P6">
        <f t="shared" ref="P6:P14" si="1">P5+100</f>
        <v>200</v>
      </c>
      <c r="Q6">
        <v>25</v>
      </c>
    </row>
    <row r="7" spans="1:27" x14ac:dyDescent="0.35">
      <c r="A7" s="129">
        <v>1.8</v>
      </c>
      <c r="C7" t="s">
        <v>4</v>
      </c>
      <c r="D7" s="149">
        <v>3</v>
      </c>
      <c r="H7">
        <f t="shared" si="0"/>
        <v>300</v>
      </c>
      <c r="I7">
        <v>88</v>
      </c>
      <c r="P7">
        <f t="shared" si="1"/>
        <v>300</v>
      </c>
      <c r="Q7">
        <v>88</v>
      </c>
      <c r="S7" t="s">
        <v>381</v>
      </c>
      <c r="T7" s="149" t="e">
        <f ca="1">KSSTAT(P4:Q14)</f>
        <v>#NAME?</v>
      </c>
      <c r="V7" t="e">
        <f ca="1">FTEXT(T7)</f>
        <v>#NAME?</v>
      </c>
      <c r="X7" t="s">
        <v>381</v>
      </c>
      <c r="Y7" s="149" t="e">
        <f ca="1">KSSTAT(P4:Q14,T4,T5)</f>
        <v>#NAME?</v>
      </c>
      <c r="AA7" t="e">
        <f ca="1">FTEXT(Y7)</f>
        <v>#NAME?</v>
      </c>
    </row>
    <row r="8" spans="1:27" x14ac:dyDescent="0.35">
      <c r="A8" s="129">
        <v>1.9</v>
      </c>
      <c r="C8" t="s">
        <v>64</v>
      </c>
      <c r="D8" s="38">
        <v>2</v>
      </c>
      <c r="H8">
        <f t="shared" si="0"/>
        <v>400</v>
      </c>
      <c r="I8">
        <v>172</v>
      </c>
      <c r="P8">
        <f t="shared" si="1"/>
        <v>400</v>
      </c>
      <c r="Q8">
        <v>122</v>
      </c>
      <c r="S8" t="s">
        <v>57</v>
      </c>
      <c r="T8" s="35" t="e">
        <f ca="1">KSTEST(P4:Q14)</f>
        <v>#NAME?</v>
      </c>
      <c r="V8" t="e">
        <f ca="1">FTEXT(T8)</f>
        <v>#NAME?</v>
      </c>
      <c r="X8" t="s">
        <v>57</v>
      </c>
      <c r="Y8" s="35" t="e">
        <f ca="1">LPROB(T7,Q15)</f>
        <v>#NAME?</v>
      </c>
      <c r="AA8" t="e">
        <f ca="1">FTEXT(Y8)</f>
        <v>#NAME?</v>
      </c>
    </row>
    <row r="9" spans="1:27" x14ac:dyDescent="0.35">
      <c r="A9" s="129">
        <v>2</v>
      </c>
      <c r="C9" t="s">
        <v>378</v>
      </c>
      <c r="D9" s="38" t="e">
        <f ca="1">KSSTAT(A4:A18,D7,D8)</f>
        <v>#NAME?</v>
      </c>
      <c r="F9" t="e">
        <f ca="1">FTEXT(D9)</f>
        <v>#NAME?</v>
      </c>
      <c r="H9">
        <f t="shared" si="0"/>
        <v>500</v>
      </c>
      <c r="I9">
        <v>243</v>
      </c>
      <c r="P9">
        <f t="shared" si="1"/>
        <v>500</v>
      </c>
      <c r="Q9">
        <v>243</v>
      </c>
    </row>
    <row r="10" spans="1:27" x14ac:dyDescent="0.35">
      <c r="A10" s="129">
        <v>2.2000000000000002</v>
      </c>
      <c r="C10" t="s">
        <v>57</v>
      </c>
      <c r="D10" s="35" t="e">
        <f ca="1">KSTEST(A4:A18,D7,D8)</f>
        <v>#NAME?</v>
      </c>
      <c r="F10" t="e">
        <f ca="1">FTEXT(D10)</f>
        <v>#NAME?</v>
      </c>
      <c r="H10">
        <f t="shared" si="0"/>
        <v>600</v>
      </c>
      <c r="I10">
        <v>252</v>
      </c>
      <c r="P10">
        <f t="shared" si="1"/>
        <v>600</v>
      </c>
      <c r="Q10">
        <v>252</v>
      </c>
      <c r="S10" t="s">
        <v>4</v>
      </c>
      <c r="T10" s="149">
        <f>SUMPRODUCT(P5:P14,Q5:Q14)/Q15</f>
        <v>538.31578947368416</v>
      </c>
      <c r="V10" t="e">
        <f ca="1">FTEXT(T10)</f>
        <v>#NAME?</v>
      </c>
    </row>
    <row r="11" spans="1:27" x14ac:dyDescent="0.35">
      <c r="A11" s="129">
        <v>2.6</v>
      </c>
      <c r="H11">
        <f t="shared" si="0"/>
        <v>700</v>
      </c>
      <c r="I11">
        <v>144</v>
      </c>
      <c r="P11">
        <f t="shared" si="1"/>
        <v>700</v>
      </c>
      <c r="Q11">
        <v>144</v>
      </c>
      <c r="S11" t="s">
        <v>64</v>
      </c>
      <c r="T11" s="35">
        <f>SQRT(SUMPRODUCT((P5:P14-T10)^2,Q5:Q14)/(Q15-1))</f>
        <v>156.17026610713219</v>
      </c>
      <c r="V11" t="e">
        <f ca="1">FTEXT(T11)</f>
        <v>#NAME?</v>
      </c>
    </row>
    <row r="12" spans="1:27" x14ac:dyDescent="0.35">
      <c r="A12" s="129">
        <v>3</v>
      </c>
      <c r="H12">
        <f t="shared" si="0"/>
        <v>800</v>
      </c>
      <c r="I12">
        <v>49</v>
      </c>
      <c r="P12">
        <f t="shared" si="1"/>
        <v>800</v>
      </c>
      <c r="Q12">
        <v>49</v>
      </c>
    </row>
    <row r="13" spans="1:27" x14ac:dyDescent="0.35">
      <c r="A13" s="129">
        <v>3.5</v>
      </c>
      <c r="H13">
        <f t="shared" si="0"/>
        <v>900</v>
      </c>
      <c r="I13">
        <v>13</v>
      </c>
      <c r="P13">
        <f t="shared" si="1"/>
        <v>900</v>
      </c>
      <c r="Q13">
        <v>13</v>
      </c>
      <c r="S13" t="s">
        <v>381</v>
      </c>
      <c r="T13" s="149" t="e">
        <f ca="1">KSSTAT(P5:Q14)</f>
        <v>#NAME?</v>
      </c>
      <c r="V13" t="e">
        <f ca="1">FTEXT(T13)</f>
        <v>#NAME?</v>
      </c>
      <c r="X13" t="s">
        <v>381</v>
      </c>
      <c r="Y13" s="149" t="e">
        <f ca="1">KSSTAT(P5:Q14,T10,T11)</f>
        <v>#NAME?</v>
      </c>
      <c r="AA13" t="e">
        <f ca="1">FTEXT(Y13)</f>
        <v>#NAME?</v>
      </c>
    </row>
    <row r="14" spans="1:27" x14ac:dyDescent="0.35">
      <c r="A14" s="129">
        <v>4</v>
      </c>
      <c r="H14" s="75">
        <f t="shared" si="0"/>
        <v>1000</v>
      </c>
      <c r="I14" s="75">
        <v>6</v>
      </c>
      <c r="P14" s="75">
        <f t="shared" si="1"/>
        <v>1000</v>
      </c>
      <c r="Q14" s="75">
        <v>6</v>
      </c>
      <c r="S14" t="s">
        <v>57</v>
      </c>
      <c r="T14" s="35" t="e">
        <f ca="1">KSTEST(P5:Q14)</f>
        <v>#NAME?</v>
      </c>
      <c r="V14" t="e">
        <f ca="1">FTEXT(T14)</f>
        <v>#NAME?</v>
      </c>
      <c r="X14" t="s">
        <v>57</v>
      </c>
      <c r="Y14" s="35" t="e">
        <f ca="1">LPROB(T13,Q15)</f>
        <v>#NAME?</v>
      </c>
      <c r="AA14" t="e">
        <f ca="1">FTEXT(Y14)</f>
        <v>#NAME?</v>
      </c>
    </row>
    <row r="15" spans="1:27" x14ac:dyDescent="0.35">
      <c r="A15" s="129">
        <v>4.8</v>
      </c>
      <c r="I15">
        <f>SUM(I5:I14)</f>
        <v>1000</v>
      </c>
      <c r="Q15">
        <f>SUM(Q5:Q14)</f>
        <v>950</v>
      </c>
    </row>
    <row r="16" spans="1:27" x14ac:dyDescent="0.35">
      <c r="A16" s="129">
        <v>5.6</v>
      </c>
      <c r="H16" s="5"/>
      <c r="I16" s="5"/>
      <c r="P16" s="5"/>
      <c r="Q16" s="5"/>
    </row>
    <row r="17" spans="1:1" x14ac:dyDescent="0.35">
      <c r="A17" s="129">
        <v>6.6</v>
      </c>
    </row>
    <row r="18" spans="1:1" x14ac:dyDescent="0.35">
      <c r="A18" s="132">
        <v>7.6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69"/>
  <dimension ref="A1:Y21"/>
  <sheetViews>
    <sheetView workbookViewId="0">
      <selection activeCell="O15" sqref="O15"/>
    </sheetView>
  </sheetViews>
  <sheetFormatPr defaultRowHeight="14.5" x14ac:dyDescent="0.35"/>
  <cols>
    <col min="6" max="6" width="6.453125" customWidth="1"/>
    <col min="7" max="7" width="9.1796875" customWidth="1"/>
    <col min="26" max="27" width="9.1796875" customWidth="1"/>
  </cols>
  <sheetData>
    <row r="1" spans="1:25" x14ac:dyDescent="0.35">
      <c r="A1" s="1" t="s">
        <v>297</v>
      </c>
      <c r="D1" s="1"/>
      <c r="L1" t="s">
        <v>296</v>
      </c>
      <c r="R1" t="s">
        <v>295</v>
      </c>
    </row>
    <row r="3" spans="1:25" x14ac:dyDescent="0.35">
      <c r="A3" s="150" t="s">
        <v>1</v>
      </c>
      <c r="B3" s="150" t="s">
        <v>96</v>
      </c>
      <c r="D3" t="s">
        <v>30</v>
      </c>
      <c r="E3" s="90">
        <f ca="1">COUNT(B4:B15)</f>
        <v>0</v>
      </c>
      <c r="L3" s="150" t="s">
        <v>123</v>
      </c>
      <c r="M3" s="150" t="s">
        <v>1</v>
      </c>
      <c r="N3" s="150" t="s">
        <v>96</v>
      </c>
      <c r="O3" s="150" t="s">
        <v>294</v>
      </c>
      <c r="R3" s="150" t="s">
        <v>123</v>
      </c>
      <c r="S3" s="150" t="s">
        <v>1</v>
      </c>
      <c r="T3" s="150" t="s">
        <v>96</v>
      </c>
      <c r="U3" s="150" t="s">
        <v>293</v>
      </c>
      <c r="V3" s="150" t="s">
        <v>292</v>
      </c>
      <c r="X3" s="27" t="s">
        <v>30</v>
      </c>
      <c r="Y3" s="149">
        <f>R15</f>
        <v>12</v>
      </c>
    </row>
    <row r="4" spans="1:25" x14ac:dyDescent="0.35">
      <c r="A4" s="124">
        <v>65</v>
      </c>
      <c r="B4" s="124" t="e">
        <f t="array" aca="1" ref="B4:B15" ca="1">QSORT(A4:A15)</f>
        <v>#NAME?</v>
      </c>
      <c r="H4" s="5" t="s">
        <v>291</v>
      </c>
      <c r="I4" s="5" t="s">
        <v>290</v>
      </c>
      <c r="L4" s="124">
        <v>1</v>
      </c>
      <c r="M4" s="124">
        <v>65</v>
      </c>
      <c r="N4" s="124" t="e">
        <f t="array" aca="1" ref="N4:N15" ca="1">QSORT(M4:M15)</f>
        <v>#NAME?</v>
      </c>
      <c r="O4" t="e">
        <f ca="1">SWCoeff(L$15,L4)</f>
        <v>#NAME?</v>
      </c>
      <c r="R4" s="124">
        <v>1</v>
      </c>
      <c r="S4" s="124">
        <v>65</v>
      </c>
      <c r="T4" s="124" t="e">
        <f t="array" aca="1" ref="T4:T15" ca="1">QSORT(S4:S15)</f>
        <v>#NAME?</v>
      </c>
      <c r="U4" s="124">
        <f t="shared" ref="U4:U15" si="0">NORMSINV((R4-0.375)/(Y$3+0.25))</f>
        <v>-1.6350392668017106</v>
      </c>
      <c r="V4">
        <f>-V15</f>
        <v>-0.54743363806786371</v>
      </c>
      <c r="X4" t="s">
        <v>124</v>
      </c>
      <c r="Y4" s="38">
        <f>1/SQRT(Y3)</f>
        <v>0.28867513459481292</v>
      </c>
    </row>
    <row r="5" spans="1:25" x14ac:dyDescent="0.35">
      <c r="A5" s="124">
        <v>61</v>
      </c>
      <c r="B5" s="124" t="e">
        <f ca="1"/>
        <v>#NAME?</v>
      </c>
      <c r="D5" t="s">
        <v>74</v>
      </c>
      <c r="E5" s="91">
        <f>'SW Table'!L6</f>
        <v>0.54749999999999999</v>
      </c>
      <c r="G5" t="s">
        <v>289</v>
      </c>
      <c r="H5" s="148" t="e">
        <f ca="1">B15-B4</f>
        <v>#NAME?</v>
      </c>
      <c r="I5" s="96" t="e">
        <f t="shared" ref="I5:I10" ca="1" si="1">E5*H5</f>
        <v>#NAME?</v>
      </c>
      <c r="L5" s="124">
        <f t="shared" ref="L5:L15" si="2">L4+1</f>
        <v>2</v>
      </c>
      <c r="M5" s="124">
        <v>61</v>
      </c>
      <c r="N5" s="124" t="e">
        <f ca="1"/>
        <v>#NAME?</v>
      </c>
      <c r="O5" t="e">
        <f ca="1">SWCoeff(L$15,L5)</f>
        <v>#NAME?</v>
      </c>
      <c r="R5" s="124">
        <f t="shared" ref="R5:R15" si="3">R4+1</f>
        <v>2</v>
      </c>
      <c r="S5" s="124">
        <v>61</v>
      </c>
      <c r="T5" s="124" t="e">
        <f ca="1"/>
        <v>#NAME?</v>
      </c>
      <c r="U5" s="124">
        <f t="shared" si="0"/>
        <v>-1.1139372153566887</v>
      </c>
      <c r="V5">
        <f>-V14</f>
        <v>-0.33257798186090087</v>
      </c>
      <c r="X5" t="s">
        <v>98</v>
      </c>
      <c r="Y5" s="38">
        <f>SUMSQ(U4:U15)</f>
        <v>9.8723679971015823</v>
      </c>
    </row>
    <row r="6" spans="1:25" x14ac:dyDescent="0.35">
      <c r="A6" s="124">
        <v>63</v>
      </c>
      <c r="B6" s="124" t="e">
        <f ca="1"/>
        <v>#NAME?</v>
      </c>
      <c r="D6" t="s">
        <v>75</v>
      </c>
      <c r="E6" s="38">
        <f>'SW Table'!L7</f>
        <v>0.33250000000000002</v>
      </c>
      <c r="G6" t="s">
        <v>288</v>
      </c>
      <c r="H6" s="3" t="e">
        <f ca="1">B14-B5</f>
        <v>#NAME?</v>
      </c>
      <c r="I6" s="41" t="e">
        <f t="shared" ca="1" si="1"/>
        <v>#NAME?</v>
      </c>
      <c r="L6" s="124">
        <f t="shared" si="2"/>
        <v>3</v>
      </c>
      <c r="M6" s="124">
        <v>63</v>
      </c>
      <c r="N6" s="124" t="e">
        <f ca="1"/>
        <v>#NAME?</v>
      </c>
      <c r="O6" t="e">
        <f ca="1">SWCoeff(L$15,L6)</f>
        <v>#NAME?</v>
      </c>
      <c r="R6" s="124">
        <f t="shared" si="3"/>
        <v>3</v>
      </c>
      <c r="S6" s="124">
        <v>63</v>
      </c>
      <c r="T6" s="124" t="e">
        <f ca="1"/>
        <v>#NAME?</v>
      </c>
      <c r="U6" s="124">
        <f t="shared" si="0"/>
        <v>-0.79163860774337469</v>
      </c>
      <c r="V6">
        <f t="shared" ref="V6:V13" si="4">U6/SQRT(Y$6)</f>
        <v>-0.23454341818808444</v>
      </c>
      <c r="X6" s="18" t="s">
        <v>287</v>
      </c>
      <c r="Y6" s="35">
        <f>(Y5-2*U15^2-2*U14^2)/(1-2*V15^2-2*V14^2)</f>
        <v>11.392195580707302</v>
      </c>
    </row>
    <row r="7" spans="1:25" x14ac:dyDescent="0.35">
      <c r="A7" s="124">
        <v>86</v>
      </c>
      <c r="B7" s="124" t="e">
        <f ca="1"/>
        <v>#NAME?</v>
      </c>
      <c r="D7" t="s">
        <v>76</v>
      </c>
      <c r="E7" s="38">
        <f>'SW Table'!L8</f>
        <v>0.23469999999999999</v>
      </c>
      <c r="G7" t="s">
        <v>286</v>
      </c>
      <c r="H7" s="3" t="e">
        <f ca="1">B13-B6</f>
        <v>#NAME?</v>
      </c>
      <c r="I7" s="41" t="e">
        <f t="shared" ca="1" si="1"/>
        <v>#NAME?</v>
      </c>
      <c r="L7" s="124">
        <f t="shared" si="2"/>
        <v>4</v>
      </c>
      <c r="M7" s="124">
        <v>86</v>
      </c>
      <c r="N7" s="124" t="e">
        <f ca="1"/>
        <v>#NAME?</v>
      </c>
      <c r="O7" t="e">
        <f ca="1">SWCoeff(L$15,L7)</f>
        <v>#NAME?</v>
      </c>
      <c r="R7" s="124">
        <f t="shared" si="3"/>
        <v>4</v>
      </c>
      <c r="S7" s="124">
        <v>86</v>
      </c>
      <c r="T7" s="124" t="e">
        <f ca="1"/>
        <v>#NAME?</v>
      </c>
      <c r="U7" s="124">
        <f t="shared" si="0"/>
        <v>-0.53617626636580651</v>
      </c>
      <c r="V7">
        <f t="shared" si="4"/>
        <v>-0.15885609043656901</v>
      </c>
      <c r="X7" s="18"/>
    </row>
    <row r="8" spans="1:25" x14ac:dyDescent="0.35">
      <c r="A8" s="124">
        <v>70</v>
      </c>
      <c r="B8" s="124" t="e">
        <f ca="1"/>
        <v>#NAME?</v>
      </c>
      <c r="D8" t="s">
        <v>77</v>
      </c>
      <c r="E8" s="38">
        <f>'SW Table'!L9</f>
        <v>0.15859999999999999</v>
      </c>
      <c r="G8" t="s">
        <v>285</v>
      </c>
      <c r="H8" s="3" t="e">
        <f ca="1">B12-B7</f>
        <v>#NAME?</v>
      </c>
      <c r="I8" s="41" t="e">
        <f t="shared" ca="1" si="1"/>
        <v>#NAME?</v>
      </c>
      <c r="L8" s="124">
        <f t="shared" si="2"/>
        <v>5</v>
      </c>
      <c r="M8" s="124">
        <v>70</v>
      </c>
      <c r="N8" s="124" t="e">
        <f ca="1"/>
        <v>#NAME?</v>
      </c>
      <c r="O8" t="e">
        <f ca="1">SWCoeff(L$15,L8)</f>
        <v>#NAME?</v>
      </c>
      <c r="R8" s="124">
        <f t="shared" si="3"/>
        <v>5</v>
      </c>
      <c r="S8" s="124">
        <v>70</v>
      </c>
      <c r="T8" s="124" t="e">
        <f ca="1"/>
        <v>#NAME?</v>
      </c>
      <c r="U8" s="124">
        <f t="shared" si="0"/>
        <v>-0.31191905482032528</v>
      </c>
      <c r="V8">
        <f t="shared" si="4"/>
        <v>-9.2414089712096747E-2</v>
      </c>
    </row>
    <row r="9" spans="1:25" x14ac:dyDescent="0.35">
      <c r="A9" s="124">
        <v>55</v>
      </c>
      <c r="B9" s="124" t="e">
        <f ca="1"/>
        <v>#NAME?</v>
      </c>
      <c r="D9" t="s">
        <v>78</v>
      </c>
      <c r="E9" s="38">
        <f>'SW Table'!L10</f>
        <v>9.2200000000000004E-2</v>
      </c>
      <c r="G9" t="s">
        <v>284</v>
      </c>
      <c r="H9" s="3" t="e">
        <f ca="1">B11-B8</f>
        <v>#NAME?</v>
      </c>
      <c r="I9" s="41" t="e">
        <f t="shared" ca="1" si="1"/>
        <v>#NAME?</v>
      </c>
      <c r="L9" s="124">
        <f t="shared" si="2"/>
        <v>6</v>
      </c>
      <c r="M9" s="124">
        <v>55</v>
      </c>
      <c r="N9" s="124" t="e">
        <f ca="1"/>
        <v>#NAME?</v>
      </c>
      <c r="O9" t="e">
        <f ca="1">SWCoeff(L$15,L9)</f>
        <v>#NAME?</v>
      </c>
      <c r="R9" s="124">
        <f t="shared" si="3"/>
        <v>6</v>
      </c>
      <c r="S9" s="124">
        <v>55</v>
      </c>
      <c r="T9" s="124" t="e">
        <f ca="1"/>
        <v>#NAME?</v>
      </c>
      <c r="U9" s="124">
        <f t="shared" si="0"/>
        <v>-0.10249050769145145</v>
      </c>
      <c r="V9">
        <f t="shared" si="4"/>
        <v>-3.036546445645022E-2</v>
      </c>
      <c r="X9" t="s">
        <v>101</v>
      </c>
      <c r="Y9" s="34" t="e">
        <f ca="1">CORREL(T4:T15,V4:V15)^2</f>
        <v>#NAME?</v>
      </c>
    </row>
    <row r="10" spans="1:25" x14ac:dyDescent="0.35">
      <c r="A10" s="124">
        <v>74</v>
      </c>
      <c r="B10" s="124" t="e">
        <f ca="1"/>
        <v>#NAME?</v>
      </c>
      <c r="D10" t="s">
        <v>79</v>
      </c>
      <c r="E10" s="35">
        <f>'SW Table'!L11</f>
        <v>3.0300000000000001E-2</v>
      </c>
      <c r="G10" t="s">
        <v>283</v>
      </c>
      <c r="H10" s="30" t="e">
        <f ca="1">B10-B9</f>
        <v>#NAME?</v>
      </c>
      <c r="I10" s="33" t="e">
        <f t="shared" ca="1" si="1"/>
        <v>#NAME?</v>
      </c>
      <c r="L10" s="124">
        <f t="shared" si="2"/>
        <v>7</v>
      </c>
      <c r="M10" s="124">
        <v>74</v>
      </c>
      <c r="N10" s="124" t="e">
        <f ca="1"/>
        <v>#NAME?</v>
      </c>
      <c r="O10" t="e">
        <f ca="1">SWCoeff(L$15,L10)</f>
        <v>#NAME?</v>
      </c>
      <c r="R10" s="124">
        <f t="shared" si="3"/>
        <v>7</v>
      </c>
      <c r="S10" s="124">
        <v>74</v>
      </c>
      <c r="T10" s="124" t="e">
        <f ca="1"/>
        <v>#NAME?</v>
      </c>
      <c r="U10" s="124">
        <f t="shared" si="0"/>
        <v>0.10249050769145157</v>
      </c>
      <c r="V10">
        <f t="shared" si="4"/>
        <v>3.0365464456450258E-2</v>
      </c>
      <c r="X10" s="18" t="s">
        <v>4</v>
      </c>
      <c r="Y10" s="38">
        <f>0.0038915*LN(Y3)^3-0.083751*LN(Y3)^2-0.31082*LN(Y3)-1.5861</f>
        <v>-2.8158910709843643</v>
      </c>
    </row>
    <row r="11" spans="1:25" x14ac:dyDescent="0.35">
      <c r="A11" s="124">
        <v>35</v>
      </c>
      <c r="B11" s="124" t="e">
        <f ca="1"/>
        <v>#NAME?</v>
      </c>
      <c r="I11" s="19" t="e">
        <f ca="1">SUM(I5:I10)</f>
        <v>#NAME?</v>
      </c>
      <c r="L11" s="124">
        <f t="shared" si="2"/>
        <v>8</v>
      </c>
      <c r="M11" s="124">
        <v>35</v>
      </c>
      <c r="N11" s="124" t="e">
        <f ca="1"/>
        <v>#NAME?</v>
      </c>
      <c r="O11" t="e">
        <f ca="1">SWCoeff(L$15,L11)</f>
        <v>#NAME?</v>
      </c>
      <c r="R11" s="124">
        <f t="shared" si="3"/>
        <v>8</v>
      </c>
      <c r="S11" s="124">
        <v>35</v>
      </c>
      <c r="T11" s="124" t="e">
        <f ca="1"/>
        <v>#NAME?</v>
      </c>
      <c r="U11" s="124">
        <f t="shared" si="0"/>
        <v>0.31191905482032528</v>
      </c>
      <c r="V11">
        <f t="shared" si="4"/>
        <v>9.2414089712096747E-2</v>
      </c>
      <c r="X11" s="29" t="s">
        <v>6</v>
      </c>
      <c r="Y11" s="38">
        <f>EXP(0.0030301*LN(Y3)^2-0.082676*LN(Y3)-0.4803)</f>
        <v>0.51322958557291287</v>
      </c>
    </row>
    <row r="12" spans="1:25" x14ac:dyDescent="0.35">
      <c r="A12" s="124">
        <v>72</v>
      </c>
      <c r="B12" s="124" t="e">
        <f ca="1"/>
        <v>#NAME?</v>
      </c>
      <c r="L12" s="124">
        <f t="shared" si="2"/>
        <v>9</v>
      </c>
      <c r="M12" s="124">
        <v>72</v>
      </c>
      <c r="N12" s="124" t="e">
        <f ca="1"/>
        <v>#NAME?</v>
      </c>
      <c r="O12" t="e">
        <f ca="1">SWCoeff(L$15,L12)</f>
        <v>#NAME?</v>
      </c>
      <c r="R12" s="124">
        <f t="shared" si="3"/>
        <v>9</v>
      </c>
      <c r="S12" s="124">
        <v>72</v>
      </c>
      <c r="T12" s="124" t="e">
        <f ca="1"/>
        <v>#NAME?</v>
      </c>
      <c r="U12" s="124">
        <f t="shared" si="0"/>
        <v>0.53617626636580651</v>
      </c>
      <c r="V12">
        <f t="shared" si="4"/>
        <v>0.15885609043656901</v>
      </c>
      <c r="X12" s="29" t="s">
        <v>36</v>
      </c>
      <c r="Y12" s="38" t="e">
        <f ca="1">STANDARDIZE(LN(1-Y9),Y10,Y11)</f>
        <v>#NAME?</v>
      </c>
    </row>
    <row r="13" spans="1:25" x14ac:dyDescent="0.35">
      <c r="A13" s="124">
        <v>68</v>
      </c>
      <c r="B13" s="124" t="e">
        <f ca="1"/>
        <v>#NAME?</v>
      </c>
      <c r="D13" t="s">
        <v>95</v>
      </c>
      <c r="E13" s="34" t="e">
        <f ca="1">DEVSQ(B4:B15)</f>
        <v>#NAME?</v>
      </c>
      <c r="L13" s="124">
        <f t="shared" si="2"/>
        <v>10</v>
      </c>
      <c r="M13" s="124">
        <v>68</v>
      </c>
      <c r="N13" s="124" t="e">
        <f ca="1"/>
        <v>#NAME?</v>
      </c>
      <c r="O13" t="e">
        <f ca="1">SWCoeff(L$15,L13)</f>
        <v>#NAME?</v>
      </c>
      <c r="R13" s="124">
        <f t="shared" si="3"/>
        <v>10</v>
      </c>
      <c r="S13" s="124">
        <v>68</v>
      </c>
      <c r="T13" s="124" t="e">
        <f ca="1"/>
        <v>#NAME?</v>
      </c>
      <c r="U13" s="124">
        <f t="shared" si="0"/>
        <v>0.79163860774337469</v>
      </c>
      <c r="V13">
        <f t="shared" si="4"/>
        <v>0.23454341818808444</v>
      </c>
      <c r="X13" t="s">
        <v>57</v>
      </c>
      <c r="Y13" s="38" t="e">
        <f ca="1">1-NORMSDIST(Y12)</f>
        <v>#NAME?</v>
      </c>
    </row>
    <row r="14" spans="1:25" x14ac:dyDescent="0.35">
      <c r="A14" s="124">
        <v>45</v>
      </c>
      <c r="B14" s="124" t="e">
        <f ca="1"/>
        <v>#NAME?</v>
      </c>
      <c r="D14" t="s">
        <v>42</v>
      </c>
      <c r="E14" s="38" t="e">
        <f ca="1">I11</f>
        <v>#NAME?</v>
      </c>
      <c r="L14" s="124">
        <f t="shared" si="2"/>
        <v>11</v>
      </c>
      <c r="M14" s="124">
        <v>45</v>
      </c>
      <c r="N14" s="124" t="e">
        <f ca="1"/>
        <v>#NAME?</v>
      </c>
      <c r="O14" t="e">
        <f ca="1">SWCoeff(L$15,L14)</f>
        <v>#NAME?</v>
      </c>
      <c r="R14" s="124">
        <f t="shared" si="3"/>
        <v>11</v>
      </c>
      <c r="S14" s="124">
        <v>45</v>
      </c>
      <c r="T14" s="124" t="e">
        <f ca="1"/>
        <v>#NAME?</v>
      </c>
      <c r="U14" s="124">
        <f t="shared" si="0"/>
        <v>1.1139372153566887</v>
      </c>
      <c r="V14">
        <f>-3.582633*Y4^5+5.682633*Y4^4-1.752461*Y4^3-0.293762*Y4^2+0.042981*Y4+U14/SQRT(Y5)</f>
        <v>0.33257798186090087</v>
      </c>
      <c r="X14" t="s">
        <v>88</v>
      </c>
      <c r="Y14" s="38">
        <v>0.05</v>
      </c>
    </row>
    <row r="15" spans="1:25" ht="16.5" x14ac:dyDescent="0.35">
      <c r="A15" s="123">
        <v>58</v>
      </c>
      <c r="B15" s="123" t="e">
        <f ca="1"/>
        <v>#NAME?</v>
      </c>
      <c r="D15" t="s">
        <v>282</v>
      </c>
      <c r="E15" s="38" t="e">
        <f ca="1">E14^2/E13</f>
        <v>#NAME?</v>
      </c>
      <c r="L15" s="123">
        <f t="shared" si="2"/>
        <v>12</v>
      </c>
      <c r="M15" s="123">
        <v>58</v>
      </c>
      <c r="N15" s="123" t="e">
        <f ca="1"/>
        <v>#NAME?</v>
      </c>
      <c r="O15" s="75" t="e">
        <f ca="1">SWCoeff(L$15,L15)</f>
        <v>#NAME?</v>
      </c>
      <c r="R15" s="123">
        <f t="shared" si="3"/>
        <v>12</v>
      </c>
      <c r="S15" s="123">
        <v>58</v>
      </c>
      <c r="T15" s="123" t="e">
        <f ca="1"/>
        <v>#NAME?</v>
      </c>
      <c r="U15" s="123">
        <f t="shared" si="0"/>
        <v>1.6350392668017109</v>
      </c>
      <c r="V15" s="75">
        <f>-2.70605*Y4^5+4.434685*Y4^4-2.07119*Y4^3-0.147981*Y4^2+0.221157*Y4+U15/SQRT(Y5)</f>
        <v>0.54743363806786371</v>
      </c>
      <c r="X15" t="s">
        <v>58</v>
      </c>
      <c r="Y15" s="32" t="e">
        <f ca="1">IF(Y13&lt;=Y14,"yes","no")</f>
        <v>#NAME?</v>
      </c>
    </row>
    <row r="16" spans="1:25" x14ac:dyDescent="0.35">
      <c r="D16">
        <v>0.5</v>
      </c>
      <c r="E16" s="38">
        <f>'SW Table'!F44</f>
        <v>0.94299999999999995</v>
      </c>
      <c r="U16" s="124"/>
    </row>
    <row r="17" spans="4:22" x14ac:dyDescent="0.35">
      <c r="D17">
        <v>0.9</v>
      </c>
      <c r="E17" s="38">
        <f>'SW Table'!G44</f>
        <v>0.97299999999999998</v>
      </c>
      <c r="L17" t="s">
        <v>101</v>
      </c>
      <c r="M17" s="34" t="e">
        <f ca="1">SHAPIRO(M4:M15)</f>
        <v>#NAME?</v>
      </c>
      <c r="P17" s="6"/>
      <c r="V17" s="4"/>
    </row>
    <row r="18" spans="4:22" x14ac:dyDescent="0.35">
      <c r="D18" t="s">
        <v>57</v>
      </c>
      <c r="E18" s="35" t="e">
        <f ca="1">D17-(D17-D16)*(E17-E15)/(E17-E16)</f>
        <v>#NAME?</v>
      </c>
      <c r="L18" t="s">
        <v>57</v>
      </c>
      <c r="M18" s="38" t="e">
        <f ca="1">SWTEST(M4:M15)</f>
        <v>#NAME?</v>
      </c>
    </row>
    <row r="19" spans="4:22" x14ac:dyDescent="0.35">
      <c r="L19" t="s">
        <v>88</v>
      </c>
      <c r="M19" s="38">
        <v>0.05</v>
      </c>
    </row>
    <row r="20" spans="4:22" x14ac:dyDescent="0.35">
      <c r="D20" t="s">
        <v>101</v>
      </c>
      <c r="E20" s="34" t="e">
        <f ca="1">SHAPIRO(A4:A15,FALSE)</f>
        <v>#NAME?</v>
      </c>
      <c r="G20" t="e">
        <f ca="1">FTEXT(E20)</f>
        <v>#NAME?</v>
      </c>
      <c r="L20" t="s">
        <v>58</v>
      </c>
      <c r="M20" s="32" t="e">
        <f ca="1">IF(M18&lt;=M19,"yes","no")</f>
        <v>#NAME?</v>
      </c>
    </row>
    <row r="21" spans="4:22" x14ac:dyDescent="0.35">
      <c r="D21" t="s">
        <v>57</v>
      </c>
      <c r="E21" s="35" t="e">
        <f ca="1">SWTEST(A4:A15,FALSE)</f>
        <v>#NAME?</v>
      </c>
      <c r="G21" t="e">
        <f ca="1">FTEXT(E21)</f>
        <v>#NAME?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72"/>
  <dimension ref="A1:R47"/>
  <sheetViews>
    <sheetView workbookViewId="0"/>
  </sheetViews>
  <sheetFormatPr defaultRowHeight="14.5" x14ac:dyDescent="0.35"/>
  <cols>
    <col min="5" max="5" width="6.453125" customWidth="1"/>
    <col min="10" max="10" width="10.81640625" customWidth="1"/>
  </cols>
  <sheetData>
    <row r="1" spans="1:18" x14ac:dyDescent="0.35">
      <c r="A1" s="1" t="s">
        <v>297</v>
      </c>
      <c r="C1" s="1"/>
      <c r="O1" s="1" t="s">
        <v>315</v>
      </c>
    </row>
    <row r="3" spans="1:18" x14ac:dyDescent="0.35">
      <c r="A3" s="150" t="s">
        <v>62</v>
      </c>
      <c r="C3" t="s">
        <v>30</v>
      </c>
      <c r="D3" s="90">
        <f>COUNT(A4:A18)</f>
        <v>15</v>
      </c>
      <c r="J3" t="s">
        <v>314</v>
      </c>
      <c r="O3" s="150" t="s">
        <v>62</v>
      </c>
      <c r="Q3" t="s">
        <v>314</v>
      </c>
    </row>
    <row r="4" spans="1:18" x14ac:dyDescent="0.35">
      <c r="A4" s="129">
        <v>1.2</v>
      </c>
      <c r="G4" s="5" t="s">
        <v>291</v>
      </c>
      <c r="H4" s="5" t="s">
        <v>290</v>
      </c>
      <c r="O4" s="129">
        <v>7.6</v>
      </c>
    </row>
    <row r="5" spans="1:18" x14ac:dyDescent="0.35">
      <c r="A5" s="129">
        <v>1.6</v>
      </c>
      <c r="C5" t="s">
        <v>74</v>
      </c>
      <c r="D5" s="158">
        <f>'SW Table'!O6</f>
        <v>0.51500000000000001</v>
      </c>
      <c r="F5" t="s">
        <v>313</v>
      </c>
      <c r="G5" s="154">
        <f>A18-A4</f>
        <v>6.3999999999999995</v>
      </c>
      <c r="H5" s="96">
        <f t="shared" ref="H5:H11" si="0">D5*G5</f>
        <v>3.2959999999999998</v>
      </c>
      <c r="J5" t="s">
        <v>312</v>
      </c>
      <c r="K5" s="149" t="e">
        <f ca="1">SHAPIRO(A4:A18,FALSE)</f>
        <v>#NAME?</v>
      </c>
      <c r="O5" s="129">
        <v>1.6</v>
      </c>
      <c r="Q5" t="s">
        <v>312</v>
      </c>
      <c r="R5" s="149" t="e">
        <f ca="1">SHAPIRO(O4:O18, FALSE)</f>
        <v>#NAME?</v>
      </c>
    </row>
    <row r="6" spans="1:18" x14ac:dyDescent="0.35">
      <c r="A6" s="129">
        <v>1.7</v>
      </c>
      <c r="C6" t="s">
        <v>75</v>
      </c>
      <c r="D6" s="153">
        <f>'SW Table'!O7</f>
        <v>0.3306</v>
      </c>
      <c r="F6" t="s">
        <v>311</v>
      </c>
      <c r="G6" s="14">
        <f>A17-A5</f>
        <v>5</v>
      </c>
      <c r="H6" s="41">
        <f t="shared" si="0"/>
        <v>1.653</v>
      </c>
      <c r="J6" t="s">
        <v>310</v>
      </c>
      <c r="K6" s="38" t="e">
        <f ca="1">SWTEST(A4:A18,FALSE)</f>
        <v>#NAME?</v>
      </c>
      <c r="O6" s="129">
        <v>1.8</v>
      </c>
      <c r="Q6" t="s">
        <v>310</v>
      </c>
      <c r="R6" s="35" t="e">
        <f ca="1">SWTEST(O4:O18,FALSE)</f>
        <v>#NAME?</v>
      </c>
    </row>
    <row r="7" spans="1:18" x14ac:dyDescent="0.35">
      <c r="A7" s="129">
        <v>1.8</v>
      </c>
      <c r="C7" t="s">
        <v>76</v>
      </c>
      <c r="D7" s="153">
        <f>'SW Table'!O8</f>
        <v>0.2495</v>
      </c>
      <c r="F7" t="s">
        <v>309</v>
      </c>
      <c r="G7" s="14">
        <f>A16-A6</f>
        <v>3.8999999999999995</v>
      </c>
      <c r="H7" s="41">
        <f t="shared" si="0"/>
        <v>0.97304999999999986</v>
      </c>
      <c r="J7" t="s">
        <v>308</v>
      </c>
      <c r="K7" s="35" t="e">
        <f ca="1">SWPROB(D3,D16)</f>
        <v>#NAME?</v>
      </c>
      <c r="O7" s="129">
        <v>4</v>
      </c>
    </row>
    <row r="8" spans="1:18" x14ac:dyDescent="0.35">
      <c r="A8" s="129">
        <v>1.9</v>
      </c>
      <c r="C8" t="s">
        <v>77</v>
      </c>
      <c r="D8" s="153">
        <f>'SW Table'!O9</f>
        <v>0.18779999999999999</v>
      </c>
      <c r="F8" t="s">
        <v>307</v>
      </c>
      <c r="G8" s="14">
        <f>A15-A7</f>
        <v>3</v>
      </c>
      <c r="H8" s="41">
        <f t="shared" si="0"/>
        <v>0.56340000000000001</v>
      </c>
      <c r="O8" s="129">
        <v>1.9</v>
      </c>
    </row>
    <row r="9" spans="1:18" x14ac:dyDescent="0.35">
      <c r="A9" s="129">
        <v>2</v>
      </c>
      <c r="C9" t="s">
        <v>78</v>
      </c>
      <c r="D9" s="153">
        <f>'SW Table'!O10</f>
        <v>0.1353</v>
      </c>
      <c r="F9" t="s">
        <v>306</v>
      </c>
      <c r="G9" s="14">
        <f>A14-A8</f>
        <v>2.1</v>
      </c>
      <c r="H9" s="41">
        <f t="shared" si="0"/>
        <v>0.28412999999999999</v>
      </c>
      <c r="O9" s="129">
        <v>2</v>
      </c>
    </row>
    <row r="10" spans="1:18" x14ac:dyDescent="0.35">
      <c r="A10" s="129">
        <v>2.2000000000000002</v>
      </c>
      <c r="C10" t="s">
        <v>79</v>
      </c>
      <c r="D10" s="153">
        <f>'SW Table'!O11</f>
        <v>8.7999999999999995E-2</v>
      </c>
      <c r="F10" t="s">
        <v>305</v>
      </c>
      <c r="G10" s="14">
        <f>A13-A9</f>
        <v>1.5</v>
      </c>
      <c r="H10" s="41">
        <f t="shared" si="0"/>
        <v>0.13200000000000001</v>
      </c>
      <c r="O10" s="129">
        <v>2.6</v>
      </c>
    </row>
    <row r="11" spans="1:18" x14ac:dyDescent="0.35">
      <c r="A11" s="129">
        <v>2.6</v>
      </c>
      <c r="C11" t="s">
        <v>80</v>
      </c>
      <c r="D11" s="152">
        <f>'SW Table'!O12</f>
        <v>4.3299999999999998E-2</v>
      </c>
      <c r="F11" t="s">
        <v>304</v>
      </c>
      <c r="G11" s="151">
        <f>A12-A10</f>
        <v>0.79999999999999982</v>
      </c>
      <c r="H11" s="33">
        <f t="shared" si="0"/>
        <v>3.463999999999999E-2</v>
      </c>
      <c r="O11" s="129">
        <v>2.2000000000000002</v>
      </c>
    </row>
    <row r="12" spans="1:18" x14ac:dyDescent="0.35">
      <c r="A12" s="129">
        <v>3</v>
      </c>
      <c r="H12" s="19">
        <f>SUM(H5:H11)</f>
        <v>6.9362199999999987</v>
      </c>
      <c r="O12" s="129">
        <v>3</v>
      </c>
    </row>
    <row r="13" spans="1:18" x14ac:dyDescent="0.35">
      <c r="A13" s="129">
        <v>3.5</v>
      </c>
      <c r="O13" s="129">
        <v>3.5</v>
      </c>
    </row>
    <row r="14" spans="1:18" x14ac:dyDescent="0.35">
      <c r="A14" s="129">
        <v>4</v>
      </c>
      <c r="C14" t="s">
        <v>95</v>
      </c>
      <c r="D14" s="149">
        <f>DEVSQ(A4:A18)</f>
        <v>54.975999999999999</v>
      </c>
      <c r="O14" s="129">
        <v>1.7</v>
      </c>
    </row>
    <row r="15" spans="1:18" x14ac:dyDescent="0.35">
      <c r="A15" s="129">
        <v>4.8</v>
      </c>
      <c r="C15" t="s">
        <v>42</v>
      </c>
      <c r="D15" s="38">
        <f>H12</f>
        <v>6.9362199999999987</v>
      </c>
      <c r="O15" s="129">
        <v>4.8</v>
      </c>
    </row>
    <row r="16" spans="1:18" ht="16.5" x14ac:dyDescent="0.35">
      <c r="A16" s="129">
        <v>5.6</v>
      </c>
      <c r="C16" t="s">
        <v>282</v>
      </c>
      <c r="D16" s="38">
        <f>D15^2/D14</f>
        <v>0.87513001834254922</v>
      </c>
      <c r="O16" s="129">
        <v>5.6</v>
      </c>
    </row>
    <row r="17" spans="1:15" x14ac:dyDescent="0.35">
      <c r="A17" s="129">
        <v>6.6</v>
      </c>
      <c r="C17">
        <v>0.02</v>
      </c>
      <c r="D17" s="38">
        <f>'SW Table'!C47</f>
        <v>0.85499999999999998</v>
      </c>
      <c r="O17" s="129">
        <v>6.6</v>
      </c>
    </row>
    <row r="18" spans="1:15" x14ac:dyDescent="0.35">
      <c r="A18" s="132">
        <v>7.6</v>
      </c>
      <c r="C18">
        <v>0.05</v>
      </c>
      <c r="D18" s="38">
        <f>'SW Table'!D47</f>
        <v>0.88100000000000001</v>
      </c>
      <c r="O18" s="132">
        <v>1.2</v>
      </c>
    </row>
    <row r="19" spans="1:15" x14ac:dyDescent="0.35">
      <c r="C19" t="s">
        <v>57</v>
      </c>
      <c r="D19" s="38">
        <f>C18-(C18-C17)*(D18-D16)/(D18-D17)</f>
        <v>4.3226944241402949E-2</v>
      </c>
    </row>
    <row r="20" spans="1:15" x14ac:dyDescent="0.35">
      <c r="C20" t="s">
        <v>88</v>
      </c>
      <c r="D20" s="38">
        <v>0.05</v>
      </c>
    </row>
    <row r="21" spans="1:15" x14ac:dyDescent="0.35">
      <c r="C21" t="s">
        <v>58</v>
      </c>
      <c r="D21" s="32" t="str">
        <f>IF(D19&lt;=D20,"yes","no")</f>
        <v>yes</v>
      </c>
    </row>
    <row r="24" spans="1:15" x14ac:dyDescent="0.35">
      <c r="A24" t="s">
        <v>303</v>
      </c>
      <c r="I24" t="s">
        <v>302</v>
      </c>
    </row>
    <row r="26" spans="1:15" x14ac:dyDescent="0.35">
      <c r="A26" s="150" t="s">
        <v>123</v>
      </c>
      <c r="B26" s="150" t="s">
        <v>62</v>
      </c>
      <c r="C26" s="150" t="s">
        <v>96</v>
      </c>
      <c r="D26" s="150" t="s">
        <v>294</v>
      </c>
      <c r="J26" t="s">
        <v>301</v>
      </c>
    </row>
    <row r="27" spans="1:15" x14ac:dyDescent="0.35">
      <c r="A27" s="124">
        <v>1</v>
      </c>
      <c r="B27" s="126">
        <f t="shared" ref="B27:B41" si="1">A4</f>
        <v>1.2</v>
      </c>
      <c r="C27" s="124" t="e">
        <f t="array" aca="1" ref="C27:C41" ca="1">QSORT(B27:B41)</f>
        <v>#NAME?</v>
      </c>
      <c r="D27" t="e">
        <f ca="1">SWCoeff(A$41,A27)</f>
        <v>#NAME?</v>
      </c>
      <c r="J27" s="149" t="e">
        <f t="shared" ref="J27:J41" ca="1" si="2">C27*D27</f>
        <v>#NAME?</v>
      </c>
    </row>
    <row r="28" spans="1:15" x14ac:dyDescent="0.35">
      <c r="A28" s="124">
        <f t="shared" ref="A28:A41" si="3">A27+1</f>
        <v>2</v>
      </c>
      <c r="B28" s="126">
        <f t="shared" si="1"/>
        <v>1.6</v>
      </c>
      <c r="C28" s="124" t="e">
        <f ca="1"/>
        <v>#NAME?</v>
      </c>
      <c r="D28" t="e">
        <f ca="1">SWCoeff(A$41,A28)</f>
        <v>#NAME?</v>
      </c>
      <c r="J28" s="38" t="e">
        <f t="shared" ca="1" si="2"/>
        <v>#NAME?</v>
      </c>
    </row>
    <row r="29" spans="1:15" x14ac:dyDescent="0.35">
      <c r="A29" s="124">
        <f t="shared" si="3"/>
        <v>3</v>
      </c>
      <c r="B29" s="126">
        <f t="shared" si="1"/>
        <v>1.7</v>
      </c>
      <c r="C29" s="124" t="e">
        <f ca="1"/>
        <v>#NAME?</v>
      </c>
      <c r="D29" t="e">
        <f ca="1">SWCoeff(A$41,A29)</f>
        <v>#NAME?</v>
      </c>
      <c r="J29" s="38" t="e">
        <f t="shared" ca="1" si="2"/>
        <v>#NAME?</v>
      </c>
    </row>
    <row r="30" spans="1:15" x14ac:dyDescent="0.35">
      <c r="A30" s="124">
        <f t="shared" si="3"/>
        <v>4</v>
      </c>
      <c r="B30" s="126">
        <f t="shared" si="1"/>
        <v>1.8</v>
      </c>
      <c r="C30" s="124" t="e">
        <f ca="1"/>
        <v>#NAME?</v>
      </c>
      <c r="D30" t="e">
        <f ca="1">SWCoeff(A$41,A30)</f>
        <v>#NAME?</v>
      </c>
      <c r="J30" s="38" t="e">
        <f t="shared" ca="1" si="2"/>
        <v>#NAME?</v>
      </c>
    </row>
    <row r="31" spans="1:15" x14ac:dyDescent="0.35">
      <c r="A31" s="124">
        <f t="shared" si="3"/>
        <v>5</v>
      </c>
      <c r="B31" s="126">
        <f t="shared" si="1"/>
        <v>1.9</v>
      </c>
      <c r="C31" s="124" t="e">
        <f ca="1"/>
        <v>#NAME?</v>
      </c>
      <c r="D31" t="e">
        <f ca="1">SWCoeff(A$41,A31)</f>
        <v>#NAME?</v>
      </c>
      <c r="J31" s="38" t="e">
        <f t="shared" ca="1" si="2"/>
        <v>#NAME?</v>
      </c>
    </row>
    <row r="32" spans="1:15" x14ac:dyDescent="0.35">
      <c r="A32" s="124">
        <f t="shared" si="3"/>
        <v>6</v>
      </c>
      <c r="B32" s="126">
        <f t="shared" si="1"/>
        <v>2</v>
      </c>
      <c r="C32" s="124" t="e">
        <f ca="1"/>
        <v>#NAME?</v>
      </c>
      <c r="D32" t="e">
        <f ca="1">SWCoeff(A$41,A32)</f>
        <v>#NAME?</v>
      </c>
      <c r="J32" s="38" t="e">
        <f t="shared" ca="1" si="2"/>
        <v>#NAME?</v>
      </c>
    </row>
    <row r="33" spans="1:10" x14ac:dyDescent="0.35">
      <c r="A33" s="124">
        <f t="shared" si="3"/>
        <v>7</v>
      </c>
      <c r="B33" s="126">
        <f t="shared" si="1"/>
        <v>2.2000000000000002</v>
      </c>
      <c r="C33" s="124" t="e">
        <f ca="1"/>
        <v>#NAME?</v>
      </c>
      <c r="D33" t="e">
        <f ca="1">SWCoeff(A$41,A33)</f>
        <v>#NAME?</v>
      </c>
      <c r="J33" s="38" t="e">
        <f t="shared" ca="1" si="2"/>
        <v>#NAME?</v>
      </c>
    </row>
    <row r="34" spans="1:10" x14ac:dyDescent="0.35">
      <c r="A34" s="124">
        <f t="shared" si="3"/>
        <v>8</v>
      </c>
      <c r="B34" s="126">
        <f t="shared" si="1"/>
        <v>2.6</v>
      </c>
      <c r="C34" s="124" t="e">
        <f ca="1"/>
        <v>#NAME?</v>
      </c>
      <c r="D34" t="e">
        <f ca="1">SWCoeff(A$41,A34)</f>
        <v>#NAME?</v>
      </c>
      <c r="J34" s="38" t="e">
        <f t="shared" ca="1" si="2"/>
        <v>#NAME?</v>
      </c>
    </row>
    <row r="35" spans="1:10" x14ac:dyDescent="0.35">
      <c r="A35" s="124">
        <f t="shared" si="3"/>
        <v>9</v>
      </c>
      <c r="B35" s="126">
        <f t="shared" si="1"/>
        <v>3</v>
      </c>
      <c r="C35" s="124" t="e">
        <f ca="1"/>
        <v>#NAME?</v>
      </c>
      <c r="D35" t="e">
        <f ca="1">SWCoeff(A$41,A35)</f>
        <v>#NAME?</v>
      </c>
      <c r="J35" s="38" t="e">
        <f t="shared" ca="1" si="2"/>
        <v>#NAME?</v>
      </c>
    </row>
    <row r="36" spans="1:10" x14ac:dyDescent="0.35">
      <c r="A36" s="124">
        <f t="shared" si="3"/>
        <v>10</v>
      </c>
      <c r="B36" s="126">
        <f t="shared" si="1"/>
        <v>3.5</v>
      </c>
      <c r="C36" s="124" t="e">
        <f ca="1"/>
        <v>#NAME?</v>
      </c>
      <c r="D36" t="e">
        <f ca="1">SWCoeff(A$41,A36)</f>
        <v>#NAME?</v>
      </c>
      <c r="J36" s="38" t="e">
        <f t="shared" ca="1" si="2"/>
        <v>#NAME?</v>
      </c>
    </row>
    <row r="37" spans="1:10" x14ac:dyDescent="0.35">
      <c r="A37" s="124">
        <f t="shared" si="3"/>
        <v>11</v>
      </c>
      <c r="B37" s="126">
        <f t="shared" si="1"/>
        <v>4</v>
      </c>
      <c r="C37" s="124" t="e">
        <f ca="1"/>
        <v>#NAME?</v>
      </c>
      <c r="D37" t="e">
        <f ca="1">SWCoeff(A$41,A37)</f>
        <v>#NAME?</v>
      </c>
      <c r="J37" s="38" t="e">
        <f t="shared" ca="1" si="2"/>
        <v>#NAME?</v>
      </c>
    </row>
    <row r="38" spans="1:10" x14ac:dyDescent="0.35">
      <c r="A38" s="93">
        <f t="shared" si="3"/>
        <v>12</v>
      </c>
      <c r="B38" s="129">
        <f t="shared" si="1"/>
        <v>4.8</v>
      </c>
      <c r="C38" s="93" t="e">
        <f ca="1"/>
        <v>#NAME?</v>
      </c>
      <c r="D38" t="e">
        <f ca="1">SWCoeff(A$41,A38)</f>
        <v>#NAME?</v>
      </c>
      <c r="J38" s="38" t="e">
        <f t="shared" ca="1" si="2"/>
        <v>#NAME?</v>
      </c>
    </row>
    <row r="39" spans="1:10" x14ac:dyDescent="0.35">
      <c r="A39" s="93">
        <f t="shared" si="3"/>
        <v>13</v>
      </c>
      <c r="B39" s="129">
        <f t="shared" si="1"/>
        <v>5.6</v>
      </c>
      <c r="C39" s="93" t="e">
        <f ca="1"/>
        <v>#NAME?</v>
      </c>
      <c r="D39" t="e">
        <f ca="1">SWCoeff(A$41,A39)</f>
        <v>#NAME?</v>
      </c>
      <c r="J39" s="38" t="e">
        <f t="shared" ca="1" si="2"/>
        <v>#NAME?</v>
      </c>
    </row>
    <row r="40" spans="1:10" x14ac:dyDescent="0.35">
      <c r="A40" s="93">
        <f t="shared" si="3"/>
        <v>14</v>
      </c>
      <c r="B40" s="129">
        <f t="shared" si="1"/>
        <v>6.6</v>
      </c>
      <c r="C40" s="93" t="e">
        <f ca="1"/>
        <v>#NAME?</v>
      </c>
      <c r="D40" t="e">
        <f ca="1">SWCoeff(A$41,A40)</f>
        <v>#NAME?</v>
      </c>
      <c r="J40" s="38" t="e">
        <f t="shared" ca="1" si="2"/>
        <v>#NAME?</v>
      </c>
    </row>
    <row r="41" spans="1:10" x14ac:dyDescent="0.35">
      <c r="A41" s="123">
        <f t="shared" si="3"/>
        <v>15</v>
      </c>
      <c r="B41" s="123">
        <f t="shared" si="1"/>
        <v>7.6</v>
      </c>
      <c r="C41" s="123" t="e">
        <f ca="1"/>
        <v>#NAME?</v>
      </c>
      <c r="D41" s="75" t="e">
        <f ca="1">SWCoeff(A$41,A41)</f>
        <v>#NAME?</v>
      </c>
      <c r="J41" s="35" t="e">
        <f t="shared" ca="1" si="2"/>
        <v>#NAME?</v>
      </c>
    </row>
    <row r="42" spans="1:10" x14ac:dyDescent="0.35">
      <c r="A42" s="93"/>
      <c r="B42" s="126"/>
      <c r="C42" s="93"/>
      <c r="D42" s="4"/>
      <c r="I42" t="s">
        <v>300</v>
      </c>
      <c r="J42" t="e">
        <f ca="1">SUM(J27:J41)^2</f>
        <v>#NAME?</v>
      </c>
    </row>
    <row r="43" spans="1:10" x14ac:dyDescent="0.35">
      <c r="I43" t="s">
        <v>299</v>
      </c>
      <c r="J43">
        <f>DEVSQ(B27:B41)</f>
        <v>54.975999999999999</v>
      </c>
    </row>
    <row r="44" spans="1:10" x14ac:dyDescent="0.35">
      <c r="A44" t="s">
        <v>101</v>
      </c>
      <c r="B44" s="149" t="e">
        <f ca="1">CORREL(C27:C41,D27:D41)^2</f>
        <v>#NAME?</v>
      </c>
      <c r="D44" s="90" t="e">
        <f ca="1">SHAPIRO(B27:B41)</f>
        <v>#NAME?</v>
      </c>
      <c r="E44" s="6" t="s">
        <v>298</v>
      </c>
      <c r="I44" t="s">
        <v>101</v>
      </c>
      <c r="J44" s="90" t="e">
        <f ca="1">J42/J43</f>
        <v>#NAME?</v>
      </c>
    </row>
    <row r="45" spans="1:10" x14ac:dyDescent="0.35">
      <c r="A45" t="s">
        <v>57</v>
      </c>
      <c r="B45" s="38" t="e">
        <f ca="1">SWTEST(B27:B41)</f>
        <v>#NAME?</v>
      </c>
    </row>
    <row r="46" spans="1:10" x14ac:dyDescent="0.35">
      <c r="A46" t="s">
        <v>88</v>
      </c>
      <c r="B46" s="38">
        <v>0.05</v>
      </c>
    </row>
    <row r="47" spans="1:10" x14ac:dyDescent="0.35">
      <c r="A47" t="s">
        <v>58</v>
      </c>
      <c r="B47" s="32" t="e">
        <f ca="1">IF(B45&lt;=B46,"yes","no")</f>
        <v>#NAME?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42"/>
  <dimension ref="A1:T62"/>
  <sheetViews>
    <sheetView workbookViewId="0"/>
  </sheetViews>
  <sheetFormatPr defaultRowHeight="14.5" x14ac:dyDescent="0.35"/>
  <cols>
    <col min="6" max="6" width="3.54296875" customWidth="1"/>
    <col min="12" max="12" width="3.54296875" customWidth="1"/>
  </cols>
  <sheetData>
    <row r="1" spans="1:20" x14ac:dyDescent="0.35">
      <c r="A1" s="1" t="s">
        <v>297</v>
      </c>
    </row>
    <row r="2" spans="1:20" x14ac:dyDescent="0.35">
      <c r="G2" t="s">
        <v>320</v>
      </c>
      <c r="M2" t="s">
        <v>319</v>
      </c>
      <c r="S2" s="124" t="s">
        <v>62</v>
      </c>
      <c r="T2" s="124" t="s">
        <v>294</v>
      </c>
    </row>
    <row r="3" spans="1:20" x14ac:dyDescent="0.35">
      <c r="A3" s="148">
        <v>8.4922377693316964</v>
      </c>
      <c r="B3" s="97">
        <v>8.1450105174162886</v>
      </c>
      <c r="C3" s="97">
        <v>3.539420519589588</v>
      </c>
      <c r="D3" s="97">
        <v>9.7523650912542141</v>
      </c>
      <c r="E3" s="96">
        <v>5.5249126109432565</v>
      </c>
      <c r="G3" s="148" t="e">
        <f t="array" aca="1" ref="G3:K14" ca="1">QSORT(A3:E14)</f>
        <v>#NAME?</v>
      </c>
      <c r="H3" s="97" t="e">
        <f ca="1"/>
        <v>#NAME?</v>
      </c>
      <c r="I3" s="97" t="e">
        <f ca="1"/>
        <v>#NAME?</v>
      </c>
      <c r="J3" s="97" t="e">
        <f ca="1"/>
        <v>#NAME?</v>
      </c>
      <c r="K3" s="96" t="e">
        <f ca="1"/>
        <v>#NAME?</v>
      </c>
      <c r="M3" s="148" t="e">
        <f ca="1">SWCoeff($G$3:$K$14,G3)</f>
        <v>#NAME?</v>
      </c>
      <c r="N3" s="97" t="e">
        <f ca="1">SWCoeff($G$3:$K$14,H3)</f>
        <v>#NAME?</v>
      </c>
      <c r="O3" s="97" t="e">
        <f ca="1">SWCoeff($G$3:$K$14,I3)</f>
        <v>#NAME?</v>
      </c>
      <c r="P3" s="97" t="e">
        <f ca="1">SWCoeff($G$3:$K$14,J3)</f>
        <v>#NAME?</v>
      </c>
      <c r="Q3" s="96" t="e">
        <f ca="1">SWCoeff($G$3:$K$14,K3)</f>
        <v>#NAME?</v>
      </c>
      <c r="S3" s="149" t="e">
        <f t="array" aca="1" ref="S3:S62" ca="1">QSORT(A3:E14)</f>
        <v>#NAME?</v>
      </c>
      <c r="T3" s="149" t="e">
        <f ca="1">SWCoeff(COUNT(S$3:S$62),ROW(S3)-ROW(S$3)+1)</f>
        <v>#NAME?</v>
      </c>
    </row>
    <row r="4" spans="1:20" x14ac:dyDescent="0.35">
      <c r="A4" s="3">
        <v>6.2106962658196636</v>
      </c>
      <c r="B4" s="4">
        <v>5.4379833683016674</v>
      </c>
      <c r="C4" s="4">
        <v>3.9967154745588429E-2</v>
      </c>
      <c r="D4" s="4">
        <v>2.9373192731705253</v>
      </c>
      <c r="E4" s="41">
        <v>5.1962569330620525</v>
      </c>
      <c r="G4" s="3" t="e">
        <f ca="1"/>
        <v>#NAME?</v>
      </c>
      <c r="H4" s="4" t="e">
        <f ca="1"/>
        <v>#NAME?</v>
      </c>
      <c r="I4" s="4" t="e">
        <f ca="1"/>
        <v>#NAME?</v>
      </c>
      <c r="J4" s="4" t="e">
        <f ca="1"/>
        <v>#NAME?</v>
      </c>
      <c r="K4" s="41" t="e">
        <f ca="1"/>
        <v>#NAME?</v>
      </c>
      <c r="M4" s="3" t="e">
        <f ca="1">SWCoeff($G$3:$K$14,G4)</f>
        <v>#NAME?</v>
      </c>
      <c r="N4" s="4" t="e">
        <f ca="1">SWCoeff($G$3:$K$14,H4)</f>
        <v>#NAME?</v>
      </c>
      <c r="O4" s="4" t="e">
        <f ca="1">SWCoeff($G$3:$K$14,I4)</f>
        <v>#NAME?</v>
      </c>
      <c r="P4" s="4" t="e">
        <f ca="1">SWCoeff($G$3:$K$14,J4)</f>
        <v>#NAME?</v>
      </c>
      <c r="Q4" s="41" t="e">
        <f ca="1">SWCoeff($G$3:$K$14,K4)</f>
        <v>#NAME?</v>
      </c>
      <c r="S4" s="38" t="e">
        <f ca="1"/>
        <v>#NAME?</v>
      </c>
      <c r="T4" s="38" t="e">
        <f ca="1">SWCoeff(COUNT(S$3:S$62),ROW(S4)-ROW(S$3)+1)</f>
        <v>#NAME?</v>
      </c>
    </row>
    <row r="5" spans="1:20" x14ac:dyDescent="0.35">
      <c r="A5" s="3">
        <v>7.9798122586520721</v>
      </c>
      <c r="B5" s="4">
        <v>0.69688819978291716</v>
      </c>
      <c r="C5" s="4">
        <v>8.5026264594764029</v>
      </c>
      <c r="D5" s="4">
        <v>7.7327562520013347</v>
      </c>
      <c r="E5" s="41">
        <v>1.8664950703863368</v>
      </c>
      <c r="G5" s="3" t="e">
        <f ca="1"/>
        <v>#NAME?</v>
      </c>
      <c r="H5" s="4" t="e">
        <f ca="1"/>
        <v>#NAME?</v>
      </c>
      <c r="I5" s="4" t="e">
        <f ca="1"/>
        <v>#NAME?</v>
      </c>
      <c r="J5" s="4" t="e">
        <f ca="1"/>
        <v>#NAME?</v>
      </c>
      <c r="K5" s="41" t="e">
        <f ca="1"/>
        <v>#NAME?</v>
      </c>
      <c r="M5" s="3" t="e">
        <f ca="1">SWCoeff($G$3:$K$14,G5)</f>
        <v>#NAME?</v>
      </c>
      <c r="N5" s="4" t="e">
        <f ca="1">SWCoeff($G$3:$K$14,H5)</f>
        <v>#NAME?</v>
      </c>
      <c r="O5" s="4" t="e">
        <f ca="1">SWCoeff($G$3:$K$14,I5)</f>
        <v>#NAME?</v>
      </c>
      <c r="P5" s="4" t="e">
        <f ca="1">SWCoeff($G$3:$K$14,J5)</f>
        <v>#NAME?</v>
      </c>
      <c r="Q5" s="41" t="e">
        <f ca="1">SWCoeff($G$3:$K$14,K5)</f>
        <v>#NAME?</v>
      </c>
      <c r="S5" s="38" t="e">
        <f ca="1"/>
        <v>#NAME?</v>
      </c>
      <c r="T5" s="38" t="e">
        <f ca="1">SWCoeff(COUNT(S$3:S$62),ROW(S5)-ROW(S$3)+1)</f>
        <v>#NAME?</v>
      </c>
    </row>
    <row r="6" spans="1:20" x14ac:dyDescent="0.35">
      <c r="A6" s="3">
        <v>4.0754988108121246</v>
      </c>
      <c r="B6" s="4">
        <v>2.958657355861213</v>
      </c>
      <c r="C6" s="4">
        <v>8.6870703312754252</v>
      </c>
      <c r="D6" s="4">
        <v>3.3216043809734073</v>
      </c>
      <c r="E6" s="41">
        <v>0.7009516364142806</v>
      </c>
      <c r="G6" s="3" t="e">
        <f ca="1"/>
        <v>#NAME?</v>
      </c>
      <c r="H6" s="4" t="e">
        <f ca="1"/>
        <v>#NAME?</v>
      </c>
      <c r="I6" s="4" t="e">
        <f ca="1"/>
        <v>#NAME?</v>
      </c>
      <c r="J6" s="4" t="e">
        <f ca="1"/>
        <v>#NAME?</v>
      </c>
      <c r="K6" s="41" t="e">
        <f ca="1"/>
        <v>#NAME?</v>
      </c>
      <c r="M6" s="3" t="e">
        <f ca="1">SWCoeff($G$3:$K$14,G6)</f>
        <v>#NAME?</v>
      </c>
      <c r="N6" s="4" t="e">
        <f ca="1">SWCoeff($G$3:$K$14,H6)</f>
        <v>#NAME?</v>
      </c>
      <c r="O6" s="4" t="e">
        <f ca="1">SWCoeff($G$3:$K$14,I6)</f>
        <v>#NAME?</v>
      </c>
      <c r="P6" s="4" t="e">
        <f ca="1">SWCoeff($G$3:$K$14,J6)</f>
        <v>#NAME?</v>
      </c>
      <c r="Q6" s="41" t="e">
        <f ca="1">SWCoeff($G$3:$K$14,K6)</f>
        <v>#NAME?</v>
      </c>
      <c r="S6" s="38" t="e">
        <f ca="1"/>
        <v>#NAME?</v>
      </c>
      <c r="T6" s="38" t="e">
        <f ca="1">SWCoeff(COUNT(S$3:S$62),ROW(S6)-ROW(S$3)+1)</f>
        <v>#NAME?</v>
      </c>
    </row>
    <row r="7" spans="1:20" x14ac:dyDescent="0.35">
      <c r="A7" s="3">
        <v>9.6155765567075289</v>
      </c>
      <c r="B7" s="4">
        <v>9.7960249046247032</v>
      </c>
      <c r="C7" s="4">
        <v>6.1175948069449211</v>
      </c>
      <c r="D7" s="4">
        <v>2.3249947726383962</v>
      </c>
      <c r="E7" s="41">
        <v>5.8490040774692229</v>
      </c>
      <c r="G7" s="3" t="e">
        <f ca="1"/>
        <v>#NAME?</v>
      </c>
      <c r="H7" s="4" t="e">
        <f ca="1"/>
        <v>#NAME?</v>
      </c>
      <c r="I7" s="4" t="e">
        <f ca="1"/>
        <v>#NAME?</v>
      </c>
      <c r="J7" s="4" t="e">
        <f ca="1"/>
        <v>#NAME?</v>
      </c>
      <c r="K7" s="41" t="e">
        <f ca="1"/>
        <v>#NAME?</v>
      </c>
      <c r="M7" s="3" t="e">
        <f ca="1">SWCoeff($G$3:$K$14,G7)</f>
        <v>#NAME?</v>
      </c>
      <c r="N7" s="4" t="e">
        <f ca="1">SWCoeff($G$3:$K$14,H7)</f>
        <v>#NAME?</v>
      </c>
      <c r="O7" s="4" t="e">
        <f ca="1">SWCoeff($G$3:$K$14,I7)</f>
        <v>#NAME?</v>
      </c>
      <c r="P7" s="4" t="e">
        <f ca="1">SWCoeff($G$3:$K$14,J7)</f>
        <v>#NAME?</v>
      </c>
      <c r="Q7" s="41" t="e">
        <f ca="1">SWCoeff($G$3:$K$14,K7)</f>
        <v>#NAME?</v>
      </c>
      <c r="S7" s="38" t="e">
        <f ca="1"/>
        <v>#NAME?</v>
      </c>
      <c r="T7" s="38" t="e">
        <f ca="1">SWCoeff(COUNT(S$3:S$62),ROW(S7)-ROW(S$3)+1)</f>
        <v>#NAME?</v>
      </c>
    </row>
    <row r="8" spans="1:20" x14ac:dyDescent="0.35">
      <c r="A8" s="3">
        <v>8.722007923503778</v>
      </c>
      <c r="B8" s="4">
        <v>9.8253870894335069</v>
      </c>
      <c r="C8" s="4">
        <v>4.317177824423295</v>
      </c>
      <c r="D8" s="4">
        <v>3.3540912361714339</v>
      </c>
      <c r="E8" s="41">
        <v>7.6090535575503342</v>
      </c>
      <c r="G8" s="3" t="e">
        <f ca="1"/>
        <v>#NAME?</v>
      </c>
      <c r="H8" s="4" t="e">
        <f ca="1"/>
        <v>#NAME?</v>
      </c>
      <c r="I8" s="4" t="e">
        <f ca="1"/>
        <v>#NAME?</v>
      </c>
      <c r="J8" s="4" t="e">
        <f ca="1"/>
        <v>#NAME?</v>
      </c>
      <c r="K8" s="41" t="e">
        <f ca="1"/>
        <v>#NAME?</v>
      </c>
      <c r="M8" s="3" t="e">
        <f ca="1">SWCoeff($G$3:$K$14,G8)</f>
        <v>#NAME?</v>
      </c>
      <c r="N8" s="4" t="e">
        <f ca="1">SWCoeff($G$3:$K$14,H8)</f>
        <v>#NAME?</v>
      </c>
      <c r="O8" s="4" t="e">
        <f ca="1">SWCoeff($G$3:$K$14,I8)</f>
        <v>#NAME?</v>
      </c>
      <c r="P8" s="4" t="e">
        <f ca="1">SWCoeff($G$3:$K$14,J8)</f>
        <v>#NAME?</v>
      </c>
      <c r="Q8" s="41" t="e">
        <f ca="1">SWCoeff($G$3:$K$14,K8)</f>
        <v>#NAME?</v>
      </c>
      <c r="S8" s="38" t="e">
        <f ca="1"/>
        <v>#NAME?</v>
      </c>
      <c r="T8" s="38" t="e">
        <f ca="1">SWCoeff(COUNT(S$3:S$62),ROW(S8)-ROW(S$3)+1)</f>
        <v>#NAME?</v>
      </c>
    </row>
    <row r="9" spans="1:20" x14ac:dyDescent="0.35">
      <c r="A9" s="3">
        <v>1.1968857743394818</v>
      </c>
      <c r="B9" s="4">
        <v>5.7666368492506228</v>
      </c>
      <c r="C9" s="4">
        <v>1.6615082716212748</v>
      </c>
      <c r="D9" s="4">
        <v>4.1386181977472392</v>
      </c>
      <c r="E9" s="41">
        <v>7.2904177928907528</v>
      </c>
      <c r="G9" s="3" t="e">
        <f ca="1"/>
        <v>#NAME?</v>
      </c>
      <c r="H9" s="4" t="e">
        <f ca="1"/>
        <v>#NAME?</v>
      </c>
      <c r="I9" s="4" t="e">
        <f ca="1"/>
        <v>#NAME?</v>
      </c>
      <c r="J9" s="4" t="e">
        <f ca="1"/>
        <v>#NAME?</v>
      </c>
      <c r="K9" s="41" t="e">
        <f ca="1"/>
        <v>#NAME?</v>
      </c>
      <c r="M9" s="3" t="e">
        <f ca="1">SWCoeff($G$3:$K$14,G9)</f>
        <v>#NAME?</v>
      </c>
      <c r="N9" s="4" t="e">
        <f ca="1">SWCoeff($G$3:$K$14,H9)</f>
        <v>#NAME?</v>
      </c>
      <c r="O9" s="4" t="e">
        <f ca="1">SWCoeff($G$3:$K$14,I9)</f>
        <v>#NAME?</v>
      </c>
      <c r="P9" s="4" t="e">
        <f ca="1">SWCoeff($G$3:$K$14,J9)</f>
        <v>#NAME?</v>
      </c>
      <c r="Q9" s="41" t="e">
        <f ca="1">SWCoeff($G$3:$K$14,K9)</f>
        <v>#NAME?</v>
      </c>
      <c r="S9" s="38" t="e">
        <f ca="1"/>
        <v>#NAME?</v>
      </c>
      <c r="T9" s="38" t="e">
        <f ca="1">SWCoeff(COUNT(S$3:S$62),ROW(S9)-ROW(S$3)+1)</f>
        <v>#NAME?</v>
      </c>
    </row>
    <row r="10" spans="1:20" x14ac:dyDescent="0.35">
      <c r="A10" s="3">
        <v>4.0959572071492554</v>
      </c>
      <c r="B10" s="4">
        <v>3.0440767331371434</v>
      </c>
      <c r="C10" s="4">
        <v>6.4735279685765317</v>
      </c>
      <c r="D10" s="4">
        <v>4.461341517973799</v>
      </c>
      <c r="E10" s="41">
        <v>2.1808557316006985</v>
      </c>
      <c r="G10" s="3" t="e">
        <f ca="1"/>
        <v>#NAME?</v>
      </c>
      <c r="H10" s="4" t="e">
        <f ca="1"/>
        <v>#NAME?</v>
      </c>
      <c r="I10" s="4" t="e">
        <f ca="1"/>
        <v>#NAME?</v>
      </c>
      <c r="J10" s="4" t="e">
        <f ca="1"/>
        <v>#NAME?</v>
      </c>
      <c r="K10" s="41" t="e">
        <f ca="1"/>
        <v>#NAME?</v>
      </c>
      <c r="M10" s="3" t="e">
        <f ca="1">SWCoeff($G$3:$K$14,G10)</f>
        <v>#NAME?</v>
      </c>
      <c r="N10" s="4" t="e">
        <f ca="1">SWCoeff($G$3:$K$14,H10)</f>
        <v>#NAME?</v>
      </c>
      <c r="O10" s="4" t="e">
        <f ca="1">SWCoeff($G$3:$K$14,I10)</f>
        <v>#NAME?</v>
      </c>
      <c r="P10" s="4" t="e">
        <f ca="1">SWCoeff($G$3:$K$14,J10)</f>
        <v>#NAME?</v>
      </c>
      <c r="Q10" s="41" t="e">
        <f ca="1">SWCoeff($G$3:$K$14,K10)</f>
        <v>#NAME?</v>
      </c>
      <c r="S10" s="38" t="e">
        <f ca="1"/>
        <v>#NAME?</v>
      </c>
      <c r="T10" s="38" t="e">
        <f ca="1">SWCoeff(COUNT(S$3:S$62),ROW(S10)-ROW(S$3)+1)</f>
        <v>#NAME?</v>
      </c>
    </row>
    <row r="11" spans="1:20" x14ac:dyDescent="0.35">
      <c r="A11" s="3">
        <v>6.5437336708753886</v>
      </c>
      <c r="B11" s="4">
        <v>1.4176671462803938</v>
      </c>
      <c r="C11" s="4">
        <v>4.1482044465393955</v>
      </c>
      <c r="D11" s="4">
        <v>9.2563448253712313</v>
      </c>
      <c r="E11" s="41">
        <v>1.1030204573941278</v>
      </c>
      <c r="G11" s="3" t="e">
        <f ca="1"/>
        <v>#NAME?</v>
      </c>
      <c r="H11" s="4" t="e">
        <f ca="1"/>
        <v>#NAME?</v>
      </c>
      <c r="I11" s="4" t="e">
        <f ca="1"/>
        <v>#NAME?</v>
      </c>
      <c r="J11" s="4" t="e">
        <f ca="1"/>
        <v>#NAME?</v>
      </c>
      <c r="K11" s="41" t="e">
        <f ca="1"/>
        <v>#NAME?</v>
      </c>
      <c r="M11" s="3" t="e">
        <f ca="1">SWCoeff($G$3:$K$14,G11)</f>
        <v>#NAME?</v>
      </c>
      <c r="N11" s="4" t="e">
        <f ca="1">SWCoeff($G$3:$K$14,H11)</f>
        <v>#NAME?</v>
      </c>
      <c r="O11" s="4" t="e">
        <f ca="1">SWCoeff($G$3:$K$14,I11)</f>
        <v>#NAME?</v>
      </c>
      <c r="P11" s="4" t="e">
        <f ca="1">SWCoeff($G$3:$K$14,J11)</f>
        <v>#NAME?</v>
      </c>
      <c r="Q11" s="41" t="e">
        <f ca="1">SWCoeff($G$3:$K$14,K11)</f>
        <v>#NAME?</v>
      </c>
      <c r="S11" s="38" t="e">
        <f ca="1"/>
        <v>#NAME?</v>
      </c>
      <c r="T11" s="38" t="e">
        <f ca="1">SWCoeff(COUNT(S$3:S$62),ROW(S11)-ROW(S$3)+1)</f>
        <v>#NAME?</v>
      </c>
    </row>
    <row r="12" spans="1:20" x14ac:dyDescent="0.35">
      <c r="A12" s="3">
        <v>0.21365848719560543</v>
      </c>
      <c r="B12" s="4">
        <v>8.6327529653695958</v>
      </c>
      <c r="C12" s="4">
        <v>4.899529907523327</v>
      </c>
      <c r="D12" s="4">
        <v>0.32671133568747546</v>
      </c>
      <c r="E12" s="41">
        <v>4.9028360182533355</v>
      </c>
      <c r="G12" s="3" t="e">
        <f ca="1"/>
        <v>#NAME?</v>
      </c>
      <c r="H12" s="4" t="e">
        <f ca="1"/>
        <v>#NAME?</v>
      </c>
      <c r="I12" s="4" t="e">
        <f ca="1"/>
        <v>#NAME?</v>
      </c>
      <c r="J12" s="4" t="e">
        <f ca="1"/>
        <v>#NAME?</v>
      </c>
      <c r="K12" s="41" t="e">
        <f ca="1"/>
        <v>#NAME?</v>
      </c>
      <c r="M12" s="3" t="e">
        <f ca="1">SWCoeff($G$3:$K$14,G12)</f>
        <v>#NAME?</v>
      </c>
      <c r="N12" s="4" t="e">
        <f ca="1">SWCoeff($G$3:$K$14,H12)</f>
        <v>#NAME?</v>
      </c>
      <c r="O12" s="4" t="e">
        <f ca="1">SWCoeff($G$3:$K$14,I12)</f>
        <v>#NAME?</v>
      </c>
      <c r="P12" s="4" t="e">
        <f ca="1">SWCoeff($G$3:$K$14,J12)</f>
        <v>#NAME?</v>
      </c>
      <c r="Q12" s="41" t="e">
        <f ca="1">SWCoeff($G$3:$K$14,K12)</f>
        <v>#NAME?</v>
      </c>
      <c r="S12" s="38" t="e">
        <f ca="1"/>
        <v>#NAME?</v>
      </c>
      <c r="T12" s="38" t="e">
        <f ca="1">SWCoeff(COUNT(S$3:S$62),ROW(S12)-ROW(S$3)+1)</f>
        <v>#NAME?</v>
      </c>
    </row>
    <row r="13" spans="1:20" x14ac:dyDescent="0.35">
      <c r="A13" s="3">
        <v>6.4705979551964266</v>
      </c>
      <c r="B13" s="4">
        <v>9.6673079922825966</v>
      </c>
      <c r="C13" s="4">
        <v>5.8290295249808972</v>
      </c>
      <c r="D13" s="4">
        <v>6.7032393775960069</v>
      </c>
      <c r="E13" s="41">
        <v>9.2365577500628184</v>
      </c>
      <c r="G13" s="3" t="e">
        <f ca="1"/>
        <v>#NAME?</v>
      </c>
      <c r="H13" s="4" t="e">
        <f ca="1"/>
        <v>#NAME?</v>
      </c>
      <c r="I13" s="4" t="e">
        <f ca="1"/>
        <v>#NAME?</v>
      </c>
      <c r="J13" s="4" t="e">
        <f ca="1"/>
        <v>#NAME?</v>
      </c>
      <c r="K13" s="41" t="e">
        <f ca="1"/>
        <v>#NAME?</v>
      </c>
      <c r="M13" s="3" t="e">
        <f ca="1">SWCoeff($G$3:$K$14,G13)</f>
        <v>#NAME?</v>
      </c>
      <c r="N13" s="4" t="e">
        <f ca="1">SWCoeff($G$3:$K$14,H13)</f>
        <v>#NAME?</v>
      </c>
      <c r="O13" s="4" t="e">
        <f ca="1">SWCoeff($G$3:$K$14,I13)</f>
        <v>#NAME?</v>
      </c>
      <c r="P13" s="4" t="e">
        <f ca="1">SWCoeff($G$3:$K$14,J13)</f>
        <v>#NAME?</v>
      </c>
      <c r="Q13" s="41" t="e">
        <f ca="1">SWCoeff($G$3:$K$14,K13)</f>
        <v>#NAME?</v>
      </c>
      <c r="S13" s="38" t="e">
        <f ca="1"/>
        <v>#NAME?</v>
      </c>
      <c r="T13" s="38" t="e">
        <f ca="1">SWCoeff(COUNT(S$3:S$62),ROW(S13)-ROW(S$3)+1)</f>
        <v>#NAME?</v>
      </c>
    </row>
    <row r="14" spans="1:20" x14ac:dyDescent="0.35">
      <c r="A14" s="30">
        <v>7.0283997114847727</v>
      </c>
      <c r="B14" s="75">
        <v>0.64210956074050918</v>
      </c>
      <c r="C14" s="75">
        <v>2.8450760284336107</v>
      </c>
      <c r="D14" s="75">
        <v>8.127618546471659</v>
      </c>
      <c r="E14" s="33">
        <v>7.5003870575851135</v>
      </c>
      <c r="G14" s="30" t="e">
        <f ca="1"/>
        <v>#NAME?</v>
      </c>
      <c r="H14" s="75" t="e">
        <f ca="1"/>
        <v>#NAME?</v>
      </c>
      <c r="I14" s="75" t="e">
        <f ca="1"/>
        <v>#NAME?</v>
      </c>
      <c r="J14" s="75" t="e">
        <f ca="1"/>
        <v>#NAME?</v>
      </c>
      <c r="K14" s="33" t="e">
        <f ca="1"/>
        <v>#NAME?</v>
      </c>
      <c r="M14" s="30" t="e">
        <f ca="1">SWCoeff($G$3:$K$14,G14)</f>
        <v>#NAME?</v>
      </c>
      <c r="N14" s="75" t="e">
        <f ca="1">SWCoeff($G$3:$K$14,H14)</f>
        <v>#NAME?</v>
      </c>
      <c r="O14" s="75" t="e">
        <f ca="1">SWCoeff($G$3:$K$14,I14)</f>
        <v>#NAME?</v>
      </c>
      <c r="P14" s="75" t="e">
        <f ca="1">SWCoeff($G$3:$K$14,J14)</f>
        <v>#NAME?</v>
      </c>
      <c r="Q14" s="33" t="e">
        <f ca="1">SWCoeff($G$3:$K$14,K14)</f>
        <v>#NAME?</v>
      </c>
      <c r="S14" s="38" t="e">
        <f ca="1"/>
        <v>#NAME?</v>
      </c>
      <c r="T14" s="38" t="e">
        <f ca="1">SWCoeff(COUNT(S$3:S$62),ROW(S14)-ROW(S$3)+1)</f>
        <v>#NAME?</v>
      </c>
    </row>
    <row r="15" spans="1:20" x14ac:dyDescent="0.35">
      <c r="S15" s="38" t="e">
        <f ca="1"/>
        <v>#NAME?</v>
      </c>
      <c r="T15" s="38" t="e">
        <f ca="1">SWCoeff(COUNT(S$3:S$62),ROW(S15)-ROW(S$3)+1)</f>
        <v>#NAME?</v>
      </c>
    </row>
    <row r="16" spans="1:20" x14ac:dyDescent="0.35">
      <c r="S16" s="38" t="e">
        <f ca="1"/>
        <v>#NAME?</v>
      </c>
      <c r="T16" s="38" t="e">
        <f ca="1">SWCoeff(COUNT(S$3:S$62),ROW(S16)-ROW(S$3)+1)</f>
        <v>#NAME?</v>
      </c>
    </row>
    <row r="17" spans="1:20" x14ac:dyDescent="0.35">
      <c r="A17" t="s">
        <v>101</v>
      </c>
      <c r="B17" s="149" t="e">
        <f ca="1">SHAPIRO(A3:E14)</f>
        <v>#NAME?</v>
      </c>
      <c r="C17" s="6" t="s">
        <v>318</v>
      </c>
      <c r="S17" s="38" t="e">
        <f ca="1"/>
        <v>#NAME?</v>
      </c>
      <c r="T17" s="38" t="e">
        <f ca="1">SWCoeff(COUNT(S$3:S$62),ROW(S17)-ROW(S$3)+1)</f>
        <v>#NAME?</v>
      </c>
    </row>
    <row r="18" spans="1:20" x14ac:dyDescent="0.35">
      <c r="A18" t="s">
        <v>57</v>
      </c>
      <c r="B18" s="38" t="e">
        <f ca="1">SWTEST(A3:E14)</f>
        <v>#NAME?</v>
      </c>
      <c r="C18" s="6" t="s">
        <v>317</v>
      </c>
      <c r="S18" s="38" t="e">
        <f ca="1"/>
        <v>#NAME?</v>
      </c>
      <c r="T18" s="38" t="e">
        <f ca="1">SWCoeff(COUNT(S$3:S$62),ROW(S18)-ROW(S$3)+1)</f>
        <v>#NAME?</v>
      </c>
    </row>
    <row r="19" spans="1:20" x14ac:dyDescent="0.35">
      <c r="A19" t="s">
        <v>88</v>
      </c>
      <c r="B19" s="38">
        <v>0.05</v>
      </c>
      <c r="S19" s="38" t="e">
        <f ca="1"/>
        <v>#NAME?</v>
      </c>
      <c r="T19" s="38" t="e">
        <f ca="1">SWCoeff(COUNT(S$3:S$62),ROW(S19)-ROW(S$3)+1)</f>
        <v>#NAME?</v>
      </c>
    </row>
    <row r="20" spans="1:20" x14ac:dyDescent="0.35">
      <c r="A20" t="s">
        <v>58</v>
      </c>
      <c r="B20" s="32" t="e">
        <f ca="1">IF(B18&lt;=B19,"yes","no")</f>
        <v>#NAME?</v>
      </c>
      <c r="C20" s="6" t="s">
        <v>316</v>
      </c>
      <c r="S20" s="38" t="e">
        <f ca="1"/>
        <v>#NAME?</v>
      </c>
      <c r="T20" s="38" t="e">
        <f ca="1">SWCoeff(COUNT(S$3:S$62),ROW(S20)-ROW(S$3)+1)</f>
        <v>#NAME?</v>
      </c>
    </row>
    <row r="21" spans="1:20" x14ac:dyDescent="0.35">
      <c r="S21" s="38" t="e">
        <f ca="1"/>
        <v>#NAME?</v>
      </c>
      <c r="T21" s="38" t="e">
        <f ca="1">SWCoeff(COUNT(S$3:S$62),ROW(S21)-ROW(S$3)+1)</f>
        <v>#NAME?</v>
      </c>
    </row>
    <row r="22" spans="1:20" x14ac:dyDescent="0.35">
      <c r="S22" s="38" t="e">
        <f ca="1"/>
        <v>#NAME?</v>
      </c>
      <c r="T22" s="38" t="e">
        <f ca="1">SWCoeff(COUNT(S$3:S$62),ROW(S22)-ROW(S$3)+1)</f>
        <v>#NAME?</v>
      </c>
    </row>
    <row r="23" spans="1:20" x14ac:dyDescent="0.35">
      <c r="S23" s="38" t="e">
        <f ca="1"/>
        <v>#NAME?</v>
      </c>
      <c r="T23" s="38" t="e">
        <f ca="1">SWCoeff(COUNT(S$3:S$62),ROW(S23)-ROW(S$3)+1)</f>
        <v>#NAME?</v>
      </c>
    </row>
    <row r="24" spans="1:20" x14ac:dyDescent="0.35">
      <c r="S24" s="38" t="e">
        <f ca="1"/>
        <v>#NAME?</v>
      </c>
      <c r="T24" s="38" t="e">
        <f ca="1">SWCoeff(COUNT(S$3:S$62),ROW(S24)-ROW(S$3)+1)</f>
        <v>#NAME?</v>
      </c>
    </row>
    <row r="25" spans="1:20" x14ac:dyDescent="0.35">
      <c r="S25" s="38" t="e">
        <f ca="1"/>
        <v>#NAME?</v>
      </c>
      <c r="T25" s="38" t="e">
        <f ca="1">SWCoeff(COUNT(S$3:S$62),ROW(S25)-ROW(S$3)+1)</f>
        <v>#NAME?</v>
      </c>
    </row>
    <row r="26" spans="1:20" x14ac:dyDescent="0.35">
      <c r="S26" s="38" t="e">
        <f ca="1"/>
        <v>#NAME?</v>
      </c>
      <c r="T26" s="38" t="e">
        <f ca="1">SWCoeff(COUNT(S$3:S$62),ROW(S26)-ROW(S$3)+1)</f>
        <v>#NAME?</v>
      </c>
    </row>
    <row r="27" spans="1:20" x14ac:dyDescent="0.35">
      <c r="S27" s="38" t="e">
        <f ca="1"/>
        <v>#NAME?</v>
      </c>
      <c r="T27" s="38" t="e">
        <f ca="1">SWCoeff(COUNT(S$3:S$62),ROW(S27)-ROW(S$3)+1)</f>
        <v>#NAME?</v>
      </c>
    </row>
    <row r="28" spans="1:20" x14ac:dyDescent="0.35">
      <c r="S28" s="38" t="e">
        <f ca="1"/>
        <v>#NAME?</v>
      </c>
      <c r="T28" s="38" t="e">
        <f ca="1">SWCoeff(COUNT(S$3:S$62),ROW(S28)-ROW(S$3)+1)</f>
        <v>#NAME?</v>
      </c>
    </row>
    <row r="29" spans="1:20" x14ac:dyDescent="0.35">
      <c r="S29" s="38" t="e">
        <f ca="1"/>
        <v>#NAME?</v>
      </c>
      <c r="T29" s="38" t="e">
        <f ca="1">SWCoeff(COUNT(S$3:S$62),ROW(S29)-ROW(S$3)+1)</f>
        <v>#NAME?</v>
      </c>
    </row>
    <row r="30" spans="1:20" x14ac:dyDescent="0.35">
      <c r="S30" s="38" t="e">
        <f ca="1"/>
        <v>#NAME?</v>
      </c>
      <c r="T30" s="38" t="e">
        <f ca="1">SWCoeff(COUNT(S$3:S$62),ROW(S30)-ROW(S$3)+1)</f>
        <v>#NAME?</v>
      </c>
    </row>
    <row r="31" spans="1:20" x14ac:dyDescent="0.35">
      <c r="S31" s="38" t="e">
        <f ca="1"/>
        <v>#NAME?</v>
      </c>
      <c r="T31" s="38" t="e">
        <f ca="1">SWCoeff(COUNT(S$3:S$62),ROW(S31)-ROW(S$3)+1)</f>
        <v>#NAME?</v>
      </c>
    </row>
    <row r="32" spans="1:20" x14ac:dyDescent="0.35">
      <c r="S32" s="38" t="e">
        <f ca="1"/>
        <v>#NAME?</v>
      </c>
      <c r="T32" s="38" t="e">
        <f ca="1">SWCoeff(COUNT(S$3:S$62),ROW(S32)-ROW(S$3)+1)</f>
        <v>#NAME?</v>
      </c>
    </row>
    <row r="33" spans="19:20" x14ac:dyDescent="0.35">
      <c r="S33" s="38" t="e">
        <f ca="1"/>
        <v>#NAME?</v>
      </c>
      <c r="T33" s="38" t="e">
        <f ca="1">SWCoeff(COUNT(S$3:S$62),ROW(S33)-ROW(S$3)+1)</f>
        <v>#NAME?</v>
      </c>
    </row>
    <row r="34" spans="19:20" x14ac:dyDescent="0.35">
      <c r="S34" s="38" t="e">
        <f ca="1"/>
        <v>#NAME?</v>
      </c>
      <c r="T34" s="38" t="e">
        <f ca="1">SWCoeff(COUNT(S$3:S$62),ROW(S34)-ROW(S$3)+1)</f>
        <v>#NAME?</v>
      </c>
    </row>
    <row r="35" spans="19:20" x14ac:dyDescent="0.35">
      <c r="S35" s="38" t="e">
        <f ca="1"/>
        <v>#NAME?</v>
      </c>
      <c r="T35" s="38" t="e">
        <f ca="1">SWCoeff(COUNT(S$3:S$62),ROW(S35)-ROW(S$3)+1)</f>
        <v>#NAME?</v>
      </c>
    </row>
    <row r="36" spans="19:20" x14ac:dyDescent="0.35">
      <c r="S36" s="38" t="e">
        <f ca="1"/>
        <v>#NAME?</v>
      </c>
      <c r="T36" s="38" t="e">
        <f ca="1">SWCoeff(COUNT(S$3:S$62),ROW(S36)-ROW(S$3)+1)</f>
        <v>#NAME?</v>
      </c>
    </row>
    <row r="37" spans="19:20" x14ac:dyDescent="0.35">
      <c r="S37" s="38" t="e">
        <f ca="1"/>
        <v>#NAME?</v>
      </c>
      <c r="T37" s="38" t="e">
        <f ca="1">SWCoeff(COUNT(S$3:S$62),ROW(S37)-ROW(S$3)+1)</f>
        <v>#NAME?</v>
      </c>
    </row>
    <row r="38" spans="19:20" x14ac:dyDescent="0.35">
      <c r="S38" s="38" t="e">
        <f ca="1"/>
        <v>#NAME?</v>
      </c>
      <c r="T38" s="38" t="e">
        <f ca="1">SWCoeff(COUNT(S$3:S$62),ROW(S38)-ROW(S$3)+1)</f>
        <v>#NAME?</v>
      </c>
    </row>
    <row r="39" spans="19:20" x14ac:dyDescent="0.35">
      <c r="S39" s="38" t="e">
        <f ca="1"/>
        <v>#NAME?</v>
      </c>
      <c r="T39" s="38" t="e">
        <f ca="1">SWCoeff(COUNT(S$3:S$62),ROW(S39)-ROW(S$3)+1)</f>
        <v>#NAME?</v>
      </c>
    </row>
    <row r="40" spans="19:20" x14ac:dyDescent="0.35">
      <c r="S40" s="38" t="e">
        <f ca="1"/>
        <v>#NAME?</v>
      </c>
      <c r="T40" s="38" t="e">
        <f ca="1">SWCoeff(COUNT(S$3:S$62),ROW(S40)-ROW(S$3)+1)</f>
        <v>#NAME?</v>
      </c>
    </row>
    <row r="41" spans="19:20" x14ac:dyDescent="0.35">
      <c r="S41" s="38" t="e">
        <f ca="1"/>
        <v>#NAME?</v>
      </c>
      <c r="T41" s="38" t="e">
        <f ca="1">SWCoeff(COUNT(S$3:S$62),ROW(S41)-ROW(S$3)+1)</f>
        <v>#NAME?</v>
      </c>
    </row>
    <row r="42" spans="19:20" x14ac:dyDescent="0.35">
      <c r="S42" s="38" t="e">
        <f ca="1"/>
        <v>#NAME?</v>
      </c>
      <c r="T42" s="38" t="e">
        <f ca="1">SWCoeff(COUNT(S$3:S$62),ROW(S42)-ROW(S$3)+1)</f>
        <v>#NAME?</v>
      </c>
    </row>
    <row r="43" spans="19:20" x14ac:dyDescent="0.35">
      <c r="S43" s="38" t="e">
        <f ca="1"/>
        <v>#NAME?</v>
      </c>
      <c r="T43" s="38" t="e">
        <f ca="1">SWCoeff(COUNT(S$3:S$62),ROW(S43)-ROW(S$3)+1)</f>
        <v>#NAME?</v>
      </c>
    </row>
    <row r="44" spans="19:20" x14ac:dyDescent="0.35">
      <c r="S44" s="38" t="e">
        <f ca="1"/>
        <v>#NAME?</v>
      </c>
      <c r="T44" s="38" t="e">
        <f ca="1">SWCoeff(COUNT(S$3:S$62),ROW(S44)-ROW(S$3)+1)</f>
        <v>#NAME?</v>
      </c>
    </row>
    <row r="45" spans="19:20" x14ac:dyDescent="0.35">
      <c r="S45" s="38" t="e">
        <f ca="1"/>
        <v>#NAME?</v>
      </c>
      <c r="T45" s="38" t="e">
        <f ca="1">SWCoeff(COUNT(S$3:S$62),ROW(S45)-ROW(S$3)+1)</f>
        <v>#NAME?</v>
      </c>
    </row>
    <row r="46" spans="19:20" x14ac:dyDescent="0.35">
      <c r="S46" s="38" t="e">
        <f ca="1"/>
        <v>#NAME?</v>
      </c>
      <c r="T46" s="38" t="e">
        <f ca="1">SWCoeff(COUNT(S$3:S$62),ROW(S46)-ROW(S$3)+1)</f>
        <v>#NAME?</v>
      </c>
    </row>
    <row r="47" spans="19:20" x14ac:dyDescent="0.35">
      <c r="S47" s="38" t="e">
        <f ca="1"/>
        <v>#NAME?</v>
      </c>
      <c r="T47" s="38" t="e">
        <f ca="1">SWCoeff(COUNT(S$3:S$62),ROW(S47)-ROW(S$3)+1)</f>
        <v>#NAME?</v>
      </c>
    </row>
    <row r="48" spans="19:20" x14ac:dyDescent="0.35">
      <c r="S48" s="38" t="e">
        <f ca="1"/>
        <v>#NAME?</v>
      </c>
      <c r="T48" s="38" t="e">
        <f ca="1">SWCoeff(COUNT(S$3:S$62),ROW(S48)-ROW(S$3)+1)</f>
        <v>#NAME?</v>
      </c>
    </row>
    <row r="49" spans="19:20" x14ac:dyDescent="0.35">
      <c r="S49" s="38" t="e">
        <f ca="1"/>
        <v>#NAME?</v>
      </c>
      <c r="T49" s="38" t="e">
        <f ca="1">SWCoeff(COUNT(S$3:S$62),ROW(S49)-ROW(S$3)+1)</f>
        <v>#NAME?</v>
      </c>
    </row>
    <row r="50" spans="19:20" x14ac:dyDescent="0.35">
      <c r="S50" s="38" t="e">
        <f ca="1"/>
        <v>#NAME?</v>
      </c>
      <c r="T50" s="38" t="e">
        <f ca="1">SWCoeff(COUNT(S$3:S$62),ROW(S50)-ROW(S$3)+1)</f>
        <v>#NAME?</v>
      </c>
    </row>
    <row r="51" spans="19:20" x14ac:dyDescent="0.35">
      <c r="S51" s="38" t="e">
        <f ca="1"/>
        <v>#NAME?</v>
      </c>
      <c r="T51" s="38" t="e">
        <f ca="1">SWCoeff(COUNT(S$3:S$62),ROW(S51)-ROW(S$3)+1)</f>
        <v>#NAME?</v>
      </c>
    </row>
    <row r="52" spans="19:20" x14ac:dyDescent="0.35">
      <c r="S52" s="38" t="e">
        <f ca="1"/>
        <v>#NAME?</v>
      </c>
      <c r="T52" s="38" t="e">
        <f ca="1">SWCoeff(COUNT(S$3:S$62),ROW(S52)-ROW(S$3)+1)</f>
        <v>#NAME?</v>
      </c>
    </row>
    <row r="53" spans="19:20" x14ac:dyDescent="0.35">
      <c r="S53" s="38" t="e">
        <f ca="1"/>
        <v>#NAME?</v>
      </c>
      <c r="T53" s="38" t="e">
        <f ca="1">SWCoeff(COUNT(S$3:S$62),ROW(S53)-ROW(S$3)+1)</f>
        <v>#NAME?</v>
      </c>
    </row>
    <row r="54" spans="19:20" x14ac:dyDescent="0.35">
      <c r="S54" s="38" t="e">
        <f ca="1"/>
        <v>#NAME?</v>
      </c>
      <c r="T54" s="38" t="e">
        <f ca="1">SWCoeff(COUNT(S$3:S$62),ROW(S54)-ROW(S$3)+1)</f>
        <v>#NAME?</v>
      </c>
    </row>
    <row r="55" spans="19:20" x14ac:dyDescent="0.35">
      <c r="S55" s="38" t="e">
        <f ca="1"/>
        <v>#NAME?</v>
      </c>
      <c r="T55" s="38" t="e">
        <f ca="1">SWCoeff(COUNT(S$3:S$62),ROW(S55)-ROW(S$3)+1)</f>
        <v>#NAME?</v>
      </c>
    </row>
    <row r="56" spans="19:20" x14ac:dyDescent="0.35">
      <c r="S56" s="38" t="e">
        <f ca="1"/>
        <v>#NAME?</v>
      </c>
      <c r="T56" s="38" t="e">
        <f ca="1">SWCoeff(COUNT(S$3:S$62),ROW(S56)-ROW(S$3)+1)</f>
        <v>#NAME?</v>
      </c>
    </row>
    <row r="57" spans="19:20" x14ac:dyDescent="0.35">
      <c r="S57" s="38" t="e">
        <f ca="1"/>
        <v>#NAME?</v>
      </c>
      <c r="T57" s="38" t="e">
        <f ca="1">SWCoeff(COUNT(S$3:S$62),ROW(S57)-ROW(S$3)+1)</f>
        <v>#NAME?</v>
      </c>
    </row>
    <row r="58" spans="19:20" x14ac:dyDescent="0.35">
      <c r="S58" s="38" t="e">
        <f ca="1"/>
        <v>#NAME?</v>
      </c>
      <c r="T58" s="38" t="e">
        <f ca="1">SWCoeff(COUNT(S$3:S$62),ROW(S58)-ROW(S$3)+1)</f>
        <v>#NAME?</v>
      </c>
    </row>
    <row r="59" spans="19:20" x14ac:dyDescent="0.35">
      <c r="S59" s="38" t="e">
        <f ca="1"/>
        <v>#NAME?</v>
      </c>
      <c r="T59" s="38" t="e">
        <f ca="1">SWCoeff(COUNT(S$3:S$62),ROW(S59)-ROW(S$3)+1)</f>
        <v>#NAME?</v>
      </c>
    </row>
    <row r="60" spans="19:20" x14ac:dyDescent="0.35">
      <c r="S60" s="38" t="e">
        <f ca="1"/>
        <v>#NAME?</v>
      </c>
      <c r="T60" s="38" t="e">
        <f ca="1">SWCoeff(COUNT(S$3:S$62),ROW(S60)-ROW(S$3)+1)</f>
        <v>#NAME?</v>
      </c>
    </row>
    <row r="61" spans="19:20" x14ac:dyDescent="0.35">
      <c r="S61" s="38" t="e">
        <f ca="1"/>
        <v>#NAME?</v>
      </c>
      <c r="T61" s="38" t="e">
        <f ca="1">SWCoeff(COUNT(S$3:S$62),ROW(S61)-ROW(S$3)+1)</f>
        <v>#NAME?</v>
      </c>
    </row>
    <row r="62" spans="19:20" x14ac:dyDescent="0.35">
      <c r="S62" s="35" t="e">
        <f ca="1"/>
        <v>#NAME?</v>
      </c>
      <c r="T62" s="35" t="e">
        <f ca="1">SWCoeff(COUNT(S$3:S$62),ROW(S62)-ROW(S$3)+1)</f>
        <v>#NAME?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49"/>
  <dimension ref="A1:AJ23"/>
  <sheetViews>
    <sheetView workbookViewId="0"/>
  </sheetViews>
  <sheetFormatPr defaultRowHeight="14.5" x14ac:dyDescent="0.35"/>
  <cols>
    <col min="4" max="4" width="3.453125" customWidth="1"/>
    <col min="5" max="5" width="18.1796875" customWidth="1"/>
    <col min="9" max="9" width="3.26953125" customWidth="1"/>
    <col min="14" max="14" width="3.26953125" customWidth="1"/>
    <col min="15" max="15" width="7.81640625" customWidth="1"/>
    <col min="20" max="20" width="10.453125" customWidth="1"/>
  </cols>
  <sheetData>
    <row r="1" spans="1:36" x14ac:dyDescent="0.35">
      <c r="A1" s="1" t="s">
        <v>322</v>
      </c>
    </row>
    <row r="3" spans="1:36" x14ac:dyDescent="0.35">
      <c r="A3" s="150" t="s">
        <v>25</v>
      </c>
      <c r="B3" s="150" t="s">
        <v>26</v>
      </c>
      <c r="C3" s="166" t="s">
        <v>321</v>
      </c>
      <c r="E3" t="s">
        <v>24</v>
      </c>
      <c r="J3" t="s">
        <v>125</v>
      </c>
      <c r="O3" t="s">
        <v>126</v>
      </c>
      <c r="T3" t="s">
        <v>125</v>
      </c>
      <c r="AG3" s="150" t="s">
        <v>26</v>
      </c>
      <c r="AI3" t="s">
        <v>126</v>
      </c>
    </row>
    <row r="4" spans="1:36" x14ac:dyDescent="0.35">
      <c r="A4" s="93">
        <v>19</v>
      </c>
      <c r="B4" s="93">
        <v>12</v>
      </c>
      <c r="C4" s="93">
        <v>145</v>
      </c>
      <c r="AG4" s="93">
        <v>12</v>
      </c>
    </row>
    <row r="5" spans="1:36" x14ac:dyDescent="0.35">
      <c r="A5" s="93">
        <v>41</v>
      </c>
      <c r="B5" s="93">
        <v>27</v>
      </c>
      <c r="C5" s="93">
        <v>125</v>
      </c>
      <c r="E5" s="77"/>
      <c r="F5" s="77" t="str">
        <f>A3</f>
        <v>Sample 1</v>
      </c>
      <c r="G5" s="77" t="str">
        <f>B3</f>
        <v>Sample 2</v>
      </c>
      <c r="H5" s="77" t="str">
        <f>C3</f>
        <v>Sample 3</v>
      </c>
      <c r="K5" s="28" t="str">
        <f>A3</f>
        <v>Sample 1</v>
      </c>
      <c r="L5" s="28" t="str">
        <f t="shared" ref="L5:M5" si="0">B3</f>
        <v>Sample 2</v>
      </c>
      <c r="M5" s="28" t="str">
        <f t="shared" si="0"/>
        <v>Sample 3</v>
      </c>
      <c r="O5" s="77"/>
      <c r="P5" s="77" t="str">
        <f>A3</f>
        <v>Sample 1</v>
      </c>
      <c r="Q5" s="77" t="str">
        <f>B3</f>
        <v>Sample 2</v>
      </c>
      <c r="R5" s="77" t="str">
        <f>C3</f>
        <v>Sample 3</v>
      </c>
      <c r="U5" s="28" t="str">
        <f>A3</f>
        <v>Sample 1</v>
      </c>
      <c r="V5" s="28" t="str">
        <f t="shared" ref="V5:W5" si="1">B3</f>
        <v>Sample 2</v>
      </c>
      <c r="W5" s="28" t="str">
        <f t="shared" si="1"/>
        <v>Sample 3</v>
      </c>
      <c r="AG5" s="93">
        <v>27</v>
      </c>
      <c r="AI5" s="77"/>
      <c r="AJ5" s="77" t="str">
        <f>AG3</f>
        <v>Sample 2</v>
      </c>
    </row>
    <row r="6" spans="1:36" x14ac:dyDescent="0.35">
      <c r="A6" s="93">
        <v>29</v>
      </c>
      <c r="B6" s="93">
        <v>18</v>
      </c>
      <c r="C6" s="93">
        <v>190</v>
      </c>
      <c r="E6" t="s">
        <v>7</v>
      </c>
      <c r="F6">
        <f>AVERAGE(A4:A16)</f>
        <v>36.846153846153847</v>
      </c>
      <c r="G6">
        <f>AVERAGE(B4:B16)</f>
        <v>41.153846153846153</v>
      </c>
      <c r="H6">
        <f>AVERAGE(C4:C16)</f>
        <v>131</v>
      </c>
      <c r="J6" t="s">
        <v>48</v>
      </c>
      <c r="K6" s="101">
        <f>MIN(A4:A16)</f>
        <v>8</v>
      </c>
      <c r="L6" s="100">
        <f t="shared" ref="L6:M6" si="2">MIN(B4:B16)</f>
        <v>3</v>
      </c>
      <c r="M6" s="99">
        <f t="shared" si="2"/>
        <v>3</v>
      </c>
      <c r="O6" t="s">
        <v>352</v>
      </c>
      <c r="P6" t="e">
        <f ca="1">SHAPIRO(A4:A16)</f>
        <v>#NAME?</v>
      </c>
      <c r="Q6" t="e">
        <f ca="1">SHAPIRO(B4:B16)</f>
        <v>#NAME?</v>
      </c>
      <c r="R6" t="e">
        <f ca="1">SHAPIRO(C4:C16)</f>
        <v>#NAME?</v>
      </c>
      <c r="T6" t="s">
        <v>48</v>
      </c>
      <c r="U6" s="101">
        <f>U13-$U20</f>
        <v>8</v>
      </c>
      <c r="V6" s="100">
        <f t="shared" ref="V6:W6" si="3">V13-$U20</f>
        <v>3</v>
      </c>
      <c r="W6" s="99">
        <f t="shared" si="3"/>
        <v>125</v>
      </c>
      <c r="AG6" s="93">
        <v>18</v>
      </c>
      <c r="AI6" t="s">
        <v>352</v>
      </c>
      <c r="AJ6" t="e">
        <f ca="1">SHAPIRO(AG4:AG16)</f>
        <v>#NAME?</v>
      </c>
    </row>
    <row r="7" spans="1:36" x14ac:dyDescent="0.35">
      <c r="A7" s="93">
        <v>95</v>
      </c>
      <c r="B7" s="93">
        <v>23</v>
      </c>
      <c r="C7" s="93">
        <v>135</v>
      </c>
      <c r="E7" t="s">
        <v>8</v>
      </c>
      <c r="F7">
        <f>STDEV(A4:A16)/SQRT(COUNT(A4:A16))</f>
        <v>6.6533644408406643</v>
      </c>
      <c r="G7">
        <f>STDEV(B4:B16)/SQRT(COUNT(B4:B16))</f>
        <v>8.8171206953858814</v>
      </c>
      <c r="H7">
        <f>STDEV(C4:C16)/SQRT(COUNT(C4:C16))</f>
        <v>19.259696192720629</v>
      </c>
      <c r="J7" t="s">
        <v>49</v>
      </c>
      <c r="K7" s="37">
        <f>QUARTILE(A4:A16,1)-K6</f>
        <v>11</v>
      </c>
      <c r="L7" s="4">
        <f t="shared" ref="L7:M7" si="4">QUARTILE(B4:B16,1)-L6</f>
        <v>20</v>
      </c>
      <c r="M7" s="25">
        <f t="shared" si="4"/>
        <v>122</v>
      </c>
      <c r="O7" t="s">
        <v>57</v>
      </c>
      <c r="P7" t="e">
        <f ca="1">SWTEST(A4:A16)</f>
        <v>#NAME?</v>
      </c>
      <c r="Q7" t="e">
        <f ca="1">SWTEST(B4:B16)</f>
        <v>#NAME?</v>
      </c>
      <c r="R7" t="e">
        <f ca="1">SWTEST(C4:C16)</f>
        <v>#NAME?</v>
      </c>
      <c r="T7" t="s">
        <v>49</v>
      </c>
      <c r="U7" s="37">
        <f>U14-U13</f>
        <v>11</v>
      </c>
      <c r="V7" s="4">
        <f t="shared" ref="V7:W7" si="5">V14-V13</f>
        <v>20</v>
      </c>
      <c r="W7" s="25">
        <f t="shared" si="5"/>
        <v>0</v>
      </c>
      <c r="AG7" s="93">
        <v>23</v>
      </c>
      <c r="AI7" t="s">
        <v>57</v>
      </c>
      <c r="AJ7" t="e">
        <f ca="1">SWTEST(AG4:AG16)</f>
        <v>#NAME?</v>
      </c>
    </row>
    <row r="8" spans="1:36" x14ac:dyDescent="0.35">
      <c r="A8" s="93">
        <v>8</v>
      </c>
      <c r="B8" s="93">
        <v>72</v>
      </c>
      <c r="C8" s="93">
        <v>220</v>
      </c>
      <c r="E8" t="s">
        <v>9</v>
      </c>
      <c r="F8">
        <f>MEDIAN(A4:A16)</f>
        <v>35</v>
      </c>
      <c r="G8">
        <f>MEDIAN(B4:B16)</f>
        <v>27</v>
      </c>
      <c r="H8">
        <f>MEDIAN(C4:C16)</f>
        <v>145</v>
      </c>
      <c r="J8" t="s">
        <v>50</v>
      </c>
      <c r="K8" s="37">
        <f>MEDIAN(A4:A16)-QUARTILE(A4:A16,1)</f>
        <v>16</v>
      </c>
      <c r="L8" s="4">
        <f t="shared" ref="L8:M8" si="6">MEDIAN(B4:B16)-QUARTILE(B4:B16,1)</f>
        <v>4</v>
      </c>
      <c r="M8" s="25">
        <f t="shared" si="6"/>
        <v>20</v>
      </c>
      <c r="O8" t="s">
        <v>88</v>
      </c>
      <c r="P8">
        <v>0.05</v>
      </c>
      <c r="Q8">
        <v>0.05</v>
      </c>
      <c r="R8">
        <v>0.05</v>
      </c>
      <c r="T8" t="s">
        <v>50</v>
      </c>
      <c r="U8" s="37">
        <f t="shared" ref="U8:W10" si="7">U15-U14</f>
        <v>16</v>
      </c>
      <c r="V8" s="4">
        <f t="shared" si="7"/>
        <v>4</v>
      </c>
      <c r="W8" s="25">
        <f t="shared" si="7"/>
        <v>20</v>
      </c>
      <c r="AG8" s="93">
        <v>72</v>
      </c>
      <c r="AI8" t="s">
        <v>88</v>
      </c>
      <c r="AJ8">
        <v>0.05</v>
      </c>
    </row>
    <row r="9" spans="1:36" x14ac:dyDescent="0.35">
      <c r="A9" s="93">
        <v>29</v>
      </c>
      <c r="B9" s="93">
        <v>27</v>
      </c>
      <c r="C9" s="93">
        <v>5</v>
      </c>
      <c r="E9" t="s">
        <v>10</v>
      </c>
      <c r="F9">
        <f>MODE(A4:A16)</f>
        <v>41</v>
      </c>
      <c r="G9">
        <f>MODE(B4:B16)</f>
        <v>27</v>
      </c>
      <c r="H9">
        <f>MODE(C4:C16)</f>
        <v>165</v>
      </c>
      <c r="J9" t="s">
        <v>51</v>
      </c>
      <c r="K9" s="37">
        <f>QUARTILE(A4:A16,3)-MEDIAN(A4:A16)</f>
        <v>13</v>
      </c>
      <c r="L9" s="4">
        <f t="shared" ref="L9:M9" si="8">QUARTILE(B4:B16,3)-MEDIAN(B4:B16)</f>
        <v>26</v>
      </c>
      <c r="M9" s="25">
        <f t="shared" si="8"/>
        <v>20</v>
      </c>
      <c r="O9" s="75" t="s">
        <v>127</v>
      </c>
      <c r="P9" s="76" t="e">
        <f ca="1">IF(P7&lt;P8,"no","yes")</f>
        <v>#NAME?</v>
      </c>
      <c r="Q9" s="76" t="e">
        <f ca="1">IF(Q7&lt;Q8,"no","yes")</f>
        <v>#NAME?</v>
      </c>
      <c r="R9" s="76" t="e">
        <f ca="1">IF(R7&lt;R8,"no","yes")</f>
        <v>#NAME?</v>
      </c>
      <c r="T9" t="s">
        <v>51</v>
      </c>
      <c r="U9" s="37">
        <f t="shared" si="7"/>
        <v>13</v>
      </c>
      <c r="V9" s="4">
        <f t="shared" si="7"/>
        <v>26</v>
      </c>
      <c r="W9" s="25">
        <f t="shared" si="7"/>
        <v>20</v>
      </c>
      <c r="AG9" s="93">
        <v>27</v>
      </c>
      <c r="AI9" s="75" t="s">
        <v>127</v>
      </c>
      <c r="AJ9" s="76" t="e">
        <f ca="1">IF(AJ7&lt;AJ8,"no","yes")</f>
        <v>#NAME?</v>
      </c>
    </row>
    <row r="10" spans="1:36" x14ac:dyDescent="0.35">
      <c r="A10" s="93">
        <v>11</v>
      </c>
      <c r="B10" s="93">
        <v>27</v>
      </c>
      <c r="C10" s="93">
        <v>130</v>
      </c>
      <c r="E10" t="s">
        <v>11</v>
      </c>
      <c r="F10">
        <f>STDEV(A4:A16)</f>
        <v>23.989046645799807</v>
      </c>
      <c r="G10">
        <f>STDEV(B4:B16)</f>
        <v>31.790580769168496</v>
      </c>
      <c r="H10">
        <f>STDEV(C4:C16)</f>
        <v>69.441822172712804</v>
      </c>
      <c r="J10" t="s">
        <v>52</v>
      </c>
      <c r="K10" s="37">
        <f>MAX(A4:A16)-QUARTILE(A4:A16,3)</f>
        <v>47</v>
      </c>
      <c r="L10" s="4">
        <f t="shared" ref="L10:M10" si="9">MAX(B4:B16)-QUARTILE(B4:B16,3)</f>
        <v>72</v>
      </c>
      <c r="M10" s="25">
        <f t="shared" si="9"/>
        <v>55</v>
      </c>
      <c r="T10" t="s">
        <v>52</v>
      </c>
      <c r="U10" s="37">
        <f t="shared" si="7"/>
        <v>11</v>
      </c>
      <c r="V10" s="4">
        <f t="shared" si="7"/>
        <v>19</v>
      </c>
      <c r="W10" s="25">
        <f t="shared" si="7"/>
        <v>55</v>
      </c>
      <c r="AG10" s="93">
        <v>27</v>
      </c>
    </row>
    <row r="11" spans="1:36" x14ac:dyDescent="0.35">
      <c r="A11" s="93">
        <v>59</v>
      </c>
      <c r="B11" s="93">
        <v>53</v>
      </c>
      <c r="C11" s="93">
        <v>210</v>
      </c>
      <c r="E11" t="s">
        <v>12</v>
      </c>
      <c r="F11">
        <f>VAR(A4:A16)</f>
        <v>575.47435897435901</v>
      </c>
      <c r="G11">
        <f>VAR(B4:B16)</f>
        <v>1010.6410256410257</v>
      </c>
      <c r="H11">
        <f>VAR(C4:C16)</f>
        <v>4822.166666666667</v>
      </c>
      <c r="J11" t="s">
        <v>7</v>
      </c>
      <c r="K11" s="72">
        <f>AVERAGE(A4:A16)</f>
        <v>36.846153846153847</v>
      </c>
      <c r="L11" s="73">
        <f t="shared" ref="L11:M11" si="10">AVERAGE(B4:B16)</f>
        <v>41.153846153846153</v>
      </c>
      <c r="M11" s="74">
        <f t="shared" si="10"/>
        <v>131</v>
      </c>
      <c r="O11" t="s">
        <v>353</v>
      </c>
      <c r="T11" t="s">
        <v>7</v>
      </c>
      <c r="U11" s="72">
        <f>U18-$U20</f>
        <v>36.846153846153847</v>
      </c>
      <c r="V11" s="73">
        <f t="shared" ref="V11:W11" si="11">V18-$U20</f>
        <v>41.153846153846153</v>
      </c>
      <c r="W11" s="74">
        <f t="shared" si="11"/>
        <v>131</v>
      </c>
      <c r="AG11" s="93">
        <v>53</v>
      </c>
      <c r="AI11" t="s">
        <v>353</v>
      </c>
    </row>
    <row r="12" spans="1:36" x14ac:dyDescent="0.35">
      <c r="A12" s="93">
        <v>41</v>
      </c>
      <c r="B12" s="93">
        <v>3</v>
      </c>
      <c r="C12" s="93">
        <v>3</v>
      </c>
      <c r="E12" t="s">
        <v>13</v>
      </c>
      <c r="F12">
        <f>KURT(A4:A16)</f>
        <v>1.6749701684087577</v>
      </c>
      <c r="G12">
        <f>KURT(B4:B16)</f>
        <v>3.3260948250054798</v>
      </c>
      <c r="H12">
        <f>KURT(C4:C16)</f>
        <v>1.2549653855171705E-3</v>
      </c>
      <c r="AG12" s="93">
        <v>3</v>
      </c>
    </row>
    <row r="13" spans="1:36" x14ac:dyDescent="0.35">
      <c r="A13" s="93">
        <v>48</v>
      </c>
      <c r="B13" s="93">
        <v>45</v>
      </c>
      <c r="C13" s="93">
        <v>165</v>
      </c>
      <c r="E13" t="s">
        <v>14</v>
      </c>
      <c r="F13">
        <f>SKEW(A4:A16)</f>
        <v>1.0565196181265495</v>
      </c>
      <c r="G13">
        <f>SKEW(B4:B16)</f>
        <v>1.5806397330035018</v>
      </c>
      <c r="H13">
        <f>SKEW(C4:C16)</f>
        <v>-0.87173285849778881</v>
      </c>
      <c r="O13" s="97" t="s">
        <v>354</v>
      </c>
      <c r="P13" s="97" t="e">
        <f ca="1">DAGOSTINO(A4:A16)</f>
        <v>#NAME?</v>
      </c>
      <c r="Q13" s="97" t="e">
        <f ca="1">DAGOSTINO(B4:B16)</f>
        <v>#NAME?</v>
      </c>
      <c r="R13" s="97" t="e">
        <f ca="1">DAGOSTINO(C4:C16)</f>
        <v>#NAME?</v>
      </c>
      <c r="T13" t="s">
        <v>48</v>
      </c>
      <c r="U13" s="101">
        <f t="array" ref="U13">MIN(IF(A4:A16&gt;=U14-3*(U16-U14)/2,A4:A16,""))</f>
        <v>8</v>
      </c>
      <c r="V13" s="100">
        <f t="array" ref="V13">MIN(IF(B4:B16&gt;=V14-3*(V16-V14)/2,B4:B16,""))</f>
        <v>3</v>
      </c>
      <c r="W13" s="99">
        <f t="array" ref="W13">MIN(IF(C4:C16&gt;=W14-3*(W16-W14)/2,C4:C16,""))</f>
        <v>125</v>
      </c>
      <c r="AG13" s="93">
        <v>45</v>
      </c>
      <c r="AI13" s="102" t="s">
        <v>354</v>
      </c>
      <c r="AJ13" s="102" t="e">
        <f ca="1">DAGOSTINO(AG4:AG16)</f>
        <v>#NAME?</v>
      </c>
    </row>
    <row r="14" spans="1:36" x14ac:dyDescent="0.35">
      <c r="A14" s="93">
        <v>53</v>
      </c>
      <c r="B14" s="93">
        <v>53</v>
      </c>
      <c r="C14" s="93">
        <v>165</v>
      </c>
      <c r="E14" t="s">
        <v>15</v>
      </c>
      <c r="F14">
        <f>F15-F16</f>
        <v>87</v>
      </c>
      <c r="G14">
        <f>G15-G16</f>
        <v>122</v>
      </c>
      <c r="H14">
        <f>H15-H16</f>
        <v>217</v>
      </c>
      <c r="O14" t="s">
        <v>57</v>
      </c>
      <c r="P14" t="e">
        <f ca="1">DPTEST(A4:A16)</f>
        <v>#NAME?</v>
      </c>
      <c r="Q14" t="e">
        <f ca="1">DPTEST(B4:B16)</f>
        <v>#NAME?</v>
      </c>
      <c r="R14" t="e">
        <f ca="1">DPTEST(C4:C16)</f>
        <v>#NAME?</v>
      </c>
      <c r="T14" t="s">
        <v>53</v>
      </c>
      <c r="U14" s="37">
        <f>QUARTILE(A4:A16,1)</f>
        <v>19</v>
      </c>
      <c r="V14" s="4">
        <f t="shared" ref="V14:W14" si="12">QUARTILE(B4:B16,1)</f>
        <v>23</v>
      </c>
      <c r="W14" s="25">
        <f t="shared" si="12"/>
        <v>125</v>
      </c>
      <c r="AG14" s="93">
        <v>53</v>
      </c>
      <c r="AI14" t="s">
        <v>57</v>
      </c>
      <c r="AJ14" t="e">
        <f ca="1">DPTEST(AG4:AG16)</f>
        <v>#NAME?</v>
      </c>
    </row>
    <row r="15" spans="1:36" x14ac:dyDescent="0.35">
      <c r="A15" s="93">
        <v>35</v>
      </c>
      <c r="B15" s="93">
        <v>125</v>
      </c>
      <c r="C15" s="93">
        <v>150</v>
      </c>
      <c r="E15" t="s">
        <v>17</v>
      </c>
      <c r="F15">
        <f>MAX(A4:A16)</f>
        <v>95</v>
      </c>
      <c r="G15">
        <f>MAX(B4:B16)</f>
        <v>125</v>
      </c>
      <c r="H15">
        <f>MAX(C4:C16)</f>
        <v>220</v>
      </c>
      <c r="O15" t="s">
        <v>88</v>
      </c>
      <c r="P15">
        <v>0.05</v>
      </c>
      <c r="Q15">
        <v>0.05</v>
      </c>
      <c r="R15">
        <v>0.05</v>
      </c>
      <c r="T15" t="s">
        <v>9</v>
      </c>
      <c r="U15" s="37">
        <f>MEDIAN(A4:A16)</f>
        <v>35</v>
      </c>
      <c r="V15" s="4">
        <f t="shared" ref="V15:W15" si="13">MEDIAN(B4:B16)</f>
        <v>27</v>
      </c>
      <c r="W15" s="25">
        <f t="shared" si="13"/>
        <v>145</v>
      </c>
      <c r="AG15" s="93"/>
      <c r="AI15" t="s">
        <v>88</v>
      </c>
      <c r="AJ15">
        <v>0.05</v>
      </c>
    </row>
    <row r="16" spans="1:36" x14ac:dyDescent="0.35">
      <c r="A16" s="163">
        <v>11</v>
      </c>
      <c r="B16" s="163">
        <v>50</v>
      </c>
      <c r="C16" s="163">
        <v>60</v>
      </c>
      <c r="E16" t="s">
        <v>16</v>
      </c>
      <c r="F16">
        <f>MIN(A4:A16)</f>
        <v>8</v>
      </c>
      <c r="G16">
        <f>MIN(B4:B16)</f>
        <v>3</v>
      </c>
      <c r="H16">
        <f>MIN(C4:C16)</f>
        <v>3</v>
      </c>
      <c r="O16" s="75" t="s">
        <v>127</v>
      </c>
      <c r="P16" s="76" t="e">
        <f ca="1">IF(P14&lt;P15,"no","yes")</f>
        <v>#NAME?</v>
      </c>
      <c r="Q16" s="76" t="e">
        <f ca="1">IF(Q14&lt;Q15,"no","yes")</f>
        <v>#NAME?</v>
      </c>
      <c r="R16" s="76" t="e">
        <f t="shared" ref="R16" ca="1" si="14">IF(R14&lt;R15,"no","yes")</f>
        <v>#NAME?</v>
      </c>
      <c r="T16" t="s">
        <v>99</v>
      </c>
      <c r="U16" s="37">
        <f>QUARTILE(A4:A16,3)</f>
        <v>48</v>
      </c>
      <c r="V16" s="4">
        <f t="shared" ref="V16:W16" si="15">QUARTILE(B4:B16,3)</f>
        <v>53</v>
      </c>
      <c r="W16" s="25">
        <f t="shared" si="15"/>
        <v>165</v>
      </c>
      <c r="AG16" s="164">
        <v>50</v>
      </c>
      <c r="AI16" s="75" t="s">
        <v>127</v>
      </c>
      <c r="AJ16" s="76" t="e">
        <f ca="1">IF(AJ14&lt;AJ15,"no","yes")</f>
        <v>#NAME?</v>
      </c>
    </row>
    <row r="17" spans="5:23" x14ac:dyDescent="0.35">
      <c r="E17" t="s">
        <v>18</v>
      </c>
      <c r="F17">
        <f>SUM(A4:A16)</f>
        <v>479</v>
      </c>
      <c r="G17">
        <f>SUM(B4:B16)</f>
        <v>535</v>
      </c>
      <c r="H17">
        <f>SUM(C4:C16)</f>
        <v>1703</v>
      </c>
      <c r="T17" t="s">
        <v>355</v>
      </c>
      <c r="U17" s="37">
        <f t="array" ref="U17">MAX(IF(A4:A16&lt;=U16+3*(U16-U14)/2,A4:A16,""))</f>
        <v>59</v>
      </c>
      <c r="V17" s="4">
        <f t="array" ref="V17">MAX(IF(B4:B16&lt;=V16+3*(V16-V14)/2,B4:B16,""))</f>
        <v>72</v>
      </c>
      <c r="W17" s="25">
        <f t="array" ref="W17">MAX(IF(C4:C16&lt;=W16+3*(W16-W14)/2,C4:C16,""))</f>
        <v>220</v>
      </c>
    </row>
    <row r="18" spans="5:23" x14ac:dyDescent="0.35">
      <c r="E18" t="s">
        <v>19</v>
      </c>
      <c r="F18">
        <f>COUNT(A4:A16)</f>
        <v>13</v>
      </c>
      <c r="G18">
        <f>COUNT(B4:B16)</f>
        <v>13</v>
      </c>
      <c r="H18">
        <f>COUNT(C4:C16)</f>
        <v>13</v>
      </c>
      <c r="T18" t="s">
        <v>7</v>
      </c>
      <c r="U18" s="72">
        <f>AVERAGE(A4:A16)</f>
        <v>36.846153846153847</v>
      </c>
      <c r="V18" s="73">
        <f t="shared" ref="V18:W18" si="16">AVERAGE(B4:B16)</f>
        <v>41.153846153846153</v>
      </c>
      <c r="W18" s="74">
        <f t="shared" si="16"/>
        <v>131</v>
      </c>
    </row>
    <row r="19" spans="5:23" x14ac:dyDescent="0.35">
      <c r="E19" t="s">
        <v>3</v>
      </c>
      <c r="F19">
        <f>GEOMEAN(A4:A16)</f>
        <v>29.528580632535327</v>
      </c>
      <c r="G19">
        <f>GEOMEAN(B4:B16)</f>
        <v>30.10536628050507</v>
      </c>
      <c r="H19">
        <f>GEOMEAN(C4:C16)</f>
        <v>83.934883110922172</v>
      </c>
    </row>
    <row r="20" spans="5:23" x14ac:dyDescent="0.35">
      <c r="E20" t="s">
        <v>20</v>
      </c>
      <c r="F20">
        <f>HARMEAN(A4:A16)</f>
        <v>22.689829725244952</v>
      </c>
      <c r="G20">
        <f>HARMEAN(B4:B16)</f>
        <v>17.841003748633526</v>
      </c>
      <c r="H20">
        <f>HARMEAN(C4:C16)</f>
        <v>21.194915092617297</v>
      </c>
      <c r="T20" t="s">
        <v>148</v>
      </c>
      <c r="U20" s="98">
        <f>IF(MIN(U13:W13)&gt;=0,0,MIN(U13:W13))</f>
        <v>0</v>
      </c>
    </row>
    <row r="21" spans="5:23" x14ac:dyDescent="0.35">
      <c r="E21" t="s">
        <v>21</v>
      </c>
      <c r="F21">
        <f>AVEDEV(A4:A16)</f>
        <v>17.834319526627219</v>
      </c>
      <c r="G21">
        <f>AVEDEV(B4:B16)</f>
        <v>23.242603550295858</v>
      </c>
      <c r="H21">
        <f>AVEDEV(C4:C16)</f>
        <v>51.07692307692308</v>
      </c>
    </row>
    <row r="22" spans="5:23" x14ac:dyDescent="0.35">
      <c r="E22" t="s">
        <v>22</v>
      </c>
      <c r="F22" t="e">
        <f ca="1">MAD(A4:A16)</f>
        <v>#NAME?</v>
      </c>
      <c r="G22" t="e">
        <f ca="1">MAD(B4:B16)</f>
        <v>#NAME?</v>
      </c>
      <c r="H22" t="e">
        <f ca="1">MAD(C4:C16)</f>
        <v>#NAME?</v>
      </c>
    </row>
    <row r="23" spans="5:23" x14ac:dyDescent="0.35">
      <c r="E23" s="75" t="s">
        <v>23</v>
      </c>
      <c r="F23" s="75" t="e">
        <f ca="1">IQR(A4:A16)</f>
        <v>#NAME?</v>
      </c>
      <c r="G23" s="75" t="e">
        <f ca="1">IQR(B4:B16)</f>
        <v>#NAME?</v>
      </c>
      <c r="H23" s="75" t="e">
        <f ca="1">IQR(C4:C16)</f>
        <v>#NAME?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5"/>
  <dimension ref="A1:AD30"/>
  <sheetViews>
    <sheetView workbookViewId="0">
      <selection activeCell="D17" sqref="D17"/>
    </sheetView>
  </sheetViews>
  <sheetFormatPr defaultRowHeight="14.5" x14ac:dyDescent="0.35"/>
  <cols>
    <col min="1" max="1" width="3.1796875" customWidth="1"/>
    <col min="2" max="3" width="5" customWidth="1"/>
    <col min="13" max="13" width="9.1796875" customWidth="1"/>
    <col min="17" max="17" width="9.54296875" customWidth="1"/>
    <col min="19" max="19" width="3.7265625" customWidth="1"/>
    <col min="20" max="20" width="39.7265625" customWidth="1"/>
    <col min="22" max="22" width="9.54296875" customWidth="1"/>
    <col min="24" max="24" width="3.7265625" customWidth="1"/>
    <col min="25" max="25" width="51.54296875" customWidth="1"/>
    <col min="29" max="29" width="3.7265625" customWidth="1"/>
    <col min="30" max="30" width="21" customWidth="1"/>
  </cols>
  <sheetData>
    <row r="1" spans="1:30" x14ac:dyDescent="0.35">
      <c r="A1" s="1" t="s">
        <v>377</v>
      </c>
    </row>
    <row r="3" spans="1:30" x14ac:dyDescent="0.35">
      <c r="E3" t="s">
        <v>37</v>
      </c>
      <c r="Q3" t="s">
        <v>358</v>
      </c>
      <c r="V3" t="s">
        <v>359</v>
      </c>
      <c r="AA3" t="s">
        <v>357</v>
      </c>
    </row>
    <row r="4" spans="1:30" x14ac:dyDescent="0.35">
      <c r="B4" s="148">
        <v>34</v>
      </c>
      <c r="C4" s="96">
        <v>50</v>
      </c>
    </row>
    <row r="5" spans="1:30" x14ac:dyDescent="0.35">
      <c r="B5" s="40">
        <v>56</v>
      </c>
      <c r="C5" s="41">
        <v>62</v>
      </c>
      <c r="E5" t="s">
        <v>131</v>
      </c>
      <c r="F5">
        <v>12</v>
      </c>
      <c r="Q5" t="s">
        <v>360</v>
      </c>
      <c r="R5" s="149">
        <f>COUNT(B4:C15)</f>
        <v>24</v>
      </c>
      <c r="T5" t="e">
        <f ca="1">FTEXT(R5)</f>
        <v>#NAME?</v>
      </c>
      <c r="V5" t="s">
        <v>360</v>
      </c>
      <c r="W5" s="149">
        <f>COUNT(B4:C15)</f>
        <v>24</v>
      </c>
      <c r="Y5" t="e">
        <f ca="1">FTEXT(W5)</f>
        <v>#NAME?</v>
      </c>
      <c r="AA5" t="s">
        <v>361</v>
      </c>
      <c r="AB5" s="149">
        <f>R10^2+W10^2</f>
        <v>0.90425586277436976</v>
      </c>
      <c r="AD5" t="e">
        <f ca="1">FTEXT(AB5)</f>
        <v>#NAME?</v>
      </c>
    </row>
    <row r="6" spans="1:30" x14ac:dyDescent="0.35">
      <c r="B6" s="40">
        <v>39</v>
      </c>
      <c r="C6" s="41">
        <v>75</v>
      </c>
      <c r="Q6" t="s">
        <v>88</v>
      </c>
      <c r="R6" s="35">
        <v>0.05</v>
      </c>
      <c r="V6" t="s">
        <v>88</v>
      </c>
      <c r="W6" s="35">
        <v>0.05</v>
      </c>
      <c r="AA6" t="s">
        <v>57</v>
      </c>
      <c r="AB6" s="35">
        <f>CHIDIST(AB5,2)</f>
        <v>0.63627276526061727</v>
      </c>
      <c r="AD6" s="6" t="s">
        <v>362</v>
      </c>
    </row>
    <row r="7" spans="1:30" x14ac:dyDescent="0.35">
      <c r="B7" s="40">
        <v>71</v>
      </c>
      <c r="C7" s="41">
        <v>44</v>
      </c>
      <c r="E7" s="167" t="s">
        <v>122</v>
      </c>
      <c r="F7" s="167" t="s">
        <v>27</v>
      </c>
      <c r="G7" s="167" t="s">
        <v>130</v>
      </c>
    </row>
    <row r="8" spans="1:30" x14ac:dyDescent="0.35">
      <c r="B8" s="40">
        <v>84</v>
      </c>
      <c r="C8" s="41">
        <v>88</v>
      </c>
      <c r="E8">
        <f t="shared" ref="E8:E13" si="0">E9-$F$5</f>
        <v>14</v>
      </c>
      <c r="Q8" t="s">
        <v>363</v>
      </c>
      <c r="R8" s="149">
        <f>SKEW(B4:C15)</f>
        <v>0.19570074975097188</v>
      </c>
      <c r="T8" t="e">
        <f ca="1">FTEXT(R8)</f>
        <v>#NAME?</v>
      </c>
      <c r="V8" t="s">
        <v>364</v>
      </c>
      <c r="W8" s="149">
        <f>KURT(B4:C15)</f>
        <v>-0.78550983722770162</v>
      </c>
      <c r="Y8" t="e">
        <f ca="1">FTEXT(W8)</f>
        <v>#NAME?</v>
      </c>
      <c r="AA8" t="s">
        <v>126</v>
      </c>
    </row>
    <row r="9" spans="1:30" x14ac:dyDescent="0.35">
      <c r="B9" s="40">
        <v>92</v>
      </c>
      <c r="C9" s="41">
        <v>53</v>
      </c>
      <c r="E9">
        <f t="shared" si="0"/>
        <v>26</v>
      </c>
      <c r="F9">
        <f>G9-G8</f>
        <v>1</v>
      </c>
      <c r="G9">
        <f t="shared" ref="G9:G15" si="1">COUNTIF($B$4:$C$15,"&lt;="&amp;E9)</f>
        <v>1</v>
      </c>
      <c r="Q9" t="s">
        <v>365</v>
      </c>
      <c r="R9" s="38">
        <f>SQRT(6*R5*(R5-1)/((R5-2)*(R5+1)*(R5+3)))</f>
        <v>0.47226084215219771</v>
      </c>
      <c r="T9" t="e">
        <f ca="1">FTEXT(R9)</f>
        <v>#NAME?</v>
      </c>
      <c r="V9" t="s">
        <v>365</v>
      </c>
      <c r="W9" s="38">
        <f>2*(W5-1)*SQRT(6*W5/((W5-2)*(W5-3)*(W5+3)*(W5+5)))</f>
        <v>0.91777708260190083</v>
      </c>
      <c r="Y9" t="e">
        <f ca="1">FTEXT(W9)</f>
        <v>#NAME?</v>
      </c>
    </row>
    <row r="10" spans="1:30" x14ac:dyDescent="0.35">
      <c r="B10" s="40">
        <v>44</v>
      </c>
      <c r="C10" s="41">
        <v>61</v>
      </c>
      <c r="E10">
        <f t="shared" si="0"/>
        <v>38</v>
      </c>
      <c r="F10">
        <f t="shared" ref="F10:F15" si="2">G10-G9</f>
        <v>3</v>
      </c>
      <c r="G10">
        <f t="shared" si="1"/>
        <v>4</v>
      </c>
      <c r="Q10" t="s">
        <v>366</v>
      </c>
      <c r="R10" s="38">
        <f>R8/R9</f>
        <v>0.41439122680406876</v>
      </c>
      <c r="T10" t="e">
        <f ca="1">FTEXT(R10)</f>
        <v>#NAME?</v>
      </c>
      <c r="V10" t="s">
        <v>366</v>
      </c>
      <c r="W10" s="38">
        <f>W8/W9</f>
        <v>-0.855883037524514</v>
      </c>
      <c r="Y10" t="e">
        <f ca="1">FTEXT(W10)</f>
        <v>#NAME?</v>
      </c>
      <c r="AA10" t="s">
        <v>361</v>
      </c>
      <c r="AB10" s="149" t="e">
        <f ca="1">SHAPIRO(B4:C15)</f>
        <v>#NAME?</v>
      </c>
      <c r="AD10" t="e">
        <f ca="1">FTEXT(AB10)</f>
        <v>#NAME?</v>
      </c>
    </row>
    <row r="11" spans="1:30" x14ac:dyDescent="0.35">
      <c r="B11" s="40">
        <v>67</v>
      </c>
      <c r="C11" s="41">
        <v>25</v>
      </c>
      <c r="E11">
        <f t="shared" si="0"/>
        <v>50</v>
      </c>
      <c r="F11">
        <f t="shared" si="2"/>
        <v>5</v>
      </c>
      <c r="G11">
        <f t="shared" si="1"/>
        <v>9</v>
      </c>
      <c r="Q11" t="s">
        <v>57</v>
      </c>
      <c r="R11" s="38">
        <f>2*NORMSDIST(-ABS(R10))</f>
        <v>0.67858761297668246</v>
      </c>
      <c r="T11" s="6" t="s">
        <v>367</v>
      </c>
      <c r="V11" t="s">
        <v>57</v>
      </c>
      <c r="W11" s="38">
        <f>2*NORMSDIST(-ABS(W10))</f>
        <v>0.39206247832380764</v>
      </c>
      <c r="Y11" s="6" t="s">
        <v>368</v>
      </c>
      <c r="AA11" t="s">
        <v>57</v>
      </c>
      <c r="AB11" s="35" t="e">
        <f ca="1">SWTEST(B4:C15)</f>
        <v>#NAME?</v>
      </c>
      <c r="AD11" t="e">
        <f ca="1">FTEXT(AB11)</f>
        <v>#NAME?</v>
      </c>
    </row>
    <row r="12" spans="1:30" x14ac:dyDescent="0.35">
      <c r="B12" s="40">
        <v>98</v>
      </c>
      <c r="C12" s="41">
        <v>36</v>
      </c>
      <c r="E12">
        <f t="shared" si="0"/>
        <v>62</v>
      </c>
      <c r="F12">
        <f t="shared" si="2"/>
        <v>5</v>
      </c>
      <c r="G12">
        <f t="shared" si="1"/>
        <v>14</v>
      </c>
      <c r="Q12" t="s">
        <v>28</v>
      </c>
      <c r="R12" s="38">
        <f>R8-R9*NORMSINV(1-R6/2)</f>
        <v>-0.72991349217589085</v>
      </c>
      <c r="T12" s="6" t="s">
        <v>369</v>
      </c>
      <c r="V12" t="s">
        <v>28</v>
      </c>
      <c r="W12" s="38">
        <f>W8-W9*NORMSINV(1-W6/2)</f>
        <v>-2.5843198649636694</v>
      </c>
      <c r="Y12" s="6" t="s">
        <v>370</v>
      </c>
    </row>
    <row r="13" spans="1:30" x14ac:dyDescent="0.35">
      <c r="B13" s="40">
        <v>49</v>
      </c>
      <c r="C13" s="41">
        <v>66</v>
      </c>
      <c r="E13">
        <f t="shared" si="0"/>
        <v>74</v>
      </c>
      <c r="F13">
        <f t="shared" si="2"/>
        <v>4</v>
      </c>
      <c r="G13">
        <f t="shared" si="1"/>
        <v>18</v>
      </c>
      <c r="Q13" t="s">
        <v>29</v>
      </c>
      <c r="R13" s="35">
        <f>R8+R9*NORMSINV(1-R6/2)</f>
        <v>1.1213149916778347</v>
      </c>
      <c r="T13" s="6" t="s">
        <v>371</v>
      </c>
      <c r="V13" t="s">
        <v>29</v>
      </c>
      <c r="W13" s="35">
        <f>W8+W9*NORMSINV(1-W6/2)</f>
        <v>1.0133001905082659</v>
      </c>
      <c r="Y13" s="6" t="s">
        <v>372</v>
      </c>
    </row>
    <row r="14" spans="1:30" x14ac:dyDescent="0.35">
      <c r="B14" s="40">
        <v>55</v>
      </c>
      <c r="C14" s="41">
        <v>77</v>
      </c>
      <c r="E14">
        <f>E15-$F$5</f>
        <v>86</v>
      </c>
      <c r="F14">
        <f t="shared" si="2"/>
        <v>3</v>
      </c>
      <c r="G14">
        <f t="shared" si="1"/>
        <v>21</v>
      </c>
    </row>
    <row r="15" spans="1:30" x14ac:dyDescent="0.35">
      <c r="B15" s="30">
        <v>73</v>
      </c>
      <c r="C15" s="33">
        <v>35</v>
      </c>
      <c r="E15" s="75">
        <f>MAX(B4:C15)</f>
        <v>98</v>
      </c>
      <c r="F15" s="75">
        <f t="shared" si="2"/>
        <v>3</v>
      </c>
      <c r="G15" s="75">
        <f t="shared" si="1"/>
        <v>24</v>
      </c>
    </row>
    <row r="18" spans="5:30" x14ac:dyDescent="0.35">
      <c r="E18" t="e">
        <f ca="1">FTEXT(E20)</f>
        <v>#NAME?</v>
      </c>
      <c r="H18" t="e">
        <f ca="1">FTEXT(H20)</f>
        <v>#NAME?</v>
      </c>
      <c r="Q18" t="e">
        <f t="array" aca="1" ref="Q18:R23" ca="1">SKEWTEST(B4:C15,TRUE)</f>
        <v>#NAME?</v>
      </c>
      <c r="R18" s="149" t="e">
        <f ca="1"/>
        <v>#NAME?</v>
      </c>
      <c r="T18" t="e">
        <f ca="1">FTEXT(Q18)</f>
        <v>#NAME?</v>
      </c>
      <c r="V18" t="e">
        <f t="array" aca="1" ref="V18:W23" ca="1">KURTTEST(B4:C15,TRUE)</f>
        <v>#NAME?</v>
      </c>
      <c r="W18" s="149" t="e">
        <f ca="1"/>
        <v>#NAME?</v>
      </c>
      <c r="Y18" t="e">
        <f ca="1">FTEXT(V18)</f>
        <v>#NAME?</v>
      </c>
      <c r="AA18" t="s">
        <v>361</v>
      </c>
      <c r="AB18" s="149" t="e">
        <f ca="1">DAGOSTINO(B4:C15,FALSE)</f>
        <v>#NAME?</v>
      </c>
      <c r="AD18" t="e">
        <f ca="1">FTEXT(AB18)</f>
        <v>#NAME?</v>
      </c>
    </row>
    <row r="19" spans="5:30" x14ac:dyDescent="0.35">
      <c r="Q19" t="e">
        <f ca="1"/>
        <v>#NAME?</v>
      </c>
      <c r="R19" s="38" t="e">
        <f ca="1"/>
        <v>#NAME?</v>
      </c>
      <c r="V19" t="e">
        <f ca="1"/>
        <v>#NAME?</v>
      </c>
      <c r="W19" s="38" t="e">
        <f ca="1"/>
        <v>#NAME?</v>
      </c>
      <c r="AA19" t="s">
        <v>57</v>
      </c>
      <c r="AB19" s="35" t="e">
        <f ca="1">DPTEST(B4:C15,FALSE)</f>
        <v>#NAME?</v>
      </c>
      <c r="AD19" t="e">
        <f ca="1">FTEXT(AB19)</f>
        <v>#NAME?</v>
      </c>
    </row>
    <row r="20" spans="5:30" x14ac:dyDescent="0.35">
      <c r="E20" t="e">
        <f t="array" aca="1" ref="E20:F24" ca="1">SKEWTEST(B4:C15,TRUE)</f>
        <v>#NAME?</v>
      </c>
      <c r="F20" s="149" t="e">
        <f ca="1"/>
        <v>#NAME?</v>
      </c>
      <c r="H20" t="e">
        <f t="array" aca="1" ref="H20:I24" ca="1">KURTTEST(B4:C15,TRUE)</f>
        <v>#NAME?</v>
      </c>
      <c r="I20" s="149" t="e">
        <f ca="1"/>
        <v>#NAME?</v>
      </c>
      <c r="K20" t="s">
        <v>366</v>
      </c>
      <c r="L20" s="149" t="e">
        <f ca="1">DAGOSTINO(B4:C15,FALSE)</f>
        <v>#NAME?</v>
      </c>
      <c r="M20" t="e">
        <f ca="1">FTEXT(L20)</f>
        <v>#NAME?</v>
      </c>
      <c r="Q20" t="e">
        <f ca="1"/>
        <v>#NAME?</v>
      </c>
      <c r="R20" s="38" t="e">
        <f ca="1"/>
        <v>#NAME?</v>
      </c>
      <c r="V20" t="e">
        <f ca="1"/>
        <v>#NAME?</v>
      </c>
      <c r="W20" s="38" t="e">
        <f ca="1"/>
        <v>#NAME?</v>
      </c>
    </row>
    <row r="21" spans="5:30" x14ac:dyDescent="0.35">
      <c r="E21" t="e">
        <f ca="1"/>
        <v>#NAME?</v>
      </c>
      <c r="F21" s="38" t="e">
        <f ca="1"/>
        <v>#NAME?</v>
      </c>
      <c r="H21" t="e">
        <f ca="1"/>
        <v>#NAME?</v>
      </c>
      <c r="I21" s="38" t="e">
        <f ca="1"/>
        <v>#NAME?</v>
      </c>
      <c r="K21" t="s">
        <v>57</v>
      </c>
      <c r="L21" s="35" t="e">
        <f ca="1">DPTEST(B4:C15,FALSE)</f>
        <v>#NAME?</v>
      </c>
      <c r="M21" t="e">
        <f ca="1">FTEXT(L21)</f>
        <v>#NAME?</v>
      </c>
      <c r="Q21" t="e">
        <f ca="1"/>
        <v>#NAME?</v>
      </c>
      <c r="R21" s="38" t="e">
        <f ca="1"/>
        <v>#NAME?</v>
      </c>
      <c r="V21" t="e">
        <f ca="1"/>
        <v>#NAME?</v>
      </c>
      <c r="W21" s="38" t="e">
        <f ca="1"/>
        <v>#NAME?</v>
      </c>
    </row>
    <row r="22" spans="5:30" x14ac:dyDescent="0.35">
      <c r="E22" t="e">
        <f ca="1"/>
        <v>#NAME?</v>
      </c>
      <c r="F22" s="38" t="e">
        <f ca="1"/>
        <v>#NAME?</v>
      </c>
      <c r="H22" t="e">
        <f ca="1"/>
        <v>#NAME?</v>
      </c>
      <c r="I22" s="38" t="e">
        <f ca="1"/>
        <v>#NAME?</v>
      </c>
      <c r="Q22" t="e">
        <f ca="1"/>
        <v>#NAME?</v>
      </c>
      <c r="R22" s="38" t="e">
        <f ca="1"/>
        <v>#NAME?</v>
      </c>
      <c r="V22" t="e">
        <f ca="1"/>
        <v>#NAME?</v>
      </c>
      <c r="W22" s="38" t="e">
        <f ca="1"/>
        <v>#NAME?</v>
      </c>
    </row>
    <row r="23" spans="5:30" x14ac:dyDescent="0.35">
      <c r="E23" t="e">
        <f ca="1"/>
        <v>#NAME?</v>
      </c>
      <c r="F23" s="38" t="e">
        <f ca="1"/>
        <v>#NAME?</v>
      </c>
      <c r="H23" t="e">
        <f ca="1"/>
        <v>#NAME?</v>
      </c>
      <c r="I23" s="38" t="e">
        <f ca="1"/>
        <v>#NAME?</v>
      </c>
      <c r="K23" t="s">
        <v>366</v>
      </c>
      <c r="L23" s="149" t="e">
        <f ca="1">DAGOSTINO(B4:C15)</f>
        <v>#NAME?</v>
      </c>
      <c r="M23" t="e">
        <f ca="1">FTEXT(L23)</f>
        <v>#NAME?</v>
      </c>
      <c r="Q23" t="e">
        <f ca="1"/>
        <v>#NAME?</v>
      </c>
      <c r="R23" s="35" t="e">
        <f ca="1"/>
        <v>#NAME?</v>
      </c>
      <c r="V23" t="e">
        <f ca="1"/>
        <v>#NAME?</v>
      </c>
      <c r="W23" s="35" t="e">
        <f ca="1"/>
        <v>#NAME?</v>
      </c>
    </row>
    <row r="24" spans="5:30" x14ac:dyDescent="0.35">
      <c r="E24" t="e">
        <f ca="1"/>
        <v>#NAME?</v>
      </c>
      <c r="F24" s="35" t="e">
        <f ca="1"/>
        <v>#NAME?</v>
      </c>
      <c r="H24" t="e">
        <f ca="1"/>
        <v>#NAME?</v>
      </c>
      <c r="I24" s="35" t="e">
        <f ca="1"/>
        <v>#NAME?</v>
      </c>
      <c r="K24" t="s">
        <v>57</v>
      </c>
      <c r="L24" s="35" t="e">
        <f ca="1">DPTEST(B4:C15)</f>
        <v>#NAME?</v>
      </c>
      <c r="M24" t="e">
        <f ca="1">FTEXT(L24)</f>
        <v>#NAME?</v>
      </c>
    </row>
    <row r="26" spans="5:30" x14ac:dyDescent="0.35">
      <c r="E26" t="e">
        <f ca="1">FTEXT(E28)</f>
        <v>#NAME?</v>
      </c>
      <c r="H26" t="e">
        <f ca="1">FTEXT(H28)</f>
        <v>#NAME?</v>
      </c>
    </row>
    <row r="28" spans="5:30" x14ac:dyDescent="0.35">
      <c r="E28" t="e">
        <f t="array" aca="1" ref="E28:F30" ca="1">SKEWPTEST(B4:C15,TRUE)</f>
        <v>#NAME?</v>
      </c>
      <c r="F28" s="149" t="e">
        <f ca="1"/>
        <v>#NAME?</v>
      </c>
      <c r="H28" t="e">
        <f t="array" aca="1" ref="H28:I30" ca="1">KURTPTEST(B4:C15,TRUE)</f>
        <v>#NAME?</v>
      </c>
      <c r="I28" s="149" t="e">
        <f ca="1"/>
        <v>#NAME?</v>
      </c>
    </row>
    <row r="29" spans="5:30" x14ac:dyDescent="0.35">
      <c r="E29" t="e">
        <f ca="1"/>
        <v>#NAME?</v>
      </c>
      <c r="F29" s="38" t="e">
        <f ca="1"/>
        <v>#NAME?</v>
      </c>
      <c r="H29" t="e">
        <f ca="1"/>
        <v>#NAME?</v>
      </c>
      <c r="I29" s="38" t="e">
        <f ca="1"/>
        <v>#NAME?</v>
      </c>
    </row>
    <row r="30" spans="5:30" x14ac:dyDescent="0.35">
      <c r="E30" t="e">
        <f ca="1"/>
        <v>#NAME?</v>
      </c>
      <c r="F30" s="35" t="e">
        <f ca="1"/>
        <v>#NAME?</v>
      </c>
      <c r="H30" t="e">
        <f ca="1"/>
        <v>#NAME?</v>
      </c>
      <c r="I30" s="35" t="e">
        <f ca="1"/>
        <v>#NAME?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41"/>
  <dimension ref="A1:G24"/>
  <sheetViews>
    <sheetView workbookViewId="0"/>
  </sheetViews>
  <sheetFormatPr defaultRowHeight="14.5" x14ac:dyDescent="0.35"/>
  <sheetData>
    <row r="1" spans="1:7" x14ac:dyDescent="0.35">
      <c r="A1" s="1" t="s">
        <v>191</v>
      </c>
    </row>
    <row r="3" spans="1:7" ht="16.5" x14ac:dyDescent="0.45">
      <c r="B3" s="165" t="s">
        <v>2</v>
      </c>
      <c r="C3" s="165" t="s">
        <v>39</v>
      </c>
      <c r="D3" s="165" t="s">
        <v>192</v>
      </c>
      <c r="E3" s="150" t="s">
        <v>193</v>
      </c>
      <c r="F3" s="150" t="s">
        <v>162</v>
      </c>
      <c r="G3" s="150" t="s">
        <v>194</v>
      </c>
    </row>
    <row r="4" spans="1:7" x14ac:dyDescent="0.35">
      <c r="B4" s="138">
        <v>0.7</v>
      </c>
      <c r="C4" s="20">
        <v>1</v>
      </c>
      <c r="D4">
        <f>C4</f>
        <v>1</v>
      </c>
      <c r="E4">
        <f>D4/B$21</f>
        <v>6.6666666666666666E-2</v>
      </c>
      <c r="F4">
        <f>EXPONDIST(B4,$B$20,TRUE)</f>
        <v>0.15932801011668971</v>
      </c>
      <c r="G4">
        <f t="shared" ref="G4:G18" si="0">ABS(F4-E4)</f>
        <v>9.266134345002304E-2</v>
      </c>
    </row>
    <row r="5" spans="1:7" x14ac:dyDescent="0.35">
      <c r="B5" s="138">
        <v>0.8</v>
      </c>
      <c r="C5" s="20">
        <v>1</v>
      </c>
      <c r="D5">
        <f t="shared" ref="D5:D18" si="1">D4+C5</f>
        <v>2</v>
      </c>
      <c r="E5">
        <f t="shared" ref="E5:E18" si="2">D5/B$21</f>
        <v>0.13333333333333333</v>
      </c>
      <c r="F5">
        <f t="shared" ref="F5:F18" si="3">EXPONDIST(B5,$B$20,TRUE)</f>
        <v>0.1799148539252895</v>
      </c>
      <c r="G5">
        <f t="shared" si="0"/>
        <v>4.6581520591956166E-2</v>
      </c>
    </row>
    <row r="6" spans="1:7" x14ac:dyDescent="0.35">
      <c r="B6" s="138">
        <v>1.1000000000000001</v>
      </c>
      <c r="C6" s="20">
        <v>1</v>
      </c>
      <c r="D6">
        <f t="shared" si="1"/>
        <v>3</v>
      </c>
      <c r="E6">
        <f t="shared" si="2"/>
        <v>0.2</v>
      </c>
      <c r="F6">
        <f t="shared" si="3"/>
        <v>0.23869961330312628</v>
      </c>
      <c r="G6">
        <f t="shared" si="0"/>
        <v>3.8699613303126268E-2</v>
      </c>
    </row>
    <row r="7" spans="1:7" x14ac:dyDescent="0.35">
      <c r="B7" s="138">
        <v>2</v>
      </c>
      <c r="C7" s="20">
        <v>1</v>
      </c>
      <c r="D7">
        <f t="shared" si="1"/>
        <v>4</v>
      </c>
      <c r="E7">
        <f t="shared" si="2"/>
        <v>0.26666666666666666</v>
      </c>
      <c r="F7">
        <f t="shared" si="3"/>
        <v>0.3909578297496123</v>
      </c>
      <c r="G7">
        <f t="shared" si="0"/>
        <v>0.12429116308294563</v>
      </c>
    </row>
    <row r="8" spans="1:7" x14ac:dyDescent="0.35">
      <c r="B8" s="138">
        <v>3.9</v>
      </c>
      <c r="C8" s="20">
        <v>1</v>
      </c>
      <c r="D8">
        <f t="shared" si="1"/>
        <v>5</v>
      </c>
      <c r="E8">
        <f t="shared" si="2"/>
        <v>0.33333333333333331</v>
      </c>
      <c r="F8">
        <f t="shared" si="3"/>
        <v>0.61975600825144772</v>
      </c>
      <c r="G8">
        <f t="shared" si="0"/>
        <v>0.28642267491811441</v>
      </c>
    </row>
    <row r="9" spans="1:7" x14ac:dyDescent="0.35">
      <c r="B9" s="138">
        <v>4.2</v>
      </c>
      <c r="C9" s="20">
        <v>1</v>
      </c>
      <c r="D9">
        <f t="shared" si="1"/>
        <v>6</v>
      </c>
      <c r="E9">
        <f t="shared" si="2"/>
        <v>0.4</v>
      </c>
      <c r="F9">
        <f t="shared" si="3"/>
        <v>0.64701238725891541</v>
      </c>
      <c r="G9">
        <f t="shared" si="0"/>
        <v>0.24701238725891539</v>
      </c>
    </row>
    <row r="10" spans="1:7" x14ac:dyDescent="0.35">
      <c r="B10" s="138">
        <v>4.3</v>
      </c>
      <c r="C10" s="20">
        <v>1</v>
      </c>
      <c r="D10">
        <f t="shared" si="1"/>
        <v>7</v>
      </c>
      <c r="E10">
        <f t="shared" si="2"/>
        <v>0.46666666666666667</v>
      </c>
      <c r="F10">
        <f t="shared" si="3"/>
        <v>0.65565654447757082</v>
      </c>
      <c r="G10">
        <f t="shared" si="0"/>
        <v>0.18898987781090415</v>
      </c>
    </row>
    <row r="11" spans="1:7" x14ac:dyDescent="0.35">
      <c r="B11" s="138">
        <v>4.9000000000000004</v>
      </c>
      <c r="C11" s="20">
        <v>1</v>
      </c>
      <c r="D11">
        <f t="shared" si="1"/>
        <v>8</v>
      </c>
      <c r="E11">
        <f t="shared" si="2"/>
        <v>0.53333333333333333</v>
      </c>
      <c r="F11">
        <f t="shared" si="3"/>
        <v>0.70325320119279311</v>
      </c>
      <c r="G11">
        <f t="shared" si="0"/>
        <v>0.16991986785945978</v>
      </c>
    </row>
    <row r="12" spans="1:7" x14ac:dyDescent="0.35">
      <c r="B12" s="138">
        <v>5.0999999999999996</v>
      </c>
      <c r="C12" s="20">
        <v>1</v>
      </c>
      <c r="D12">
        <f t="shared" si="1"/>
        <v>9</v>
      </c>
      <c r="E12">
        <f t="shared" si="2"/>
        <v>0.6</v>
      </c>
      <c r="F12">
        <f t="shared" si="3"/>
        <v>0.71760904697801808</v>
      </c>
      <c r="G12">
        <f t="shared" si="0"/>
        <v>0.11760904697801811</v>
      </c>
    </row>
    <row r="13" spans="1:7" x14ac:dyDescent="0.35">
      <c r="B13" s="138">
        <v>5.2</v>
      </c>
      <c r="C13" s="20">
        <v>1</v>
      </c>
      <c r="D13">
        <f t="shared" si="1"/>
        <v>10</v>
      </c>
      <c r="E13">
        <f t="shared" si="2"/>
        <v>0.66666666666666663</v>
      </c>
      <c r="F13">
        <f t="shared" si="3"/>
        <v>0.72452439388238221</v>
      </c>
      <c r="G13">
        <f t="shared" si="0"/>
        <v>5.7857727215715582E-2</v>
      </c>
    </row>
    <row r="14" spans="1:7" x14ac:dyDescent="0.35">
      <c r="B14" s="138">
        <v>5.3</v>
      </c>
      <c r="C14" s="20">
        <v>1</v>
      </c>
      <c r="D14">
        <f t="shared" si="1"/>
        <v>11</v>
      </c>
      <c r="E14">
        <f t="shared" si="2"/>
        <v>0.73333333333333328</v>
      </c>
      <c r="F14">
        <f t="shared" si="3"/>
        <v>0.7312703939210059</v>
      </c>
      <c r="G14">
        <f t="shared" si="0"/>
        <v>2.0629394123273803E-3</v>
      </c>
    </row>
    <row r="15" spans="1:7" x14ac:dyDescent="0.35">
      <c r="B15" s="138">
        <v>5.5</v>
      </c>
      <c r="C15" s="20">
        <v>1</v>
      </c>
      <c r="D15">
        <f t="shared" si="1"/>
        <v>12</v>
      </c>
      <c r="E15">
        <f t="shared" si="2"/>
        <v>0.8</v>
      </c>
      <c r="F15">
        <f t="shared" si="3"/>
        <v>0.74427084008689937</v>
      </c>
      <c r="G15">
        <f t="shared" si="0"/>
        <v>5.5729159913100679E-2</v>
      </c>
    </row>
    <row r="16" spans="1:7" x14ac:dyDescent="0.35">
      <c r="B16" s="138">
        <v>5.7</v>
      </c>
      <c r="C16" s="20">
        <v>1</v>
      </c>
      <c r="D16">
        <f t="shared" si="1"/>
        <v>13</v>
      </c>
      <c r="E16">
        <f t="shared" si="2"/>
        <v>0.8666666666666667</v>
      </c>
      <c r="F16">
        <f t="shared" si="3"/>
        <v>0.75664235815298897</v>
      </c>
      <c r="G16">
        <f t="shared" si="0"/>
        <v>0.11002430851367773</v>
      </c>
    </row>
    <row r="17" spans="1:7" x14ac:dyDescent="0.35">
      <c r="B17" s="138">
        <v>5.8</v>
      </c>
      <c r="C17" s="20">
        <v>1</v>
      </c>
      <c r="D17">
        <f t="shared" si="1"/>
        <v>14</v>
      </c>
      <c r="E17">
        <f t="shared" si="2"/>
        <v>0.93333333333333335</v>
      </c>
      <c r="F17">
        <f t="shared" si="3"/>
        <v>0.76260183559796602</v>
      </c>
      <c r="G17">
        <f t="shared" si="0"/>
        <v>0.17073149773536733</v>
      </c>
    </row>
    <row r="18" spans="1:7" x14ac:dyDescent="0.35">
      <c r="B18" s="79">
        <v>6</v>
      </c>
      <c r="C18" s="139">
        <v>1</v>
      </c>
      <c r="D18" s="75">
        <f t="shared" si="1"/>
        <v>15</v>
      </c>
      <c r="E18" s="75">
        <f t="shared" si="2"/>
        <v>1</v>
      </c>
      <c r="F18" s="75">
        <f t="shared" si="3"/>
        <v>0.77408654731701398</v>
      </c>
      <c r="G18" s="75">
        <f t="shared" si="0"/>
        <v>0.22591345268298602</v>
      </c>
    </row>
    <row r="19" spans="1:7" x14ac:dyDescent="0.35">
      <c r="A19" t="s">
        <v>4</v>
      </c>
      <c r="B19" s="17">
        <f>AVERAGE(B4:B18)</f>
        <v>4.0333333333333332</v>
      </c>
    </row>
    <row r="20" spans="1:7" ht="16.5" x14ac:dyDescent="0.45">
      <c r="A20" t="s">
        <v>137</v>
      </c>
      <c r="B20">
        <f>1/B19</f>
        <v>0.24793388429752067</v>
      </c>
      <c r="F20" s="5" t="s">
        <v>195</v>
      </c>
      <c r="G20" s="149">
        <f>MAX(G4:G18)</f>
        <v>0.28642267491811441</v>
      </c>
    </row>
    <row r="21" spans="1:7" ht="16.5" x14ac:dyDescent="0.45">
      <c r="A21" t="s">
        <v>92</v>
      </c>
      <c r="B21" s="75">
        <f>COUNT(B4:B18)</f>
        <v>15</v>
      </c>
      <c r="F21" s="5" t="s">
        <v>196</v>
      </c>
      <c r="G21" s="140" t="e">
        <f ca="1">KSCRIT(B21,0.05)</f>
        <v>#NAME?</v>
      </c>
    </row>
    <row r="23" spans="1:7" x14ac:dyDescent="0.35">
      <c r="F23" s="5" t="s">
        <v>197</v>
      </c>
      <c r="G23" s="149" t="e">
        <f ca="1">KSCRIT(B21,0.05)</f>
        <v>#NAME?</v>
      </c>
    </row>
    <row r="24" spans="1:7" x14ac:dyDescent="0.35">
      <c r="F24" s="5" t="s">
        <v>57</v>
      </c>
      <c r="G24" s="35" t="e">
        <f ca="1">KSPROB(G20,B21)</f>
        <v>#NAME?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40"/>
  <dimension ref="A1:S29"/>
  <sheetViews>
    <sheetView workbookViewId="0"/>
  </sheetViews>
  <sheetFormatPr defaultRowHeight="14.5" x14ac:dyDescent="0.35"/>
  <cols>
    <col min="2" max="3" width="8.453125" customWidth="1"/>
    <col min="4" max="4" width="4.453125" customWidth="1"/>
    <col min="8" max="9" width="9.1796875" customWidth="1"/>
    <col min="16" max="16" width="5" customWidth="1"/>
  </cols>
  <sheetData>
    <row r="1" spans="1:19" x14ac:dyDescent="0.35">
      <c r="A1" s="1" t="s">
        <v>198</v>
      </c>
      <c r="F1" t="s">
        <v>88</v>
      </c>
      <c r="G1" s="43">
        <v>0.05</v>
      </c>
      <c r="R1" t="s">
        <v>88</v>
      </c>
      <c r="S1" s="43">
        <v>0.05</v>
      </c>
    </row>
    <row r="3" spans="1:19" x14ac:dyDescent="0.35">
      <c r="A3" s="150" t="s">
        <v>1</v>
      </c>
      <c r="B3" s="165" t="s">
        <v>199</v>
      </c>
      <c r="C3" s="165" t="s">
        <v>200</v>
      </c>
      <c r="E3" s="150" t="s">
        <v>201</v>
      </c>
      <c r="F3" s="150" t="s">
        <v>202</v>
      </c>
      <c r="G3" s="150" t="s">
        <v>100</v>
      </c>
      <c r="J3" s="150" t="s">
        <v>129</v>
      </c>
      <c r="K3" s="150" t="s">
        <v>128</v>
      </c>
      <c r="M3" s="150" t="s">
        <v>38</v>
      </c>
      <c r="N3" s="150" t="s">
        <v>129</v>
      </c>
      <c r="O3" s="150" t="s">
        <v>128</v>
      </c>
      <c r="Q3" s="150" t="s">
        <v>203</v>
      </c>
      <c r="R3" s="150" t="s">
        <v>204</v>
      </c>
      <c r="S3" s="150" t="s">
        <v>100</v>
      </c>
    </row>
    <row r="4" spans="1:19" x14ac:dyDescent="0.35">
      <c r="A4" s="169" t="s">
        <v>205</v>
      </c>
      <c r="B4">
        <v>4</v>
      </c>
      <c r="C4">
        <v>7</v>
      </c>
      <c r="E4">
        <f>B4/B$14</f>
        <v>0.05</v>
      </c>
      <c r="F4">
        <f>C4/C14</f>
        <v>0.11290322580645161</v>
      </c>
      <c r="G4">
        <f>ABS(E4-F4)</f>
        <v>6.2903225806451607E-2</v>
      </c>
      <c r="J4">
        <v>3</v>
      </c>
      <c r="K4">
        <v>2</v>
      </c>
      <c r="M4" t="e">
        <f t="array" aca="1" ref="M4:M10" ca="1">SortUnique(J4:K11)</f>
        <v>#NAME?</v>
      </c>
      <c r="N4">
        <f ca="1">COUNTIF(J$4:J$11,$M4)</f>
        <v>0</v>
      </c>
      <c r="O4">
        <f ca="1">COUNTIF(K$4:K$11,$M4)</f>
        <v>0</v>
      </c>
      <c r="Q4" t="e">
        <f ca="1">N4/N$11</f>
        <v>#DIV/0!</v>
      </c>
      <c r="R4" t="e">
        <f ca="1">O4/O$11</f>
        <v>#DIV/0!</v>
      </c>
      <c r="S4" t="e">
        <f t="shared" ref="S4:S10" ca="1" si="0">ABS(Q4-R4)</f>
        <v>#DIV/0!</v>
      </c>
    </row>
    <row r="5" spans="1:19" x14ac:dyDescent="0.35">
      <c r="A5" s="169" t="s">
        <v>206</v>
      </c>
      <c r="B5">
        <v>11</v>
      </c>
      <c r="C5">
        <v>4</v>
      </c>
      <c r="E5">
        <f>B5/B$14+E4</f>
        <v>0.1875</v>
      </c>
      <c r="F5">
        <f>C5/C$14+F4</f>
        <v>0.17741935483870969</v>
      </c>
      <c r="G5">
        <f t="shared" ref="G5:G13" si="1">ABS(E5-F5)</f>
        <v>1.0080645161290314E-2</v>
      </c>
      <c r="J5">
        <v>2</v>
      </c>
      <c r="K5">
        <v>8</v>
      </c>
      <c r="M5" t="e">
        <f ca="1"/>
        <v>#NAME?</v>
      </c>
      <c r="N5">
        <f t="shared" ref="N5:O10" ca="1" si="2">COUNTIF(J$4:J$11,$M5)</f>
        <v>0</v>
      </c>
      <c r="O5">
        <f t="shared" ca="1" si="2"/>
        <v>0</v>
      </c>
      <c r="Q5" t="e">
        <f t="shared" ref="Q5:R10" ca="1" si="3">N5/N$11+Q4</f>
        <v>#DIV/0!</v>
      </c>
      <c r="R5" t="e">
        <f t="shared" ca="1" si="3"/>
        <v>#DIV/0!</v>
      </c>
      <c r="S5" t="e">
        <f t="shared" ca="1" si="0"/>
        <v>#DIV/0!</v>
      </c>
    </row>
    <row r="6" spans="1:19" x14ac:dyDescent="0.35">
      <c r="A6" s="169" t="s">
        <v>207</v>
      </c>
      <c r="B6">
        <v>5</v>
      </c>
      <c r="C6">
        <v>1</v>
      </c>
      <c r="E6">
        <f t="shared" ref="E6:F13" si="4">B6/B$14+E5</f>
        <v>0.25</v>
      </c>
      <c r="F6">
        <f t="shared" si="4"/>
        <v>0.19354838709677419</v>
      </c>
      <c r="G6">
        <f t="shared" si="1"/>
        <v>5.6451612903225812E-2</v>
      </c>
      <c r="J6">
        <v>3</v>
      </c>
      <c r="K6">
        <v>2</v>
      </c>
      <c r="M6" t="e">
        <f ca="1"/>
        <v>#NAME?</v>
      </c>
      <c r="N6">
        <f t="shared" ca="1" si="2"/>
        <v>0</v>
      </c>
      <c r="O6">
        <f t="shared" ca="1" si="2"/>
        <v>0</v>
      </c>
      <c r="Q6" t="e">
        <f t="shared" ca="1" si="3"/>
        <v>#DIV/0!</v>
      </c>
      <c r="R6" t="e">
        <f t="shared" ca="1" si="3"/>
        <v>#DIV/0!</v>
      </c>
      <c r="S6" t="e">
        <f t="shared" ca="1" si="0"/>
        <v>#DIV/0!</v>
      </c>
    </row>
    <row r="7" spans="1:19" x14ac:dyDescent="0.35">
      <c r="A7" s="169" t="s">
        <v>208</v>
      </c>
      <c r="B7">
        <v>7</v>
      </c>
      <c r="C7">
        <v>11</v>
      </c>
      <c r="E7">
        <f t="shared" si="4"/>
        <v>0.33750000000000002</v>
      </c>
      <c r="F7">
        <f t="shared" si="4"/>
        <v>0.37096774193548387</v>
      </c>
      <c r="G7">
        <f t="shared" si="1"/>
        <v>3.3467741935483852E-2</v>
      </c>
      <c r="J7">
        <v>5</v>
      </c>
      <c r="K7">
        <v>4</v>
      </c>
      <c r="M7" t="e">
        <f ca="1"/>
        <v>#NAME?</v>
      </c>
      <c r="N7">
        <f t="shared" ca="1" si="2"/>
        <v>0</v>
      </c>
      <c r="O7">
        <f t="shared" ca="1" si="2"/>
        <v>0</v>
      </c>
      <c r="Q7" t="e">
        <f t="shared" ca="1" si="3"/>
        <v>#DIV/0!</v>
      </c>
      <c r="R7" t="e">
        <f t="shared" ca="1" si="3"/>
        <v>#DIV/0!</v>
      </c>
      <c r="S7" t="e">
        <f t="shared" ca="1" si="0"/>
        <v>#DIV/0!</v>
      </c>
    </row>
    <row r="8" spans="1:19" x14ac:dyDescent="0.35">
      <c r="A8" s="169" t="s">
        <v>209</v>
      </c>
      <c r="B8">
        <v>0</v>
      </c>
      <c r="C8">
        <v>12</v>
      </c>
      <c r="E8">
        <f t="shared" si="4"/>
        <v>0.33750000000000002</v>
      </c>
      <c r="F8">
        <f t="shared" si="4"/>
        <v>0.56451612903225801</v>
      </c>
      <c r="G8">
        <f t="shared" si="1"/>
        <v>0.22701612903225799</v>
      </c>
      <c r="J8">
        <v>8</v>
      </c>
      <c r="K8">
        <v>4</v>
      </c>
      <c r="M8" t="e">
        <f ca="1"/>
        <v>#NAME?</v>
      </c>
      <c r="N8">
        <f t="shared" ca="1" si="2"/>
        <v>0</v>
      </c>
      <c r="O8">
        <f t="shared" ca="1" si="2"/>
        <v>0</v>
      </c>
      <c r="Q8" t="e">
        <f t="shared" ca="1" si="3"/>
        <v>#DIV/0!</v>
      </c>
      <c r="R8" t="e">
        <f t="shared" ca="1" si="3"/>
        <v>#DIV/0!</v>
      </c>
      <c r="S8" t="e">
        <f t="shared" ca="1" si="0"/>
        <v>#DIV/0!</v>
      </c>
    </row>
    <row r="9" spans="1:19" x14ac:dyDescent="0.35">
      <c r="A9" s="169" t="s">
        <v>210</v>
      </c>
      <c r="B9">
        <v>5</v>
      </c>
      <c r="C9">
        <v>4</v>
      </c>
      <c r="E9">
        <f t="shared" si="4"/>
        <v>0.4</v>
      </c>
      <c r="F9">
        <f t="shared" si="4"/>
        <v>0.62903225806451601</v>
      </c>
      <c r="G9">
        <f t="shared" si="1"/>
        <v>0.22903225806451599</v>
      </c>
      <c r="J9">
        <v>9</v>
      </c>
      <c r="K9">
        <v>3</v>
      </c>
      <c r="M9" t="e">
        <f ca="1"/>
        <v>#NAME?</v>
      </c>
      <c r="N9">
        <f t="shared" ca="1" si="2"/>
        <v>0</v>
      </c>
      <c r="O9">
        <f t="shared" ca="1" si="2"/>
        <v>0</v>
      </c>
      <c r="Q9" t="e">
        <f t="shared" ca="1" si="3"/>
        <v>#DIV/0!</v>
      </c>
      <c r="R9" t="e">
        <f t="shared" ca="1" si="3"/>
        <v>#DIV/0!</v>
      </c>
      <c r="S9" t="e">
        <f t="shared" ca="1" si="0"/>
        <v>#DIV/0!</v>
      </c>
    </row>
    <row r="10" spans="1:19" x14ac:dyDescent="0.35">
      <c r="A10" s="169" t="s">
        <v>211</v>
      </c>
      <c r="B10">
        <v>9</v>
      </c>
      <c r="C10">
        <v>2</v>
      </c>
      <c r="E10">
        <f t="shared" si="4"/>
        <v>0.51250000000000007</v>
      </c>
      <c r="F10">
        <f t="shared" si="4"/>
        <v>0.66129032258064502</v>
      </c>
      <c r="G10">
        <f t="shared" si="1"/>
        <v>0.14879032258064495</v>
      </c>
      <c r="J10">
        <v>8</v>
      </c>
      <c r="K10">
        <v>6</v>
      </c>
      <c r="M10" s="75" t="e">
        <f ca="1"/>
        <v>#NAME?</v>
      </c>
      <c r="N10" s="75">
        <f t="shared" ca="1" si="2"/>
        <v>0</v>
      </c>
      <c r="O10" s="75">
        <f t="shared" ca="1" si="2"/>
        <v>0</v>
      </c>
      <c r="Q10" s="75" t="e">
        <f t="shared" ca="1" si="3"/>
        <v>#DIV/0!</v>
      </c>
      <c r="R10" s="75" t="e">
        <f t="shared" ca="1" si="3"/>
        <v>#DIV/0!</v>
      </c>
      <c r="S10" s="75" t="e">
        <f t="shared" ca="1" si="0"/>
        <v>#DIV/0!</v>
      </c>
    </row>
    <row r="11" spans="1:19" x14ac:dyDescent="0.35">
      <c r="A11" s="169" t="s">
        <v>212</v>
      </c>
      <c r="B11">
        <v>13</v>
      </c>
      <c r="C11">
        <v>4</v>
      </c>
      <c r="E11">
        <f t="shared" si="4"/>
        <v>0.67500000000000004</v>
      </c>
      <c r="F11">
        <f t="shared" si="4"/>
        <v>0.72580645161290303</v>
      </c>
      <c r="G11">
        <f t="shared" si="1"/>
        <v>5.0806451612902981E-2</v>
      </c>
      <c r="J11" s="75">
        <v>8</v>
      </c>
      <c r="K11" s="75"/>
      <c r="N11">
        <f ca="1">SUM(N4:N10)</f>
        <v>0</v>
      </c>
      <c r="O11">
        <f ca="1">SUM(O4:O10)</f>
        <v>0</v>
      </c>
      <c r="R11" t="s">
        <v>213</v>
      </c>
      <c r="S11" s="19" t="e">
        <f ca="1">MAX(S1:S10)</f>
        <v>#DIV/0!</v>
      </c>
    </row>
    <row r="12" spans="1:19" x14ac:dyDescent="0.35">
      <c r="A12" s="169" t="s">
        <v>214</v>
      </c>
      <c r="B12">
        <v>20</v>
      </c>
      <c r="C12">
        <v>8</v>
      </c>
      <c r="E12">
        <f t="shared" si="4"/>
        <v>0.92500000000000004</v>
      </c>
      <c r="F12">
        <f t="shared" si="4"/>
        <v>0.85483870967741915</v>
      </c>
      <c r="G12">
        <f t="shared" si="1"/>
        <v>7.0161290322580894E-2</v>
      </c>
      <c r="R12" t="s">
        <v>197</v>
      </c>
      <c r="S12" s="19" t="e">
        <f ca="1">KSINV(S1,N11,O11)</f>
        <v>#NAME?</v>
      </c>
    </row>
    <row r="13" spans="1:19" x14ac:dyDescent="0.35">
      <c r="A13" s="168" t="s">
        <v>215</v>
      </c>
      <c r="B13" s="75">
        <v>6</v>
      </c>
      <c r="C13" s="75">
        <v>9</v>
      </c>
      <c r="E13" s="75">
        <f t="shared" si="4"/>
        <v>1</v>
      </c>
      <c r="F13" s="75">
        <f t="shared" si="4"/>
        <v>0.99999999999999978</v>
      </c>
      <c r="G13" s="75">
        <f t="shared" si="1"/>
        <v>2.2204460492503131E-16</v>
      </c>
      <c r="R13" s="75" t="s">
        <v>97</v>
      </c>
      <c r="S13" s="76" t="e">
        <f ca="1">IF(S11&gt;S12,"yes","no")</f>
        <v>#DIV/0!</v>
      </c>
    </row>
    <row r="14" spans="1:19" x14ac:dyDescent="0.35">
      <c r="B14">
        <f>SUM(B4:B13)</f>
        <v>80</v>
      </c>
      <c r="C14">
        <f>SUM(C4:C13)</f>
        <v>62</v>
      </c>
      <c r="F14" t="s">
        <v>213</v>
      </c>
      <c r="G14" s="19">
        <f>MAX(G4:G13)</f>
        <v>0.22903225806451599</v>
      </c>
    </row>
    <row r="15" spans="1:19" x14ac:dyDescent="0.35">
      <c r="F15" t="s">
        <v>197</v>
      </c>
      <c r="G15" s="19" t="e">
        <f ca="1">KSINV(G1,B14,C14)</f>
        <v>#NAME?</v>
      </c>
      <c r="R15" t="s">
        <v>57</v>
      </c>
      <c r="S15" s="43" t="e">
        <f ca="1">KSDIST(S11,N11,O11)</f>
        <v>#NAME?</v>
      </c>
    </row>
    <row r="16" spans="1:19" x14ac:dyDescent="0.35">
      <c r="F16" s="75" t="s">
        <v>97</v>
      </c>
      <c r="G16" s="76" t="e">
        <f ca="1">IF(G14&gt;G15,"yes","no")</f>
        <v>#NAME?</v>
      </c>
    </row>
    <row r="18" spans="6:19" x14ac:dyDescent="0.35">
      <c r="F18" t="s">
        <v>57</v>
      </c>
      <c r="G18" s="43" t="e">
        <f ca="1">KSDIST(G14,B14,C14)</f>
        <v>#NAME?</v>
      </c>
      <c r="R18" t="e">
        <f t="array" aca="1" ref="R18:S22" ca="1">KS2TEST(J4:J11,K4:K10,TRUE)</f>
        <v>#NAME?</v>
      </c>
      <c r="S18" s="149" t="e">
        <f ca="1"/>
        <v>#NAME?</v>
      </c>
    </row>
    <row r="19" spans="6:19" x14ac:dyDescent="0.35">
      <c r="I19" t="s">
        <v>216</v>
      </c>
      <c r="R19" t="e">
        <f ca="1"/>
        <v>#NAME?</v>
      </c>
      <c r="S19" s="38" t="e">
        <f ca="1"/>
        <v>#NAME?</v>
      </c>
    </row>
    <row r="20" spans="6:19" x14ac:dyDescent="0.35">
      <c r="R20" t="e">
        <f ca="1"/>
        <v>#NAME?</v>
      </c>
      <c r="S20" s="38" t="e">
        <f ca="1"/>
        <v>#NAME?</v>
      </c>
    </row>
    <row r="21" spans="6:19" x14ac:dyDescent="0.35">
      <c r="F21" t="e">
        <f t="array" aca="1" ref="F21:G25" ca="1">KS2TEST(B4:C13,,TRUE)</f>
        <v>#NAME?</v>
      </c>
      <c r="G21" s="149" t="e">
        <f ca="1"/>
        <v>#NAME?</v>
      </c>
      <c r="I21" t="s">
        <v>217</v>
      </c>
      <c r="R21" t="e">
        <f ca="1"/>
        <v>#NAME?</v>
      </c>
      <c r="S21" s="38" t="e">
        <f ca="1"/>
        <v>#NAME?</v>
      </c>
    </row>
    <row r="22" spans="6:19" x14ac:dyDescent="0.35">
      <c r="F22" t="e">
        <f ca="1"/>
        <v>#NAME?</v>
      </c>
      <c r="G22" s="38" t="e">
        <f ca="1"/>
        <v>#NAME?</v>
      </c>
      <c r="R22" t="e">
        <f ca="1"/>
        <v>#NAME?</v>
      </c>
      <c r="S22" s="35" t="e">
        <f ca="1"/>
        <v>#NAME?</v>
      </c>
    </row>
    <row r="23" spans="6:19" x14ac:dyDescent="0.35">
      <c r="F23" t="e">
        <f ca="1"/>
        <v>#NAME?</v>
      </c>
      <c r="G23" s="38" t="e">
        <f ca="1"/>
        <v>#NAME?</v>
      </c>
      <c r="I23" t="s">
        <v>35</v>
      </c>
      <c r="J23" s="95">
        <v>0.05</v>
      </c>
    </row>
    <row r="24" spans="6:19" x14ac:dyDescent="0.35">
      <c r="F24" t="e">
        <f ca="1"/>
        <v>#NAME?</v>
      </c>
      <c r="G24" s="38" t="e">
        <f ca="1"/>
        <v>#NAME?</v>
      </c>
    </row>
    <row r="25" spans="6:19" x14ac:dyDescent="0.35">
      <c r="F25" t="e">
        <f ca="1"/>
        <v>#NAME?</v>
      </c>
      <c r="G25" s="35" t="e">
        <f ca="1"/>
        <v>#NAME?</v>
      </c>
      <c r="I25" t="e">
        <f t="array" aca="1" ref="I25:J29" ca="1">KS2TEST(B4:C13,,TRUE,J23)</f>
        <v>#NAME?</v>
      </c>
      <c r="J25" s="94" t="e">
        <f ca="1"/>
        <v>#NAME?</v>
      </c>
    </row>
    <row r="26" spans="6:19" x14ac:dyDescent="0.35">
      <c r="I26" t="e">
        <f ca="1"/>
        <v>#NAME?</v>
      </c>
      <c r="J26" s="69" t="e">
        <f ca="1"/>
        <v>#NAME?</v>
      </c>
    </row>
    <row r="27" spans="6:19" x14ac:dyDescent="0.35">
      <c r="I27" t="e">
        <f ca="1"/>
        <v>#NAME?</v>
      </c>
      <c r="J27" s="69" t="e">
        <f ca="1"/>
        <v>#NAME?</v>
      </c>
    </row>
    <row r="28" spans="6:19" x14ac:dyDescent="0.35">
      <c r="I28" t="e">
        <f ca="1"/>
        <v>#NAME?</v>
      </c>
      <c r="J28" s="69" t="e">
        <f ca="1"/>
        <v>#NAME?</v>
      </c>
    </row>
    <row r="29" spans="6:19" x14ac:dyDescent="0.35">
      <c r="I29" t="e">
        <f ca="1"/>
        <v>#NAME?</v>
      </c>
      <c r="J29" s="70" t="e">
        <f ca="1"/>
        <v>#NAME?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5"/>
  <dimension ref="A1:N14"/>
  <sheetViews>
    <sheetView workbookViewId="0"/>
  </sheetViews>
  <sheetFormatPr defaultRowHeight="14.5" x14ac:dyDescent="0.35"/>
  <cols>
    <col min="2" max="3" width="8.453125" customWidth="1"/>
  </cols>
  <sheetData>
    <row r="1" spans="1:14" x14ac:dyDescent="0.35">
      <c r="A1" s="1" t="s">
        <v>198</v>
      </c>
    </row>
    <row r="3" spans="1:14" x14ac:dyDescent="0.35">
      <c r="A3" s="150" t="s">
        <v>1</v>
      </c>
      <c r="B3" s="165" t="s">
        <v>199</v>
      </c>
      <c r="C3" s="165" t="s">
        <v>200</v>
      </c>
      <c r="E3" t="s">
        <v>217</v>
      </c>
      <c r="J3" s="150" t="s">
        <v>129</v>
      </c>
      <c r="K3" s="150" t="s">
        <v>128</v>
      </c>
      <c r="M3" t="s">
        <v>217</v>
      </c>
    </row>
    <row r="4" spans="1:14" x14ac:dyDescent="0.35">
      <c r="A4" s="169" t="s">
        <v>205</v>
      </c>
      <c r="B4">
        <v>4</v>
      </c>
      <c r="C4">
        <v>7</v>
      </c>
      <c r="J4">
        <v>3</v>
      </c>
      <c r="K4">
        <v>2</v>
      </c>
    </row>
    <row r="5" spans="1:14" x14ac:dyDescent="0.35">
      <c r="A5" s="169" t="s">
        <v>206</v>
      </c>
      <c r="B5">
        <v>11</v>
      </c>
      <c r="C5">
        <v>4</v>
      </c>
      <c r="E5" t="s">
        <v>35</v>
      </c>
      <c r="F5" s="95">
        <v>0.05</v>
      </c>
      <c r="J5">
        <v>2</v>
      </c>
      <c r="K5">
        <v>8</v>
      </c>
      <c r="M5" t="s">
        <v>35</v>
      </c>
      <c r="N5" s="95">
        <v>0.05</v>
      </c>
    </row>
    <row r="6" spans="1:14" x14ac:dyDescent="0.35">
      <c r="A6" s="169" t="s">
        <v>207</v>
      </c>
      <c r="B6">
        <v>5</v>
      </c>
      <c r="C6">
        <v>1</v>
      </c>
      <c r="J6">
        <v>3</v>
      </c>
      <c r="K6">
        <v>2</v>
      </c>
    </row>
    <row r="7" spans="1:14" x14ac:dyDescent="0.35">
      <c r="A7" s="169" t="s">
        <v>208</v>
      </c>
      <c r="B7">
        <v>7</v>
      </c>
      <c r="C7">
        <v>11</v>
      </c>
      <c r="E7" t="e">
        <f t="array" aca="1" ref="E7:F11" ca="1">KS2TEST(B4:C13,,TRUE,F5)</f>
        <v>#NAME?</v>
      </c>
      <c r="F7" s="94" t="e">
        <f ca="1"/>
        <v>#NAME?</v>
      </c>
      <c r="J7">
        <v>5</v>
      </c>
      <c r="K7">
        <v>4</v>
      </c>
      <c r="M7" t="e">
        <f t="array" aca="1" ref="M7:N11" ca="1">KS2TEST(J4:J11,K4:K11,TRUE,N5)</f>
        <v>#NAME?</v>
      </c>
      <c r="N7" s="94" t="e">
        <f ca="1"/>
        <v>#NAME?</v>
      </c>
    </row>
    <row r="8" spans="1:14" x14ac:dyDescent="0.35">
      <c r="A8" s="169" t="s">
        <v>209</v>
      </c>
      <c r="B8">
        <v>0</v>
      </c>
      <c r="C8">
        <v>12</v>
      </c>
      <c r="E8" t="e">
        <f ca="1"/>
        <v>#NAME?</v>
      </c>
      <c r="F8" s="69" t="e">
        <f ca="1"/>
        <v>#NAME?</v>
      </c>
      <c r="J8">
        <v>8</v>
      </c>
      <c r="K8">
        <v>4</v>
      </c>
      <c r="M8" t="e">
        <f ca="1"/>
        <v>#NAME?</v>
      </c>
      <c r="N8" s="69" t="e">
        <f ca="1"/>
        <v>#NAME?</v>
      </c>
    </row>
    <row r="9" spans="1:14" x14ac:dyDescent="0.35">
      <c r="A9" s="169" t="s">
        <v>210</v>
      </c>
      <c r="B9">
        <v>5</v>
      </c>
      <c r="C9">
        <v>4</v>
      </c>
      <c r="E9" t="e">
        <f ca="1"/>
        <v>#NAME?</v>
      </c>
      <c r="F9" s="69" t="e">
        <f ca="1"/>
        <v>#NAME?</v>
      </c>
      <c r="J9">
        <v>9</v>
      </c>
      <c r="K9">
        <v>3</v>
      </c>
      <c r="M9" t="e">
        <f ca="1"/>
        <v>#NAME?</v>
      </c>
      <c r="N9" s="69" t="e">
        <f ca="1"/>
        <v>#NAME?</v>
      </c>
    </row>
    <row r="10" spans="1:14" x14ac:dyDescent="0.35">
      <c r="A10" s="169" t="s">
        <v>211</v>
      </c>
      <c r="B10">
        <v>9</v>
      </c>
      <c r="C10">
        <v>2</v>
      </c>
      <c r="E10" t="e">
        <f ca="1"/>
        <v>#NAME?</v>
      </c>
      <c r="F10" s="69" t="e">
        <f ca="1"/>
        <v>#NAME?</v>
      </c>
      <c r="J10">
        <v>8</v>
      </c>
      <c r="K10">
        <v>6</v>
      </c>
      <c r="M10" t="e">
        <f ca="1"/>
        <v>#NAME?</v>
      </c>
      <c r="N10" s="69" t="e">
        <f ca="1"/>
        <v>#NAME?</v>
      </c>
    </row>
    <row r="11" spans="1:14" x14ac:dyDescent="0.35">
      <c r="A11" s="169" t="s">
        <v>212</v>
      </c>
      <c r="B11">
        <v>13</v>
      </c>
      <c r="C11">
        <v>4</v>
      </c>
      <c r="E11" t="e">
        <f ca="1"/>
        <v>#NAME?</v>
      </c>
      <c r="F11" s="70" t="e">
        <f ca="1"/>
        <v>#NAME?</v>
      </c>
      <c r="J11" s="75">
        <v>8</v>
      </c>
      <c r="K11" s="75"/>
      <c r="M11" t="e">
        <f ca="1"/>
        <v>#NAME?</v>
      </c>
      <c r="N11" s="70" t="e">
        <f ca="1"/>
        <v>#NAME?</v>
      </c>
    </row>
    <row r="12" spans="1:14" x14ac:dyDescent="0.35">
      <c r="A12" s="169" t="s">
        <v>214</v>
      </c>
      <c r="B12">
        <v>20</v>
      </c>
      <c r="C12">
        <v>8</v>
      </c>
    </row>
    <row r="13" spans="1:14" x14ac:dyDescent="0.35">
      <c r="A13" s="168" t="s">
        <v>215</v>
      </c>
      <c r="B13" s="75">
        <v>6</v>
      </c>
      <c r="C13" s="75">
        <v>9</v>
      </c>
    </row>
    <row r="14" spans="1:14" x14ac:dyDescent="0.35">
      <c r="B14">
        <f>SUM(B4:B13)</f>
        <v>80</v>
      </c>
      <c r="C14">
        <f>SUM(C4:C13)</f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9"/>
  <dimension ref="A1:T36"/>
  <sheetViews>
    <sheetView workbookViewId="0"/>
  </sheetViews>
  <sheetFormatPr defaultRowHeight="14.5" x14ac:dyDescent="0.35"/>
  <cols>
    <col min="1" max="1" width="6.81640625" style="126" customWidth="1"/>
    <col min="2" max="2" width="5.26953125" style="169" customWidth="1"/>
    <col min="5" max="5" width="3.7265625" customWidth="1"/>
    <col min="8" max="8" width="3.54296875" customWidth="1"/>
    <col min="9" max="9" width="55.453125" customWidth="1"/>
    <col min="11" max="11" width="18.453125" customWidth="1"/>
  </cols>
  <sheetData>
    <row r="1" spans="1:20" x14ac:dyDescent="0.35">
      <c r="A1" s="125" t="s">
        <v>159</v>
      </c>
    </row>
    <row r="2" spans="1:20" x14ac:dyDescent="0.35">
      <c r="K2" t="s">
        <v>24</v>
      </c>
      <c r="N2" t="s">
        <v>126</v>
      </c>
      <c r="Q2" t="s">
        <v>160</v>
      </c>
    </row>
    <row r="3" spans="1:20" x14ac:dyDescent="0.35">
      <c r="A3" s="170" t="s">
        <v>2</v>
      </c>
      <c r="B3" s="150" t="s">
        <v>161</v>
      </c>
      <c r="C3" s="150" t="s">
        <v>162</v>
      </c>
      <c r="D3" s="150" t="s">
        <v>163</v>
      </c>
      <c r="F3" t="s">
        <v>4</v>
      </c>
      <c r="G3" s="149">
        <f>AVERAGE(A4:A18)</f>
        <v>3.3400000000000003</v>
      </c>
      <c r="I3" t="e">
        <f ca="1">FTEXT(G3)</f>
        <v>#NAME?</v>
      </c>
    </row>
    <row r="4" spans="1:20" x14ac:dyDescent="0.35">
      <c r="A4" s="126">
        <v>1.2</v>
      </c>
      <c r="B4" s="169">
        <v>1</v>
      </c>
      <c r="C4">
        <f>NORMDIST(A4,$G$3,$G$4,TRUE)</f>
        <v>0.14008910360685203</v>
      </c>
      <c r="D4">
        <f>LARGE($C$4:$C$18,B4)</f>
        <v>0.98421232427284167</v>
      </c>
      <c r="F4" t="s">
        <v>6</v>
      </c>
      <c r="G4" s="38">
        <f>STDEV(A4:A18)</f>
        <v>1.9816299207614778</v>
      </c>
      <c r="I4" t="e">
        <f ca="1">FTEXT(G4)</f>
        <v>#NAME?</v>
      </c>
      <c r="K4" s="77"/>
      <c r="L4" s="77" t="s">
        <v>59</v>
      </c>
      <c r="N4" s="77"/>
      <c r="O4" s="77" t="s">
        <v>59</v>
      </c>
      <c r="Q4" t="s">
        <v>19</v>
      </c>
      <c r="R4">
        <f>COUNT(A4:A18)</f>
        <v>15</v>
      </c>
      <c r="S4">
        <f>2*R4</f>
        <v>30</v>
      </c>
    </row>
    <row r="5" spans="1:20" x14ac:dyDescent="0.35">
      <c r="A5" s="126">
        <v>1.6</v>
      </c>
      <c r="B5" s="169">
        <f>B4+1</f>
        <v>2</v>
      </c>
      <c r="C5">
        <f t="shared" ref="C5:C18" si="0">NORMDIST(A5,$G$3,$G$4,TRUE)</f>
        <v>0.18995420579836306</v>
      </c>
      <c r="D5">
        <f t="shared" ref="D5:D18" si="1">LARGE($C$4:$C$18,B5)</f>
        <v>0.95002647729801615</v>
      </c>
      <c r="F5" t="s">
        <v>92</v>
      </c>
      <c r="G5" s="35">
        <f>COUNT(A4:A18)</f>
        <v>15</v>
      </c>
      <c r="I5" t="e">
        <f ca="1">FTEXT(G5)</f>
        <v>#NAME?</v>
      </c>
      <c r="K5" t="s">
        <v>7</v>
      </c>
      <c r="L5" s="13">
        <f>AVERAGE(A4:A18)</f>
        <v>3.3400000000000003</v>
      </c>
      <c r="N5" t="s">
        <v>101</v>
      </c>
      <c r="O5" t="e">
        <f ca="1">SHAPIRO(A4:A18)</f>
        <v>#NAME?</v>
      </c>
      <c r="Q5" t="s">
        <v>7</v>
      </c>
      <c r="R5" s="17">
        <f>AVERAGE(A4:A18)</f>
        <v>3.3400000000000003</v>
      </c>
    </row>
    <row r="6" spans="1:20" x14ac:dyDescent="0.35">
      <c r="A6" s="126">
        <v>1.7</v>
      </c>
      <c r="B6" s="169">
        <f t="shared" ref="B6:B18" si="2">B5+1</f>
        <v>3</v>
      </c>
      <c r="C6">
        <f t="shared" si="0"/>
        <v>0.20394809422089374</v>
      </c>
      <c r="D6">
        <f t="shared" si="1"/>
        <v>0.87295583357995654</v>
      </c>
      <c r="K6" t="s">
        <v>8</v>
      </c>
      <c r="L6" s="13">
        <f>STDEV(A4:A18)/SQRT(COUNT(A4:A18))</f>
        <v>0.51165464543036843</v>
      </c>
      <c r="N6" t="s">
        <v>57</v>
      </c>
      <c r="O6" t="e">
        <f ca="1">SWTEST(A4:A18)</f>
        <v>#NAME?</v>
      </c>
      <c r="Q6" t="s">
        <v>54</v>
      </c>
      <c r="R6">
        <f>STDEV(A4:A18)</f>
        <v>1.9816299207614778</v>
      </c>
    </row>
    <row r="7" spans="1:20" ht="15" customHeight="1" x14ac:dyDescent="0.35">
      <c r="A7" s="126">
        <v>1.8</v>
      </c>
      <c r="B7" s="169">
        <f t="shared" si="2"/>
        <v>4</v>
      </c>
      <c r="C7">
        <f t="shared" si="0"/>
        <v>0.21853866539260436</v>
      </c>
      <c r="D7">
        <f t="shared" si="1"/>
        <v>0.76936804459332753</v>
      </c>
      <c r="F7" s="24">
        <v>0.2</v>
      </c>
      <c r="G7" s="149">
        <f>1-EXP(-13.436+101.14*G13-223.73*G13^2)</f>
        <v>1</v>
      </c>
      <c r="I7" t="e">
        <f ca="1">FTEXT(G7)</f>
        <v>#NAME?</v>
      </c>
      <c r="K7" t="s">
        <v>9</v>
      </c>
      <c r="L7" s="13">
        <f>MEDIAN(A4:A18)</f>
        <v>2.6</v>
      </c>
      <c r="N7" t="s">
        <v>88</v>
      </c>
      <c r="O7">
        <v>0.05</v>
      </c>
    </row>
    <row r="8" spans="1:20" ht="15" customHeight="1" x14ac:dyDescent="0.35">
      <c r="A8" s="126">
        <v>1.9</v>
      </c>
      <c r="B8" s="169">
        <f t="shared" si="2"/>
        <v>5</v>
      </c>
      <c r="C8">
        <f t="shared" si="0"/>
        <v>0.23371267850970143</v>
      </c>
      <c r="D8">
        <f t="shared" si="1"/>
        <v>0.63045518727576932</v>
      </c>
      <c r="F8" s="24">
        <v>0.34</v>
      </c>
      <c r="G8" s="38">
        <f>1-EXP(-8.318+42.796*G13-59.938*G13^2)</f>
        <v>0.99999348144451583</v>
      </c>
      <c r="I8" t="e">
        <f ca="1">FTEXT(G8)</f>
        <v>#NAME?</v>
      </c>
      <c r="K8" t="s">
        <v>10</v>
      </c>
      <c r="L8" s="13" t="e">
        <f>MODE(A4:A18)</f>
        <v>#N/A</v>
      </c>
      <c r="N8" s="75" t="s">
        <v>127</v>
      </c>
      <c r="O8" s="76" t="e">
        <f ca="1">IF(O6&lt;O7,"no","yes")</f>
        <v>#NAME?</v>
      </c>
      <c r="Q8" t="s">
        <v>61</v>
      </c>
      <c r="R8" t="s">
        <v>62</v>
      </c>
      <c r="S8" t="s">
        <v>93</v>
      </c>
      <c r="T8" t="s">
        <v>63</v>
      </c>
    </row>
    <row r="9" spans="1:20" x14ac:dyDescent="0.35">
      <c r="A9" s="126">
        <v>2</v>
      </c>
      <c r="B9" s="169">
        <f t="shared" si="2"/>
        <v>6</v>
      </c>
      <c r="C9">
        <f t="shared" si="0"/>
        <v>0.24945333683886511</v>
      </c>
      <c r="D9">
        <f t="shared" si="1"/>
        <v>0.53217627954696556</v>
      </c>
      <c r="F9" s="24">
        <v>0.6</v>
      </c>
      <c r="G9" s="38">
        <f>EXP(0.9177-4.279*G13-1.38*G13^2)</f>
        <v>3.5900570433026385E-2</v>
      </c>
      <c r="I9" t="e">
        <f ca="1">FTEXT(G9)</f>
        <v>#NAME?</v>
      </c>
      <c r="K9" t="s">
        <v>11</v>
      </c>
      <c r="L9" s="13">
        <f>STDEV(A4:A18)</f>
        <v>1.9816299207614778</v>
      </c>
      <c r="Q9">
        <v>1</v>
      </c>
      <c r="R9" t="e">
        <f t="array" aca="1" ref="R9:R23" ca="1">QSORT(A4:A18)</f>
        <v>#NAME?</v>
      </c>
      <c r="S9">
        <f>NORMSINV(Q9/S$4)</f>
        <v>-1.8339146358159142</v>
      </c>
      <c r="T9" t="e">
        <f ca="1">STANDARDIZE(R9,R$5,R$6)</f>
        <v>#NAME?</v>
      </c>
    </row>
    <row r="10" spans="1:20" x14ac:dyDescent="0.35">
      <c r="A10" s="126">
        <v>2.2000000000000002</v>
      </c>
      <c r="B10" s="169">
        <f t="shared" si="2"/>
        <v>7</v>
      </c>
      <c r="C10">
        <f t="shared" si="0"/>
        <v>0.2825496181705533</v>
      </c>
      <c r="D10">
        <f t="shared" si="1"/>
        <v>0.43188546526133176</v>
      </c>
      <c r="F10" s="24" t="s">
        <v>164</v>
      </c>
      <c r="G10" s="35">
        <f>EXP(1.2937-5.709*G13+0.0186*G13^2)</f>
        <v>4.0458873814569668E-2</v>
      </c>
      <c r="I10" t="e">
        <f ca="1">FTEXT(G10)</f>
        <v>#NAME?</v>
      </c>
      <c r="K10" t="s">
        <v>12</v>
      </c>
      <c r="L10" s="13">
        <f>VAR(A4:A18)</f>
        <v>3.9268571428571408</v>
      </c>
      <c r="Q10">
        <f>Q9+2</f>
        <v>3</v>
      </c>
      <c r="R10" t="e">
        <f ca="1"/>
        <v>#NAME?</v>
      </c>
      <c r="S10">
        <f t="shared" ref="S10:S23" si="3">NORMSINV(Q10/S$4)</f>
        <v>-1.2815515655446006</v>
      </c>
      <c r="T10" t="e">
        <f t="shared" ref="T10:T23" ca="1" si="4">STANDARDIZE(R10,R$5,R$6)</f>
        <v>#NAME?</v>
      </c>
    </row>
    <row r="11" spans="1:20" x14ac:dyDescent="0.35">
      <c r="A11" s="126">
        <v>2.6</v>
      </c>
      <c r="B11" s="169">
        <f t="shared" si="2"/>
        <v>8</v>
      </c>
      <c r="C11">
        <f t="shared" si="0"/>
        <v>0.35441422898988673</v>
      </c>
      <c r="D11">
        <f t="shared" si="1"/>
        <v>0.35441422898988673</v>
      </c>
      <c r="I11" s="127"/>
      <c r="K11" t="s">
        <v>13</v>
      </c>
      <c r="L11" s="13">
        <f>KURT(A4:A18)</f>
        <v>-2.342021834769481E-2</v>
      </c>
      <c r="Q11">
        <f t="shared" ref="Q11:Q23" si="5">Q10+2</f>
        <v>5</v>
      </c>
      <c r="R11" t="e">
        <f ca="1"/>
        <v>#NAME?</v>
      </c>
      <c r="S11">
        <f t="shared" si="3"/>
        <v>-0.96742156610170071</v>
      </c>
      <c r="T11" t="e">
        <f t="shared" ca="1" si="4"/>
        <v>#NAME?</v>
      </c>
    </row>
    <row r="12" spans="1:20" x14ac:dyDescent="0.35">
      <c r="A12" s="126">
        <v>3</v>
      </c>
      <c r="B12" s="169">
        <f t="shared" si="2"/>
        <v>9</v>
      </c>
      <c r="C12">
        <f t="shared" si="0"/>
        <v>0.43188546526133176</v>
      </c>
      <c r="D12">
        <f t="shared" si="1"/>
        <v>0.2825496181705533</v>
      </c>
      <c r="F12" t="s">
        <v>91</v>
      </c>
      <c r="G12" s="149">
        <f>-G5-SUMPRODUCT(2*B4:B18-1,LN(C4:C18)+LN(1-D4:D18))/G5</f>
        <v>0.7457261042558514</v>
      </c>
      <c r="I12" t="e">
        <f ca="1">FTEXT(G12)</f>
        <v>#NAME?</v>
      </c>
      <c r="K12" t="s">
        <v>14</v>
      </c>
      <c r="L12" s="13">
        <f>SKEW(A4:A18)</f>
        <v>1.0215581551100652</v>
      </c>
      <c r="Q12">
        <f t="shared" si="5"/>
        <v>7</v>
      </c>
      <c r="R12" t="e">
        <f ca="1"/>
        <v>#NAME?</v>
      </c>
      <c r="S12">
        <f t="shared" si="3"/>
        <v>-0.72791329088164469</v>
      </c>
      <c r="T12" t="e">
        <f t="shared" ca="1" si="4"/>
        <v>#NAME?</v>
      </c>
    </row>
    <row r="13" spans="1:20" x14ac:dyDescent="0.35">
      <c r="A13" s="126">
        <v>3.5</v>
      </c>
      <c r="B13" s="169">
        <f t="shared" si="2"/>
        <v>10</v>
      </c>
      <c r="C13">
        <f t="shared" si="0"/>
        <v>0.53217627954696556</v>
      </c>
      <c r="D13">
        <f t="shared" si="1"/>
        <v>0.24945333683886511</v>
      </c>
      <c r="F13" t="s">
        <v>405</v>
      </c>
      <c r="G13" s="38">
        <f>G12*(1+0.75/G5+2.25/G5^2)</f>
        <v>0.79046967051120254</v>
      </c>
      <c r="H13" s="128"/>
      <c r="I13" t="e">
        <f ca="1">FTEXT(G13)</f>
        <v>#NAME?</v>
      </c>
      <c r="K13" t="s">
        <v>15</v>
      </c>
      <c r="L13" s="13">
        <f>L14-L15</f>
        <v>6.3999999999999995</v>
      </c>
      <c r="Q13">
        <f t="shared" si="5"/>
        <v>9</v>
      </c>
      <c r="R13" t="e">
        <f ca="1"/>
        <v>#NAME?</v>
      </c>
      <c r="S13">
        <f t="shared" si="3"/>
        <v>-0.52440051270804089</v>
      </c>
      <c r="T13" t="e">
        <f t="shared" ca="1" si="4"/>
        <v>#NAME?</v>
      </c>
    </row>
    <row r="14" spans="1:20" x14ac:dyDescent="0.35">
      <c r="A14" s="129">
        <v>4</v>
      </c>
      <c r="B14" s="93">
        <f t="shared" si="2"/>
        <v>11</v>
      </c>
      <c r="C14" s="4">
        <f t="shared" si="0"/>
        <v>0.63045518727576932</v>
      </c>
      <c r="D14" s="4">
        <f t="shared" si="1"/>
        <v>0.23371267850970143</v>
      </c>
      <c r="F14" t="s">
        <v>57</v>
      </c>
      <c r="G14" s="35">
        <f>IF(G13&lt;F7,G7,IF(G13&lt;F8,G8,IF(G13&lt;F9,G9,G10)))</f>
        <v>4.0458873814569668E-2</v>
      </c>
      <c r="H14" s="130"/>
      <c r="I14" t="e">
        <f ca="1">FTEXT(G14)</f>
        <v>#NAME?</v>
      </c>
      <c r="K14" t="s">
        <v>17</v>
      </c>
      <c r="L14" s="13">
        <f>MAX(A4:A18)</f>
        <v>7.6</v>
      </c>
      <c r="Q14">
        <f t="shared" si="5"/>
        <v>11</v>
      </c>
      <c r="R14" t="e">
        <f ca="1"/>
        <v>#NAME?</v>
      </c>
      <c r="S14">
        <f t="shared" si="3"/>
        <v>-0.34069482708779553</v>
      </c>
      <c r="T14" t="e">
        <f t="shared" ca="1" si="4"/>
        <v>#NAME?</v>
      </c>
    </row>
    <row r="15" spans="1:20" x14ac:dyDescent="0.35">
      <c r="A15" s="129">
        <v>4.8</v>
      </c>
      <c r="B15" s="93">
        <f t="shared" si="2"/>
        <v>12</v>
      </c>
      <c r="C15" s="4">
        <f t="shared" si="0"/>
        <v>0.76936804459332753</v>
      </c>
      <c r="D15" s="4">
        <f t="shared" si="1"/>
        <v>0.21853866539260436</v>
      </c>
      <c r="K15" t="s">
        <v>16</v>
      </c>
      <c r="L15" s="13">
        <f>MIN(A4:A18)</f>
        <v>1.2</v>
      </c>
      <c r="Q15">
        <f t="shared" si="5"/>
        <v>13</v>
      </c>
      <c r="R15" t="e">
        <f ca="1"/>
        <v>#NAME?</v>
      </c>
      <c r="S15">
        <f t="shared" si="3"/>
        <v>-0.16789400478810546</v>
      </c>
      <c r="T15" t="e">
        <f t="shared" ca="1" si="4"/>
        <v>#NAME?</v>
      </c>
    </row>
    <row r="16" spans="1:20" x14ac:dyDescent="0.35">
      <c r="A16" s="129">
        <v>5.6</v>
      </c>
      <c r="B16" s="93">
        <f t="shared" si="2"/>
        <v>13</v>
      </c>
      <c r="C16" s="4">
        <f t="shared" si="0"/>
        <v>0.87295583357995654</v>
      </c>
      <c r="D16" s="4">
        <f t="shared" si="1"/>
        <v>0.20394809422089374</v>
      </c>
      <c r="F16" t="s">
        <v>41</v>
      </c>
      <c r="G16" s="149">
        <v>0.75139999999999996</v>
      </c>
      <c r="K16" t="s">
        <v>18</v>
      </c>
      <c r="L16" s="13">
        <f>SUM(A4:A18)</f>
        <v>50.1</v>
      </c>
      <c r="Q16">
        <f t="shared" si="5"/>
        <v>15</v>
      </c>
      <c r="R16" t="e">
        <f ca="1"/>
        <v>#NAME?</v>
      </c>
      <c r="S16">
        <f t="shared" si="3"/>
        <v>0</v>
      </c>
      <c r="T16" t="e">
        <f t="shared" ca="1" si="4"/>
        <v>#NAME?</v>
      </c>
    </row>
    <row r="17" spans="1:20" x14ac:dyDescent="0.35">
      <c r="A17" s="129">
        <v>6.6</v>
      </c>
      <c r="B17" s="93">
        <f t="shared" si="2"/>
        <v>14</v>
      </c>
      <c r="C17" s="4">
        <f t="shared" si="0"/>
        <v>0.95002647729801615</v>
      </c>
      <c r="D17" s="4">
        <f t="shared" si="1"/>
        <v>0.18995420579836306</v>
      </c>
      <c r="F17" t="s">
        <v>42</v>
      </c>
      <c r="G17" s="131">
        <v>0.79500000000000004</v>
      </c>
      <c r="K17" t="s">
        <v>19</v>
      </c>
      <c r="L17" s="13">
        <f>COUNT(A4:A18)</f>
        <v>15</v>
      </c>
      <c r="Q17">
        <f t="shared" si="5"/>
        <v>17</v>
      </c>
      <c r="R17" t="e">
        <f ca="1"/>
        <v>#NAME?</v>
      </c>
      <c r="S17">
        <f t="shared" si="3"/>
        <v>0.16789400478810546</v>
      </c>
      <c r="T17" t="e">
        <f t="shared" ca="1" si="4"/>
        <v>#NAME?</v>
      </c>
    </row>
    <row r="18" spans="1:20" x14ac:dyDescent="0.35">
      <c r="A18" s="132">
        <v>7.6</v>
      </c>
      <c r="B18" s="168">
        <f t="shared" si="2"/>
        <v>15</v>
      </c>
      <c r="C18" s="75">
        <f t="shared" si="0"/>
        <v>0.98421232427284167</v>
      </c>
      <c r="D18" s="75">
        <f t="shared" si="1"/>
        <v>0.14008910360685203</v>
      </c>
      <c r="F18" t="s">
        <v>43</v>
      </c>
      <c r="G18" s="133">
        <v>0.89</v>
      </c>
      <c r="K18" t="s">
        <v>3</v>
      </c>
      <c r="L18" s="13">
        <f>GEOMEAN(A4:A18)</f>
        <v>2.8660420470698695</v>
      </c>
      <c r="Q18">
        <f t="shared" si="5"/>
        <v>19</v>
      </c>
      <c r="R18" t="e">
        <f ca="1"/>
        <v>#NAME?</v>
      </c>
      <c r="S18">
        <f t="shared" si="3"/>
        <v>0.34069482708779542</v>
      </c>
      <c r="T18" t="e">
        <f t="shared" ca="1" si="4"/>
        <v>#NAME?</v>
      </c>
    </row>
    <row r="19" spans="1:20" x14ac:dyDescent="0.35">
      <c r="K19" t="s">
        <v>20</v>
      </c>
      <c r="L19" s="13">
        <f>HARMEAN(A4:A18)</f>
        <v>2.4972333603279635</v>
      </c>
      <c r="Q19">
        <f t="shared" si="5"/>
        <v>21</v>
      </c>
      <c r="R19" t="e">
        <f ca="1"/>
        <v>#NAME?</v>
      </c>
      <c r="S19">
        <f t="shared" si="3"/>
        <v>0.52440051270804078</v>
      </c>
      <c r="T19" t="e">
        <f t="shared" ca="1" si="4"/>
        <v>#NAME?</v>
      </c>
    </row>
    <row r="20" spans="1:20" x14ac:dyDescent="0.35">
      <c r="F20" t="s">
        <v>165</v>
      </c>
      <c r="G20" s="171">
        <f>G16*(1-G17/G5-G18/G5^2)</f>
        <v>0.70860359555555541</v>
      </c>
      <c r="I20" t="e">
        <f ca="1">FTEXT(G20)</f>
        <v>#NAME?</v>
      </c>
      <c r="K20" t="s">
        <v>21</v>
      </c>
      <c r="L20" s="13">
        <f>AVEDEV(A4:A18)</f>
        <v>1.6079999999999999</v>
      </c>
      <c r="Q20">
        <f t="shared" si="5"/>
        <v>23</v>
      </c>
      <c r="R20" t="e">
        <f ca="1"/>
        <v>#NAME?</v>
      </c>
      <c r="S20">
        <f t="shared" si="3"/>
        <v>0.72791329088164458</v>
      </c>
      <c r="T20" t="e">
        <f t="shared" ca="1" si="4"/>
        <v>#NAME?</v>
      </c>
    </row>
    <row r="21" spans="1:20" x14ac:dyDescent="0.35">
      <c r="K21" t="s">
        <v>22</v>
      </c>
      <c r="L21" s="13" t="e">
        <f ca="1">MAD(A4:A18)</f>
        <v>#NAME?</v>
      </c>
      <c r="Q21">
        <f t="shared" si="5"/>
        <v>25</v>
      </c>
      <c r="R21" t="e">
        <f ca="1"/>
        <v>#NAME?</v>
      </c>
      <c r="S21">
        <f t="shared" si="3"/>
        <v>0.96742156610170071</v>
      </c>
      <c r="T21" t="e">
        <f t="shared" ca="1" si="4"/>
        <v>#NAME?</v>
      </c>
    </row>
    <row r="22" spans="1:20" x14ac:dyDescent="0.35">
      <c r="F22" t="s">
        <v>41</v>
      </c>
      <c r="G22" s="149">
        <v>0.87280000000000002</v>
      </c>
      <c r="K22" s="75" t="s">
        <v>23</v>
      </c>
      <c r="L22" s="134" t="e">
        <f ca="1">IQR(A4:A18,FALSE)</f>
        <v>#NAME?</v>
      </c>
      <c r="Q22">
        <f t="shared" si="5"/>
        <v>27</v>
      </c>
      <c r="R22" t="e">
        <f ca="1"/>
        <v>#NAME?</v>
      </c>
      <c r="S22">
        <f t="shared" si="3"/>
        <v>1.2815515655446006</v>
      </c>
      <c r="T22" t="e">
        <f t="shared" ca="1" si="4"/>
        <v>#NAME?</v>
      </c>
    </row>
    <row r="23" spans="1:20" x14ac:dyDescent="0.35">
      <c r="F23" t="s">
        <v>42</v>
      </c>
      <c r="G23" s="131">
        <v>0.88100000000000001</v>
      </c>
      <c r="Q23">
        <f t="shared" si="5"/>
        <v>29</v>
      </c>
      <c r="R23" t="e">
        <f ca="1"/>
        <v>#NAME?</v>
      </c>
      <c r="S23">
        <f t="shared" si="3"/>
        <v>1.8339146358159142</v>
      </c>
      <c r="T23" t="e">
        <f t="shared" ca="1" si="4"/>
        <v>#NAME?</v>
      </c>
    </row>
    <row r="24" spans="1:20" x14ac:dyDescent="0.35">
      <c r="F24" t="s">
        <v>43</v>
      </c>
      <c r="G24" s="133">
        <v>0.94</v>
      </c>
    </row>
    <row r="26" spans="1:20" x14ac:dyDescent="0.35">
      <c r="F26" t="s">
        <v>166</v>
      </c>
      <c r="G26" s="171">
        <f>G22*(1-G23/G5-G24/G5^2)</f>
        <v>0.81789118222222235</v>
      </c>
    </row>
    <row r="28" spans="1:20" x14ac:dyDescent="0.35">
      <c r="F28" t="e">
        <f t="array" aca="1" ref="F28:G30" ca="1">ADTEST(A4:A18,1,TRUE,0)</f>
        <v>#NAME?</v>
      </c>
      <c r="G28" s="149" t="e">
        <f ca="1"/>
        <v>#NAME?</v>
      </c>
      <c r="I28" t="e">
        <f ca="1">FTEXT(G28)</f>
        <v>#NAME?</v>
      </c>
      <c r="M28" t="s">
        <v>167</v>
      </c>
    </row>
    <row r="29" spans="1:20" x14ac:dyDescent="0.35">
      <c r="F29" t="e">
        <f ca="1"/>
        <v>#NAME?</v>
      </c>
      <c r="G29" s="38" t="e">
        <f ca="1"/>
        <v>#NAME?</v>
      </c>
    </row>
    <row r="30" spans="1:20" x14ac:dyDescent="0.35">
      <c r="F30" t="e">
        <f ca="1"/>
        <v>#NAME?</v>
      </c>
      <c r="G30" s="35" t="e">
        <f ca="1"/>
        <v>#NAME?</v>
      </c>
      <c r="M30" t="s">
        <v>35</v>
      </c>
      <c r="N30" s="94">
        <v>0.05</v>
      </c>
      <c r="P30" t="s">
        <v>4</v>
      </c>
    </row>
    <row r="31" spans="1:20" x14ac:dyDescent="0.35">
      <c r="M31" t="s">
        <v>168</v>
      </c>
      <c r="N31" s="135" t="s">
        <v>169</v>
      </c>
      <c r="P31" t="s">
        <v>64</v>
      </c>
    </row>
    <row r="32" spans="1:20" x14ac:dyDescent="0.35">
      <c r="F32" t="s">
        <v>170</v>
      </c>
      <c r="G32" s="91" t="e">
        <f ca="1">ANDERSON(C4:C18,1)</f>
        <v>#NAME?</v>
      </c>
      <c r="I32" t="e">
        <f ca="1">FTEXT(G32)</f>
        <v>#NAME?</v>
      </c>
      <c r="M32" t="s">
        <v>171</v>
      </c>
      <c r="N32" s="71" t="s">
        <v>172</v>
      </c>
    </row>
    <row r="33" spans="6:14" x14ac:dyDescent="0.35">
      <c r="F33" t="s">
        <v>57</v>
      </c>
      <c r="G33" s="38" t="e">
        <f ca="1">ADPROB(G32,1)</f>
        <v>#NAME?</v>
      </c>
      <c r="I33" t="e">
        <f ca="1">FTEXT(G33)</f>
        <v>#NAME?</v>
      </c>
    </row>
    <row r="34" spans="6:14" x14ac:dyDescent="0.35">
      <c r="F34" t="s">
        <v>173</v>
      </c>
      <c r="G34" s="35" t="e">
        <f ca="1">ADCRIT(G5,0.05,1)</f>
        <v>#NAME?</v>
      </c>
      <c r="I34" t="e">
        <f ca="1">FTEXT(G34)</f>
        <v>#NAME?</v>
      </c>
      <c r="M34" t="e">
        <f t="array" aca="1" ref="M34:N36" ca="1">ADTEST(A4:A18,1,TRUE,0,N30)</f>
        <v>#NAME?</v>
      </c>
      <c r="N34" s="94" t="e">
        <f ca="1"/>
        <v>#NAME?</v>
      </c>
    </row>
    <row r="35" spans="6:14" x14ac:dyDescent="0.35">
      <c r="M35" t="e">
        <f ca="1"/>
        <v>#NAME?</v>
      </c>
      <c r="N35" s="69" t="e">
        <f ca="1"/>
        <v>#NAME?</v>
      </c>
    </row>
    <row r="36" spans="6:14" x14ac:dyDescent="0.35">
      <c r="M36" t="e">
        <f ca="1"/>
        <v>#NAME?</v>
      </c>
      <c r="N36" s="70" t="e">
        <f ca="1"/>
        <v>#NAME?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/>
  <dimension ref="A1:V18"/>
  <sheetViews>
    <sheetView workbookViewId="0"/>
  </sheetViews>
  <sheetFormatPr defaultRowHeight="14.5" x14ac:dyDescent="0.35"/>
  <cols>
    <col min="1" max="1" width="6.81640625" style="126" customWidth="1"/>
    <col min="2" max="2" width="5.26953125" style="169" customWidth="1"/>
    <col min="4" max="4" width="3.7265625" customWidth="1"/>
    <col min="7" max="7" width="3.54296875" customWidth="1"/>
    <col min="8" max="8" width="19.7265625" customWidth="1"/>
    <col min="9" max="9" width="7.1796875" customWidth="1"/>
    <col min="11" max="11" width="3" customWidth="1"/>
  </cols>
  <sheetData>
    <row r="1" spans="1:22" x14ac:dyDescent="0.35">
      <c r="A1" s="125" t="s">
        <v>159</v>
      </c>
    </row>
    <row r="3" spans="1:22" x14ac:dyDescent="0.35">
      <c r="A3" s="170" t="s">
        <v>2</v>
      </c>
      <c r="B3" s="150" t="s">
        <v>161</v>
      </c>
      <c r="C3" s="150" t="s">
        <v>162</v>
      </c>
      <c r="J3" s="150" t="s">
        <v>163</v>
      </c>
    </row>
    <row r="4" spans="1:22" x14ac:dyDescent="0.35">
      <c r="A4" s="126">
        <v>1.2</v>
      </c>
      <c r="B4" s="169">
        <v>1</v>
      </c>
      <c r="C4">
        <f t="shared" ref="C4:C18" si="0">NORMDIST(A4,$F$4,$F$5,TRUE)</f>
        <v>8.0756659233771053E-2</v>
      </c>
      <c r="E4" t="s">
        <v>4</v>
      </c>
      <c r="F4" s="149">
        <v>4</v>
      </c>
      <c r="J4">
        <f t="shared" ref="J4:J18" si="1">LARGE($C$4:$C$18,B4)</f>
        <v>0.96406968088707423</v>
      </c>
    </row>
    <row r="5" spans="1:22" x14ac:dyDescent="0.35">
      <c r="A5" s="126">
        <v>1.6</v>
      </c>
      <c r="B5" s="169">
        <f>B4+1</f>
        <v>2</v>
      </c>
      <c r="C5">
        <f t="shared" si="0"/>
        <v>0.11506967022170828</v>
      </c>
      <c r="E5" t="s">
        <v>6</v>
      </c>
      <c r="F5" s="38">
        <v>2</v>
      </c>
      <c r="J5">
        <f t="shared" si="1"/>
        <v>0.9031995154143897</v>
      </c>
    </row>
    <row r="6" spans="1:22" x14ac:dyDescent="0.35">
      <c r="A6" s="126">
        <v>1.7</v>
      </c>
      <c r="B6" s="169">
        <f t="shared" ref="B6:B18" si="2">B5+1</f>
        <v>3</v>
      </c>
      <c r="C6">
        <f t="shared" si="0"/>
        <v>0.12507193563715024</v>
      </c>
      <c r="E6" t="s">
        <v>92</v>
      </c>
      <c r="F6" s="35">
        <f>COUNT(A4:A18)</f>
        <v>15</v>
      </c>
      <c r="H6" t="e">
        <f ca="1">FTEXT(F6)</f>
        <v>#NAME?</v>
      </c>
      <c r="J6">
        <f t="shared" si="1"/>
        <v>0.78814460141660325</v>
      </c>
      <c r="R6" t="s">
        <v>167</v>
      </c>
    </row>
    <row r="7" spans="1:22" x14ac:dyDescent="0.35">
      <c r="A7" s="126">
        <v>1.8</v>
      </c>
      <c r="B7" s="169">
        <f t="shared" si="2"/>
        <v>4</v>
      </c>
      <c r="C7">
        <f t="shared" si="0"/>
        <v>0.13566606094638264</v>
      </c>
      <c r="I7" s="6"/>
      <c r="J7">
        <f t="shared" si="1"/>
        <v>0.65542174161032418</v>
      </c>
    </row>
    <row r="8" spans="1:22" x14ac:dyDescent="0.35">
      <c r="A8" s="126">
        <v>1.9</v>
      </c>
      <c r="B8" s="169">
        <f t="shared" si="2"/>
        <v>5</v>
      </c>
      <c r="C8">
        <f t="shared" si="0"/>
        <v>0.14685905637589594</v>
      </c>
      <c r="E8" t="s">
        <v>88</v>
      </c>
      <c r="F8" s="149">
        <v>0.05</v>
      </c>
      <c r="J8">
        <f t="shared" si="1"/>
        <v>0.5</v>
      </c>
      <c r="O8" t="e">
        <f t="array" aca="1" ref="O8:P10" ca="1">ADTEST(C4:C18,0,TRUE)</f>
        <v>#NAME?</v>
      </c>
      <c r="P8" s="149" t="e">
        <f ca="1"/>
        <v>#NAME?</v>
      </c>
      <c r="R8" t="s">
        <v>35</v>
      </c>
      <c r="S8" s="94">
        <v>0.05</v>
      </c>
      <c r="U8" t="s">
        <v>4</v>
      </c>
      <c r="V8" s="94">
        <v>4</v>
      </c>
    </row>
    <row r="9" spans="1:22" x14ac:dyDescent="0.35">
      <c r="A9" s="126">
        <v>2</v>
      </c>
      <c r="B9" s="169">
        <f t="shared" si="2"/>
        <v>6</v>
      </c>
      <c r="C9">
        <f t="shared" si="0"/>
        <v>0.15865525393145699</v>
      </c>
      <c r="E9" t="s">
        <v>170</v>
      </c>
      <c r="F9" s="38" t="e">
        <f ca="1">ANDERSON(C4:C18)</f>
        <v>#NAME?</v>
      </c>
      <c r="H9" s="6" t="s">
        <v>174</v>
      </c>
      <c r="I9" s="6"/>
      <c r="J9">
        <f t="shared" si="1"/>
        <v>0.4012936743170763</v>
      </c>
      <c r="L9" t="s">
        <v>175</v>
      </c>
      <c r="M9" s="171">
        <f>-F6-SUMPRODUCT(2*B4:B18-1,LN(C4:C18)+LN(1-J4:J18))/F6</f>
        <v>1.9633454251244338</v>
      </c>
      <c r="O9" t="e">
        <f ca="1"/>
        <v>#NAME?</v>
      </c>
      <c r="P9" s="38" t="e">
        <f ca="1"/>
        <v>#NAME?</v>
      </c>
      <c r="R9" t="s">
        <v>168</v>
      </c>
      <c r="S9" s="135" t="s">
        <v>169</v>
      </c>
      <c r="U9" t="s">
        <v>64</v>
      </c>
      <c r="V9" s="70">
        <v>2</v>
      </c>
    </row>
    <row r="10" spans="1:22" x14ac:dyDescent="0.35">
      <c r="A10" s="126">
        <v>2.2000000000000002</v>
      </c>
      <c r="B10" s="169">
        <f t="shared" si="2"/>
        <v>7</v>
      </c>
      <c r="C10">
        <f t="shared" si="0"/>
        <v>0.1840601253467595</v>
      </c>
      <c r="E10" t="s">
        <v>57</v>
      </c>
      <c r="F10" s="38" t="e">
        <f ca="1">ADPROB(F9)</f>
        <v>#NAME?</v>
      </c>
      <c r="G10" s="130"/>
      <c r="H10" t="e">
        <f ca="1">FTEXT(F10)</f>
        <v>#NAME?</v>
      </c>
      <c r="J10">
        <f t="shared" si="1"/>
        <v>0.30853753872598688</v>
      </c>
      <c r="O10" t="e">
        <f ca="1"/>
        <v>#NAME?</v>
      </c>
      <c r="P10" s="35" t="e">
        <f ca="1"/>
        <v>#NAME?</v>
      </c>
      <c r="R10" t="s">
        <v>171</v>
      </c>
      <c r="S10" s="71" t="s">
        <v>176</v>
      </c>
    </row>
    <row r="11" spans="1:22" x14ac:dyDescent="0.35">
      <c r="A11" s="126">
        <v>2.6</v>
      </c>
      <c r="B11" s="169">
        <f t="shared" si="2"/>
        <v>8</v>
      </c>
      <c r="C11">
        <f t="shared" si="0"/>
        <v>0.24196365222307298</v>
      </c>
      <c r="E11" t="s">
        <v>177</v>
      </c>
      <c r="F11" s="35" t="e">
        <f ca="1">ADCRIT(F6,F8)</f>
        <v>#NAME?</v>
      </c>
      <c r="H11" t="e">
        <f ca="1">FTEXT(F11)</f>
        <v>#NAME?</v>
      </c>
      <c r="J11">
        <f t="shared" si="1"/>
        <v>0.24196365222307298</v>
      </c>
    </row>
    <row r="12" spans="1:22" x14ac:dyDescent="0.35">
      <c r="A12" s="126">
        <v>3</v>
      </c>
      <c r="B12" s="169">
        <f t="shared" si="2"/>
        <v>9</v>
      </c>
      <c r="C12">
        <f t="shared" si="0"/>
        <v>0.30853753872598688</v>
      </c>
      <c r="J12">
        <f t="shared" si="1"/>
        <v>0.1840601253467595</v>
      </c>
      <c r="O12" t="e">
        <f t="array" aca="1" ref="O12:P14" ca="1">ADTEST(A4:A18,1,TRUE,-3,,F4,F5)</f>
        <v>#NAME?</v>
      </c>
      <c r="P12" s="149" t="e">
        <f ca="1"/>
        <v>#NAME?</v>
      </c>
      <c r="R12" t="e">
        <f t="array" aca="1" ref="R12:S14" ca="1">ADTEST(A4:A18,1,TRUE,-3,S8,4,2)</f>
        <v>#NAME?</v>
      </c>
      <c r="S12" s="94" t="e">
        <f ca="1"/>
        <v>#NAME?</v>
      </c>
    </row>
    <row r="13" spans="1:22" x14ac:dyDescent="0.35">
      <c r="A13" s="126">
        <v>3.5</v>
      </c>
      <c r="B13" s="169">
        <f t="shared" si="2"/>
        <v>10</v>
      </c>
      <c r="C13">
        <f t="shared" si="0"/>
        <v>0.4012936743170763</v>
      </c>
      <c r="J13">
        <f t="shared" si="1"/>
        <v>0.15865525393145699</v>
      </c>
      <c r="O13" t="e">
        <f ca="1"/>
        <v>#NAME?</v>
      </c>
      <c r="P13" s="38" t="e">
        <f ca="1"/>
        <v>#NAME?</v>
      </c>
      <c r="R13" t="e">
        <f ca="1"/>
        <v>#NAME?</v>
      </c>
      <c r="S13" s="69" t="e">
        <f ca="1"/>
        <v>#NAME?</v>
      </c>
    </row>
    <row r="14" spans="1:22" x14ac:dyDescent="0.35">
      <c r="A14" s="129">
        <v>4</v>
      </c>
      <c r="B14" s="93">
        <f t="shared" si="2"/>
        <v>11</v>
      </c>
      <c r="C14" s="4">
        <f t="shared" si="0"/>
        <v>0.5</v>
      </c>
      <c r="J14" s="4">
        <f t="shared" si="1"/>
        <v>0.14685905637589594</v>
      </c>
      <c r="O14" t="e">
        <f ca="1"/>
        <v>#NAME?</v>
      </c>
      <c r="P14" s="35" t="e">
        <f ca="1"/>
        <v>#NAME?</v>
      </c>
      <c r="R14" t="e">
        <f ca="1"/>
        <v>#NAME?</v>
      </c>
      <c r="S14" s="70" t="e">
        <f ca="1"/>
        <v>#NAME?</v>
      </c>
    </row>
    <row r="15" spans="1:22" x14ac:dyDescent="0.35">
      <c r="A15" s="129">
        <v>4.8</v>
      </c>
      <c r="B15" s="93">
        <f t="shared" si="2"/>
        <v>12</v>
      </c>
      <c r="C15" s="4">
        <f t="shared" si="0"/>
        <v>0.65542174161032418</v>
      </c>
      <c r="J15" s="4">
        <f t="shared" si="1"/>
        <v>0.13566606094638264</v>
      </c>
    </row>
    <row r="16" spans="1:22" x14ac:dyDescent="0.35">
      <c r="A16" s="129">
        <v>5.6</v>
      </c>
      <c r="B16" s="93">
        <f t="shared" si="2"/>
        <v>13</v>
      </c>
      <c r="C16" s="4">
        <f t="shared" si="0"/>
        <v>0.78814460141660325</v>
      </c>
      <c r="J16" s="4">
        <f t="shared" si="1"/>
        <v>0.12507193563715024</v>
      </c>
    </row>
    <row r="17" spans="1:10" x14ac:dyDescent="0.35">
      <c r="A17" s="129">
        <v>6.6</v>
      </c>
      <c r="B17" s="93">
        <f t="shared" si="2"/>
        <v>14</v>
      </c>
      <c r="C17" s="4">
        <f t="shared" si="0"/>
        <v>0.9031995154143897</v>
      </c>
      <c r="J17" s="4">
        <f t="shared" si="1"/>
        <v>0.11506967022170828</v>
      </c>
    </row>
    <row r="18" spans="1:10" x14ac:dyDescent="0.35">
      <c r="A18" s="132">
        <v>7.6</v>
      </c>
      <c r="B18" s="168">
        <f t="shared" si="2"/>
        <v>15</v>
      </c>
      <c r="C18" s="75">
        <f t="shared" si="0"/>
        <v>0.96406968088707423</v>
      </c>
      <c r="J18" s="75">
        <f t="shared" si="1"/>
        <v>8.0756659233771053E-2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7"/>
  <dimension ref="A1:S18"/>
  <sheetViews>
    <sheetView workbookViewId="0">
      <selection activeCell="H13" sqref="H13:M15"/>
    </sheetView>
  </sheetViews>
  <sheetFormatPr defaultRowHeight="14.5" x14ac:dyDescent="0.35"/>
  <cols>
    <col min="1" max="1" width="6.81640625" style="126" customWidth="1"/>
    <col min="2" max="2" width="5.26953125" style="169" customWidth="1"/>
    <col min="4" max="4" width="3.7265625" customWidth="1"/>
    <col min="7" max="7" width="3.54296875" customWidth="1"/>
    <col min="8" max="8" width="27" customWidth="1"/>
    <col min="9" max="9" width="4.1796875" customWidth="1"/>
    <col min="10" max="10" width="9.1796875" customWidth="1"/>
    <col min="12" max="12" width="4" customWidth="1"/>
    <col min="13" max="13" width="28.1796875" bestFit="1" customWidth="1"/>
    <col min="17" max="17" width="5.26953125" customWidth="1"/>
  </cols>
  <sheetData>
    <row r="1" spans="1:19" x14ac:dyDescent="0.35">
      <c r="A1" s="125" t="s">
        <v>178</v>
      </c>
      <c r="O1" t="s">
        <v>167</v>
      </c>
    </row>
    <row r="3" spans="1:19" x14ac:dyDescent="0.35">
      <c r="A3" s="170" t="s">
        <v>2</v>
      </c>
      <c r="B3" s="150" t="s">
        <v>161</v>
      </c>
      <c r="C3" s="150" t="s">
        <v>162</v>
      </c>
      <c r="O3" t="s">
        <v>35</v>
      </c>
      <c r="P3" s="94">
        <v>0.05</v>
      </c>
      <c r="R3" t="e">
        <f t="array" aca="1" ref="R3:S5" ca="1">GAMMA_FITM(A4:A18,TRUE)</f>
        <v>#NAME?</v>
      </c>
      <c r="S3" s="94" t="e">
        <f ca="1"/>
        <v>#NAME?</v>
      </c>
    </row>
    <row r="4" spans="1:19" x14ac:dyDescent="0.35">
      <c r="A4" s="126">
        <v>1.2</v>
      </c>
      <c r="B4" s="169">
        <v>1</v>
      </c>
      <c r="C4" t="e">
        <f ca="1">GAMMADIST(A4,$F$4,$F$5,TRUE)</f>
        <v>#NAME?</v>
      </c>
      <c r="E4" t="e">
        <f t="array" aca="1" ref="E4:F6" ca="1">GAMMA_FITM(A4:A18,TRUE)</f>
        <v>#NAME?</v>
      </c>
      <c r="F4" s="91" t="e">
        <f ca="1"/>
        <v>#NAME?</v>
      </c>
      <c r="H4" t="e">
        <f ca="1">FTEXT(F4)</f>
        <v>#NAME?</v>
      </c>
      <c r="O4" t="s">
        <v>168</v>
      </c>
      <c r="P4" s="135" t="s">
        <v>179</v>
      </c>
      <c r="R4" t="e">
        <f ca="1"/>
        <v>#NAME?</v>
      </c>
      <c r="S4" s="69" t="e">
        <f ca="1"/>
        <v>#NAME?</v>
      </c>
    </row>
    <row r="5" spans="1:19" x14ac:dyDescent="0.35">
      <c r="A5" s="126">
        <v>1.6</v>
      </c>
      <c r="B5" s="169">
        <f>B4+1</f>
        <v>2</v>
      </c>
      <c r="C5" t="e">
        <f t="shared" ref="C5:C18" ca="1" si="0">GAMMADIST(A5,$F$4,$F$5,TRUE)</f>
        <v>#NAME?</v>
      </c>
      <c r="E5" t="e">
        <f ca="1"/>
        <v>#NAME?</v>
      </c>
      <c r="F5" s="38" t="e">
        <f ca="1"/>
        <v>#NAME?</v>
      </c>
      <c r="O5" t="s">
        <v>171</v>
      </c>
      <c r="P5" s="71" t="s">
        <v>172</v>
      </c>
      <c r="R5" t="e">
        <f ca="1"/>
        <v>#NAME?</v>
      </c>
      <c r="S5" s="70" t="e">
        <f ca="1"/>
        <v>#NAME?</v>
      </c>
    </row>
    <row r="6" spans="1:19" x14ac:dyDescent="0.35">
      <c r="A6" s="126">
        <v>1.7</v>
      </c>
      <c r="B6" s="169">
        <f t="shared" ref="B6:B18" si="1">B5+1</f>
        <v>3</v>
      </c>
      <c r="C6" t="e">
        <f t="shared" ca="1" si="0"/>
        <v>#NAME?</v>
      </c>
      <c r="E6" t="e">
        <f ca="1"/>
        <v>#NAME?</v>
      </c>
      <c r="F6" s="35" t="e">
        <f ca="1"/>
        <v>#NAME?</v>
      </c>
    </row>
    <row r="7" spans="1:19" x14ac:dyDescent="0.35">
      <c r="A7" s="126">
        <v>1.8</v>
      </c>
      <c r="B7" s="169">
        <f t="shared" si="1"/>
        <v>4</v>
      </c>
      <c r="C7" t="e">
        <f t="shared" ca="1" si="0"/>
        <v>#NAME?</v>
      </c>
      <c r="O7" t="e">
        <f t="array" aca="1" ref="O7:P9" ca="1">ADTEST(A4:A18,4,TRUE,0,P3)</f>
        <v>#NAME?</v>
      </c>
      <c r="P7" s="94" t="e">
        <f ca="1"/>
        <v>#NAME?</v>
      </c>
    </row>
    <row r="8" spans="1:19" x14ac:dyDescent="0.35">
      <c r="A8" s="126">
        <v>1.9</v>
      </c>
      <c r="B8" s="169">
        <f t="shared" si="1"/>
        <v>5</v>
      </c>
      <c r="C8" t="e">
        <f t="shared" ca="1" si="0"/>
        <v>#NAME?</v>
      </c>
      <c r="E8" t="s">
        <v>88</v>
      </c>
      <c r="F8" s="91">
        <v>0.05</v>
      </c>
      <c r="O8" t="e">
        <f ca="1"/>
        <v>#NAME?</v>
      </c>
      <c r="P8" s="69" t="e">
        <f ca="1"/>
        <v>#NAME?</v>
      </c>
    </row>
    <row r="9" spans="1:19" x14ac:dyDescent="0.35">
      <c r="A9" s="126">
        <v>2</v>
      </c>
      <c r="B9" s="169">
        <f t="shared" si="1"/>
        <v>6</v>
      </c>
      <c r="C9" t="e">
        <f t="shared" ca="1" si="0"/>
        <v>#NAME?</v>
      </c>
      <c r="E9" t="e">
        <f t="array" aca="1" ref="E9:F11" ca="1">ADTEST(A4:A18,4,TRUE,0,F8)</f>
        <v>#NAME?</v>
      </c>
      <c r="F9" s="38" t="e">
        <f ca="1"/>
        <v>#NAME?</v>
      </c>
      <c r="H9" t="e">
        <f ca="1">FTEXT(F9)</f>
        <v>#NAME?</v>
      </c>
      <c r="J9" t="s">
        <v>170</v>
      </c>
      <c r="K9" s="91" t="e">
        <f ca="1">ANDERSON(C4:C18,4,F4)</f>
        <v>#NAME?</v>
      </c>
      <c r="M9" t="e">
        <f ca="1">FTEXT(K9)</f>
        <v>#NAME?</v>
      </c>
      <c r="O9" t="e">
        <f ca="1"/>
        <v>#NAME?</v>
      </c>
      <c r="P9" s="70" t="e">
        <f ca="1"/>
        <v>#NAME?</v>
      </c>
    </row>
    <row r="10" spans="1:19" x14ac:dyDescent="0.35">
      <c r="A10" s="126">
        <v>2.2000000000000002</v>
      </c>
      <c r="B10" s="169">
        <f t="shared" si="1"/>
        <v>7</v>
      </c>
      <c r="C10" t="e">
        <f t="shared" ca="1" si="0"/>
        <v>#NAME?</v>
      </c>
      <c r="E10" t="e">
        <f ca="1"/>
        <v>#NAME?</v>
      </c>
      <c r="F10" s="197" t="e">
        <f ca="1"/>
        <v>#NAME?</v>
      </c>
      <c r="J10" t="s">
        <v>57</v>
      </c>
      <c r="K10" s="197" t="e">
        <f ca="1">ADPROB(F9,4,F4,TRUE,,TRUE)</f>
        <v>#NAME?</v>
      </c>
      <c r="M10" t="e">
        <f ca="1">FTEXT(K10)</f>
        <v>#NAME?</v>
      </c>
    </row>
    <row r="11" spans="1:19" x14ac:dyDescent="0.35">
      <c r="A11" s="126">
        <v>2.6</v>
      </c>
      <c r="B11" s="169">
        <f t="shared" si="1"/>
        <v>8</v>
      </c>
      <c r="C11" t="e">
        <f t="shared" ca="1" si="0"/>
        <v>#NAME?</v>
      </c>
      <c r="E11" t="e">
        <f ca="1"/>
        <v>#NAME?</v>
      </c>
      <c r="F11" s="35" t="e">
        <f ca="1"/>
        <v>#NAME?</v>
      </c>
      <c r="J11" t="s">
        <v>173</v>
      </c>
      <c r="K11" s="35" t="e">
        <f ca="1">ADCRIT(,F8,4,F4)</f>
        <v>#NAME?</v>
      </c>
      <c r="M11" t="e">
        <f ca="1">FTEXT(K11)</f>
        <v>#NAME?</v>
      </c>
    </row>
    <row r="12" spans="1:19" x14ac:dyDescent="0.35">
      <c r="A12" s="126">
        <v>3</v>
      </c>
      <c r="B12" s="169">
        <f t="shared" si="1"/>
        <v>9</v>
      </c>
      <c r="C12" t="e">
        <f t="shared" ca="1" si="0"/>
        <v>#NAME?</v>
      </c>
    </row>
    <row r="13" spans="1:19" x14ac:dyDescent="0.35">
      <c r="A13" s="126">
        <v>3.5</v>
      </c>
      <c r="B13" s="169">
        <f t="shared" si="1"/>
        <v>10</v>
      </c>
      <c r="C13" t="e">
        <f t="shared" ca="1" si="0"/>
        <v>#NAME?</v>
      </c>
    </row>
    <row r="14" spans="1:19" x14ac:dyDescent="0.35">
      <c r="A14" s="129">
        <v>4</v>
      </c>
      <c r="B14" s="93">
        <f t="shared" si="1"/>
        <v>11</v>
      </c>
      <c r="C14" t="e">
        <f t="shared" ca="1" si="0"/>
        <v>#NAME?</v>
      </c>
    </row>
    <row r="15" spans="1:19" x14ac:dyDescent="0.35">
      <c r="A15" s="129">
        <v>4.8</v>
      </c>
      <c r="B15" s="93">
        <f t="shared" si="1"/>
        <v>12</v>
      </c>
      <c r="C15" t="e">
        <f t="shared" ca="1" si="0"/>
        <v>#NAME?</v>
      </c>
    </row>
    <row r="16" spans="1:19" x14ac:dyDescent="0.35">
      <c r="A16" s="129">
        <v>5.6</v>
      </c>
      <c r="B16" s="93">
        <f t="shared" si="1"/>
        <v>13</v>
      </c>
      <c r="C16" t="e">
        <f t="shared" ca="1" si="0"/>
        <v>#NAME?</v>
      </c>
    </row>
    <row r="17" spans="1:3" x14ac:dyDescent="0.35">
      <c r="A17" s="129">
        <v>6.6</v>
      </c>
      <c r="B17" s="93">
        <f t="shared" si="1"/>
        <v>14</v>
      </c>
      <c r="C17" t="e">
        <f t="shared" ca="1" si="0"/>
        <v>#NAME?</v>
      </c>
    </row>
    <row r="18" spans="1:3" x14ac:dyDescent="0.35">
      <c r="A18" s="132">
        <v>7.6</v>
      </c>
      <c r="B18" s="168">
        <f t="shared" si="1"/>
        <v>15</v>
      </c>
      <c r="C18" s="75" t="e">
        <f t="shared" ca="1" si="0"/>
        <v>#NAME?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"/>
  <dimension ref="A1:AC19"/>
  <sheetViews>
    <sheetView workbookViewId="0"/>
  </sheetViews>
  <sheetFormatPr defaultRowHeight="14.5" x14ac:dyDescent="0.35"/>
  <cols>
    <col min="1" max="1" width="3.26953125" customWidth="1"/>
    <col min="2" max="3" width="6.54296875" customWidth="1"/>
    <col min="4" max="4" width="5.54296875" customWidth="1"/>
    <col min="5" max="5" width="4" customWidth="1"/>
    <col min="6" max="7" width="4.81640625" style="169" customWidth="1"/>
    <col min="8" max="8" width="9.1796875" customWidth="1"/>
    <col min="9" max="9" width="5" customWidth="1"/>
    <col min="10" max="12" width="9.1796875" customWidth="1"/>
    <col min="13" max="17" width="4.81640625" customWidth="1"/>
    <col min="18" max="18" width="9.1796875" customWidth="1"/>
    <col min="19" max="19" width="5" customWidth="1"/>
    <col min="20" max="22" width="9.1796875" customWidth="1"/>
    <col min="23" max="23" width="9.1796875" style="169" customWidth="1"/>
    <col min="24" max="24" width="9.1796875" customWidth="1"/>
    <col min="27" max="27" width="4.54296875" customWidth="1"/>
  </cols>
  <sheetData>
    <row r="1" spans="1:29" x14ac:dyDescent="0.35">
      <c r="A1" s="1" t="s">
        <v>400</v>
      </c>
      <c r="J1" s="1" t="s">
        <v>401</v>
      </c>
    </row>
    <row r="2" spans="1:29" x14ac:dyDescent="0.35">
      <c r="Y2" t="s">
        <v>402</v>
      </c>
      <c r="AB2" t="s">
        <v>403</v>
      </c>
    </row>
    <row r="3" spans="1:29" x14ac:dyDescent="0.35">
      <c r="B3" s="150" t="s">
        <v>129</v>
      </c>
      <c r="C3" s="150" t="s">
        <v>128</v>
      </c>
      <c r="F3" s="150" t="s">
        <v>36</v>
      </c>
      <c r="G3" s="150" t="s">
        <v>404</v>
      </c>
      <c r="H3" s="150" t="s">
        <v>405</v>
      </c>
      <c r="J3" t="s">
        <v>406</v>
      </c>
      <c r="N3" s="150" t="s">
        <v>36</v>
      </c>
      <c r="O3" s="150" t="s">
        <v>407</v>
      </c>
      <c r="P3" s="150" t="s">
        <v>43</v>
      </c>
      <c r="Q3" s="150" t="s">
        <v>42</v>
      </c>
      <c r="R3" s="190" t="s">
        <v>405</v>
      </c>
      <c r="T3" t="s">
        <v>406</v>
      </c>
    </row>
    <row r="4" spans="1:29" x14ac:dyDescent="0.35">
      <c r="A4">
        <v>1</v>
      </c>
      <c r="B4" s="169">
        <v>3</v>
      </c>
      <c r="C4" s="169">
        <v>2</v>
      </c>
      <c r="E4">
        <v>1</v>
      </c>
      <c r="F4" s="169" t="e">
        <f t="array" aca="1" ref="F4:F19" ca="1">QSORT(B4:C11)</f>
        <v>#NAME?</v>
      </c>
      <c r="G4" s="169">
        <f ca="1">COUNTIF($B$4:$B$11,"&lt;="&amp;F4)</f>
        <v>0</v>
      </c>
      <c r="H4">
        <f ca="1">($E$18*G4-$K$8*E4)^2/(E4*($E$18-E4))</f>
        <v>4.5714285714285712</v>
      </c>
      <c r="M4">
        <v>1</v>
      </c>
      <c r="N4" s="169" t="e">
        <f t="array" aca="1" ref="N4:N10" ca="1">NODUPES(B4:C11,,TRUE)</f>
        <v>#NAME?</v>
      </c>
      <c r="O4" s="169">
        <f ca="1">COUNTIF($B$4:$C$11,N4)</f>
        <v>0</v>
      </c>
      <c r="P4" s="169">
        <f ca="1">COUNTIF($B$4:$B$11,"&lt;="&amp;N4)</f>
        <v>0</v>
      </c>
      <c r="Q4" s="169">
        <f ca="1">O4</f>
        <v>0</v>
      </c>
      <c r="R4" t="e">
        <f t="shared" ref="R4:R9" ca="1" si="0">($O$11*P4-$K$8*Q4)^2/(Q4*($O$11-Q4))</f>
        <v>#DIV/0!</v>
      </c>
      <c r="W4" s="192" t="e">
        <f t="array" aca="1" ref="W4:W10" ca="1">SortUnique(B4:C11)</f>
        <v>#NAME?</v>
      </c>
      <c r="Y4" t="s">
        <v>35</v>
      </c>
      <c r="Z4" s="171">
        <v>0.05</v>
      </c>
      <c r="AB4" t="s">
        <v>35</v>
      </c>
      <c r="AC4" s="171">
        <v>0.05</v>
      </c>
    </row>
    <row r="5" spans="1:29" x14ac:dyDescent="0.35">
      <c r="A5">
        <f>A4+1</f>
        <v>2</v>
      </c>
      <c r="B5" s="169">
        <v>2</v>
      </c>
      <c r="C5" s="169">
        <v>8</v>
      </c>
      <c r="E5">
        <f>E4+1</f>
        <v>2</v>
      </c>
      <c r="F5" s="169" t="e">
        <f ca="1"/>
        <v>#NAME?</v>
      </c>
      <c r="G5" s="169">
        <f t="shared" ref="G5:G17" ca="1" si="1">COUNTIF($B$4:$B$11,"&lt;="&amp;F5)</f>
        <v>0</v>
      </c>
      <c r="H5">
        <f t="shared" ref="H5:H17" ca="1" si="2">($E$18*G5-$K$8*E5)^2/(E5*($E$18-E5))</f>
        <v>9.8461538461538467</v>
      </c>
      <c r="J5" t="s">
        <v>35</v>
      </c>
      <c r="K5" s="171">
        <v>0.05</v>
      </c>
      <c r="M5">
        <f t="shared" ref="M5:M10" si="3">M4+1</f>
        <v>2</v>
      </c>
      <c r="N5" s="169" t="e">
        <f ca="1"/>
        <v>#NAME?</v>
      </c>
      <c r="O5" s="169">
        <f t="shared" ref="O5:O10" ca="1" si="4">COUNTIF($B$4:$C$11,N5)</f>
        <v>0</v>
      </c>
      <c r="P5" s="169">
        <f t="shared" ref="P5:P10" ca="1" si="5">COUNTIF($B$4:$B$11,"&lt;="&amp;N5)</f>
        <v>0</v>
      </c>
      <c r="Q5" s="169">
        <f t="shared" ref="Q5:Q10" ca="1" si="6">Q4+O5</f>
        <v>0</v>
      </c>
      <c r="R5" t="e">
        <f t="shared" ca="1" si="0"/>
        <v>#DIV/0!</v>
      </c>
      <c r="T5" t="s">
        <v>35</v>
      </c>
      <c r="U5" s="171">
        <v>0.05</v>
      </c>
      <c r="W5" s="193" t="e">
        <f ca="1"/>
        <v>#NAME?</v>
      </c>
    </row>
    <row r="6" spans="1:29" x14ac:dyDescent="0.35">
      <c r="A6">
        <f t="shared" ref="A6:A11" si="7">A5+1</f>
        <v>3</v>
      </c>
      <c r="B6" s="169">
        <v>3</v>
      </c>
      <c r="C6" s="169">
        <v>2</v>
      </c>
      <c r="E6">
        <f t="shared" ref="E6:E18" si="8">E5+1</f>
        <v>3</v>
      </c>
      <c r="F6" s="169" t="e">
        <f ca="1"/>
        <v>#NAME?</v>
      </c>
      <c r="G6" s="169">
        <f t="shared" ca="1" si="1"/>
        <v>0</v>
      </c>
      <c r="H6">
        <f t="shared" ca="1" si="2"/>
        <v>16</v>
      </c>
      <c r="M6">
        <f t="shared" si="3"/>
        <v>3</v>
      </c>
      <c r="N6" s="169" t="e">
        <f ca="1"/>
        <v>#NAME?</v>
      </c>
      <c r="O6" s="169">
        <f t="shared" ca="1" si="4"/>
        <v>0</v>
      </c>
      <c r="P6" s="169">
        <f t="shared" ca="1" si="5"/>
        <v>0</v>
      </c>
      <c r="Q6" s="169">
        <f t="shared" ca="1" si="6"/>
        <v>0</v>
      </c>
      <c r="R6" t="e">
        <f t="shared" ca="1" si="0"/>
        <v>#DIV/0!</v>
      </c>
      <c r="W6" s="193" t="e">
        <f ca="1"/>
        <v>#NAME?</v>
      </c>
      <c r="Y6" t="e">
        <f t="array" aca="1" ref="Y6:Z11" ca="1">AD2TEST(B4:B11,C4:C11,TRUE,Z4,FALSE)</f>
        <v>#NAME?</v>
      </c>
      <c r="Z6" s="149" t="e">
        <f ca="1"/>
        <v>#NAME?</v>
      </c>
      <c r="AB6" t="e">
        <f t="array" aca="1" ref="AB6:AC11" ca="1">AD2TEST(B4:B11,C4:C11,TRUE,AC4)</f>
        <v>#NAME?</v>
      </c>
      <c r="AC6" s="149" t="e">
        <f ca="1"/>
        <v>#NAME?</v>
      </c>
    </row>
    <row r="7" spans="1:29" x14ac:dyDescent="0.35">
      <c r="A7">
        <f t="shared" si="7"/>
        <v>4</v>
      </c>
      <c r="B7" s="169">
        <v>5</v>
      </c>
      <c r="C7" s="169">
        <v>4</v>
      </c>
      <c r="E7">
        <f t="shared" si="8"/>
        <v>4</v>
      </c>
      <c r="F7" s="169" t="e">
        <f ca="1"/>
        <v>#NAME?</v>
      </c>
      <c r="G7" s="169">
        <f t="shared" ca="1" si="1"/>
        <v>0</v>
      </c>
      <c r="H7">
        <f t="shared" ca="1" si="2"/>
        <v>23.272727272727273</v>
      </c>
      <c r="J7" t="s">
        <v>408</v>
      </c>
      <c r="K7" s="149">
        <f ca="1">SUM(H4:H17)/(K8*K9)</f>
        <v>39.741068455354174</v>
      </c>
      <c r="M7">
        <f t="shared" si="3"/>
        <v>4</v>
      </c>
      <c r="N7" s="169" t="e">
        <f ca="1"/>
        <v>#NAME?</v>
      </c>
      <c r="O7" s="169">
        <f t="shared" ca="1" si="4"/>
        <v>0</v>
      </c>
      <c r="P7" s="169">
        <f t="shared" ca="1" si="5"/>
        <v>0</v>
      </c>
      <c r="Q7" s="169">
        <f t="shared" ca="1" si="6"/>
        <v>0</v>
      </c>
      <c r="R7" t="e">
        <f t="shared" ca="1" si="0"/>
        <v>#DIV/0!</v>
      </c>
      <c r="T7" t="s">
        <v>408</v>
      </c>
      <c r="U7" s="149" t="e">
        <f ca="1">R11</f>
        <v>#DIV/0!</v>
      </c>
      <c r="W7" s="193" t="e">
        <f ca="1"/>
        <v>#NAME?</v>
      </c>
      <c r="Y7" t="e">
        <f ca="1"/>
        <v>#NAME?</v>
      </c>
      <c r="Z7" s="38" t="e">
        <f ca="1"/>
        <v>#NAME?</v>
      </c>
      <c r="AB7" s="6" t="e">
        <f ca="1"/>
        <v>#NAME?</v>
      </c>
      <c r="AC7" s="38" t="e">
        <f ca="1"/>
        <v>#NAME?</v>
      </c>
    </row>
    <row r="8" spans="1:29" x14ac:dyDescent="0.35">
      <c r="A8">
        <f t="shared" si="7"/>
        <v>5</v>
      </c>
      <c r="B8" s="169">
        <v>8</v>
      </c>
      <c r="C8" s="169">
        <v>4</v>
      </c>
      <c r="E8">
        <f t="shared" si="8"/>
        <v>5</v>
      </c>
      <c r="F8" s="169" t="e">
        <f ca="1"/>
        <v>#NAME?</v>
      </c>
      <c r="G8" s="169">
        <f t="shared" ca="1" si="1"/>
        <v>0</v>
      </c>
      <c r="H8">
        <f t="shared" ca="1" si="2"/>
        <v>32</v>
      </c>
      <c r="J8" t="s">
        <v>98</v>
      </c>
      <c r="K8" s="38">
        <f>COUNT(B4:B11)</f>
        <v>8</v>
      </c>
      <c r="M8">
        <f t="shared" si="3"/>
        <v>5</v>
      </c>
      <c r="N8" s="169" t="e">
        <f ca="1"/>
        <v>#NAME?</v>
      </c>
      <c r="O8" s="169">
        <f t="shared" ca="1" si="4"/>
        <v>0</v>
      </c>
      <c r="P8" s="169">
        <f t="shared" ca="1" si="5"/>
        <v>0</v>
      </c>
      <c r="Q8" s="169">
        <f t="shared" ca="1" si="6"/>
        <v>0</v>
      </c>
      <c r="R8" t="e">
        <f t="shared" ca="1" si="0"/>
        <v>#DIV/0!</v>
      </c>
      <c r="T8" t="s">
        <v>98</v>
      </c>
      <c r="U8" s="38">
        <f>COUNT(B4:B11)</f>
        <v>8</v>
      </c>
      <c r="W8" s="193" t="e">
        <f ca="1"/>
        <v>#NAME?</v>
      </c>
      <c r="Y8" t="e">
        <f ca="1"/>
        <v>#NAME?</v>
      </c>
      <c r="Z8" s="38" t="e">
        <f ca="1"/>
        <v>#NAME?</v>
      </c>
      <c r="AB8" t="e">
        <f ca="1"/>
        <v>#NAME?</v>
      </c>
      <c r="AC8" s="38" t="e">
        <f ca="1"/>
        <v>#NAME?</v>
      </c>
    </row>
    <row r="9" spans="1:29" x14ac:dyDescent="0.35">
      <c r="A9">
        <f t="shared" si="7"/>
        <v>6</v>
      </c>
      <c r="B9" s="169">
        <v>9</v>
      </c>
      <c r="C9" s="169">
        <v>3</v>
      </c>
      <c r="E9">
        <f t="shared" si="8"/>
        <v>6</v>
      </c>
      <c r="F9" s="169" t="e">
        <f ca="1"/>
        <v>#NAME?</v>
      </c>
      <c r="G9" s="169">
        <f t="shared" ca="1" si="1"/>
        <v>0</v>
      </c>
      <c r="H9">
        <f t="shared" ca="1" si="2"/>
        <v>42.666666666666664</v>
      </c>
      <c r="J9" t="s">
        <v>30</v>
      </c>
      <c r="K9" s="38">
        <f>COUNT(C4:C11)</f>
        <v>7</v>
      </c>
      <c r="M9">
        <f t="shared" si="3"/>
        <v>6</v>
      </c>
      <c r="N9" s="169" t="e">
        <f ca="1"/>
        <v>#NAME?</v>
      </c>
      <c r="O9" s="169">
        <f t="shared" ca="1" si="4"/>
        <v>0</v>
      </c>
      <c r="P9" s="169">
        <f t="shared" ca="1" si="5"/>
        <v>0</v>
      </c>
      <c r="Q9" s="169">
        <f t="shared" ca="1" si="6"/>
        <v>0</v>
      </c>
      <c r="R9" t="e">
        <f t="shared" ca="1" si="0"/>
        <v>#DIV/0!</v>
      </c>
      <c r="T9" t="s">
        <v>30</v>
      </c>
      <c r="U9" s="38">
        <f>COUNT(C4:C11)</f>
        <v>7</v>
      </c>
      <c r="W9" s="193" t="e">
        <f ca="1"/>
        <v>#NAME?</v>
      </c>
      <c r="Y9" t="e">
        <f ca="1"/>
        <v>#NAME?</v>
      </c>
      <c r="Z9" s="38" t="e">
        <f ca="1"/>
        <v>#NAME?</v>
      </c>
      <c r="AB9" t="e">
        <f ca="1"/>
        <v>#NAME?</v>
      </c>
      <c r="AC9" s="38" t="e">
        <f ca="1"/>
        <v>#NAME?</v>
      </c>
    </row>
    <row r="10" spans="1:29" x14ac:dyDescent="0.35">
      <c r="A10">
        <f t="shared" si="7"/>
        <v>7</v>
      </c>
      <c r="B10" s="169">
        <v>8</v>
      </c>
      <c r="C10" s="169">
        <v>6</v>
      </c>
      <c r="E10">
        <f t="shared" si="8"/>
        <v>7</v>
      </c>
      <c r="F10" s="169" t="e">
        <f ca="1"/>
        <v>#NAME?</v>
      </c>
      <c r="G10" s="169">
        <f t="shared" ca="1" si="1"/>
        <v>0</v>
      </c>
      <c r="H10">
        <f t="shared" ca="1" si="2"/>
        <v>56</v>
      </c>
      <c r="J10" t="s">
        <v>409</v>
      </c>
      <c r="K10" s="38">
        <f>K8+K9</f>
        <v>15</v>
      </c>
      <c r="M10">
        <f t="shared" si="3"/>
        <v>7</v>
      </c>
      <c r="N10" s="191" t="e">
        <f ca="1"/>
        <v>#NAME?</v>
      </c>
      <c r="O10" s="191">
        <f t="shared" ca="1" si="4"/>
        <v>0</v>
      </c>
      <c r="P10" s="191">
        <f t="shared" ca="1" si="5"/>
        <v>0</v>
      </c>
      <c r="Q10" s="191">
        <f t="shared" ca="1" si="6"/>
        <v>0</v>
      </c>
      <c r="R10" s="195"/>
      <c r="T10" t="s">
        <v>409</v>
      </c>
      <c r="U10" s="38">
        <f>U8+U9</f>
        <v>15</v>
      </c>
      <c r="W10" s="194" t="e">
        <f ca="1"/>
        <v>#NAME?</v>
      </c>
      <c r="Y10" t="e">
        <f ca="1"/>
        <v>#NAME?</v>
      </c>
      <c r="Z10" s="38" t="e">
        <f ca="1"/>
        <v>#NAME?</v>
      </c>
      <c r="AB10" t="e">
        <f ca="1"/>
        <v>#NAME?</v>
      </c>
      <c r="AC10" s="38" t="e">
        <f ca="1"/>
        <v>#NAME?</v>
      </c>
    </row>
    <row r="11" spans="1:29" x14ac:dyDescent="0.35">
      <c r="A11">
        <f t="shared" si="7"/>
        <v>8</v>
      </c>
      <c r="B11" s="191">
        <v>8</v>
      </c>
      <c r="C11" s="191"/>
      <c r="E11">
        <f t="shared" si="8"/>
        <v>8</v>
      </c>
      <c r="F11" s="169" t="e">
        <f ca="1"/>
        <v>#NAME?</v>
      </c>
      <c r="G11" s="169">
        <f t="shared" ca="1" si="1"/>
        <v>0</v>
      </c>
      <c r="H11">
        <f t="shared" ca="1" si="2"/>
        <v>73.142857142857139</v>
      </c>
      <c r="J11" t="s">
        <v>410</v>
      </c>
      <c r="K11" s="35">
        <v>2.3809999999999998</v>
      </c>
      <c r="O11" s="169">
        <f ca="1">SUM(O4:O10)</f>
        <v>0</v>
      </c>
      <c r="R11" s="19" t="e">
        <f ca="1">SUMPRODUCT(O4:O9,R4:R9)/(K8*K9)</f>
        <v>#DIV/0!</v>
      </c>
      <c r="T11" t="s">
        <v>410</v>
      </c>
      <c r="U11" s="35">
        <v>2.3809999999999998</v>
      </c>
      <c r="Y11" t="e">
        <f ca="1"/>
        <v>#NAME?</v>
      </c>
      <c r="Z11" s="35" t="e">
        <f ca="1"/>
        <v>#NAME?</v>
      </c>
      <c r="AB11" t="e">
        <f ca="1"/>
        <v>#NAME?</v>
      </c>
      <c r="AC11" s="35" t="e">
        <f ca="1"/>
        <v>#NAME?</v>
      </c>
    </row>
    <row r="12" spans="1:29" x14ac:dyDescent="0.35">
      <c r="E12">
        <f t="shared" si="8"/>
        <v>9</v>
      </c>
      <c r="F12" s="169" t="e">
        <f ca="1"/>
        <v>#NAME?</v>
      </c>
      <c r="G12" s="169">
        <f t="shared" ca="1" si="1"/>
        <v>0</v>
      </c>
      <c r="H12">
        <f t="shared" ca="1" si="2"/>
        <v>96</v>
      </c>
    </row>
    <row r="13" spans="1:29" x14ac:dyDescent="0.35">
      <c r="E13">
        <f t="shared" si="8"/>
        <v>10</v>
      </c>
      <c r="F13" s="169" t="e">
        <f ca="1"/>
        <v>#NAME?</v>
      </c>
      <c r="G13" s="169">
        <f t="shared" ca="1" si="1"/>
        <v>0</v>
      </c>
      <c r="H13">
        <f t="shared" ca="1" si="2"/>
        <v>128</v>
      </c>
    </row>
    <row r="14" spans="1:29" x14ac:dyDescent="0.35">
      <c r="E14">
        <f t="shared" si="8"/>
        <v>11</v>
      </c>
      <c r="F14" s="169" t="e">
        <f ca="1"/>
        <v>#NAME?</v>
      </c>
      <c r="G14" s="169">
        <f t="shared" ca="1" si="1"/>
        <v>0</v>
      </c>
      <c r="H14">
        <f t="shared" ca="1" si="2"/>
        <v>176</v>
      </c>
      <c r="Y14" t="e">
        <f ca="1">Y7</f>
        <v>#NAME?</v>
      </c>
      <c r="Z14" s="149" t="e">
        <f ca="1">AD2PROB(Z6,Z9,Z10)</f>
        <v>#NAME?</v>
      </c>
      <c r="AB14" t="e">
        <f ca="1">FTEXT(Z14)</f>
        <v>#NAME?</v>
      </c>
    </row>
    <row r="15" spans="1:29" x14ac:dyDescent="0.35">
      <c r="E15">
        <f t="shared" si="8"/>
        <v>12</v>
      </c>
      <c r="F15" s="169" t="e">
        <f ca="1"/>
        <v>#NAME?</v>
      </c>
      <c r="G15" s="169">
        <f t="shared" ca="1" si="1"/>
        <v>0</v>
      </c>
      <c r="H15">
        <f t="shared" ca="1" si="2"/>
        <v>256</v>
      </c>
      <c r="Y15" t="e">
        <f ca="1">Y8</f>
        <v>#NAME?</v>
      </c>
      <c r="Z15" s="38" t="e">
        <f ca="1">AD2CRIT(Z9,Z10,Z4)</f>
        <v>#NAME?</v>
      </c>
      <c r="AB15" t="e">
        <f ca="1">FTEXT(Z15)</f>
        <v>#NAME?</v>
      </c>
    </row>
    <row r="16" spans="1:29" x14ac:dyDescent="0.35">
      <c r="E16">
        <f t="shared" si="8"/>
        <v>13</v>
      </c>
      <c r="F16" s="169" t="e">
        <f ca="1"/>
        <v>#NAME?</v>
      </c>
      <c r="G16" s="169">
        <f t="shared" ca="1" si="1"/>
        <v>0</v>
      </c>
      <c r="H16">
        <f t="shared" ca="1" si="2"/>
        <v>416</v>
      </c>
      <c r="Y16" t="e">
        <f ca="1">Y11</f>
        <v>#NAME?</v>
      </c>
      <c r="Z16" s="35" t="e">
        <f ca="1">AD2CRITX(Z9,Z10,Z4)</f>
        <v>#NAME?</v>
      </c>
      <c r="AB16" t="e">
        <f ca="1">FTEXT(Z16)</f>
        <v>#NAME?</v>
      </c>
    </row>
    <row r="17" spans="5:8" x14ac:dyDescent="0.35">
      <c r="E17">
        <f t="shared" si="8"/>
        <v>14</v>
      </c>
      <c r="F17" s="169" t="e">
        <f ca="1"/>
        <v>#NAME?</v>
      </c>
      <c r="G17" s="169">
        <f t="shared" ca="1" si="1"/>
        <v>0</v>
      </c>
      <c r="H17">
        <f t="shared" ca="1" si="2"/>
        <v>896</v>
      </c>
    </row>
    <row r="18" spans="5:8" x14ac:dyDescent="0.35">
      <c r="E18">
        <f t="shared" si="8"/>
        <v>15</v>
      </c>
      <c r="F18" s="191" t="e">
        <f ca="1"/>
        <v>#NAME?</v>
      </c>
      <c r="G18" s="191">
        <f ca="1">COUNTIF($B$4:$B$11,"&lt;="&amp;F18)</f>
        <v>0</v>
      </c>
      <c r="H18" s="195"/>
    </row>
    <row r="19" spans="5:8" x14ac:dyDescent="0.35">
      <c r="F19" s="169" t="e">
        <f ca="1"/>
        <v>#NAME?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7"/>
  <dimension ref="A1:M14"/>
  <sheetViews>
    <sheetView workbookViewId="0">
      <selection sqref="A1:XFD1048576"/>
    </sheetView>
  </sheetViews>
  <sheetFormatPr defaultRowHeight="14.5" x14ac:dyDescent="0.35"/>
  <cols>
    <col min="2" max="3" width="8.453125" customWidth="1"/>
    <col min="4" max="6" width="5.81640625" customWidth="1"/>
    <col min="8" max="8" width="5.453125" customWidth="1"/>
  </cols>
  <sheetData>
    <row r="1" spans="1:13" x14ac:dyDescent="0.35">
      <c r="A1" s="1" t="s">
        <v>406</v>
      </c>
    </row>
    <row r="3" spans="1:13" x14ac:dyDescent="0.35">
      <c r="A3" s="150" t="s">
        <v>1</v>
      </c>
      <c r="B3" s="150" t="s">
        <v>199</v>
      </c>
      <c r="C3" s="150" t="s">
        <v>200</v>
      </c>
      <c r="D3" s="150" t="s">
        <v>407</v>
      </c>
      <c r="E3" s="150" t="s">
        <v>43</v>
      </c>
      <c r="F3" s="150" t="s">
        <v>42</v>
      </c>
      <c r="G3" s="150" t="s">
        <v>405</v>
      </c>
      <c r="I3" t="s">
        <v>406</v>
      </c>
    </row>
    <row r="4" spans="1:13" x14ac:dyDescent="0.35">
      <c r="A4" s="169" t="s">
        <v>205</v>
      </c>
      <c r="B4" s="169">
        <v>4</v>
      </c>
      <c r="C4" s="169">
        <v>7</v>
      </c>
      <c r="D4" s="169">
        <f>B4+C4</f>
        <v>11</v>
      </c>
      <c r="E4" s="169">
        <f>B4</f>
        <v>4</v>
      </c>
      <c r="F4" s="169">
        <f>D4</f>
        <v>11</v>
      </c>
      <c r="G4">
        <f t="shared" ref="G4:G12" si="0">($D$14*E4-$J$10*F4)^2/(F4*($D$14-F4))</f>
        <v>67.553088133240806</v>
      </c>
    </row>
    <row r="5" spans="1:13" x14ac:dyDescent="0.35">
      <c r="A5" s="169" t="s">
        <v>206</v>
      </c>
      <c r="B5" s="169">
        <v>11</v>
      </c>
      <c r="C5" s="169">
        <v>4</v>
      </c>
      <c r="D5" s="169">
        <f t="shared" ref="D5:D13" si="1">B5+C5</f>
        <v>15</v>
      </c>
      <c r="E5" s="169">
        <f>B5+E4</f>
        <v>15</v>
      </c>
      <c r="F5" s="169">
        <f>D5+F4</f>
        <v>26</v>
      </c>
      <c r="G5">
        <f t="shared" si="0"/>
        <v>0.82891246684350128</v>
      </c>
      <c r="I5" t="s">
        <v>35</v>
      </c>
      <c r="J5" s="171">
        <v>0.05</v>
      </c>
      <c r="L5" t="s">
        <v>35</v>
      </c>
      <c r="M5" s="171">
        <v>0.05</v>
      </c>
    </row>
    <row r="6" spans="1:13" x14ac:dyDescent="0.35">
      <c r="A6" s="169" t="s">
        <v>207</v>
      </c>
      <c r="B6" s="169">
        <v>5</v>
      </c>
      <c r="C6" s="169">
        <v>1</v>
      </c>
      <c r="D6" s="169">
        <f t="shared" si="1"/>
        <v>6</v>
      </c>
      <c r="E6" s="169">
        <f t="shared" ref="E6:E13" si="2">B6+E5</f>
        <v>20</v>
      </c>
      <c r="F6" s="169">
        <f t="shared" ref="F6:F13" si="3">D6+F5</f>
        <v>32</v>
      </c>
      <c r="G6">
        <f t="shared" si="0"/>
        <v>22.272727272727273</v>
      </c>
    </row>
    <row r="7" spans="1:13" x14ac:dyDescent="0.35">
      <c r="A7" s="169" t="s">
        <v>208</v>
      </c>
      <c r="B7" s="169">
        <v>7</v>
      </c>
      <c r="C7" s="169">
        <v>11</v>
      </c>
      <c r="D7" s="169">
        <f t="shared" si="1"/>
        <v>18</v>
      </c>
      <c r="E7" s="169">
        <f t="shared" si="2"/>
        <v>27</v>
      </c>
      <c r="F7" s="169">
        <f t="shared" si="3"/>
        <v>50</v>
      </c>
      <c r="G7">
        <f t="shared" si="0"/>
        <v>5.9904347826086957</v>
      </c>
      <c r="I7" t="s">
        <v>408</v>
      </c>
      <c r="J7" s="149">
        <f>G14</f>
        <v>1.9394613688621305</v>
      </c>
      <c r="L7" t="e">
        <f t="array" aca="1" ref="L7:M12" ca="1">AD2TEST(B4:C13,,TRUE,M5)</f>
        <v>#NAME?</v>
      </c>
      <c r="M7" s="149" t="e">
        <f ca="1"/>
        <v>#NAME?</v>
      </c>
    </row>
    <row r="8" spans="1:13" x14ac:dyDescent="0.35">
      <c r="A8" s="169" t="s">
        <v>209</v>
      </c>
      <c r="B8" s="169">
        <v>0</v>
      </c>
      <c r="C8" s="169">
        <v>12</v>
      </c>
      <c r="D8" s="169">
        <f t="shared" si="1"/>
        <v>12</v>
      </c>
      <c r="E8" s="169">
        <f t="shared" si="2"/>
        <v>27</v>
      </c>
      <c r="F8" s="169">
        <f t="shared" si="3"/>
        <v>62</v>
      </c>
      <c r="G8">
        <f t="shared" si="0"/>
        <v>255.62016129032259</v>
      </c>
      <c r="I8" t="s">
        <v>57</v>
      </c>
      <c r="J8" s="38" t="e">
        <f ca="1">AD2PROB(J7,J10,J11)</f>
        <v>#NAME?</v>
      </c>
      <c r="L8" t="e">
        <f ca="1"/>
        <v>#NAME?</v>
      </c>
      <c r="M8" s="38" t="e">
        <f ca="1"/>
        <v>#NAME?</v>
      </c>
    </row>
    <row r="9" spans="1:13" x14ac:dyDescent="0.35">
      <c r="A9" s="169" t="s">
        <v>210</v>
      </c>
      <c r="B9" s="169">
        <v>5</v>
      </c>
      <c r="C9" s="169">
        <v>4</v>
      </c>
      <c r="D9" s="169">
        <f t="shared" si="1"/>
        <v>9</v>
      </c>
      <c r="E9" s="169">
        <f t="shared" si="2"/>
        <v>32</v>
      </c>
      <c r="F9" s="169">
        <f t="shared" si="3"/>
        <v>71</v>
      </c>
      <c r="G9">
        <f t="shared" si="0"/>
        <v>256</v>
      </c>
      <c r="I9" t="s">
        <v>410</v>
      </c>
      <c r="J9" s="38" t="e">
        <f ca="1">AD2CRIT(J10,J11,J5)</f>
        <v>#NAME?</v>
      </c>
      <c r="L9" t="e">
        <f ca="1"/>
        <v>#NAME?</v>
      </c>
      <c r="M9" s="38" t="e">
        <f ca="1"/>
        <v>#NAME?</v>
      </c>
    </row>
    <row r="10" spans="1:13" x14ac:dyDescent="0.35">
      <c r="A10" s="169" t="s">
        <v>211</v>
      </c>
      <c r="B10" s="169">
        <v>9</v>
      </c>
      <c r="C10" s="169">
        <v>2</v>
      </c>
      <c r="D10" s="169">
        <f t="shared" si="1"/>
        <v>11</v>
      </c>
      <c r="E10" s="169">
        <f t="shared" si="2"/>
        <v>41</v>
      </c>
      <c r="F10" s="169">
        <f t="shared" si="3"/>
        <v>82</v>
      </c>
      <c r="G10">
        <f t="shared" si="0"/>
        <v>110.7</v>
      </c>
      <c r="I10" t="s">
        <v>411</v>
      </c>
      <c r="J10" s="38">
        <f>B14</f>
        <v>80</v>
      </c>
      <c r="L10" t="e">
        <f ca="1"/>
        <v>#NAME?</v>
      </c>
      <c r="M10" s="38" t="e">
        <f ca="1"/>
        <v>#NAME?</v>
      </c>
    </row>
    <row r="11" spans="1:13" x14ac:dyDescent="0.35">
      <c r="A11" s="169" t="s">
        <v>212</v>
      </c>
      <c r="B11" s="169">
        <v>13</v>
      </c>
      <c r="C11" s="169">
        <v>4</v>
      </c>
      <c r="D11" s="169">
        <f t="shared" si="1"/>
        <v>17</v>
      </c>
      <c r="E11" s="169">
        <f t="shared" si="2"/>
        <v>54</v>
      </c>
      <c r="F11" s="169">
        <f t="shared" si="3"/>
        <v>99</v>
      </c>
      <c r="G11">
        <f t="shared" si="0"/>
        <v>14.91754756871036</v>
      </c>
      <c r="I11" t="s">
        <v>412</v>
      </c>
      <c r="J11" s="35">
        <f>C14</f>
        <v>62</v>
      </c>
      <c r="L11" t="e">
        <f ca="1"/>
        <v>#NAME?</v>
      </c>
      <c r="M11" s="38" t="e">
        <f ca="1"/>
        <v>#NAME?</v>
      </c>
    </row>
    <row r="12" spans="1:13" x14ac:dyDescent="0.35">
      <c r="A12" s="169" t="s">
        <v>214</v>
      </c>
      <c r="B12" s="169">
        <v>20</v>
      </c>
      <c r="C12" s="169">
        <v>8</v>
      </c>
      <c r="D12" s="169">
        <f t="shared" si="1"/>
        <v>28</v>
      </c>
      <c r="E12" s="169">
        <f t="shared" si="2"/>
        <v>74</v>
      </c>
      <c r="F12" s="169">
        <f t="shared" si="3"/>
        <v>127</v>
      </c>
      <c r="G12">
        <f t="shared" si="0"/>
        <v>63.571653543307086</v>
      </c>
      <c r="L12" t="e">
        <f ca="1"/>
        <v>#NAME?</v>
      </c>
      <c r="M12" s="32" t="e">
        <f ca="1"/>
        <v>#NAME?</v>
      </c>
    </row>
    <row r="13" spans="1:13" x14ac:dyDescent="0.35">
      <c r="A13" s="191" t="s">
        <v>215</v>
      </c>
      <c r="B13" s="191">
        <v>6</v>
      </c>
      <c r="C13" s="191">
        <v>9</v>
      </c>
      <c r="D13" s="191">
        <f t="shared" si="1"/>
        <v>15</v>
      </c>
      <c r="E13" s="191">
        <f t="shared" si="2"/>
        <v>80</v>
      </c>
      <c r="F13" s="191">
        <f t="shared" si="3"/>
        <v>142</v>
      </c>
      <c r="G13" s="195"/>
    </row>
    <row r="14" spans="1:13" x14ac:dyDescent="0.35">
      <c r="B14" s="169">
        <f>SUM(B4:B13)</f>
        <v>80</v>
      </c>
      <c r="C14" s="169">
        <f>SUM(C4:C13)</f>
        <v>62</v>
      </c>
      <c r="D14" s="169">
        <f>SUM(D4:D13)</f>
        <v>142</v>
      </c>
      <c r="E14" s="169"/>
      <c r="F14" s="169"/>
      <c r="G14">
        <f>SUMPRODUCT(D4:D12,G4:G12)/(J10*J11)</f>
        <v>1.9394613688621305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6"/>
  <dimension ref="A1:J84"/>
  <sheetViews>
    <sheetView workbookViewId="0"/>
  </sheetViews>
  <sheetFormatPr defaultRowHeight="14.5" x14ac:dyDescent="0.35"/>
  <cols>
    <col min="2" max="3" width="8.453125" customWidth="1"/>
  </cols>
  <sheetData>
    <row r="1" spans="1:10" x14ac:dyDescent="0.35">
      <c r="A1" s="1" t="s">
        <v>406</v>
      </c>
    </row>
    <row r="3" spans="1:10" x14ac:dyDescent="0.35">
      <c r="A3" s="150" t="s">
        <v>1</v>
      </c>
      <c r="B3" s="165" t="s">
        <v>199</v>
      </c>
      <c r="C3" s="165" t="s">
        <v>200</v>
      </c>
      <c r="E3" t="s">
        <v>40</v>
      </c>
      <c r="G3" t="s">
        <v>40</v>
      </c>
    </row>
    <row r="4" spans="1:10" x14ac:dyDescent="0.35">
      <c r="A4" s="169">
        <v>1</v>
      </c>
      <c r="B4">
        <v>4</v>
      </c>
      <c r="C4">
        <v>7</v>
      </c>
    </row>
    <row r="5" spans="1:10" x14ac:dyDescent="0.35">
      <c r="A5" s="169">
        <f>A4+1</f>
        <v>2</v>
      </c>
      <c r="B5">
        <v>11</v>
      </c>
      <c r="C5">
        <v>4</v>
      </c>
      <c r="E5" s="196" t="e">
        <f t="array" aca="1" ref="E5:E84" ca="1">Freq2RAW(A4:A13,B4:B13)</f>
        <v>#NAME?</v>
      </c>
      <c r="G5" s="196" t="e">
        <f t="array" aca="1" ref="G5:G66" ca="1">Freq2RAW(A16:A25,B16:B25)</f>
        <v>#NAME?</v>
      </c>
      <c r="I5" t="e">
        <f t="array" aca="1" ref="I5:J10" ca="1">AD2TEST(E5:E84,G5:G66,TRUE)</f>
        <v>#NAME?</v>
      </c>
      <c r="J5" s="91" t="e">
        <f ca="1"/>
        <v>#NAME?</v>
      </c>
    </row>
    <row r="6" spans="1:10" x14ac:dyDescent="0.35">
      <c r="A6" s="169">
        <f t="shared" ref="A6:A13" si="0">A5+1</f>
        <v>3</v>
      </c>
      <c r="B6">
        <v>5</v>
      </c>
      <c r="C6">
        <v>1</v>
      </c>
      <c r="E6" s="69" t="e">
        <f ca="1"/>
        <v>#NAME?</v>
      </c>
      <c r="G6" s="69" t="e">
        <f ca="1"/>
        <v>#NAME?</v>
      </c>
      <c r="I6" t="e">
        <f ca="1"/>
        <v>#NAME?</v>
      </c>
      <c r="J6" s="38" t="e">
        <f ca="1"/>
        <v>#NAME?</v>
      </c>
    </row>
    <row r="7" spans="1:10" x14ac:dyDescent="0.35">
      <c r="A7" s="169">
        <f t="shared" si="0"/>
        <v>4</v>
      </c>
      <c r="B7">
        <v>7</v>
      </c>
      <c r="C7">
        <v>11</v>
      </c>
      <c r="E7" s="69" t="e">
        <f ca="1"/>
        <v>#NAME?</v>
      </c>
      <c r="G7" s="69" t="e">
        <f ca="1"/>
        <v>#NAME?</v>
      </c>
      <c r="I7" t="e">
        <f ca="1"/>
        <v>#NAME?</v>
      </c>
      <c r="J7" s="38" t="e">
        <f ca="1"/>
        <v>#NAME?</v>
      </c>
    </row>
    <row r="8" spans="1:10" x14ac:dyDescent="0.35">
      <c r="A8" s="169">
        <f t="shared" si="0"/>
        <v>5</v>
      </c>
      <c r="B8">
        <v>0</v>
      </c>
      <c r="C8">
        <v>12</v>
      </c>
      <c r="E8" s="69" t="e">
        <f ca="1"/>
        <v>#NAME?</v>
      </c>
      <c r="G8" s="69" t="e">
        <f ca="1"/>
        <v>#NAME?</v>
      </c>
      <c r="I8" t="e">
        <f ca="1"/>
        <v>#NAME?</v>
      </c>
      <c r="J8" s="38" t="e">
        <f ca="1"/>
        <v>#NAME?</v>
      </c>
    </row>
    <row r="9" spans="1:10" x14ac:dyDescent="0.35">
      <c r="A9" s="169">
        <f t="shared" si="0"/>
        <v>6</v>
      </c>
      <c r="B9">
        <v>5</v>
      </c>
      <c r="C9">
        <v>4</v>
      </c>
      <c r="E9" s="69" t="e">
        <f ca="1"/>
        <v>#NAME?</v>
      </c>
      <c r="G9" s="69" t="e">
        <f ca="1"/>
        <v>#NAME?</v>
      </c>
      <c r="I9" t="e">
        <f ca="1"/>
        <v>#NAME?</v>
      </c>
      <c r="J9" s="38" t="e">
        <f ca="1"/>
        <v>#NAME?</v>
      </c>
    </row>
    <row r="10" spans="1:10" x14ac:dyDescent="0.35">
      <c r="A10" s="169">
        <f t="shared" si="0"/>
        <v>7</v>
      </c>
      <c r="B10">
        <v>9</v>
      </c>
      <c r="C10">
        <v>2</v>
      </c>
      <c r="E10" s="69" t="e">
        <f ca="1"/>
        <v>#NAME?</v>
      </c>
      <c r="G10" s="69" t="e">
        <f ca="1"/>
        <v>#NAME?</v>
      </c>
      <c r="I10" t="e">
        <f ca="1"/>
        <v>#NAME?</v>
      </c>
      <c r="J10" s="35" t="e">
        <f ca="1"/>
        <v>#NAME?</v>
      </c>
    </row>
    <row r="11" spans="1:10" x14ac:dyDescent="0.35">
      <c r="A11" s="169">
        <f t="shared" si="0"/>
        <v>8</v>
      </c>
      <c r="B11">
        <v>13</v>
      </c>
      <c r="C11">
        <v>4</v>
      </c>
      <c r="E11" s="69" t="e">
        <f ca="1"/>
        <v>#NAME?</v>
      </c>
      <c r="G11" s="69" t="e">
        <f ca="1"/>
        <v>#NAME?</v>
      </c>
    </row>
    <row r="12" spans="1:10" x14ac:dyDescent="0.35">
      <c r="A12" s="169">
        <f t="shared" si="0"/>
        <v>9</v>
      </c>
      <c r="B12">
        <v>20</v>
      </c>
      <c r="C12">
        <v>8</v>
      </c>
      <c r="E12" s="69" t="e">
        <f ca="1"/>
        <v>#NAME?</v>
      </c>
      <c r="G12" s="69" t="e">
        <f ca="1"/>
        <v>#NAME?</v>
      </c>
    </row>
    <row r="13" spans="1:10" x14ac:dyDescent="0.35">
      <c r="A13" s="169">
        <f t="shared" si="0"/>
        <v>10</v>
      </c>
      <c r="B13" s="75">
        <v>6</v>
      </c>
      <c r="C13" s="75">
        <v>9</v>
      </c>
      <c r="E13" s="69" t="e">
        <f ca="1"/>
        <v>#NAME?</v>
      </c>
      <c r="G13" s="69" t="e">
        <f ca="1"/>
        <v>#NAME?</v>
      </c>
    </row>
    <row r="14" spans="1:10" x14ac:dyDescent="0.35">
      <c r="B14">
        <f>SUM(B4:B13)</f>
        <v>80</v>
      </c>
      <c r="C14">
        <f>SUM(C4:C13)</f>
        <v>62</v>
      </c>
      <c r="E14" s="69" t="e">
        <f ca="1"/>
        <v>#NAME?</v>
      </c>
      <c r="G14" s="69" t="e">
        <f ca="1"/>
        <v>#NAME?</v>
      </c>
    </row>
    <row r="15" spans="1:10" x14ac:dyDescent="0.35">
      <c r="E15" s="69" t="e">
        <f ca="1"/>
        <v>#NAME?</v>
      </c>
      <c r="G15" s="69" t="e">
        <f ca="1"/>
        <v>#NAME?</v>
      </c>
    </row>
    <row r="16" spans="1:10" x14ac:dyDescent="0.35">
      <c r="A16" s="169">
        <v>1</v>
      </c>
      <c r="B16">
        <v>7</v>
      </c>
      <c r="E16" s="69" t="e">
        <f ca="1"/>
        <v>#NAME?</v>
      </c>
      <c r="G16" s="69" t="e">
        <f ca="1"/>
        <v>#NAME?</v>
      </c>
    </row>
    <row r="17" spans="1:7" x14ac:dyDescent="0.35">
      <c r="A17" s="169">
        <f>A16+1</f>
        <v>2</v>
      </c>
      <c r="B17">
        <v>4</v>
      </c>
      <c r="E17" s="69" t="e">
        <f ca="1"/>
        <v>#NAME?</v>
      </c>
      <c r="G17" s="69" t="e">
        <f ca="1"/>
        <v>#NAME?</v>
      </c>
    </row>
    <row r="18" spans="1:7" x14ac:dyDescent="0.35">
      <c r="A18" s="169">
        <f t="shared" ref="A18:A25" si="1">A17+1</f>
        <v>3</v>
      </c>
      <c r="B18">
        <v>1</v>
      </c>
      <c r="E18" s="69" t="e">
        <f ca="1"/>
        <v>#NAME?</v>
      </c>
      <c r="G18" s="69" t="e">
        <f ca="1"/>
        <v>#NAME?</v>
      </c>
    </row>
    <row r="19" spans="1:7" x14ac:dyDescent="0.35">
      <c r="A19" s="169">
        <f t="shared" si="1"/>
        <v>4</v>
      </c>
      <c r="B19">
        <v>11</v>
      </c>
      <c r="E19" s="69" t="e">
        <f ca="1"/>
        <v>#NAME?</v>
      </c>
      <c r="G19" s="69" t="e">
        <f ca="1"/>
        <v>#NAME?</v>
      </c>
    </row>
    <row r="20" spans="1:7" x14ac:dyDescent="0.35">
      <c r="A20" s="169">
        <f t="shared" si="1"/>
        <v>5</v>
      </c>
      <c r="B20">
        <v>12</v>
      </c>
      <c r="E20" s="69" t="e">
        <f ca="1"/>
        <v>#NAME?</v>
      </c>
      <c r="G20" s="69" t="e">
        <f ca="1"/>
        <v>#NAME?</v>
      </c>
    </row>
    <row r="21" spans="1:7" x14ac:dyDescent="0.35">
      <c r="A21" s="169">
        <f t="shared" si="1"/>
        <v>6</v>
      </c>
      <c r="B21">
        <v>4</v>
      </c>
      <c r="E21" s="69" t="e">
        <f ca="1"/>
        <v>#NAME?</v>
      </c>
      <c r="G21" s="69" t="e">
        <f ca="1"/>
        <v>#NAME?</v>
      </c>
    </row>
    <row r="22" spans="1:7" x14ac:dyDescent="0.35">
      <c r="A22" s="169">
        <f t="shared" si="1"/>
        <v>7</v>
      </c>
      <c r="B22">
        <v>2</v>
      </c>
      <c r="E22" s="69" t="e">
        <f ca="1"/>
        <v>#NAME?</v>
      </c>
      <c r="G22" s="69" t="e">
        <f ca="1"/>
        <v>#NAME?</v>
      </c>
    </row>
    <row r="23" spans="1:7" x14ac:dyDescent="0.35">
      <c r="A23" s="169">
        <f t="shared" si="1"/>
        <v>8</v>
      </c>
      <c r="B23">
        <v>4</v>
      </c>
      <c r="E23" s="69" t="e">
        <f ca="1"/>
        <v>#NAME?</v>
      </c>
      <c r="G23" s="69" t="e">
        <f ca="1"/>
        <v>#NAME?</v>
      </c>
    </row>
    <row r="24" spans="1:7" x14ac:dyDescent="0.35">
      <c r="A24" s="169">
        <f t="shared" si="1"/>
        <v>9</v>
      </c>
      <c r="B24">
        <v>8</v>
      </c>
      <c r="E24" s="69" t="e">
        <f ca="1"/>
        <v>#NAME?</v>
      </c>
      <c r="G24" s="69" t="e">
        <f ca="1"/>
        <v>#NAME?</v>
      </c>
    </row>
    <row r="25" spans="1:7" x14ac:dyDescent="0.35">
      <c r="A25" s="169">
        <f t="shared" si="1"/>
        <v>10</v>
      </c>
      <c r="B25" s="75">
        <v>9</v>
      </c>
      <c r="E25" s="69" t="e">
        <f ca="1"/>
        <v>#NAME?</v>
      </c>
      <c r="G25" s="69" t="e">
        <f ca="1"/>
        <v>#NAME?</v>
      </c>
    </row>
    <row r="26" spans="1:7" x14ac:dyDescent="0.35">
      <c r="E26" s="69" t="e">
        <f ca="1"/>
        <v>#NAME?</v>
      </c>
      <c r="G26" s="69" t="e">
        <f ca="1"/>
        <v>#NAME?</v>
      </c>
    </row>
    <row r="27" spans="1:7" x14ac:dyDescent="0.35">
      <c r="E27" s="69" t="e">
        <f ca="1"/>
        <v>#NAME?</v>
      </c>
      <c r="G27" s="69" t="e">
        <f ca="1"/>
        <v>#NAME?</v>
      </c>
    </row>
    <row r="28" spans="1:7" x14ac:dyDescent="0.35">
      <c r="E28" s="69" t="e">
        <f ca="1"/>
        <v>#NAME?</v>
      </c>
      <c r="G28" s="69" t="e">
        <f ca="1"/>
        <v>#NAME?</v>
      </c>
    </row>
    <row r="29" spans="1:7" x14ac:dyDescent="0.35">
      <c r="E29" s="69" t="e">
        <f ca="1"/>
        <v>#NAME?</v>
      </c>
      <c r="G29" s="69" t="e">
        <f ca="1"/>
        <v>#NAME?</v>
      </c>
    </row>
    <row r="30" spans="1:7" x14ac:dyDescent="0.35">
      <c r="E30" s="69" t="e">
        <f ca="1"/>
        <v>#NAME?</v>
      </c>
      <c r="G30" s="69" t="e">
        <f ca="1"/>
        <v>#NAME?</v>
      </c>
    </row>
    <row r="31" spans="1:7" x14ac:dyDescent="0.35">
      <c r="E31" s="69" t="e">
        <f ca="1"/>
        <v>#NAME?</v>
      </c>
      <c r="G31" s="69" t="e">
        <f ca="1"/>
        <v>#NAME?</v>
      </c>
    </row>
    <row r="32" spans="1:7" x14ac:dyDescent="0.35">
      <c r="E32" s="69" t="e">
        <f ca="1"/>
        <v>#NAME?</v>
      </c>
      <c r="G32" s="69" t="e">
        <f ca="1"/>
        <v>#NAME?</v>
      </c>
    </row>
    <row r="33" spans="5:7" x14ac:dyDescent="0.35">
      <c r="E33" s="69" t="e">
        <f ca="1"/>
        <v>#NAME?</v>
      </c>
      <c r="G33" s="69" t="e">
        <f ca="1"/>
        <v>#NAME?</v>
      </c>
    </row>
    <row r="34" spans="5:7" x14ac:dyDescent="0.35">
      <c r="E34" s="69" t="e">
        <f ca="1"/>
        <v>#NAME?</v>
      </c>
      <c r="G34" s="69" t="e">
        <f ca="1"/>
        <v>#NAME?</v>
      </c>
    </row>
    <row r="35" spans="5:7" x14ac:dyDescent="0.35">
      <c r="E35" s="69" t="e">
        <f ca="1"/>
        <v>#NAME?</v>
      </c>
      <c r="G35" s="69" t="e">
        <f ca="1"/>
        <v>#NAME?</v>
      </c>
    </row>
    <row r="36" spans="5:7" x14ac:dyDescent="0.35">
      <c r="E36" s="69" t="e">
        <f ca="1"/>
        <v>#NAME?</v>
      </c>
      <c r="G36" s="69" t="e">
        <f ca="1"/>
        <v>#NAME?</v>
      </c>
    </row>
    <row r="37" spans="5:7" x14ac:dyDescent="0.35">
      <c r="E37" s="69" t="e">
        <f ca="1"/>
        <v>#NAME?</v>
      </c>
      <c r="G37" s="69" t="e">
        <f ca="1"/>
        <v>#NAME?</v>
      </c>
    </row>
    <row r="38" spans="5:7" x14ac:dyDescent="0.35">
      <c r="E38" s="69" t="e">
        <f ca="1"/>
        <v>#NAME?</v>
      </c>
      <c r="G38" s="69" t="e">
        <f ca="1"/>
        <v>#NAME?</v>
      </c>
    </row>
    <row r="39" spans="5:7" x14ac:dyDescent="0.35">
      <c r="E39" s="69" t="e">
        <f ca="1"/>
        <v>#NAME?</v>
      </c>
      <c r="G39" s="69" t="e">
        <f ca="1"/>
        <v>#NAME?</v>
      </c>
    </row>
    <row r="40" spans="5:7" x14ac:dyDescent="0.35">
      <c r="E40" s="69" t="e">
        <f ca="1"/>
        <v>#NAME?</v>
      </c>
      <c r="G40" s="69" t="e">
        <f ca="1"/>
        <v>#NAME?</v>
      </c>
    </row>
    <row r="41" spans="5:7" x14ac:dyDescent="0.35">
      <c r="E41" s="69" t="e">
        <f ca="1"/>
        <v>#NAME?</v>
      </c>
      <c r="G41" s="69" t="e">
        <f ca="1"/>
        <v>#NAME?</v>
      </c>
    </row>
    <row r="42" spans="5:7" x14ac:dyDescent="0.35">
      <c r="E42" s="69" t="e">
        <f ca="1"/>
        <v>#NAME?</v>
      </c>
      <c r="G42" s="69" t="e">
        <f ca="1"/>
        <v>#NAME?</v>
      </c>
    </row>
    <row r="43" spans="5:7" x14ac:dyDescent="0.35">
      <c r="E43" s="69" t="e">
        <f ca="1"/>
        <v>#NAME?</v>
      </c>
      <c r="G43" s="69" t="e">
        <f ca="1"/>
        <v>#NAME?</v>
      </c>
    </row>
    <row r="44" spans="5:7" x14ac:dyDescent="0.35">
      <c r="E44" s="69" t="e">
        <f ca="1"/>
        <v>#NAME?</v>
      </c>
      <c r="G44" s="69" t="e">
        <f ca="1"/>
        <v>#NAME?</v>
      </c>
    </row>
    <row r="45" spans="5:7" x14ac:dyDescent="0.35">
      <c r="E45" s="69" t="e">
        <f ca="1"/>
        <v>#NAME?</v>
      </c>
      <c r="G45" s="69" t="e">
        <f ca="1"/>
        <v>#NAME?</v>
      </c>
    </row>
    <row r="46" spans="5:7" x14ac:dyDescent="0.35">
      <c r="E46" s="69" t="e">
        <f ca="1"/>
        <v>#NAME?</v>
      </c>
      <c r="G46" s="69" t="e">
        <f ca="1"/>
        <v>#NAME?</v>
      </c>
    </row>
    <row r="47" spans="5:7" x14ac:dyDescent="0.35">
      <c r="E47" s="69" t="e">
        <f ca="1"/>
        <v>#NAME?</v>
      </c>
      <c r="G47" s="69" t="e">
        <f ca="1"/>
        <v>#NAME?</v>
      </c>
    </row>
    <row r="48" spans="5:7" x14ac:dyDescent="0.35">
      <c r="E48" s="69" t="e">
        <f ca="1"/>
        <v>#NAME?</v>
      </c>
      <c r="G48" s="69" t="e">
        <f ca="1"/>
        <v>#NAME?</v>
      </c>
    </row>
    <row r="49" spans="5:7" x14ac:dyDescent="0.35">
      <c r="E49" s="69" t="e">
        <f ca="1"/>
        <v>#NAME?</v>
      </c>
      <c r="G49" s="69" t="e">
        <f ca="1"/>
        <v>#NAME?</v>
      </c>
    </row>
    <row r="50" spans="5:7" x14ac:dyDescent="0.35">
      <c r="E50" s="69" t="e">
        <f ca="1"/>
        <v>#NAME?</v>
      </c>
      <c r="G50" s="69" t="e">
        <f ca="1"/>
        <v>#NAME?</v>
      </c>
    </row>
    <row r="51" spans="5:7" x14ac:dyDescent="0.35">
      <c r="E51" s="69" t="e">
        <f ca="1"/>
        <v>#NAME?</v>
      </c>
      <c r="G51" s="69" t="e">
        <f ca="1"/>
        <v>#NAME?</v>
      </c>
    </row>
    <row r="52" spans="5:7" x14ac:dyDescent="0.35">
      <c r="E52" s="69" t="e">
        <f ca="1"/>
        <v>#NAME?</v>
      </c>
      <c r="G52" s="69" t="e">
        <f ca="1"/>
        <v>#NAME?</v>
      </c>
    </row>
    <row r="53" spans="5:7" x14ac:dyDescent="0.35">
      <c r="E53" s="69" t="e">
        <f ca="1"/>
        <v>#NAME?</v>
      </c>
      <c r="G53" s="69" t="e">
        <f ca="1"/>
        <v>#NAME?</v>
      </c>
    </row>
    <row r="54" spans="5:7" x14ac:dyDescent="0.35">
      <c r="E54" s="69" t="e">
        <f ca="1"/>
        <v>#NAME?</v>
      </c>
      <c r="G54" s="69" t="e">
        <f ca="1"/>
        <v>#NAME?</v>
      </c>
    </row>
    <row r="55" spans="5:7" x14ac:dyDescent="0.35">
      <c r="E55" s="69" t="e">
        <f ca="1"/>
        <v>#NAME?</v>
      </c>
      <c r="G55" s="69" t="e">
        <f ca="1"/>
        <v>#NAME?</v>
      </c>
    </row>
    <row r="56" spans="5:7" x14ac:dyDescent="0.35">
      <c r="E56" s="69" t="e">
        <f ca="1"/>
        <v>#NAME?</v>
      </c>
      <c r="G56" s="69" t="e">
        <f ca="1"/>
        <v>#NAME?</v>
      </c>
    </row>
    <row r="57" spans="5:7" x14ac:dyDescent="0.35">
      <c r="E57" s="69" t="e">
        <f ca="1"/>
        <v>#NAME?</v>
      </c>
      <c r="G57" s="69" t="e">
        <f ca="1"/>
        <v>#NAME?</v>
      </c>
    </row>
    <row r="58" spans="5:7" x14ac:dyDescent="0.35">
      <c r="E58" s="69" t="e">
        <f ca="1"/>
        <v>#NAME?</v>
      </c>
      <c r="G58" s="69" t="e">
        <f ca="1"/>
        <v>#NAME?</v>
      </c>
    </row>
    <row r="59" spans="5:7" x14ac:dyDescent="0.35">
      <c r="E59" s="69" t="e">
        <f ca="1"/>
        <v>#NAME?</v>
      </c>
      <c r="G59" s="69" t="e">
        <f ca="1"/>
        <v>#NAME?</v>
      </c>
    </row>
    <row r="60" spans="5:7" x14ac:dyDescent="0.35">
      <c r="E60" s="69" t="e">
        <f ca="1"/>
        <v>#NAME?</v>
      </c>
      <c r="G60" s="69" t="e">
        <f ca="1"/>
        <v>#NAME?</v>
      </c>
    </row>
    <row r="61" spans="5:7" x14ac:dyDescent="0.35">
      <c r="E61" s="69" t="e">
        <f ca="1"/>
        <v>#NAME?</v>
      </c>
      <c r="G61" s="69" t="e">
        <f ca="1"/>
        <v>#NAME?</v>
      </c>
    </row>
    <row r="62" spans="5:7" x14ac:dyDescent="0.35">
      <c r="E62" s="69" t="e">
        <f ca="1"/>
        <v>#NAME?</v>
      </c>
      <c r="G62" s="69" t="e">
        <f ca="1"/>
        <v>#NAME?</v>
      </c>
    </row>
    <row r="63" spans="5:7" x14ac:dyDescent="0.35">
      <c r="E63" s="69" t="e">
        <f ca="1"/>
        <v>#NAME?</v>
      </c>
      <c r="G63" s="69" t="e">
        <f ca="1"/>
        <v>#NAME?</v>
      </c>
    </row>
    <row r="64" spans="5:7" x14ac:dyDescent="0.35">
      <c r="E64" s="69" t="e">
        <f ca="1"/>
        <v>#NAME?</v>
      </c>
      <c r="G64" s="69" t="e">
        <f ca="1"/>
        <v>#NAME?</v>
      </c>
    </row>
    <row r="65" spans="5:7" x14ac:dyDescent="0.35">
      <c r="E65" s="69" t="e">
        <f ca="1"/>
        <v>#NAME?</v>
      </c>
      <c r="G65" s="69" t="e">
        <f ca="1"/>
        <v>#NAME?</v>
      </c>
    </row>
    <row r="66" spans="5:7" x14ac:dyDescent="0.35">
      <c r="E66" s="69" t="e">
        <f ca="1"/>
        <v>#NAME?</v>
      </c>
      <c r="G66" s="70" t="e">
        <f ca="1"/>
        <v>#NAME?</v>
      </c>
    </row>
    <row r="67" spans="5:7" x14ac:dyDescent="0.35">
      <c r="E67" s="69" t="e">
        <f ca="1"/>
        <v>#NAME?</v>
      </c>
    </row>
    <row r="68" spans="5:7" x14ac:dyDescent="0.35">
      <c r="E68" s="69" t="e">
        <f ca="1"/>
        <v>#NAME?</v>
      </c>
    </row>
    <row r="69" spans="5:7" x14ac:dyDescent="0.35">
      <c r="E69" s="69" t="e">
        <f ca="1"/>
        <v>#NAME?</v>
      </c>
    </row>
    <row r="70" spans="5:7" x14ac:dyDescent="0.35">
      <c r="E70" s="69" t="e">
        <f ca="1"/>
        <v>#NAME?</v>
      </c>
    </row>
    <row r="71" spans="5:7" x14ac:dyDescent="0.35">
      <c r="E71" s="69" t="e">
        <f ca="1"/>
        <v>#NAME?</v>
      </c>
    </row>
    <row r="72" spans="5:7" x14ac:dyDescent="0.35">
      <c r="E72" s="69" t="e">
        <f ca="1"/>
        <v>#NAME?</v>
      </c>
    </row>
    <row r="73" spans="5:7" x14ac:dyDescent="0.35">
      <c r="E73" s="69" t="e">
        <f ca="1"/>
        <v>#NAME?</v>
      </c>
    </row>
    <row r="74" spans="5:7" x14ac:dyDescent="0.35">
      <c r="E74" s="69" t="e">
        <f ca="1"/>
        <v>#NAME?</v>
      </c>
    </row>
    <row r="75" spans="5:7" x14ac:dyDescent="0.35">
      <c r="E75" s="69" t="e">
        <f ca="1"/>
        <v>#NAME?</v>
      </c>
    </row>
    <row r="76" spans="5:7" x14ac:dyDescent="0.35">
      <c r="E76" s="69" t="e">
        <f ca="1"/>
        <v>#NAME?</v>
      </c>
    </row>
    <row r="77" spans="5:7" x14ac:dyDescent="0.35">
      <c r="E77" s="69" t="e">
        <f ca="1"/>
        <v>#NAME?</v>
      </c>
    </row>
    <row r="78" spans="5:7" x14ac:dyDescent="0.35">
      <c r="E78" s="69" t="e">
        <f ca="1"/>
        <v>#NAME?</v>
      </c>
    </row>
    <row r="79" spans="5:7" x14ac:dyDescent="0.35">
      <c r="E79" s="69" t="e">
        <f ca="1"/>
        <v>#NAME?</v>
      </c>
    </row>
    <row r="80" spans="5:7" x14ac:dyDescent="0.35">
      <c r="E80" s="69" t="e">
        <f ca="1"/>
        <v>#NAME?</v>
      </c>
    </row>
    <row r="81" spans="5:5" x14ac:dyDescent="0.35">
      <c r="E81" s="69" t="e">
        <f ca="1"/>
        <v>#NAME?</v>
      </c>
    </row>
    <row r="82" spans="5:5" x14ac:dyDescent="0.35">
      <c r="E82" s="69" t="e">
        <f ca="1"/>
        <v>#NAME?</v>
      </c>
    </row>
    <row r="83" spans="5:5" x14ac:dyDescent="0.35">
      <c r="E83" s="69" t="e">
        <f ca="1"/>
        <v>#NAME?</v>
      </c>
    </row>
    <row r="84" spans="5:5" x14ac:dyDescent="0.35">
      <c r="E84" s="70" t="e">
        <f ca="1"/>
        <v>#NAME?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6"/>
  <dimension ref="A1:AF21"/>
  <sheetViews>
    <sheetView workbookViewId="0">
      <selection activeCell="N16" sqref="N16"/>
    </sheetView>
  </sheetViews>
  <sheetFormatPr defaultRowHeight="14.5" x14ac:dyDescent="0.35"/>
  <cols>
    <col min="1" max="2" width="6.26953125" customWidth="1"/>
    <col min="3" max="3" width="9.1796875" customWidth="1"/>
    <col min="5" max="5" width="2.7265625" customWidth="1"/>
    <col min="6" max="6" width="8.26953125" customWidth="1"/>
    <col min="7" max="7" width="9.1796875" customWidth="1"/>
    <col min="8" max="8" width="7.81640625" customWidth="1"/>
    <col min="9" max="10" width="6.26953125" customWidth="1"/>
    <col min="11" max="12" width="9.1796875" customWidth="1"/>
    <col min="13" max="13" width="2.7265625" customWidth="1"/>
    <col min="14" max="14" width="8.26953125" customWidth="1"/>
    <col min="15" max="16" width="9.1796875" customWidth="1"/>
  </cols>
  <sheetData>
    <row r="1" spans="1:32" x14ac:dyDescent="0.35">
      <c r="A1" s="1" t="s">
        <v>180</v>
      </c>
      <c r="R1" t="s">
        <v>156</v>
      </c>
      <c r="U1" t="s">
        <v>156</v>
      </c>
      <c r="Y1" t="s">
        <v>156</v>
      </c>
      <c r="AB1" t="s">
        <v>156</v>
      </c>
      <c r="AE1" t="s">
        <v>156</v>
      </c>
    </row>
    <row r="2" spans="1:32" x14ac:dyDescent="0.35">
      <c r="A2" s="1"/>
    </row>
    <row r="3" spans="1:32" x14ac:dyDescent="0.35">
      <c r="A3" s="92" t="s">
        <v>181</v>
      </c>
      <c r="B3" s="92" t="s">
        <v>27</v>
      </c>
      <c r="C3" s="92" t="s">
        <v>182</v>
      </c>
      <c r="D3" s="92" t="s">
        <v>183</v>
      </c>
      <c r="F3" s="198" t="s">
        <v>184</v>
      </c>
      <c r="G3" s="198"/>
      <c r="H3" s="4"/>
      <c r="I3" s="92" t="s">
        <v>181</v>
      </c>
      <c r="J3" s="92" t="s">
        <v>27</v>
      </c>
      <c r="K3" s="92" t="s">
        <v>182</v>
      </c>
      <c r="L3" s="92" t="s">
        <v>183</v>
      </c>
      <c r="N3" s="198" t="s">
        <v>185</v>
      </c>
      <c r="O3" s="198"/>
      <c r="R3" t="s">
        <v>35</v>
      </c>
      <c r="S3" s="94">
        <v>0.05</v>
      </c>
      <c r="U3" t="s">
        <v>35</v>
      </c>
      <c r="V3" s="94">
        <v>0.05</v>
      </c>
      <c r="Y3" t="s">
        <v>35</v>
      </c>
      <c r="Z3" s="94">
        <v>0.05</v>
      </c>
      <c r="AB3" t="s">
        <v>35</v>
      </c>
      <c r="AC3" s="94">
        <v>0.05</v>
      </c>
      <c r="AE3" t="s">
        <v>35</v>
      </c>
      <c r="AF3" s="94">
        <v>0.05</v>
      </c>
    </row>
    <row r="4" spans="1:32" x14ac:dyDescent="0.35">
      <c r="A4" s="126">
        <v>1.2</v>
      </c>
      <c r="B4" s="121">
        <v>18</v>
      </c>
      <c r="C4">
        <f t="shared" ref="C4:C10" si="0">NORMDIST(A4,$G$14,$G$15,TRUE)</f>
        <v>7.3372930947199114E-2</v>
      </c>
      <c r="D4">
        <f>C4*$B$12</f>
        <v>11.886414813446256</v>
      </c>
      <c r="H4" s="4"/>
      <c r="I4" s="126">
        <v>1.2</v>
      </c>
      <c r="J4" s="121">
        <v>18</v>
      </c>
      <c r="K4">
        <f t="shared" ref="K4:K10" si="1">NORMDIST(I4,$O$14,$O$15,TRUE)</f>
        <v>0.21185539858339661</v>
      </c>
      <c r="L4">
        <f>K4*$B$12</f>
        <v>34.320574570510253</v>
      </c>
      <c r="R4" t="s">
        <v>168</v>
      </c>
      <c r="S4" s="135" t="s">
        <v>169</v>
      </c>
      <c r="U4" t="s">
        <v>168</v>
      </c>
      <c r="V4" s="135" t="s">
        <v>169</v>
      </c>
      <c r="Y4" t="s">
        <v>168</v>
      </c>
      <c r="Z4" s="135" t="s">
        <v>186</v>
      </c>
      <c r="AB4" t="s">
        <v>168</v>
      </c>
      <c r="AC4" s="135" t="s">
        <v>187</v>
      </c>
      <c r="AE4" t="s">
        <v>168</v>
      </c>
      <c r="AF4" s="135" t="s">
        <v>179</v>
      </c>
    </row>
    <row r="5" spans="1:32" x14ac:dyDescent="0.35">
      <c r="A5" s="126">
        <v>1.6</v>
      </c>
      <c r="B5" s="121">
        <v>26</v>
      </c>
      <c r="C5">
        <f t="shared" si="0"/>
        <v>0.1654405972779073</v>
      </c>
      <c r="D5">
        <f t="shared" ref="D5:D11" si="2">(C5-C4)*$B$12</f>
        <v>14.914961945574726</v>
      </c>
      <c r="F5" t="e">
        <f t="array" aca="1" ref="F5:G11" ca="1">GOFTEST(A4:B11,1,TRUE,0)</f>
        <v>#NAME?</v>
      </c>
      <c r="G5" s="91" t="e">
        <f ca="1"/>
        <v>#NAME?</v>
      </c>
      <c r="I5" s="126">
        <v>1.6</v>
      </c>
      <c r="J5" s="121">
        <v>26</v>
      </c>
      <c r="K5">
        <f t="shared" si="1"/>
        <v>0.34457825838967582</v>
      </c>
      <c r="L5">
        <f t="shared" ref="L5:L11" si="3">(K5-K4)*$B$12</f>
        <v>21.50110328861723</v>
      </c>
      <c r="N5" t="e">
        <f t="array" aca="1" ref="N5:O11" ca="1">GOFTESTExact(A4:B11,1,TRUE,2,1)</f>
        <v>#NAME?</v>
      </c>
      <c r="O5" s="91" t="e">
        <f ca="1"/>
        <v>#NAME?</v>
      </c>
      <c r="R5" t="s">
        <v>171</v>
      </c>
      <c r="S5" s="71" t="s">
        <v>172</v>
      </c>
      <c r="U5" t="s">
        <v>171</v>
      </c>
      <c r="V5" s="71" t="s">
        <v>176</v>
      </c>
      <c r="Y5" t="s">
        <v>171</v>
      </c>
      <c r="Z5" s="71" t="s">
        <v>188</v>
      </c>
      <c r="AB5" t="s">
        <v>171</v>
      </c>
      <c r="AC5" s="71" t="s">
        <v>188</v>
      </c>
      <c r="AE5" t="s">
        <v>171</v>
      </c>
      <c r="AF5" s="71" t="s">
        <v>188</v>
      </c>
    </row>
    <row r="6" spans="1:32" x14ac:dyDescent="0.35">
      <c r="A6" s="126">
        <v>2</v>
      </c>
      <c r="B6" s="121">
        <v>30</v>
      </c>
      <c r="C6">
        <f t="shared" si="0"/>
        <v>0.3108088867647486</v>
      </c>
      <c r="D6">
        <f t="shared" si="2"/>
        <v>23.549662896868291</v>
      </c>
      <c r="F6" t="e">
        <f ca="1"/>
        <v>#NAME?</v>
      </c>
      <c r="G6" s="38" t="e">
        <f ca="1"/>
        <v>#NAME?</v>
      </c>
      <c r="H6" s="4"/>
      <c r="I6" s="126">
        <v>2</v>
      </c>
      <c r="J6" s="121">
        <v>30</v>
      </c>
      <c r="K6">
        <f t="shared" si="1"/>
        <v>0.5</v>
      </c>
      <c r="L6">
        <f t="shared" si="3"/>
        <v>25.178322140872517</v>
      </c>
      <c r="N6" t="e">
        <f ca="1"/>
        <v>#NAME?</v>
      </c>
      <c r="O6" s="38" t="e">
        <f ca="1"/>
        <v>#NAME?</v>
      </c>
    </row>
    <row r="7" spans="1:32" x14ac:dyDescent="0.35">
      <c r="A7" s="126">
        <v>2.4</v>
      </c>
      <c r="B7" s="121">
        <v>24</v>
      </c>
      <c r="C7">
        <f t="shared" si="0"/>
        <v>0.49410496034921841</v>
      </c>
      <c r="D7">
        <f t="shared" si="2"/>
        <v>29.693963920684109</v>
      </c>
      <c r="F7" t="e">
        <f ca="1"/>
        <v>#NAME?</v>
      </c>
      <c r="G7" s="38" t="e">
        <f ca="1"/>
        <v>#NAME?</v>
      </c>
      <c r="H7" s="136"/>
      <c r="I7" s="126">
        <v>2.4</v>
      </c>
      <c r="J7" s="121">
        <v>24</v>
      </c>
      <c r="K7">
        <f t="shared" si="1"/>
        <v>0.65542174161032418</v>
      </c>
      <c r="L7">
        <f t="shared" si="3"/>
        <v>25.178322140872517</v>
      </c>
      <c r="N7" t="e">
        <f ca="1"/>
        <v>#NAME?</v>
      </c>
      <c r="O7" s="38" t="e">
        <f ca="1"/>
        <v>#NAME?</v>
      </c>
      <c r="R7" t="e">
        <f t="array" aca="1" ref="R7:S13" ca="1">GOFTEST(A4:B11,1,TRUE,0)</f>
        <v>#NAME?</v>
      </c>
      <c r="S7" s="91" t="e">
        <f ca="1"/>
        <v>#NAME?</v>
      </c>
      <c r="U7" s="4" t="e">
        <f t="array" aca="1" ref="U7:V13" ca="1">GOFTESTExact(A4:B11,1,TRUE,2,1)</f>
        <v>#NAME?</v>
      </c>
      <c r="V7" s="91" t="e">
        <f ca="1"/>
        <v>#NAME?</v>
      </c>
      <c r="Y7" t="e">
        <f t="array" aca="1" ref="Y7:Z11" ca="1">GOFTEST(A4:B11,3,TRUE,20)</f>
        <v>#NAME?</v>
      </c>
      <c r="Z7" s="94" t="e">
        <f ca="1"/>
        <v>#NAME?</v>
      </c>
      <c r="AB7" t="e">
        <f t="array" aca="1" ref="AB7:AC11" ca="1">GOFTEST(A4:B11,2,TRUE,20)</f>
        <v>#NAME?</v>
      </c>
      <c r="AC7" s="94" t="e">
        <f ca="1"/>
        <v>#NAME?</v>
      </c>
      <c r="AE7" t="e">
        <f t="array" aca="1" ref="AE7:AF11" ca="1">GOFTEST(A4:B11,4,TRUE,20)</f>
        <v>#NAME?</v>
      </c>
      <c r="AF7" s="94" t="e">
        <f ca="1"/>
        <v>#NAME?</v>
      </c>
    </row>
    <row r="8" spans="1:32" x14ac:dyDescent="0.35">
      <c r="A8" s="126">
        <v>2.8</v>
      </c>
      <c r="B8" s="121">
        <v>24</v>
      </c>
      <c r="C8">
        <f t="shared" si="0"/>
        <v>0.67867771088330509</v>
      </c>
      <c r="D8">
        <f t="shared" si="2"/>
        <v>29.900785586522041</v>
      </c>
      <c r="F8" t="e">
        <f ca="1"/>
        <v>#NAME?</v>
      </c>
      <c r="G8" s="38" t="e">
        <f ca="1"/>
        <v>#NAME?</v>
      </c>
      <c r="H8" s="4"/>
      <c r="I8" s="126">
        <v>2.8</v>
      </c>
      <c r="J8" s="121">
        <v>24</v>
      </c>
      <c r="K8">
        <f t="shared" si="1"/>
        <v>0.78814460141660325</v>
      </c>
      <c r="L8">
        <f t="shared" si="3"/>
        <v>21.501103288617209</v>
      </c>
      <c r="N8" t="e">
        <f ca="1"/>
        <v>#NAME?</v>
      </c>
      <c r="O8" s="38" t="e">
        <f ca="1"/>
        <v>#NAME?</v>
      </c>
      <c r="R8" t="e">
        <f ca="1"/>
        <v>#NAME?</v>
      </c>
      <c r="S8" s="38" t="e">
        <f ca="1"/>
        <v>#NAME?</v>
      </c>
      <c r="U8" s="4" t="e">
        <f ca="1"/>
        <v>#NAME?</v>
      </c>
      <c r="V8" s="38" t="e">
        <f ca="1"/>
        <v>#NAME?</v>
      </c>
      <c r="Y8" t="e">
        <f ca="1"/>
        <v>#NAME?</v>
      </c>
      <c r="Z8" s="69" t="e">
        <f ca="1"/>
        <v>#NAME?</v>
      </c>
      <c r="AB8" t="e">
        <f ca="1"/>
        <v>#NAME?</v>
      </c>
      <c r="AC8" s="135" t="e">
        <f ca="1"/>
        <v>#NAME?</v>
      </c>
      <c r="AE8" t="e">
        <f ca="1"/>
        <v>#NAME?</v>
      </c>
      <c r="AF8" s="69" t="e">
        <f ca="1"/>
        <v>#NAME?</v>
      </c>
    </row>
    <row r="9" spans="1:32" x14ac:dyDescent="0.35">
      <c r="A9" s="126">
        <v>3.2</v>
      </c>
      <c r="B9" s="121">
        <v>18</v>
      </c>
      <c r="C9">
        <f t="shared" si="0"/>
        <v>0.82710482644955174</v>
      </c>
      <c r="D9">
        <f t="shared" si="2"/>
        <v>24.045192721731958</v>
      </c>
      <c r="F9" t="e">
        <f ca="1"/>
        <v>#NAME?</v>
      </c>
      <c r="G9" s="38" t="e">
        <f ca="1"/>
        <v>#NAME?</v>
      </c>
      <c r="I9" s="126">
        <v>3.2</v>
      </c>
      <c r="J9" s="121">
        <v>18</v>
      </c>
      <c r="K9">
        <f t="shared" si="1"/>
        <v>0.88493032977829178</v>
      </c>
      <c r="L9">
        <f t="shared" si="3"/>
        <v>15.679287994593542</v>
      </c>
      <c r="N9" t="e">
        <f ca="1"/>
        <v>#NAME?</v>
      </c>
      <c r="O9" s="38" t="e">
        <f ca="1"/>
        <v>#NAME?</v>
      </c>
      <c r="R9" t="e">
        <f ca="1"/>
        <v>#NAME?</v>
      </c>
      <c r="S9" s="38" t="e">
        <f ca="1"/>
        <v>#NAME?</v>
      </c>
      <c r="U9" s="4" t="e">
        <f ca="1"/>
        <v>#NAME?</v>
      </c>
      <c r="V9" s="38" t="e">
        <f ca="1"/>
        <v>#NAME?</v>
      </c>
      <c r="Y9" t="e">
        <f ca="1"/>
        <v>#NAME?</v>
      </c>
      <c r="Z9" s="69" t="e">
        <f ca="1"/>
        <v>#NAME?</v>
      </c>
      <c r="AB9" t="e">
        <f ca="1"/>
        <v>#NAME?</v>
      </c>
      <c r="AC9" s="69" t="e">
        <f ca="1"/>
        <v>#NAME?</v>
      </c>
      <c r="AE9" t="e">
        <f ca="1"/>
        <v>#NAME?</v>
      </c>
      <c r="AF9" s="69" t="e">
        <f ca="1"/>
        <v>#NAME?</v>
      </c>
    </row>
    <row r="10" spans="1:32" x14ac:dyDescent="0.35">
      <c r="A10" s="126">
        <v>3.6</v>
      </c>
      <c r="B10" s="121">
        <v>12</v>
      </c>
      <c r="C10">
        <f t="shared" si="0"/>
        <v>0.9224241042032677</v>
      </c>
      <c r="D10">
        <f t="shared" si="2"/>
        <v>15.441722996101985</v>
      </c>
      <c r="F10" t="e">
        <f ca="1"/>
        <v>#NAME?</v>
      </c>
      <c r="G10" s="38" t="e">
        <f ca="1"/>
        <v>#NAME?</v>
      </c>
      <c r="I10" s="126">
        <v>3.6</v>
      </c>
      <c r="J10" s="121">
        <v>12</v>
      </c>
      <c r="K10">
        <f t="shared" si="1"/>
        <v>0.94520070830044201</v>
      </c>
      <c r="L10">
        <f t="shared" si="3"/>
        <v>9.7638013205883372</v>
      </c>
      <c r="N10" t="e">
        <f ca="1"/>
        <v>#NAME?</v>
      </c>
      <c r="O10" s="38" t="e">
        <f ca="1"/>
        <v>#NAME?</v>
      </c>
      <c r="R10" t="e">
        <f ca="1"/>
        <v>#NAME?</v>
      </c>
      <c r="S10" s="38" t="e">
        <f ca="1"/>
        <v>#NAME?</v>
      </c>
      <c r="U10" s="4" t="e">
        <f ca="1"/>
        <v>#NAME?</v>
      </c>
      <c r="V10" s="38" t="e">
        <f ca="1"/>
        <v>#NAME?</v>
      </c>
      <c r="Y10" t="e">
        <f ca="1"/>
        <v>#NAME?</v>
      </c>
      <c r="Z10" s="69" t="e">
        <f ca="1"/>
        <v>#NAME?</v>
      </c>
      <c r="AB10" t="e">
        <f ca="1"/>
        <v>#NAME?</v>
      </c>
      <c r="AC10" s="69" t="e">
        <f ca="1"/>
        <v>#NAME?</v>
      </c>
      <c r="AE10" t="e">
        <f ca="1"/>
        <v>#NAME?</v>
      </c>
      <c r="AF10" s="69" t="e">
        <f ca="1"/>
        <v>#NAME?</v>
      </c>
    </row>
    <row r="11" spans="1:32" x14ac:dyDescent="0.35">
      <c r="A11" s="168">
        <v>4.2</v>
      </c>
      <c r="B11" s="137">
        <v>10</v>
      </c>
      <c r="C11" s="75">
        <v>1</v>
      </c>
      <c r="D11" s="75">
        <f t="shared" si="2"/>
        <v>12.567295119070632</v>
      </c>
      <c r="F11" t="e">
        <f ca="1"/>
        <v>#NAME?</v>
      </c>
      <c r="G11" s="35" t="e">
        <f ca="1"/>
        <v>#NAME?</v>
      </c>
      <c r="I11" s="168">
        <v>4.2</v>
      </c>
      <c r="J11" s="137">
        <v>10</v>
      </c>
      <c r="K11" s="75">
        <v>1</v>
      </c>
      <c r="L11" s="75">
        <f t="shared" si="3"/>
        <v>8.8774852553283949</v>
      </c>
      <c r="N11" t="e">
        <f ca="1"/>
        <v>#NAME?</v>
      </c>
      <c r="O11" s="35" t="e">
        <f ca="1"/>
        <v>#NAME?</v>
      </c>
      <c r="R11" t="e">
        <f ca="1"/>
        <v>#NAME?</v>
      </c>
      <c r="S11" s="38" t="e">
        <f ca="1"/>
        <v>#NAME?</v>
      </c>
      <c r="U11" s="4" t="e">
        <f ca="1"/>
        <v>#NAME?</v>
      </c>
      <c r="V11" s="38" t="e">
        <f ca="1"/>
        <v>#NAME?</v>
      </c>
      <c r="Y11" t="e">
        <f ca="1"/>
        <v>#NAME?</v>
      </c>
      <c r="Z11" s="70" t="e">
        <f ca="1"/>
        <v>#NAME?</v>
      </c>
      <c r="AB11" t="e">
        <f ca="1"/>
        <v>#NAME?</v>
      </c>
      <c r="AC11" s="70" t="e">
        <f ca="1"/>
        <v>#NAME?</v>
      </c>
      <c r="AE11" t="e">
        <f ca="1"/>
        <v>#NAME?</v>
      </c>
      <c r="AF11" s="70" t="e">
        <f ca="1"/>
        <v>#NAME?</v>
      </c>
    </row>
    <row r="12" spans="1:32" x14ac:dyDescent="0.35">
      <c r="B12" s="169">
        <f>SUM(B4:B11)</f>
        <v>162</v>
      </c>
      <c r="D12" s="169">
        <f>SUM(D4:D11)</f>
        <v>161.99999999999997</v>
      </c>
      <c r="J12" s="169">
        <f>SUM(J4:J11)</f>
        <v>162</v>
      </c>
      <c r="L12" s="169">
        <f>SUM(L4:L11)</f>
        <v>162</v>
      </c>
      <c r="R12" t="e">
        <f ca="1"/>
        <v>#NAME?</v>
      </c>
      <c r="S12" s="38" t="e">
        <f ca="1"/>
        <v>#NAME?</v>
      </c>
      <c r="U12" s="4" t="e">
        <f ca="1"/>
        <v>#NAME?</v>
      </c>
      <c r="V12" s="38" t="e">
        <f ca="1"/>
        <v>#NAME?</v>
      </c>
    </row>
    <row r="13" spans="1:32" x14ac:dyDescent="0.35">
      <c r="R13" t="e">
        <f ca="1"/>
        <v>#NAME?</v>
      </c>
      <c r="S13" s="35" t="e">
        <f ca="1"/>
        <v>#NAME?</v>
      </c>
      <c r="U13" s="4" t="e">
        <f ca="1"/>
        <v>#NAME?</v>
      </c>
      <c r="V13" s="35" t="e">
        <f ca="1"/>
        <v>#NAME?</v>
      </c>
    </row>
    <row r="14" spans="1:32" x14ac:dyDescent="0.35">
      <c r="F14" t="s">
        <v>4</v>
      </c>
      <c r="G14" s="91">
        <f>SUMPRODUCT(A4:A11,B4:B11)/B12</f>
        <v>2.4123456790123456</v>
      </c>
      <c r="N14" t="s">
        <v>4</v>
      </c>
      <c r="O14" s="91">
        <v>2</v>
      </c>
    </row>
    <row r="15" spans="1:32" x14ac:dyDescent="0.35">
      <c r="F15" t="s">
        <v>64</v>
      </c>
      <c r="G15" s="35">
        <f>SQRT(SUMPRODUCT((A4:A11-G14)^2,B4:B11)/(B12-1))</f>
        <v>0.83545393858101469</v>
      </c>
      <c r="N15" t="s">
        <v>64</v>
      </c>
      <c r="O15" s="35">
        <v>1</v>
      </c>
    </row>
    <row r="17" spans="6:15" x14ac:dyDescent="0.35">
      <c r="F17" t="s">
        <v>89</v>
      </c>
      <c r="G17" s="91" t="e">
        <f ca="1">CHI_STAT2(B4:B11,D4:D11)</f>
        <v>#NAME?</v>
      </c>
      <c r="N17" t="s">
        <v>89</v>
      </c>
      <c r="O17" s="91" t="e">
        <f ca="1">CHI_STAT2(J4:J11,L4:L11)</f>
        <v>#NAME?</v>
      </c>
    </row>
    <row r="18" spans="6:15" x14ac:dyDescent="0.35">
      <c r="F18" t="s">
        <v>55</v>
      </c>
      <c r="G18" s="48">
        <f>COUNT(A4:A11)-COUNT(G14:G15)-1</f>
        <v>5</v>
      </c>
      <c r="N18" t="s">
        <v>55</v>
      </c>
      <c r="O18" s="48">
        <f>COUNT(I4:I11)-1</f>
        <v>7</v>
      </c>
    </row>
    <row r="19" spans="6:15" x14ac:dyDescent="0.35">
      <c r="F19" t="s">
        <v>57</v>
      </c>
      <c r="G19" s="35" t="e">
        <f ca="1">FIT_TEST(B4:B11,D4:D11,2)</f>
        <v>#NAME?</v>
      </c>
      <c r="N19" t="s">
        <v>57</v>
      </c>
      <c r="O19" s="35" t="e">
        <f ca="1">FIT_TEST(J4:J11,L4:L11,0)</f>
        <v>#NAME?</v>
      </c>
    </row>
    <row r="21" spans="6:15" x14ac:dyDescent="0.35">
      <c r="N21" t="s">
        <v>57</v>
      </c>
      <c r="O21" s="43">
        <f>CHITEST(J4:J11,L4:L11)</f>
        <v>0.13998410148517032</v>
      </c>
    </row>
  </sheetData>
  <mergeCells count="2">
    <mergeCell ref="F3:G3"/>
    <mergeCell ref="N3:O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6"/>
  <dimension ref="A1:F49"/>
  <sheetViews>
    <sheetView workbookViewId="0"/>
  </sheetViews>
  <sheetFormatPr defaultRowHeight="14.5" x14ac:dyDescent="0.35"/>
  <sheetData>
    <row r="1" spans="1:6" x14ac:dyDescent="0.35">
      <c r="A1" s="1" t="s">
        <v>136</v>
      </c>
    </row>
    <row r="3" spans="1:6" ht="27" x14ac:dyDescent="0.55000000000000004">
      <c r="A3" s="49" t="s">
        <v>68</v>
      </c>
      <c r="B3" s="50">
        <v>0.01</v>
      </c>
      <c r="C3" s="50">
        <v>0.05</v>
      </c>
      <c r="D3" s="50">
        <v>0.1</v>
      </c>
      <c r="E3" s="50">
        <v>0.15</v>
      </c>
      <c r="F3" s="50">
        <v>0.2</v>
      </c>
    </row>
    <row r="4" spans="1:6" x14ac:dyDescent="0.35">
      <c r="A4" s="50">
        <v>1</v>
      </c>
      <c r="B4" s="51">
        <v>0.995</v>
      </c>
      <c r="C4" s="51">
        <v>0.97499999999999998</v>
      </c>
      <c r="D4" s="51">
        <v>0.95</v>
      </c>
      <c r="E4" s="51">
        <v>0.92500000000000004</v>
      </c>
      <c r="F4" s="51">
        <v>0.9</v>
      </c>
    </row>
    <row r="5" spans="1:6" x14ac:dyDescent="0.35">
      <c r="A5" s="50">
        <v>2</v>
      </c>
      <c r="B5" s="51">
        <v>0.92900000000000005</v>
      </c>
      <c r="C5" s="51">
        <v>0.84199999999999997</v>
      </c>
      <c r="D5" s="51">
        <v>0.77600000000000002</v>
      </c>
      <c r="E5" s="51">
        <v>0.72599999999999998</v>
      </c>
      <c r="F5" s="51">
        <v>0.68400000000000005</v>
      </c>
    </row>
    <row r="6" spans="1:6" x14ac:dyDescent="0.35">
      <c r="A6" s="50">
        <v>3</v>
      </c>
      <c r="B6" s="51">
        <v>0.82799999999999996</v>
      </c>
      <c r="C6" s="51">
        <v>0.70799999999999996</v>
      </c>
      <c r="D6" s="51">
        <v>0.64200000000000002</v>
      </c>
      <c r="E6" s="51">
        <v>0.59699999999999998</v>
      </c>
      <c r="F6" s="51">
        <v>0.56499999999999995</v>
      </c>
    </row>
    <row r="7" spans="1:6" x14ac:dyDescent="0.35">
      <c r="A7" s="50">
        <v>4</v>
      </c>
      <c r="B7" s="51">
        <v>0.73299999999999998</v>
      </c>
      <c r="C7" s="51">
        <v>0.624</v>
      </c>
      <c r="D7" s="51">
        <v>0.56399999999999995</v>
      </c>
      <c r="E7" s="51">
        <v>0.52500000000000002</v>
      </c>
      <c r="F7" s="51">
        <v>0.49399999999999999</v>
      </c>
    </row>
    <row r="8" spans="1:6" x14ac:dyDescent="0.35">
      <c r="A8" s="50">
        <v>5</v>
      </c>
      <c r="B8" s="51">
        <v>0.66900000000000004</v>
      </c>
      <c r="C8" s="51">
        <v>0.56499999999999995</v>
      </c>
      <c r="D8" s="51">
        <v>0.51</v>
      </c>
      <c r="E8" s="51">
        <v>0.47399999999999998</v>
      </c>
      <c r="F8" s="51">
        <v>0.44600000000000001</v>
      </c>
    </row>
    <row r="9" spans="1:6" x14ac:dyDescent="0.35">
      <c r="A9" s="50">
        <v>6</v>
      </c>
      <c r="B9" s="51">
        <v>0.61799999999999999</v>
      </c>
      <c r="C9" s="51">
        <v>0.52100000000000002</v>
      </c>
      <c r="D9" s="51">
        <v>0.47</v>
      </c>
      <c r="E9" s="51">
        <v>0.436</v>
      </c>
      <c r="F9" s="51">
        <v>0.41</v>
      </c>
    </row>
    <row r="10" spans="1:6" x14ac:dyDescent="0.35">
      <c r="A10" s="50">
        <v>7</v>
      </c>
      <c r="B10" s="51">
        <v>0.57699999999999996</v>
      </c>
      <c r="C10" s="51">
        <v>0.48599999999999999</v>
      </c>
      <c r="D10" s="51">
        <v>0.438</v>
      </c>
      <c r="E10" s="51">
        <v>0.40500000000000003</v>
      </c>
      <c r="F10" s="51">
        <v>0.38100000000000001</v>
      </c>
    </row>
    <row r="11" spans="1:6" x14ac:dyDescent="0.35">
      <c r="A11" s="50">
        <v>8</v>
      </c>
      <c r="B11" s="51">
        <v>0.54300000000000004</v>
      </c>
      <c r="C11" s="51">
        <v>0.45700000000000002</v>
      </c>
      <c r="D11" s="51">
        <v>0.41099999999999998</v>
      </c>
      <c r="E11" s="51">
        <v>0.38100000000000001</v>
      </c>
      <c r="F11" s="51">
        <v>0.35799999999999998</v>
      </c>
    </row>
    <row r="12" spans="1:6" x14ac:dyDescent="0.35">
      <c r="A12" s="50">
        <v>9</v>
      </c>
      <c r="B12" s="51">
        <v>0.51400000000000001</v>
      </c>
      <c r="C12" s="51">
        <v>0.432</v>
      </c>
      <c r="D12" s="51">
        <v>0.38800000000000001</v>
      </c>
      <c r="E12" s="51">
        <v>0.36</v>
      </c>
      <c r="F12" s="51">
        <v>0.33900000000000002</v>
      </c>
    </row>
    <row r="13" spans="1:6" x14ac:dyDescent="0.35">
      <c r="A13" s="50">
        <v>10</v>
      </c>
      <c r="B13" s="51">
        <v>0.49</v>
      </c>
      <c r="C13" s="51">
        <v>0.41</v>
      </c>
      <c r="D13" s="51">
        <v>0.36799999999999999</v>
      </c>
      <c r="E13" s="51">
        <v>0.34200000000000003</v>
      </c>
      <c r="F13" s="51">
        <v>0.32200000000000001</v>
      </c>
    </row>
    <row r="14" spans="1:6" x14ac:dyDescent="0.35">
      <c r="A14" s="50">
        <v>11</v>
      </c>
      <c r="B14" s="51">
        <v>0.46800000000000003</v>
      </c>
      <c r="C14" s="51">
        <v>0.39100000000000001</v>
      </c>
      <c r="D14" s="51">
        <v>0.35199999999999998</v>
      </c>
      <c r="E14" s="51">
        <v>0.32600000000000001</v>
      </c>
      <c r="F14" s="51">
        <v>0.307</v>
      </c>
    </row>
    <row r="15" spans="1:6" x14ac:dyDescent="0.35">
      <c r="A15" s="50">
        <v>12</v>
      </c>
      <c r="B15" s="51">
        <v>0.45</v>
      </c>
      <c r="C15" s="51">
        <v>0.375</v>
      </c>
      <c r="D15" s="51">
        <v>0.33800000000000002</v>
      </c>
      <c r="E15" s="51">
        <v>0.313</v>
      </c>
      <c r="F15" s="51">
        <v>0.29499999999999998</v>
      </c>
    </row>
    <row r="16" spans="1:6" x14ac:dyDescent="0.35">
      <c r="A16" s="50">
        <v>13</v>
      </c>
      <c r="B16" s="51">
        <v>0.433</v>
      </c>
      <c r="C16" s="51">
        <v>0.36099999999999999</v>
      </c>
      <c r="D16" s="51">
        <v>0.32500000000000001</v>
      </c>
      <c r="E16" s="51">
        <v>0.30199999999999999</v>
      </c>
      <c r="F16" s="51">
        <v>0.28399999999999997</v>
      </c>
    </row>
    <row r="17" spans="1:6" x14ac:dyDescent="0.35">
      <c r="A17" s="50">
        <v>14</v>
      </c>
      <c r="B17" s="51">
        <v>0.41799999999999998</v>
      </c>
      <c r="C17" s="51">
        <v>0.34899999999999998</v>
      </c>
      <c r="D17" s="51">
        <v>0.314</v>
      </c>
      <c r="E17" s="51">
        <v>0.29199999999999998</v>
      </c>
      <c r="F17" s="51">
        <v>0.27400000000000002</v>
      </c>
    </row>
    <row r="18" spans="1:6" x14ac:dyDescent="0.35">
      <c r="A18" s="50">
        <v>15</v>
      </c>
      <c r="B18" s="51">
        <v>0.40400000000000003</v>
      </c>
      <c r="C18" s="51">
        <v>0.33800000000000002</v>
      </c>
      <c r="D18" s="51">
        <v>0.30399999999999999</v>
      </c>
      <c r="E18" s="51">
        <v>0.28299999999999997</v>
      </c>
      <c r="F18" s="51">
        <v>0.26600000000000001</v>
      </c>
    </row>
    <row r="19" spans="1:6" x14ac:dyDescent="0.35">
      <c r="A19" s="50">
        <v>16</v>
      </c>
      <c r="B19" s="51">
        <v>0.39200000000000002</v>
      </c>
      <c r="C19" s="51">
        <v>0.32800000000000001</v>
      </c>
      <c r="D19" s="51">
        <v>0.29499999999999998</v>
      </c>
      <c r="E19" s="51">
        <v>0.27400000000000002</v>
      </c>
      <c r="F19" s="51">
        <v>0.25800000000000001</v>
      </c>
    </row>
    <row r="20" spans="1:6" ht="15" customHeight="1" x14ac:dyDescent="0.35">
      <c r="A20" s="50">
        <v>17</v>
      </c>
      <c r="B20" s="51">
        <v>0.38100000000000001</v>
      </c>
      <c r="C20" s="51">
        <v>0.318</v>
      </c>
      <c r="D20" s="51">
        <v>0.28599999999999998</v>
      </c>
      <c r="E20" s="51">
        <v>0.26600000000000001</v>
      </c>
      <c r="F20" s="51">
        <v>0.25</v>
      </c>
    </row>
    <row r="21" spans="1:6" ht="15" customHeight="1" x14ac:dyDescent="0.35">
      <c r="A21" s="50">
        <v>18</v>
      </c>
      <c r="B21" s="51">
        <v>0.371</v>
      </c>
      <c r="C21" s="51">
        <v>0.309</v>
      </c>
      <c r="D21" s="51">
        <v>0.27800000000000002</v>
      </c>
      <c r="E21" s="51">
        <v>0.25900000000000001</v>
      </c>
      <c r="F21" s="51">
        <v>0.24399999999999999</v>
      </c>
    </row>
    <row r="22" spans="1:6" ht="15" customHeight="1" x14ac:dyDescent="0.35">
      <c r="A22" s="50">
        <v>19</v>
      </c>
      <c r="B22" s="51">
        <v>0.36299999999999999</v>
      </c>
      <c r="C22" s="51">
        <v>0.30099999999999999</v>
      </c>
      <c r="D22" s="51">
        <v>0.27200000000000002</v>
      </c>
      <c r="E22" s="51">
        <v>0.252</v>
      </c>
      <c r="F22" s="51">
        <v>0.23699999999999999</v>
      </c>
    </row>
    <row r="23" spans="1:6" ht="15" customHeight="1" x14ac:dyDescent="0.35">
      <c r="A23" s="50">
        <v>20</v>
      </c>
      <c r="B23" s="51">
        <v>0.35599999999999998</v>
      </c>
      <c r="C23" s="51">
        <v>0.29399999999999998</v>
      </c>
      <c r="D23" s="51">
        <v>0.26400000000000001</v>
      </c>
      <c r="E23" s="51">
        <v>0.246</v>
      </c>
      <c r="F23" s="51">
        <v>0.23100000000000001</v>
      </c>
    </row>
    <row r="24" spans="1:6" x14ac:dyDescent="0.35">
      <c r="A24" s="50">
        <v>25</v>
      </c>
      <c r="B24" s="51">
        <v>0.32</v>
      </c>
      <c r="C24" s="51">
        <v>0.27</v>
      </c>
      <c r="D24" s="51">
        <v>0.24</v>
      </c>
      <c r="E24" s="51">
        <v>0.22</v>
      </c>
      <c r="F24" s="51">
        <v>0.21</v>
      </c>
    </row>
    <row r="25" spans="1:6" x14ac:dyDescent="0.35">
      <c r="A25" s="50">
        <v>30</v>
      </c>
      <c r="B25" s="51">
        <v>0.28999999999999998</v>
      </c>
      <c r="C25" s="51">
        <v>0.24</v>
      </c>
      <c r="D25" s="51">
        <v>0.22</v>
      </c>
      <c r="E25" s="51">
        <v>0.2</v>
      </c>
      <c r="F25" s="51">
        <v>0.19</v>
      </c>
    </row>
    <row r="26" spans="1:6" x14ac:dyDescent="0.35">
      <c r="A26" s="50">
        <v>35</v>
      </c>
      <c r="B26" s="51">
        <v>0.27</v>
      </c>
      <c r="C26" s="51">
        <v>0.23</v>
      </c>
      <c r="D26" s="51">
        <v>0.21</v>
      </c>
      <c r="E26" s="51">
        <v>0.19</v>
      </c>
      <c r="F26" s="51">
        <v>0.18</v>
      </c>
    </row>
    <row r="27" spans="1:6" x14ac:dyDescent="0.35">
      <c r="A27" s="50">
        <v>40</v>
      </c>
      <c r="B27" s="51">
        <v>0.25</v>
      </c>
      <c r="C27" s="51">
        <v>0.21</v>
      </c>
      <c r="D27" s="51">
        <v>0.19</v>
      </c>
      <c r="E27" s="51">
        <v>0.18</v>
      </c>
      <c r="F27" s="51">
        <v>0.17</v>
      </c>
    </row>
    <row r="28" spans="1:6" x14ac:dyDescent="0.35">
      <c r="A28" s="50">
        <v>45</v>
      </c>
      <c r="B28" s="51">
        <v>0.24</v>
      </c>
      <c r="C28" s="51">
        <v>0.2</v>
      </c>
      <c r="D28" s="51">
        <v>0.18</v>
      </c>
      <c r="E28" s="51">
        <v>0.17</v>
      </c>
      <c r="F28" s="51">
        <v>0.16</v>
      </c>
    </row>
    <row r="29" spans="1:6" x14ac:dyDescent="0.35">
      <c r="A29" s="50">
        <v>50</v>
      </c>
      <c r="B29" s="51">
        <v>0.23</v>
      </c>
      <c r="C29" s="51">
        <v>0.19</v>
      </c>
      <c r="D29" s="51">
        <v>0.17</v>
      </c>
      <c r="E29" s="51">
        <v>0.16</v>
      </c>
      <c r="F29" s="51">
        <v>0.15</v>
      </c>
    </row>
    <row r="30" spans="1:6" x14ac:dyDescent="0.35">
      <c r="A30" s="199" t="s">
        <v>105</v>
      </c>
      <c r="B30" s="54">
        <v>1.63</v>
      </c>
      <c r="C30" s="55">
        <v>1.36</v>
      </c>
      <c r="D30" s="55">
        <v>1.22</v>
      </c>
      <c r="E30" s="55">
        <v>1.1399999999999999</v>
      </c>
      <c r="F30" s="55">
        <v>1.07</v>
      </c>
    </row>
    <row r="31" spans="1:6" ht="6" customHeight="1" x14ac:dyDescent="0.35">
      <c r="A31" s="200"/>
      <c r="B31" s="52" t="s">
        <v>69</v>
      </c>
      <c r="C31" s="52" t="s">
        <v>69</v>
      </c>
      <c r="D31" s="52" t="s">
        <v>69</v>
      </c>
      <c r="E31" s="52" t="s">
        <v>70</v>
      </c>
      <c r="F31" s="52" t="s">
        <v>71</v>
      </c>
    </row>
    <row r="32" spans="1:6" x14ac:dyDescent="0.35">
      <c r="A32" s="201"/>
      <c r="B32" s="53" t="s">
        <v>102</v>
      </c>
      <c r="C32" s="53" t="s">
        <v>102</v>
      </c>
      <c r="D32" s="53" t="s">
        <v>102</v>
      </c>
      <c r="E32" s="53" t="s">
        <v>102</v>
      </c>
      <c r="F32" s="53" t="s">
        <v>102</v>
      </c>
    </row>
    <row r="34" spans="1:6" x14ac:dyDescent="0.35">
      <c r="A34" s="202" t="s">
        <v>103</v>
      </c>
      <c r="B34" s="202"/>
      <c r="C34" s="202"/>
      <c r="D34" s="202"/>
      <c r="E34" s="202"/>
      <c r="F34" s="202"/>
    </row>
    <row r="35" spans="1:6" x14ac:dyDescent="0.35">
      <c r="A35" t="s">
        <v>104</v>
      </c>
    </row>
    <row r="49" ht="6.75" customHeight="1" x14ac:dyDescent="0.35"/>
  </sheetData>
  <mergeCells count="2">
    <mergeCell ref="A30:A32"/>
    <mergeCell ref="A34:F34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38"/>
  <dimension ref="A1:H35"/>
  <sheetViews>
    <sheetView workbookViewId="0">
      <selection sqref="A1:H1048576"/>
    </sheetView>
  </sheetViews>
  <sheetFormatPr defaultRowHeight="14.5" x14ac:dyDescent="0.35"/>
  <cols>
    <col min="6" max="6" width="9.1796875" customWidth="1"/>
    <col min="12" max="12" width="18.26953125" customWidth="1"/>
  </cols>
  <sheetData>
    <row r="1" spans="1:8" x14ac:dyDescent="0.35">
      <c r="A1" s="1" t="s">
        <v>136</v>
      </c>
      <c r="B1" s="1"/>
    </row>
    <row r="3" spans="1:8" ht="27" x14ac:dyDescent="0.55000000000000004">
      <c r="A3" s="49" t="s">
        <v>68</v>
      </c>
      <c r="B3" s="107">
        <v>1E-3</v>
      </c>
      <c r="C3" s="107">
        <v>0.01</v>
      </c>
      <c r="D3" s="50">
        <v>0.02</v>
      </c>
      <c r="E3" s="50">
        <v>0.05</v>
      </c>
      <c r="F3" s="50">
        <v>0.1</v>
      </c>
      <c r="G3" s="50">
        <v>0.15</v>
      </c>
      <c r="H3" s="50">
        <v>0.2</v>
      </c>
    </row>
    <row r="4" spans="1:8" x14ac:dyDescent="0.35">
      <c r="A4" s="50">
        <v>1</v>
      </c>
      <c r="B4" s="108"/>
      <c r="C4" s="78">
        <v>0.995</v>
      </c>
      <c r="D4" s="78">
        <v>0.99</v>
      </c>
      <c r="E4" s="78">
        <v>0.97499999999999998</v>
      </c>
      <c r="F4" s="78">
        <v>0.95</v>
      </c>
      <c r="G4" s="78">
        <v>0.92500000000000004</v>
      </c>
      <c r="H4" s="78">
        <v>0.9</v>
      </c>
    </row>
    <row r="5" spans="1:8" x14ac:dyDescent="0.35">
      <c r="A5" s="50">
        <v>2</v>
      </c>
      <c r="B5" s="78">
        <v>0.97763999999999995</v>
      </c>
      <c r="C5" s="78">
        <v>0.92930000000000001</v>
      </c>
      <c r="D5" s="78">
        <v>0.9</v>
      </c>
      <c r="E5" s="78">
        <v>0.84189000000000003</v>
      </c>
      <c r="F5" s="78">
        <v>0.77639000000000002</v>
      </c>
      <c r="G5" s="78">
        <v>0.72614000000000001</v>
      </c>
      <c r="H5" s="78">
        <v>0.68376999999999999</v>
      </c>
    </row>
    <row r="6" spans="1:8" x14ac:dyDescent="0.35">
      <c r="A6" s="50">
        <v>3</v>
      </c>
      <c r="B6" s="78">
        <v>0.92062999999999995</v>
      </c>
      <c r="C6" s="78">
        <v>0.82899999999999996</v>
      </c>
      <c r="D6" s="78">
        <v>0.78456000000000004</v>
      </c>
      <c r="E6" s="78">
        <v>0.70760000000000001</v>
      </c>
      <c r="F6" s="78">
        <v>0.63604000000000005</v>
      </c>
      <c r="G6" s="78">
        <v>0.59582000000000002</v>
      </c>
      <c r="H6" s="78">
        <v>0.56481000000000003</v>
      </c>
    </row>
    <row r="7" spans="1:8" x14ac:dyDescent="0.35">
      <c r="A7" s="50">
        <v>4</v>
      </c>
      <c r="B7" s="78">
        <v>0.85045999999999999</v>
      </c>
      <c r="C7" s="78">
        <v>0.73421000000000003</v>
      </c>
      <c r="D7" s="78">
        <v>0.68886999999999998</v>
      </c>
      <c r="E7" s="78">
        <v>0.62394000000000005</v>
      </c>
      <c r="F7" s="78">
        <v>0.56521999999999994</v>
      </c>
      <c r="G7" s="78">
        <v>0.52476</v>
      </c>
      <c r="H7" s="78">
        <v>0.49264999999999998</v>
      </c>
    </row>
    <row r="8" spans="1:8" x14ac:dyDescent="0.35">
      <c r="A8" s="50">
        <v>5</v>
      </c>
      <c r="B8" s="78">
        <v>0.78137000000000001</v>
      </c>
      <c r="C8" s="78">
        <v>0.66854999999999998</v>
      </c>
      <c r="D8" s="78">
        <v>0.62717999999999996</v>
      </c>
      <c r="E8" s="78">
        <v>0.56327000000000005</v>
      </c>
      <c r="F8" s="78">
        <v>0.50944999999999996</v>
      </c>
      <c r="G8" s="78">
        <v>0.47438999999999998</v>
      </c>
      <c r="H8" s="78">
        <v>0.44696999999999998</v>
      </c>
    </row>
    <row r="9" spans="1:8" x14ac:dyDescent="0.35">
      <c r="A9" s="50">
        <v>6</v>
      </c>
      <c r="B9" s="78">
        <v>0.72479000000000005</v>
      </c>
      <c r="C9" s="78">
        <v>0.61660000000000004</v>
      </c>
      <c r="D9" s="78">
        <v>0.57740999999999998</v>
      </c>
      <c r="E9" s="78">
        <v>0.51926000000000005</v>
      </c>
      <c r="F9" s="78">
        <v>0.46799000000000002</v>
      </c>
      <c r="G9" s="78">
        <v>0.43525999999999998</v>
      </c>
      <c r="H9" s="78">
        <v>0.41034999999999999</v>
      </c>
    </row>
    <row r="10" spans="1:8" x14ac:dyDescent="0.35">
      <c r="A10" s="50">
        <v>7</v>
      </c>
      <c r="B10" s="78">
        <v>0.67930000000000001</v>
      </c>
      <c r="C10" s="78">
        <v>0.57579999999999998</v>
      </c>
      <c r="D10" s="78">
        <v>0.53844000000000003</v>
      </c>
      <c r="E10" s="78">
        <v>0.48343000000000003</v>
      </c>
      <c r="F10" s="78">
        <v>0.43607000000000001</v>
      </c>
      <c r="G10" s="78">
        <v>0.40497</v>
      </c>
      <c r="H10" s="78">
        <v>0.38145000000000001</v>
      </c>
    </row>
    <row r="11" spans="1:8" x14ac:dyDescent="0.35">
      <c r="A11" s="50">
        <v>8</v>
      </c>
      <c r="B11" s="78">
        <v>0.64097999999999999</v>
      </c>
      <c r="C11" s="78">
        <v>0.54179999999999995</v>
      </c>
      <c r="D11" s="78">
        <v>0.50653999999999999</v>
      </c>
      <c r="E11" s="78">
        <v>0.45427000000000001</v>
      </c>
      <c r="F11" s="78">
        <v>0.40961999999999998</v>
      </c>
      <c r="G11" s="78">
        <v>0.38062000000000001</v>
      </c>
      <c r="H11" s="78">
        <v>0.35827999999999999</v>
      </c>
    </row>
    <row r="12" spans="1:8" x14ac:dyDescent="0.35">
      <c r="A12" s="50">
        <v>9</v>
      </c>
      <c r="B12" s="78">
        <v>0.60846</v>
      </c>
      <c r="C12" s="78">
        <v>0.51329999999999998</v>
      </c>
      <c r="D12" s="78">
        <v>0.47960000000000003</v>
      </c>
      <c r="E12" s="78">
        <v>0.43001</v>
      </c>
      <c r="F12" s="78">
        <v>0.38746000000000003</v>
      </c>
      <c r="G12" s="78">
        <v>0.36005999999999999</v>
      </c>
      <c r="H12" s="78">
        <v>0.33906999999999998</v>
      </c>
    </row>
    <row r="13" spans="1:8" x14ac:dyDescent="0.35">
      <c r="A13" s="50">
        <v>10</v>
      </c>
      <c r="B13" s="78">
        <v>0.58042000000000005</v>
      </c>
      <c r="C13" s="78">
        <v>0.48895</v>
      </c>
      <c r="D13" s="78">
        <v>0.45662000000000003</v>
      </c>
      <c r="E13" s="78">
        <v>0.40925</v>
      </c>
      <c r="F13" s="78">
        <v>0.36865999999999999</v>
      </c>
      <c r="G13" s="78">
        <v>0.34250000000000003</v>
      </c>
      <c r="H13" s="78">
        <v>0.32257000000000002</v>
      </c>
    </row>
    <row r="14" spans="1:8" x14ac:dyDescent="0.35">
      <c r="A14" s="50">
        <v>11</v>
      </c>
      <c r="B14" s="78">
        <v>0.55588000000000004</v>
      </c>
      <c r="C14" s="78">
        <v>0.4677</v>
      </c>
      <c r="D14" s="78">
        <v>0.43669999999999998</v>
      </c>
      <c r="E14" s="78">
        <v>0.39122000000000001</v>
      </c>
      <c r="F14" s="78">
        <v>0.35242000000000001</v>
      </c>
      <c r="G14" s="78">
        <v>0.32734000000000002</v>
      </c>
      <c r="H14" s="78">
        <v>0.30825999999999998</v>
      </c>
    </row>
    <row r="15" spans="1:8" x14ac:dyDescent="0.35">
      <c r="A15" s="50">
        <v>12</v>
      </c>
      <c r="B15" s="78">
        <v>0.53422000000000003</v>
      </c>
      <c r="C15" s="78">
        <v>0.44905</v>
      </c>
      <c r="D15" s="78">
        <v>0.41918</v>
      </c>
      <c r="E15" s="78">
        <v>0.37542999999999999</v>
      </c>
      <c r="F15" s="78">
        <v>0.33815000000000001</v>
      </c>
      <c r="G15" s="78">
        <v>0.31408000000000003</v>
      </c>
      <c r="H15" s="78">
        <v>0.29572999999999999</v>
      </c>
    </row>
    <row r="16" spans="1:8" x14ac:dyDescent="0.35">
      <c r="A16" s="50">
        <v>13</v>
      </c>
      <c r="B16" s="78">
        <v>0.51490000000000002</v>
      </c>
      <c r="C16" s="78">
        <v>0.43246000000000001</v>
      </c>
      <c r="D16" s="78">
        <v>0.40361999999999998</v>
      </c>
      <c r="E16" s="78">
        <v>0.36142999999999997</v>
      </c>
      <c r="F16" s="78">
        <v>0.32547999999999999</v>
      </c>
      <c r="G16" s="78">
        <v>0.30232999999999999</v>
      </c>
      <c r="H16" s="78">
        <v>0.28466000000000002</v>
      </c>
    </row>
    <row r="17" spans="1:8" x14ac:dyDescent="0.35">
      <c r="A17" s="50">
        <v>14</v>
      </c>
      <c r="B17" s="78">
        <v>0.49752999999999997</v>
      </c>
      <c r="C17" s="78">
        <v>0.41760000000000003</v>
      </c>
      <c r="D17" s="78">
        <v>0.38969999999999999</v>
      </c>
      <c r="E17" s="78">
        <v>0.34889999999999999</v>
      </c>
      <c r="F17" s="78">
        <v>0.31417</v>
      </c>
      <c r="G17" s="78">
        <v>0.29181000000000001</v>
      </c>
      <c r="H17" s="78">
        <v>0.27477000000000001</v>
      </c>
    </row>
    <row r="18" spans="1:8" x14ac:dyDescent="0.35">
      <c r="A18" s="50">
        <v>15</v>
      </c>
      <c r="B18" s="78">
        <v>0.48182000000000003</v>
      </c>
      <c r="C18" s="78">
        <v>0.4042</v>
      </c>
      <c r="D18" s="78">
        <v>0.37713000000000002</v>
      </c>
      <c r="E18" s="78">
        <v>0.33760000000000001</v>
      </c>
      <c r="F18" s="78">
        <v>0.30397000000000002</v>
      </c>
      <c r="G18" s="78">
        <v>0.28233000000000003</v>
      </c>
      <c r="H18" s="78">
        <v>0.26584999999999998</v>
      </c>
    </row>
    <row r="19" spans="1:8" x14ac:dyDescent="0.35">
      <c r="A19" s="50">
        <v>16</v>
      </c>
      <c r="B19" s="78">
        <v>0.46750000000000003</v>
      </c>
      <c r="C19" s="78">
        <v>0.39200000000000002</v>
      </c>
      <c r="D19" s="78">
        <v>0.36570999999999998</v>
      </c>
      <c r="E19" s="78">
        <v>0.32733000000000001</v>
      </c>
      <c r="F19" s="78">
        <v>0.29471000000000003</v>
      </c>
      <c r="G19" s="78">
        <v>0.27372000000000002</v>
      </c>
      <c r="H19" s="78">
        <v>0.25774000000000002</v>
      </c>
    </row>
    <row r="20" spans="1:8" ht="15" customHeight="1" x14ac:dyDescent="0.35">
      <c r="A20" s="50">
        <v>17</v>
      </c>
      <c r="B20" s="78">
        <v>0.45440000000000003</v>
      </c>
      <c r="C20" s="78">
        <v>0.38085000000000002</v>
      </c>
      <c r="D20" s="78">
        <v>0.35527999999999998</v>
      </c>
      <c r="E20" s="78">
        <v>0.31796000000000002</v>
      </c>
      <c r="F20" s="78">
        <v>0.28627000000000002</v>
      </c>
      <c r="G20" s="78">
        <v>0.26587</v>
      </c>
      <c r="H20" s="78">
        <v>0.25035000000000002</v>
      </c>
    </row>
    <row r="21" spans="1:8" ht="15" customHeight="1" x14ac:dyDescent="0.35">
      <c r="A21" s="50">
        <v>18</v>
      </c>
      <c r="B21" s="78">
        <v>0.44234000000000001</v>
      </c>
      <c r="C21" s="78">
        <v>0.37063000000000001</v>
      </c>
      <c r="D21" s="78">
        <v>0.34569</v>
      </c>
      <c r="E21" s="78">
        <v>0.30936000000000002</v>
      </c>
      <c r="F21" s="78">
        <v>0.27850999999999998</v>
      </c>
      <c r="G21" s="78">
        <v>0.25867000000000001</v>
      </c>
      <c r="H21" s="78">
        <v>0.24356</v>
      </c>
    </row>
    <row r="22" spans="1:8" ht="15" customHeight="1" x14ac:dyDescent="0.35">
      <c r="A22" s="50">
        <v>19</v>
      </c>
      <c r="B22" s="78">
        <v>0.43119000000000002</v>
      </c>
      <c r="C22" s="78">
        <v>0.36115999999999998</v>
      </c>
      <c r="D22" s="78">
        <v>0.33684999999999998</v>
      </c>
      <c r="E22" s="78">
        <v>0.30142000000000002</v>
      </c>
      <c r="F22" s="78">
        <v>0.27134999999999998</v>
      </c>
      <c r="G22" s="78">
        <v>0.25202000000000002</v>
      </c>
      <c r="H22" s="78">
        <v>0.23730999999999999</v>
      </c>
    </row>
    <row r="23" spans="1:8" ht="15" customHeight="1" x14ac:dyDescent="0.35">
      <c r="A23" s="50">
        <v>20</v>
      </c>
      <c r="B23" s="78">
        <v>0.42085</v>
      </c>
      <c r="C23" s="78">
        <v>0.35239999999999999</v>
      </c>
      <c r="D23" s="78">
        <v>0.32866000000000001</v>
      </c>
      <c r="E23" s="78">
        <v>0.29407</v>
      </c>
      <c r="F23" s="78">
        <v>0.26473000000000002</v>
      </c>
      <c r="G23" s="78">
        <v>0.24587000000000001</v>
      </c>
      <c r="H23" s="78">
        <v>0.23152</v>
      </c>
    </row>
    <row r="24" spans="1:8" x14ac:dyDescent="0.35">
      <c r="A24" s="50">
        <v>25</v>
      </c>
      <c r="B24" s="78">
        <v>0.37842999999999999</v>
      </c>
      <c r="C24" s="78">
        <v>0.31656000000000001</v>
      </c>
      <c r="D24" s="78">
        <v>0.30348999999999998</v>
      </c>
      <c r="E24" s="78">
        <v>0.26404</v>
      </c>
      <c r="F24" s="78">
        <v>0.23766999999999999</v>
      </c>
      <c r="G24" s="78">
        <v>0.22073999999999999</v>
      </c>
      <c r="H24" s="78">
        <v>0.20785999999999999</v>
      </c>
    </row>
    <row r="25" spans="1:8" x14ac:dyDescent="0.35">
      <c r="A25" s="50">
        <v>30</v>
      </c>
      <c r="B25" s="78">
        <v>0.34671999999999997</v>
      </c>
      <c r="C25" s="78">
        <v>0.28988000000000003</v>
      </c>
      <c r="D25" s="78">
        <v>0.27704000000000001</v>
      </c>
      <c r="E25" s="78">
        <v>0.2417</v>
      </c>
      <c r="F25" s="78">
        <v>0.21756</v>
      </c>
      <c r="G25" s="78">
        <v>0.20207</v>
      </c>
      <c r="H25" s="78">
        <v>0.19028999999999999</v>
      </c>
    </row>
    <row r="26" spans="1:8" x14ac:dyDescent="0.35">
      <c r="A26" s="50">
        <v>35</v>
      </c>
      <c r="B26" s="78">
        <v>0.32186999999999999</v>
      </c>
      <c r="C26" s="78">
        <v>0.26898</v>
      </c>
      <c r="D26" s="78">
        <v>0.25649</v>
      </c>
      <c r="E26" s="78">
        <v>0.22423999999999999</v>
      </c>
      <c r="F26" s="78">
        <v>0.20183999999999999</v>
      </c>
      <c r="G26" s="78">
        <v>0.18748000000000001</v>
      </c>
      <c r="H26" s="78">
        <v>0.17655000000000001</v>
      </c>
    </row>
    <row r="27" spans="1:8" x14ac:dyDescent="0.35">
      <c r="A27" s="50">
        <v>40</v>
      </c>
      <c r="B27" s="78">
        <v>0.30169000000000001</v>
      </c>
      <c r="C27" s="78">
        <v>0.25187761313143892</v>
      </c>
      <c r="D27" s="78">
        <v>0.23993</v>
      </c>
      <c r="E27" s="78">
        <v>0.21017</v>
      </c>
      <c r="F27" s="78">
        <v>0.18939</v>
      </c>
      <c r="G27" s="78">
        <v>0.17610000000000001</v>
      </c>
      <c r="H27" s="78">
        <v>0.16600999999999999</v>
      </c>
    </row>
    <row r="28" spans="1:8" x14ac:dyDescent="0.35">
      <c r="A28" s="50">
        <v>45</v>
      </c>
      <c r="B28" s="78">
        <v>0.28482000000000002</v>
      </c>
      <c r="C28" s="78">
        <v>0.23779615762032355</v>
      </c>
      <c r="D28" s="78">
        <v>0.22620999999999999</v>
      </c>
      <c r="E28" s="78">
        <v>0.19842000000000001</v>
      </c>
      <c r="F28" s="78">
        <v>0.17881</v>
      </c>
      <c r="G28" s="78">
        <v>0.16625999999999999</v>
      </c>
      <c r="H28" s="78">
        <v>0.15673000000000001</v>
      </c>
    </row>
    <row r="29" spans="1:8" x14ac:dyDescent="0.35">
      <c r="A29" s="50">
        <v>50</v>
      </c>
      <c r="B29" s="78">
        <v>0.27050999999999997</v>
      </c>
      <c r="C29" s="78">
        <v>0.22585054577932925</v>
      </c>
      <c r="D29" s="78">
        <v>0.21460000000000001</v>
      </c>
      <c r="E29" s="78">
        <v>0.18845000000000001</v>
      </c>
      <c r="F29" s="78">
        <v>0.16982</v>
      </c>
      <c r="G29" s="78">
        <v>0.15790000000000001</v>
      </c>
      <c r="H29" s="78">
        <v>0.14885999999999999</v>
      </c>
    </row>
    <row r="30" spans="1:8" x14ac:dyDescent="0.35">
      <c r="A30" s="199" t="s">
        <v>105</v>
      </c>
      <c r="B30" s="162">
        <v>1.94947</v>
      </c>
      <c r="C30" s="78">
        <v>1.6276200000000001</v>
      </c>
      <c r="D30" s="78">
        <v>1.5174300000000001</v>
      </c>
      <c r="E30" s="78">
        <v>1.3581000000000001</v>
      </c>
      <c r="F30" s="78">
        <v>1.2238500000000001</v>
      </c>
      <c r="G30" s="78">
        <v>1.13795</v>
      </c>
      <c r="H30" s="78">
        <v>1.0727500000000001</v>
      </c>
    </row>
    <row r="31" spans="1:8" ht="6" customHeight="1" x14ac:dyDescent="0.35">
      <c r="A31" s="200"/>
      <c r="B31" s="52" t="s">
        <v>69</v>
      </c>
      <c r="C31" s="52" t="s">
        <v>69</v>
      </c>
      <c r="D31" s="52" t="s">
        <v>69</v>
      </c>
      <c r="E31" s="52" t="s">
        <v>69</v>
      </c>
      <c r="F31" s="52" t="s">
        <v>69</v>
      </c>
      <c r="G31" s="52" t="s">
        <v>70</v>
      </c>
      <c r="H31" s="52" t="s">
        <v>71</v>
      </c>
    </row>
    <row r="32" spans="1:8" x14ac:dyDescent="0.35">
      <c r="A32" s="201"/>
      <c r="B32" s="53" t="s">
        <v>102</v>
      </c>
      <c r="C32" s="53" t="s">
        <v>102</v>
      </c>
      <c r="D32" s="53" t="s">
        <v>102</v>
      </c>
      <c r="E32" s="53" t="s">
        <v>102</v>
      </c>
      <c r="F32" s="53" t="s">
        <v>102</v>
      </c>
      <c r="G32" s="53" t="s">
        <v>102</v>
      </c>
      <c r="H32" s="53" t="s">
        <v>102</v>
      </c>
    </row>
    <row r="34" spans="1:8" x14ac:dyDescent="0.35">
      <c r="A34" s="202" t="s">
        <v>103</v>
      </c>
      <c r="B34" s="202"/>
      <c r="C34" s="202"/>
      <c r="D34" s="202"/>
      <c r="E34" s="202"/>
      <c r="F34" s="202"/>
      <c r="G34" s="202"/>
      <c r="H34" s="202"/>
    </row>
    <row r="35" spans="1:8" x14ac:dyDescent="0.35">
      <c r="A35" t="s">
        <v>104</v>
      </c>
    </row>
  </sheetData>
  <mergeCells count="2">
    <mergeCell ref="A30:A32"/>
    <mergeCell ref="A34:H34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3"/>
  <dimension ref="A1:T86"/>
  <sheetViews>
    <sheetView workbookViewId="0">
      <selection activeCell="A4" sqref="A4:T18"/>
    </sheetView>
  </sheetViews>
  <sheetFormatPr defaultRowHeight="14.5" x14ac:dyDescent="0.35"/>
  <cols>
    <col min="1" max="20" width="5.453125" customWidth="1"/>
  </cols>
  <sheetData>
    <row r="1" spans="1:20" x14ac:dyDescent="0.35">
      <c r="A1" s="1" t="s">
        <v>150</v>
      </c>
    </row>
    <row r="3" spans="1:20" x14ac:dyDescent="0.35">
      <c r="A3" s="18" t="s">
        <v>46</v>
      </c>
    </row>
    <row r="4" spans="1:20" x14ac:dyDescent="0.35">
      <c r="B4" s="103">
        <v>2</v>
      </c>
      <c r="C4" s="103">
        <v>3</v>
      </c>
      <c r="D4" s="103">
        <v>4</v>
      </c>
      <c r="E4" s="103">
        <v>5</v>
      </c>
      <c r="F4" s="103">
        <v>6</v>
      </c>
      <c r="G4" s="103">
        <v>7</v>
      </c>
      <c r="H4" s="103">
        <v>8</v>
      </c>
      <c r="I4" s="103">
        <v>9</v>
      </c>
      <c r="J4" s="103">
        <v>10</v>
      </c>
      <c r="K4" s="103">
        <v>11</v>
      </c>
      <c r="L4" s="103">
        <v>12</v>
      </c>
      <c r="M4" s="103">
        <v>13</v>
      </c>
      <c r="N4" s="103">
        <v>14</v>
      </c>
      <c r="O4" s="103">
        <v>15</v>
      </c>
      <c r="P4" s="103">
        <v>16</v>
      </c>
      <c r="Q4" s="103">
        <v>17</v>
      </c>
      <c r="R4" s="103">
        <v>18</v>
      </c>
      <c r="S4" s="103">
        <v>19</v>
      </c>
      <c r="T4" s="103">
        <v>20</v>
      </c>
    </row>
    <row r="5" spans="1:20" x14ac:dyDescent="0.35">
      <c r="A5" s="103">
        <v>2</v>
      </c>
      <c r="B5" s="109" t="s">
        <v>67</v>
      </c>
      <c r="C5" s="104" t="s">
        <v>67</v>
      </c>
      <c r="D5" s="104" t="s">
        <v>67</v>
      </c>
      <c r="E5" s="104" t="s">
        <v>67</v>
      </c>
      <c r="F5" s="104" t="s">
        <v>67</v>
      </c>
      <c r="G5" s="104" t="s">
        <v>67</v>
      </c>
      <c r="H5" s="104" t="s">
        <v>67</v>
      </c>
      <c r="I5" s="104" t="s">
        <v>67</v>
      </c>
      <c r="J5" s="104" t="s">
        <v>67</v>
      </c>
      <c r="K5" s="104" t="s">
        <v>67</v>
      </c>
      <c r="L5" s="104" t="s">
        <v>67</v>
      </c>
      <c r="M5" s="104" t="s">
        <v>67</v>
      </c>
      <c r="N5" s="104" t="s">
        <v>67</v>
      </c>
      <c r="O5" s="104" t="s">
        <v>67</v>
      </c>
      <c r="P5" s="104" t="s">
        <v>67</v>
      </c>
      <c r="Q5" s="104" t="s">
        <v>67</v>
      </c>
      <c r="R5" s="104" t="s">
        <v>67</v>
      </c>
      <c r="S5" s="104">
        <v>38</v>
      </c>
      <c r="T5" s="110">
        <v>40</v>
      </c>
    </row>
    <row r="6" spans="1:20" x14ac:dyDescent="0.35">
      <c r="A6" s="103">
        <v>3</v>
      </c>
      <c r="B6" s="111" t="s">
        <v>67</v>
      </c>
      <c r="C6" s="105" t="s">
        <v>67</v>
      </c>
      <c r="D6" s="105" t="s">
        <v>67</v>
      </c>
      <c r="E6" s="105" t="s">
        <v>67</v>
      </c>
      <c r="F6" s="105" t="s">
        <v>67</v>
      </c>
      <c r="G6" s="105" t="s">
        <v>67</v>
      </c>
      <c r="H6" s="105" t="s">
        <v>67</v>
      </c>
      <c r="I6" s="105">
        <v>27</v>
      </c>
      <c r="J6" s="105">
        <v>30</v>
      </c>
      <c r="K6" s="105">
        <v>33</v>
      </c>
      <c r="L6" s="105">
        <v>36</v>
      </c>
      <c r="M6" s="105">
        <v>39</v>
      </c>
      <c r="N6" s="105">
        <v>42</v>
      </c>
      <c r="O6" s="105">
        <v>42</v>
      </c>
      <c r="P6" s="105">
        <v>45</v>
      </c>
      <c r="Q6" s="105">
        <v>48</v>
      </c>
      <c r="R6" s="105">
        <v>51</v>
      </c>
      <c r="S6" s="105">
        <v>54</v>
      </c>
      <c r="T6" s="106">
        <v>57</v>
      </c>
    </row>
    <row r="7" spans="1:20" x14ac:dyDescent="0.35">
      <c r="A7" s="103">
        <v>4</v>
      </c>
      <c r="B7" s="111" t="s">
        <v>67</v>
      </c>
      <c r="C7" s="105" t="s">
        <v>67</v>
      </c>
      <c r="D7" s="105" t="s">
        <v>67</v>
      </c>
      <c r="E7" s="105" t="s">
        <v>67</v>
      </c>
      <c r="F7" s="105">
        <v>24</v>
      </c>
      <c r="G7" s="105">
        <v>28</v>
      </c>
      <c r="H7" s="105">
        <v>32</v>
      </c>
      <c r="I7" s="105">
        <v>36</v>
      </c>
      <c r="J7" s="105">
        <v>36</v>
      </c>
      <c r="K7" s="105">
        <v>40</v>
      </c>
      <c r="L7" s="105">
        <v>44</v>
      </c>
      <c r="M7" s="105">
        <v>48</v>
      </c>
      <c r="N7" s="105">
        <v>48</v>
      </c>
      <c r="O7" s="105">
        <v>52</v>
      </c>
      <c r="P7" s="105">
        <v>56</v>
      </c>
      <c r="Q7" s="105">
        <v>60</v>
      </c>
      <c r="R7" s="105">
        <v>60</v>
      </c>
      <c r="S7" s="105">
        <v>64</v>
      </c>
      <c r="T7" s="106">
        <v>68</v>
      </c>
    </row>
    <row r="8" spans="1:20" x14ac:dyDescent="0.35">
      <c r="A8" s="103">
        <v>5</v>
      </c>
      <c r="B8" s="111" t="s">
        <v>67</v>
      </c>
      <c r="C8" s="105" t="s">
        <v>67</v>
      </c>
      <c r="D8" s="105" t="s">
        <v>67</v>
      </c>
      <c r="E8" s="105">
        <v>25</v>
      </c>
      <c r="F8" s="105">
        <v>30</v>
      </c>
      <c r="G8" s="105">
        <v>35</v>
      </c>
      <c r="H8" s="105">
        <v>35</v>
      </c>
      <c r="I8" s="105">
        <v>40</v>
      </c>
      <c r="J8" s="105">
        <v>45</v>
      </c>
      <c r="K8" s="105">
        <v>45</v>
      </c>
      <c r="L8" s="105">
        <v>50</v>
      </c>
      <c r="M8" s="105">
        <v>52</v>
      </c>
      <c r="N8" s="105">
        <v>56</v>
      </c>
      <c r="O8" s="105">
        <v>60</v>
      </c>
      <c r="P8" s="105">
        <v>64</v>
      </c>
      <c r="Q8" s="105">
        <v>68</v>
      </c>
      <c r="R8" s="105">
        <v>70</v>
      </c>
      <c r="S8" s="105">
        <v>71</v>
      </c>
      <c r="T8" s="106">
        <v>80</v>
      </c>
    </row>
    <row r="9" spans="1:20" x14ac:dyDescent="0.35">
      <c r="A9" s="103">
        <v>6</v>
      </c>
      <c r="B9" s="111" t="s">
        <v>67</v>
      </c>
      <c r="C9" s="105" t="s">
        <v>67</v>
      </c>
      <c r="D9" s="105">
        <v>24</v>
      </c>
      <c r="E9" s="105">
        <v>30</v>
      </c>
      <c r="F9" s="105">
        <v>36</v>
      </c>
      <c r="G9" s="105">
        <v>36</v>
      </c>
      <c r="H9" s="105">
        <v>40</v>
      </c>
      <c r="I9" s="105">
        <v>45</v>
      </c>
      <c r="J9" s="105">
        <v>48</v>
      </c>
      <c r="K9" s="105">
        <v>54</v>
      </c>
      <c r="L9" s="105">
        <v>60</v>
      </c>
      <c r="M9" s="105">
        <v>60</v>
      </c>
      <c r="N9" s="105">
        <v>64</v>
      </c>
      <c r="O9" s="105">
        <v>69</v>
      </c>
      <c r="P9" s="105">
        <v>70</v>
      </c>
      <c r="Q9" s="105">
        <v>73</v>
      </c>
      <c r="R9" s="105">
        <v>84</v>
      </c>
      <c r="S9" s="105">
        <v>83</v>
      </c>
      <c r="T9" s="106">
        <v>88</v>
      </c>
    </row>
    <row r="10" spans="1:20" x14ac:dyDescent="0.35">
      <c r="A10" s="103">
        <v>7</v>
      </c>
      <c r="B10" s="111" t="s">
        <v>67</v>
      </c>
      <c r="C10" s="105" t="s">
        <v>67</v>
      </c>
      <c r="D10" s="105">
        <v>28</v>
      </c>
      <c r="E10" s="105">
        <v>35</v>
      </c>
      <c r="F10" s="105">
        <v>36</v>
      </c>
      <c r="G10" s="105">
        <v>42</v>
      </c>
      <c r="H10" s="105">
        <v>48</v>
      </c>
      <c r="I10" s="105">
        <v>49</v>
      </c>
      <c r="J10" s="105">
        <v>53</v>
      </c>
      <c r="K10" s="105">
        <v>59</v>
      </c>
      <c r="L10" s="105">
        <v>60</v>
      </c>
      <c r="M10" s="105">
        <v>65</v>
      </c>
      <c r="N10" s="105">
        <v>77</v>
      </c>
      <c r="O10" s="105">
        <v>75</v>
      </c>
      <c r="P10" s="105">
        <v>77</v>
      </c>
      <c r="Q10" s="105">
        <v>84</v>
      </c>
      <c r="R10" s="105">
        <v>87</v>
      </c>
      <c r="S10" s="105">
        <v>91</v>
      </c>
      <c r="T10" s="106">
        <v>93</v>
      </c>
    </row>
    <row r="11" spans="1:20" x14ac:dyDescent="0.35">
      <c r="A11" s="103">
        <v>8</v>
      </c>
      <c r="B11" s="111" t="s">
        <v>67</v>
      </c>
      <c r="C11" s="105" t="s">
        <v>67</v>
      </c>
      <c r="D11" s="105">
        <v>32</v>
      </c>
      <c r="E11" s="105">
        <v>35</v>
      </c>
      <c r="F11" s="105">
        <v>40</v>
      </c>
      <c r="G11" s="105">
        <v>48</v>
      </c>
      <c r="H11" s="105">
        <v>56</v>
      </c>
      <c r="I11" s="105">
        <v>55</v>
      </c>
      <c r="J11" s="105">
        <v>60</v>
      </c>
      <c r="K11" s="105">
        <v>64</v>
      </c>
      <c r="L11" s="105">
        <v>68</v>
      </c>
      <c r="M11" s="105">
        <v>72</v>
      </c>
      <c r="N11" s="105">
        <v>76</v>
      </c>
      <c r="O11" s="105">
        <v>81</v>
      </c>
      <c r="P11" s="105">
        <v>88</v>
      </c>
      <c r="Q11" s="105">
        <v>88</v>
      </c>
      <c r="R11" s="105">
        <v>94</v>
      </c>
      <c r="S11" s="105">
        <v>98</v>
      </c>
      <c r="T11" s="106">
        <v>104</v>
      </c>
    </row>
    <row r="12" spans="1:20" x14ac:dyDescent="0.35">
      <c r="A12" s="103">
        <v>9</v>
      </c>
      <c r="B12" s="111" t="s">
        <v>67</v>
      </c>
      <c r="C12" s="105">
        <v>27</v>
      </c>
      <c r="D12" s="105">
        <v>36</v>
      </c>
      <c r="E12" s="105">
        <v>40</v>
      </c>
      <c r="F12" s="105">
        <v>45</v>
      </c>
      <c r="G12" s="105">
        <v>49</v>
      </c>
      <c r="H12" s="105">
        <v>55</v>
      </c>
      <c r="I12" s="105">
        <v>63</v>
      </c>
      <c r="J12" s="105">
        <v>63</v>
      </c>
      <c r="K12" s="105">
        <v>70</v>
      </c>
      <c r="L12" s="105">
        <v>75</v>
      </c>
      <c r="M12" s="105">
        <v>78</v>
      </c>
      <c r="N12" s="105">
        <v>84</v>
      </c>
      <c r="O12" s="105">
        <v>90</v>
      </c>
      <c r="P12" s="105">
        <v>94</v>
      </c>
      <c r="Q12" s="105">
        <v>99</v>
      </c>
      <c r="R12" s="105">
        <v>108</v>
      </c>
      <c r="S12" s="105">
        <v>107</v>
      </c>
      <c r="T12" s="106">
        <v>111</v>
      </c>
    </row>
    <row r="13" spans="1:20" x14ac:dyDescent="0.35">
      <c r="A13" s="103">
        <v>10</v>
      </c>
      <c r="B13" s="111" t="s">
        <v>67</v>
      </c>
      <c r="C13" s="105">
        <v>30</v>
      </c>
      <c r="D13" s="105">
        <v>36</v>
      </c>
      <c r="E13" s="105">
        <v>45</v>
      </c>
      <c r="F13" s="105">
        <v>48</v>
      </c>
      <c r="G13" s="105">
        <v>53</v>
      </c>
      <c r="H13" s="105">
        <v>60</v>
      </c>
      <c r="I13" s="105">
        <v>63</v>
      </c>
      <c r="J13" s="105">
        <v>80</v>
      </c>
      <c r="K13" s="105">
        <v>77</v>
      </c>
      <c r="L13" s="105">
        <v>80</v>
      </c>
      <c r="M13" s="105">
        <v>84</v>
      </c>
      <c r="N13" s="105">
        <v>90</v>
      </c>
      <c r="O13" s="105">
        <v>100</v>
      </c>
      <c r="P13" s="105">
        <v>100</v>
      </c>
      <c r="Q13" s="105">
        <v>106</v>
      </c>
      <c r="R13" s="105">
        <v>108</v>
      </c>
      <c r="S13" s="105">
        <v>113</v>
      </c>
      <c r="T13" s="106">
        <v>130</v>
      </c>
    </row>
    <row r="14" spans="1:20" x14ac:dyDescent="0.35">
      <c r="A14" s="103">
        <v>11</v>
      </c>
      <c r="B14" s="111" t="s">
        <v>67</v>
      </c>
      <c r="C14" s="105">
        <v>33</v>
      </c>
      <c r="D14" s="105">
        <v>40</v>
      </c>
      <c r="E14" s="105">
        <v>45</v>
      </c>
      <c r="F14" s="105">
        <v>54</v>
      </c>
      <c r="G14" s="105">
        <v>59</v>
      </c>
      <c r="H14" s="105">
        <v>64</v>
      </c>
      <c r="I14" s="105">
        <v>70</v>
      </c>
      <c r="J14" s="105">
        <v>77</v>
      </c>
      <c r="K14" s="105">
        <v>88</v>
      </c>
      <c r="L14" s="105">
        <v>86</v>
      </c>
      <c r="M14" s="105">
        <v>91</v>
      </c>
      <c r="N14" s="105">
        <v>96</v>
      </c>
      <c r="O14" s="105">
        <v>102</v>
      </c>
      <c r="P14" s="105">
        <v>106</v>
      </c>
      <c r="Q14" s="105">
        <v>110</v>
      </c>
      <c r="R14" s="105">
        <v>118</v>
      </c>
      <c r="S14" s="105">
        <v>122</v>
      </c>
      <c r="T14" s="106">
        <v>127</v>
      </c>
    </row>
    <row r="15" spans="1:20" x14ac:dyDescent="0.35">
      <c r="A15" s="103">
        <v>12</v>
      </c>
      <c r="B15" s="111" t="s">
        <v>67</v>
      </c>
      <c r="C15" s="105">
        <v>36</v>
      </c>
      <c r="D15" s="105">
        <v>44</v>
      </c>
      <c r="E15" s="105">
        <v>50</v>
      </c>
      <c r="F15" s="105">
        <v>60</v>
      </c>
      <c r="G15" s="105">
        <v>60</v>
      </c>
      <c r="H15" s="105">
        <v>68</v>
      </c>
      <c r="I15" s="105">
        <v>75</v>
      </c>
      <c r="J15" s="105">
        <v>80</v>
      </c>
      <c r="K15" s="105">
        <v>86</v>
      </c>
      <c r="L15" s="105">
        <v>96</v>
      </c>
      <c r="M15" s="105">
        <v>95</v>
      </c>
      <c r="N15" s="105">
        <v>104</v>
      </c>
      <c r="O15" s="105">
        <v>108</v>
      </c>
      <c r="P15" s="105">
        <v>116</v>
      </c>
      <c r="Q15" s="105">
        <v>119</v>
      </c>
      <c r="R15" s="105">
        <v>126</v>
      </c>
      <c r="S15" s="105">
        <v>130</v>
      </c>
      <c r="T15" s="106">
        <v>140</v>
      </c>
    </row>
    <row r="16" spans="1:20" x14ac:dyDescent="0.35">
      <c r="A16" s="103">
        <v>13</v>
      </c>
      <c r="B16" s="111" t="s">
        <v>67</v>
      </c>
      <c r="C16" s="105">
        <v>39</v>
      </c>
      <c r="D16" s="105">
        <v>48</v>
      </c>
      <c r="E16" s="105">
        <v>52</v>
      </c>
      <c r="F16" s="105">
        <v>60</v>
      </c>
      <c r="G16" s="105">
        <v>65</v>
      </c>
      <c r="H16" s="105">
        <v>72</v>
      </c>
      <c r="I16" s="105">
        <v>78</v>
      </c>
      <c r="J16" s="105">
        <v>84</v>
      </c>
      <c r="K16" s="105">
        <v>91</v>
      </c>
      <c r="L16" s="105">
        <v>95</v>
      </c>
      <c r="M16" s="105">
        <v>117</v>
      </c>
      <c r="N16" s="105">
        <v>104</v>
      </c>
      <c r="O16" s="105">
        <v>115</v>
      </c>
      <c r="P16" s="105">
        <v>121</v>
      </c>
      <c r="Q16" s="105">
        <v>127</v>
      </c>
      <c r="R16" s="105">
        <v>131</v>
      </c>
      <c r="S16" s="105">
        <v>138</v>
      </c>
      <c r="T16" s="106">
        <v>143</v>
      </c>
    </row>
    <row r="17" spans="1:20" x14ac:dyDescent="0.35">
      <c r="A17" s="103">
        <v>14</v>
      </c>
      <c r="B17" s="111" t="s">
        <v>67</v>
      </c>
      <c r="C17" s="105">
        <v>47</v>
      </c>
      <c r="D17" s="105">
        <v>48</v>
      </c>
      <c r="E17" s="105">
        <v>56</v>
      </c>
      <c r="F17" s="105">
        <v>64</v>
      </c>
      <c r="G17" s="105">
        <v>77</v>
      </c>
      <c r="H17" s="105">
        <v>76</v>
      </c>
      <c r="I17" s="105">
        <v>84</v>
      </c>
      <c r="J17" s="105">
        <v>90</v>
      </c>
      <c r="K17" s="105">
        <v>96</v>
      </c>
      <c r="L17" s="105">
        <v>104</v>
      </c>
      <c r="M17" s="105">
        <v>104</v>
      </c>
      <c r="N17" s="105">
        <v>126</v>
      </c>
      <c r="O17" s="105">
        <v>123</v>
      </c>
      <c r="P17" s="105">
        <v>126</v>
      </c>
      <c r="Q17" s="105">
        <v>134</v>
      </c>
      <c r="R17" s="105">
        <v>140</v>
      </c>
      <c r="S17" s="105">
        <v>148</v>
      </c>
      <c r="T17" s="106">
        <v>152</v>
      </c>
    </row>
    <row r="18" spans="1:20" x14ac:dyDescent="0.35">
      <c r="A18" s="103">
        <v>15</v>
      </c>
      <c r="B18" s="112" t="s">
        <v>67</v>
      </c>
      <c r="C18" s="113">
        <v>42</v>
      </c>
      <c r="D18" s="113">
        <v>52</v>
      </c>
      <c r="E18" s="113">
        <v>60</v>
      </c>
      <c r="F18" s="113">
        <v>69</v>
      </c>
      <c r="G18" s="113">
        <v>75</v>
      </c>
      <c r="H18" s="113">
        <v>81</v>
      </c>
      <c r="I18" s="113">
        <v>90</v>
      </c>
      <c r="J18" s="113">
        <v>100</v>
      </c>
      <c r="K18" s="113">
        <v>102</v>
      </c>
      <c r="L18" s="113">
        <v>108</v>
      </c>
      <c r="M18" s="113">
        <v>115</v>
      </c>
      <c r="N18" s="113">
        <v>123</v>
      </c>
      <c r="O18" s="113">
        <v>135</v>
      </c>
      <c r="P18" s="113">
        <v>133</v>
      </c>
      <c r="Q18" s="113">
        <v>142</v>
      </c>
      <c r="R18" s="113">
        <v>147</v>
      </c>
      <c r="S18" s="113">
        <v>152</v>
      </c>
      <c r="T18" s="114">
        <v>160</v>
      </c>
    </row>
    <row r="20" spans="1:20" x14ac:dyDescent="0.35">
      <c r="A20" s="18" t="s">
        <v>151</v>
      </c>
    </row>
    <row r="21" spans="1:20" x14ac:dyDescent="0.35">
      <c r="B21" s="103">
        <v>2</v>
      </c>
      <c r="C21" s="103">
        <v>3</v>
      </c>
      <c r="D21" s="103">
        <v>4</v>
      </c>
      <c r="E21" s="103">
        <v>5</v>
      </c>
      <c r="F21" s="103">
        <v>6</v>
      </c>
      <c r="G21" s="103">
        <v>7</v>
      </c>
      <c r="H21" s="103">
        <v>8</v>
      </c>
      <c r="I21" s="103">
        <v>9</v>
      </c>
      <c r="J21" s="103">
        <v>10</v>
      </c>
      <c r="K21" s="103">
        <v>11</v>
      </c>
      <c r="L21" s="103">
        <v>12</v>
      </c>
      <c r="M21" s="103">
        <v>13</v>
      </c>
      <c r="N21" s="103">
        <v>14</v>
      </c>
      <c r="O21" s="103">
        <v>15</v>
      </c>
      <c r="P21" s="103">
        <v>16</v>
      </c>
      <c r="Q21" s="103">
        <v>17</v>
      </c>
      <c r="R21" s="103">
        <v>18</v>
      </c>
      <c r="S21" s="103">
        <v>19</v>
      </c>
      <c r="T21" s="103">
        <v>20</v>
      </c>
    </row>
    <row r="22" spans="1:20" x14ac:dyDescent="0.35">
      <c r="A22" s="103">
        <v>2</v>
      </c>
      <c r="B22" s="115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7"/>
    </row>
    <row r="23" spans="1:20" x14ac:dyDescent="0.35">
      <c r="A23" s="103">
        <v>3</v>
      </c>
      <c r="B23" s="118"/>
      <c r="C23" s="119" t="s">
        <v>67</v>
      </c>
      <c r="D23" s="119" t="s">
        <v>67</v>
      </c>
      <c r="E23" s="119" t="s">
        <v>67</v>
      </c>
      <c r="F23" s="119" t="s">
        <v>67</v>
      </c>
      <c r="G23" s="105">
        <v>19</v>
      </c>
      <c r="H23" s="105">
        <v>22</v>
      </c>
      <c r="I23" s="105">
        <v>27</v>
      </c>
      <c r="J23" s="105">
        <v>28</v>
      </c>
      <c r="K23" s="105">
        <v>31</v>
      </c>
      <c r="L23" s="105">
        <v>33</v>
      </c>
      <c r="M23" s="105">
        <v>34</v>
      </c>
      <c r="N23" s="105">
        <v>37</v>
      </c>
      <c r="O23" s="105">
        <v>42</v>
      </c>
      <c r="P23" s="105">
        <v>43</v>
      </c>
      <c r="Q23" s="105">
        <v>43</v>
      </c>
      <c r="R23" s="105">
        <v>48</v>
      </c>
      <c r="S23" s="105">
        <v>49</v>
      </c>
      <c r="T23" s="106">
        <v>52</v>
      </c>
    </row>
    <row r="24" spans="1:20" x14ac:dyDescent="0.35">
      <c r="A24" s="103">
        <v>4</v>
      </c>
      <c r="B24" s="118"/>
      <c r="C24" s="119" t="s">
        <v>67</v>
      </c>
      <c r="D24" s="119" t="s">
        <v>67</v>
      </c>
      <c r="E24" s="105">
        <v>17</v>
      </c>
      <c r="F24" s="105">
        <v>22</v>
      </c>
      <c r="G24" s="105">
        <v>25</v>
      </c>
      <c r="H24" s="105">
        <v>32</v>
      </c>
      <c r="I24" s="105">
        <v>29</v>
      </c>
      <c r="J24" s="105">
        <v>34</v>
      </c>
      <c r="K24" s="105">
        <v>37</v>
      </c>
      <c r="L24" s="105">
        <v>40</v>
      </c>
      <c r="M24" s="105">
        <v>41</v>
      </c>
      <c r="N24" s="105">
        <v>46</v>
      </c>
      <c r="O24" s="105">
        <v>46</v>
      </c>
      <c r="P24" s="105">
        <v>52</v>
      </c>
      <c r="Q24" s="105">
        <v>53</v>
      </c>
      <c r="R24" s="105">
        <v>56</v>
      </c>
      <c r="S24" s="105">
        <v>57</v>
      </c>
      <c r="T24" s="106">
        <v>64</v>
      </c>
    </row>
    <row r="25" spans="1:20" x14ac:dyDescent="0.35">
      <c r="A25" s="103">
        <v>5</v>
      </c>
      <c r="B25" s="118"/>
      <c r="C25" s="119" t="s">
        <v>67</v>
      </c>
      <c r="D25" s="105">
        <v>17</v>
      </c>
      <c r="E25" s="105">
        <v>25</v>
      </c>
      <c r="F25" s="105">
        <v>26</v>
      </c>
      <c r="G25" s="105">
        <v>29</v>
      </c>
      <c r="H25" s="105">
        <v>33</v>
      </c>
      <c r="I25" s="105">
        <v>36</v>
      </c>
      <c r="J25" s="105">
        <v>40</v>
      </c>
      <c r="K25" s="105">
        <v>41</v>
      </c>
      <c r="L25" s="105">
        <v>46</v>
      </c>
      <c r="M25" s="105">
        <v>48</v>
      </c>
      <c r="N25" s="105">
        <v>51</v>
      </c>
      <c r="O25" s="105">
        <v>60</v>
      </c>
      <c r="P25" s="105">
        <v>56</v>
      </c>
      <c r="Q25" s="105">
        <v>61</v>
      </c>
      <c r="R25" s="105">
        <v>63</v>
      </c>
      <c r="S25" s="105">
        <v>67</v>
      </c>
      <c r="T25" s="106">
        <v>75</v>
      </c>
    </row>
    <row r="26" spans="1:20" x14ac:dyDescent="0.35">
      <c r="A26" s="103">
        <v>6</v>
      </c>
      <c r="B26" s="118"/>
      <c r="C26" s="119" t="s">
        <v>67</v>
      </c>
      <c r="D26" s="105">
        <v>22</v>
      </c>
      <c r="E26" s="105">
        <v>26</v>
      </c>
      <c r="F26" s="105">
        <v>36</v>
      </c>
      <c r="G26" s="105">
        <v>31</v>
      </c>
      <c r="H26" s="105">
        <v>38</v>
      </c>
      <c r="I26" s="105">
        <v>42</v>
      </c>
      <c r="J26" s="105">
        <v>44</v>
      </c>
      <c r="K26" s="105">
        <v>49</v>
      </c>
      <c r="L26" s="105">
        <v>54</v>
      </c>
      <c r="M26" s="105">
        <v>54</v>
      </c>
      <c r="N26" s="105">
        <v>60</v>
      </c>
      <c r="O26" s="105">
        <v>63</v>
      </c>
      <c r="P26" s="105">
        <v>66</v>
      </c>
      <c r="Q26" s="105">
        <v>68</v>
      </c>
      <c r="R26" s="105">
        <v>78</v>
      </c>
      <c r="S26" s="105">
        <v>77</v>
      </c>
      <c r="T26" s="106">
        <v>80</v>
      </c>
    </row>
    <row r="27" spans="1:20" x14ac:dyDescent="0.35">
      <c r="A27" s="103">
        <v>7</v>
      </c>
      <c r="B27" s="118"/>
      <c r="C27" s="105">
        <v>19</v>
      </c>
      <c r="D27" s="105">
        <v>25</v>
      </c>
      <c r="E27" s="105">
        <v>29</v>
      </c>
      <c r="F27" s="105">
        <v>31</v>
      </c>
      <c r="G27" s="105">
        <v>42</v>
      </c>
      <c r="H27" s="105">
        <v>42</v>
      </c>
      <c r="I27" s="105">
        <v>46</v>
      </c>
      <c r="J27" s="105">
        <v>50</v>
      </c>
      <c r="K27" s="105">
        <v>53</v>
      </c>
      <c r="L27" s="105">
        <v>57</v>
      </c>
      <c r="M27" s="105">
        <v>59</v>
      </c>
      <c r="N27" s="105">
        <v>70</v>
      </c>
      <c r="O27" s="105">
        <v>70</v>
      </c>
      <c r="P27" s="105">
        <v>71</v>
      </c>
      <c r="Q27" s="105">
        <v>75</v>
      </c>
      <c r="R27" s="105">
        <v>81</v>
      </c>
      <c r="S27" s="105">
        <v>85</v>
      </c>
      <c r="T27" s="106">
        <v>87</v>
      </c>
    </row>
    <row r="28" spans="1:20" x14ac:dyDescent="0.35">
      <c r="A28" s="103">
        <v>8</v>
      </c>
      <c r="B28" s="118"/>
      <c r="C28" s="105">
        <v>22</v>
      </c>
      <c r="D28" s="105">
        <v>32</v>
      </c>
      <c r="E28" s="105">
        <v>33</v>
      </c>
      <c r="F28" s="105">
        <v>38</v>
      </c>
      <c r="G28" s="105">
        <v>42</v>
      </c>
      <c r="H28" s="105">
        <v>48</v>
      </c>
      <c r="I28" s="105">
        <v>49</v>
      </c>
      <c r="J28" s="105">
        <v>56</v>
      </c>
      <c r="K28" s="105">
        <v>59</v>
      </c>
      <c r="L28" s="105">
        <v>64</v>
      </c>
      <c r="M28" s="105">
        <v>66</v>
      </c>
      <c r="N28" s="105">
        <v>72</v>
      </c>
      <c r="O28" s="105">
        <v>75</v>
      </c>
      <c r="P28" s="105">
        <v>88</v>
      </c>
      <c r="Q28" s="105">
        <v>81</v>
      </c>
      <c r="R28" s="105">
        <v>88</v>
      </c>
      <c r="S28" s="105">
        <v>91</v>
      </c>
      <c r="T28" s="106">
        <v>100</v>
      </c>
    </row>
    <row r="29" spans="1:20" x14ac:dyDescent="0.35">
      <c r="A29" s="103">
        <v>9</v>
      </c>
      <c r="B29" s="118"/>
      <c r="C29" s="105">
        <v>27</v>
      </c>
      <c r="D29" s="105">
        <v>29</v>
      </c>
      <c r="E29" s="105">
        <v>36</v>
      </c>
      <c r="F29" s="105">
        <v>42</v>
      </c>
      <c r="G29" s="105">
        <v>46</v>
      </c>
      <c r="H29" s="105">
        <v>49</v>
      </c>
      <c r="I29" s="105">
        <v>63</v>
      </c>
      <c r="J29" s="105">
        <v>61</v>
      </c>
      <c r="K29" s="105">
        <v>62</v>
      </c>
      <c r="L29" s="105">
        <v>69</v>
      </c>
      <c r="M29" s="105">
        <v>73</v>
      </c>
      <c r="N29" s="105">
        <v>77</v>
      </c>
      <c r="O29" s="105">
        <v>84</v>
      </c>
      <c r="P29" s="105">
        <v>86</v>
      </c>
      <c r="Q29" s="105">
        <v>92</v>
      </c>
      <c r="R29" s="105">
        <v>99</v>
      </c>
      <c r="S29" s="105">
        <v>99</v>
      </c>
      <c r="T29" s="106">
        <v>103</v>
      </c>
    </row>
    <row r="30" spans="1:20" x14ac:dyDescent="0.35">
      <c r="A30" s="103">
        <v>10</v>
      </c>
      <c r="B30" s="118"/>
      <c r="C30" s="105">
        <v>28</v>
      </c>
      <c r="D30" s="105">
        <v>34</v>
      </c>
      <c r="E30" s="105">
        <v>40</v>
      </c>
      <c r="F30" s="105">
        <v>44</v>
      </c>
      <c r="G30" s="105">
        <v>50</v>
      </c>
      <c r="H30" s="105">
        <v>56</v>
      </c>
      <c r="I30" s="105">
        <v>61</v>
      </c>
      <c r="J30" s="105">
        <v>70</v>
      </c>
      <c r="K30" s="105">
        <v>69</v>
      </c>
      <c r="L30" s="105">
        <v>74</v>
      </c>
      <c r="M30" s="105">
        <v>78</v>
      </c>
      <c r="N30" s="105">
        <v>84</v>
      </c>
      <c r="O30" s="105">
        <v>90</v>
      </c>
      <c r="P30" s="105">
        <v>94</v>
      </c>
      <c r="Q30" s="105">
        <v>97</v>
      </c>
      <c r="R30" s="105">
        <v>104</v>
      </c>
      <c r="S30" s="105">
        <v>104</v>
      </c>
      <c r="T30" s="106">
        <v>120</v>
      </c>
    </row>
    <row r="31" spans="1:20" x14ac:dyDescent="0.35">
      <c r="A31" s="103">
        <v>11</v>
      </c>
      <c r="B31" s="118"/>
      <c r="C31" s="105">
        <v>31</v>
      </c>
      <c r="D31" s="105">
        <v>37</v>
      </c>
      <c r="E31" s="105">
        <v>41</v>
      </c>
      <c r="F31" s="105">
        <v>49</v>
      </c>
      <c r="G31" s="105">
        <v>53</v>
      </c>
      <c r="H31" s="105">
        <v>59</v>
      </c>
      <c r="I31" s="105">
        <v>62</v>
      </c>
      <c r="J31" s="105">
        <v>69</v>
      </c>
      <c r="K31" s="105">
        <v>88</v>
      </c>
      <c r="L31" s="105">
        <v>77</v>
      </c>
      <c r="M31" s="105">
        <v>85</v>
      </c>
      <c r="N31" s="105">
        <v>89</v>
      </c>
      <c r="O31" s="105">
        <v>95</v>
      </c>
      <c r="P31" s="105">
        <v>100</v>
      </c>
      <c r="Q31" s="105">
        <v>104</v>
      </c>
      <c r="R31" s="105">
        <v>108</v>
      </c>
      <c r="S31" s="105">
        <v>114</v>
      </c>
      <c r="T31" s="106">
        <v>117</v>
      </c>
    </row>
    <row r="32" spans="1:20" x14ac:dyDescent="0.35">
      <c r="A32" s="103">
        <v>12</v>
      </c>
      <c r="B32" s="118"/>
      <c r="C32" s="105">
        <v>33</v>
      </c>
      <c r="D32" s="105">
        <v>40</v>
      </c>
      <c r="E32" s="105">
        <v>46</v>
      </c>
      <c r="F32" s="105">
        <v>54</v>
      </c>
      <c r="G32" s="105">
        <v>57</v>
      </c>
      <c r="H32" s="105">
        <v>64</v>
      </c>
      <c r="I32" s="105">
        <v>69</v>
      </c>
      <c r="J32" s="105">
        <v>74</v>
      </c>
      <c r="K32" s="105">
        <v>77</v>
      </c>
      <c r="L32" s="105">
        <v>96</v>
      </c>
      <c r="M32" s="105">
        <v>92</v>
      </c>
      <c r="N32" s="105">
        <v>94</v>
      </c>
      <c r="O32" s="105">
        <v>102</v>
      </c>
      <c r="P32" s="105">
        <v>108</v>
      </c>
      <c r="Q32" s="105">
        <v>111</v>
      </c>
      <c r="R32" s="105">
        <v>120</v>
      </c>
      <c r="S32" s="105">
        <v>121</v>
      </c>
      <c r="T32" s="106">
        <v>128</v>
      </c>
    </row>
    <row r="33" spans="1:20" x14ac:dyDescent="0.35">
      <c r="A33" s="103">
        <v>13</v>
      </c>
      <c r="B33" s="118"/>
      <c r="C33" s="105">
        <v>34</v>
      </c>
      <c r="D33" s="105">
        <v>41</v>
      </c>
      <c r="E33" s="105">
        <v>48</v>
      </c>
      <c r="F33" s="105">
        <v>54</v>
      </c>
      <c r="G33" s="105">
        <v>59</v>
      </c>
      <c r="H33" s="105">
        <v>66</v>
      </c>
      <c r="I33" s="105">
        <v>73</v>
      </c>
      <c r="J33" s="105">
        <v>78</v>
      </c>
      <c r="K33" s="105">
        <v>85</v>
      </c>
      <c r="L33" s="105">
        <v>92</v>
      </c>
      <c r="M33" s="105">
        <v>104</v>
      </c>
      <c r="N33" s="105">
        <v>102</v>
      </c>
      <c r="O33" s="105">
        <v>106</v>
      </c>
      <c r="P33" s="105">
        <v>112</v>
      </c>
      <c r="Q33" s="105">
        <v>118</v>
      </c>
      <c r="R33" s="105">
        <v>121</v>
      </c>
      <c r="S33" s="105">
        <v>127</v>
      </c>
      <c r="T33" s="106">
        <v>135</v>
      </c>
    </row>
    <row r="34" spans="1:20" x14ac:dyDescent="0.35">
      <c r="A34" s="103">
        <v>14</v>
      </c>
      <c r="B34" s="118"/>
      <c r="C34" s="105">
        <v>37</v>
      </c>
      <c r="D34" s="105">
        <v>46</v>
      </c>
      <c r="E34" s="105">
        <v>51</v>
      </c>
      <c r="F34" s="105">
        <v>60</v>
      </c>
      <c r="G34" s="105">
        <v>70</v>
      </c>
      <c r="H34" s="105">
        <v>72</v>
      </c>
      <c r="I34" s="105">
        <v>77</v>
      </c>
      <c r="J34" s="105">
        <v>84</v>
      </c>
      <c r="K34" s="105">
        <v>89</v>
      </c>
      <c r="L34" s="105">
        <v>94</v>
      </c>
      <c r="M34" s="105">
        <v>102</v>
      </c>
      <c r="N34" s="105">
        <v>112</v>
      </c>
      <c r="O34" s="105">
        <v>111</v>
      </c>
      <c r="P34" s="105">
        <v>120</v>
      </c>
      <c r="Q34" s="105">
        <v>124</v>
      </c>
      <c r="R34" s="105">
        <v>130</v>
      </c>
      <c r="S34" s="105">
        <v>135</v>
      </c>
      <c r="T34" s="106">
        <v>142</v>
      </c>
    </row>
    <row r="35" spans="1:20" x14ac:dyDescent="0.35">
      <c r="A35" s="103">
        <v>15</v>
      </c>
      <c r="B35" s="120"/>
      <c r="C35" s="113">
        <v>42</v>
      </c>
      <c r="D35" s="113">
        <v>46</v>
      </c>
      <c r="E35" s="113">
        <v>60</v>
      </c>
      <c r="F35" s="113">
        <v>63</v>
      </c>
      <c r="G35" s="113">
        <v>70</v>
      </c>
      <c r="H35" s="113">
        <v>75</v>
      </c>
      <c r="I35" s="113">
        <v>84</v>
      </c>
      <c r="J35" s="113">
        <v>90</v>
      </c>
      <c r="K35" s="113">
        <v>95</v>
      </c>
      <c r="L35" s="113">
        <v>102</v>
      </c>
      <c r="M35" s="113">
        <v>106</v>
      </c>
      <c r="N35" s="113">
        <v>111</v>
      </c>
      <c r="O35" s="113">
        <v>135</v>
      </c>
      <c r="P35" s="113">
        <v>120</v>
      </c>
      <c r="Q35" s="113">
        <v>130</v>
      </c>
      <c r="R35" s="113">
        <v>138</v>
      </c>
      <c r="S35" s="113">
        <v>142</v>
      </c>
      <c r="T35" s="114">
        <v>150</v>
      </c>
    </row>
    <row r="37" spans="1:20" x14ac:dyDescent="0.35">
      <c r="A37" s="18" t="s">
        <v>45</v>
      </c>
    </row>
    <row r="38" spans="1:20" x14ac:dyDescent="0.35">
      <c r="B38" s="103">
        <v>2</v>
      </c>
      <c r="C38" s="103">
        <v>3</v>
      </c>
      <c r="D38" s="103">
        <v>4</v>
      </c>
      <c r="E38" s="103">
        <v>5</v>
      </c>
      <c r="F38" s="103">
        <v>6</v>
      </c>
      <c r="G38" s="103">
        <v>7</v>
      </c>
      <c r="H38" s="103">
        <v>8</v>
      </c>
      <c r="I38" s="103">
        <v>9</v>
      </c>
      <c r="J38" s="103">
        <v>10</v>
      </c>
      <c r="K38" s="103">
        <v>11</v>
      </c>
      <c r="L38" s="103">
        <v>12</v>
      </c>
      <c r="M38" s="103">
        <v>13</v>
      </c>
      <c r="N38" s="103">
        <v>14</v>
      </c>
      <c r="O38" s="103">
        <v>15</v>
      </c>
      <c r="P38" s="103">
        <v>16</v>
      </c>
      <c r="Q38" s="103">
        <v>17</v>
      </c>
      <c r="R38" s="103">
        <v>18</v>
      </c>
      <c r="S38" s="103">
        <v>19</v>
      </c>
      <c r="T38" s="103">
        <v>20</v>
      </c>
    </row>
    <row r="39" spans="1:20" x14ac:dyDescent="0.35">
      <c r="A39" s="103">
        <v>2</v>
      </c>
      <c r="B39" s="109" t="s">
        <v>67</v>
      </c>
      <c r="C39" s="104" t="s">
        <v>67</v>
      </c>
      <c r="D39" s="104" t="s">
        <v>67</v>
      </c>
      <c r="E39" s="104" t="s">
        <v>67</v>
      </c>
      <c r="F39" s="104" t="s">
        <v>67</v>
      </c>
      <c r="G39" s="104" t="s">
        <v>67</v>
      </c>
      <c r="H39" s="104">
        <v>16</v>
      </c>
      <c r="I39" s="104">
        <v>18</v>
      </c>
      <c r="J39" s="104">
        <v>20</v>
      </c>
      <c r="K39" s="104">
        <v>22</v>
      </c>
      <c r="L39" s="104">
        <v>24</v>
      </c>
      <c r="M39" s="104">
        <v>26</v>
      </c>
      <c r="N39" s="104">
        <v>26</v>
      </c>
      <c r="O39" s="104">
        <v>28</v>
      </c>
      <c r="P39" s="104">
        <v>30</v>
      </c>
      <c r="Q39" s="104">
        <v>32</v>
      </c>
      <c r="R39" s="104">
        <v>34</v>
      </c>
      <c r="S39" s="104">
        <v>36</v>
      </c>
      <c r="T39" s="110">
        <v>38</v>
      </c>
    </row>
    <row r="40" spans="1:20" x14ac:dyDescent="0.35">
      <c r="A40" s="103">
        <v>3</v>
      </c>
      <c r="B40" s="111" t="s">
        <v>67</v>
      </c>
      <c r="C40" s="105" t="s">
        <v>67</v>
      </c>
      <c r="D40" s="105" t="s">
        <v>67</v>
      </c>
      <c r="E40" s="105">
        <v>15</v>
      </c>
      <c r="F40" s="105">
        <v>18</v>
      </c>
      <c r="G40" s="105">
        <v>21</v>
      </c>
      <c r="H40" s="105">
        <v>21</v>
      </c>
      <c r="I40" s="105">
        <v>24</v>
      </c>
      <c r="J40" s="105">
        <v>27</v>
      </c>
      <c r="K40" s="105">
        <v>30</v>
      </c>
      <c r="L40" s="105">
        <v>30</v>
      </c>
      <c r="M40" s="105">
        <v>33</v>
      </c>
      <c r="N40" s="105">
        <v>36</v>
      </c>
      <c r="O40" s="105">
        <v>36</v>
      </c>
      <c r="P40" s="105">
        <v>39</v>
      </c>
      <c r="Q40" s="105">
        <v>42</v>
      </c>
      <c r="R40" s="105">
        <v>45</v>
      </c>
      <c r="S40" s="105">
        <v>45</v>
      </c>
      <c r="T40" s="106">
        <v>48</v>
      </c>
    </row>
    <row r="41" spans="1:20" x14ac:dyDescent="0.35">
      <c r="A41" s="103">
        <v>4</v>
      </c>
      <c r="B41" s="111" t="s">
        <v>67</v>
      </c>
      <c r="C41" s="105" t="s">
        <v>67</v>
      </c>
      <c r="D41" s="105">
        <v>16</v>
      </c>
      <c r="E41" s="105">
        <v>20</v>
      </c>
      <c r="F41" s="105">
        <v>20</v>
      </c>
      <c r="G41" s="105">
        <v>24</v>
      </c>
      <c r="H41" s="105">
        <v>28</v>
      </c>
      <c r="I41" s="105">
        <v>28</v>
      </c>
      <c r="J41" s="105">
        <v>30</v>
      </c>
      <c r="K41" s="105">
        <v>33</v>
      </c>
      <c r="L41" s="105">
        <v>36</v>
      </c>
      <c r="M41" s="105">
        <v>39</v>
      </c>
      <c r="N41" s="105">
        <v>42</v>
      </c>
      <c r="O41" s="105">
        <v>44</v>
      </c>
      <c r="P41" s="105">
        <v>48</v>
      </c>
      <c r="Q41" s="105">
        <v>48</v>
      </c>
      <c r="R41" s="105">
        <v>50</v>
      </c>
      <c r="S41" s="105">
        <v>53</v>
      </c>
      <c r="T41" s="106">
        <v>60</v>
      </c>
    </row>
    <row r="42" spans="1:20" x14ac:dyDescent="0.35">
      <c r="A42" s="103">
        <v>5</v>
      </c>
      <c r="B42" s="111" t="s">
        <v>67</v>
      </c>
      <c r="C42" s="105">
        <v>15</v>
      </c>
      <c r="D42" s="105">
        <v>20</v>
      </c>
      <c r="E42" s="105">
        <v>25</v>
      </c>
      <c r="F42" s="105">
        <v>24</v>
      </c>
      <c r="G42" s="105">
        <v>28</v>
      </c>
      <c r="H42" s="105">
        <v>30</v>
      </c>
      <c r="I42" s="105">
        <v>35</v>
      </c>
      <c r="J42" s="105">
        <v>40</v>
      </c>
      <c r="K42" s="105">
        <v>39</v>
      </c>
      <c r="L42" s="105">
        <v>43</v>
      </c>
      <c r="M42" s="105">
        <v>45</v>
      </c>
      <c r="N42" s="105">
        <v>46</v>
      </c>
      <c r="O42" s="105">
        <v>55</v>
      </c>
      <c r="P42" s="105">
        <v>54</v>
      </c>
      <c r="Q42" s="105">
        <v>55</v>
      </c>
      <c r="R42" s="105">
        <v>60</v>
      </c>
      <c r="S42" s="105">
        <v>61</v>
      </c>
      <c r="T42" s="106">
        <v>65</v>
      </c>
    </row>
    <row r="43" spans="1:20" x14ac:dyDescent="0.35">
      <c r="A43" s="103">
        <v>6</v>
      </c>
      <c r="B43" s="111" t="s">
        <v>67</v>
      </c>
      <c r="C43" s="105">
        <v>18</v>
      </c>
      <c r="D43" s="105">
        <v>20</v>
      </c>
      <c r="E43" s="105">
        <v>24</v>
      </c>
      <c r="F43" s="105">
        <v>30</v>
      </c>
      <c r="G43" s="105">
        <v>30</v>
      </c>
      <c r="H43" s="105">
        <v>34</v>
      </c>
      <c r="I43" s="105">
        <v>39</v>
      </c>
      <c r="J43" s="105">
        <v>40</v>
      </c>
      <c r="K43" s="105">
        <v>43</v>
      </c>
      <c r="L43" s="105">
        <v>48</v>
      </c>
      <c r="M43" s="105">
        <v>52</v>
      </c>
      <c r="N43" s="105">
        <v>54</v>
      </c>
      <c r="O43" s="105">
        <v>57</v>
      </c>
      <c r="P43" s="105">
        <v>60</v>
      </c>
      <c r="Q43" s="105">
        <v>62</v>
      </c>
      <c r="R43" s="105">
        <v>72</v>
      </c>
      <c r="S43" s="105">
        <v>70</v>
      </c>
      <c r="T43" s="106">
        <v>72</v>
      </c>
    </row>
    <row r="44" spans="1:20" x14ac:dyDescent="0.35">
      <c r="A44" s="103">
        <v>7</v>
      </c>
      <c r="B44" s="111" t="s">
        <v>67</v>
      </c>
      <c r="C44" s="105">
        <v>21</v>
      </c>
      <c r="D44" s="105">
        <v>24</v>
      </c>
      <c r="E44" s="105">
        <v>28</v>
      </c>
      <c r="F44" s="105">
        <v>30</v>
      </c>
      <c r="G44" s="105">
        <v>42</v>
      </c>
      <c r="H44" s="105">
        <v>40</v>
      </c>
      <c r="I44" s="105">
        <v>42</v>
      </c>
      <c r="J44" s="105">
        <v>46</v>
      </c>
      <c r="K44" s="105">
        <v>48</v>
      </c>
      <c r="L44" s="105">
        <v>53</v>
      </c>
      <c r="M44" s="105">
        <v>56</v>
      </c>
      <c r="N44" s="105">
        <v>63</v>
      </c>
      <c r="O44" s="105">
        <v>62</v>
      </c>
      <c r="P44" s="105">
        <v>64</v>
      </c>
      <c r="Q44" s="105">
        <v>68</v>
      </c>
      <c r="R44" s="105">
        <v>70</v>
      </c>
      <c r="S44" s="105">
        <v>76</v>
      </c>
      <c r="T44" s="106">
        <v>79</v>
      </c>
    </row>
    <row r="45" spans="1:20" x14ac:dyDescent="0.35">
      <c r="A45" s="103">
        <v>8</v>
      </c>
      <c r="B45" s="111">
        <v>16</v>
      </c>
      <c r="C45" s="105">
        <v>21</v>
      </c>
      <c r="D45" s="105">
        <v>28</v>
      </c>
      <c r="E45" s="105">
        <v>30</v>
      </c>
      <c r="F45" s="105">
        <v>34</v>
      </c>
      <c r="G45" s="105">
        <v>40</v>
      </c>
      <c r="H45" s="105">
        <v>48</v>
      </c>
      <c r="I45" s="105">
        <v>46</v>
      </c>
      <c r="J45" s="105">
        <v>48</v>
      </c>
      <c r="K45" s="105">
        <v>53</v>
      </c>
      <c r="L45" s="105">
        <v>60</v>
      </c>
      <c r="M45" s="105">
        <v>62</v>
      </c>
      <c r="N45" s="105">
        <v>64</v>
      </c>
      <c r="O45" s="105">
        <v>67</v>
      </c>
      <c r="P45" s="105">
        <v>80</v>
      </c>
      <c r="Q45" s="105">
        <v>77</v>
      </c>
      <c r="R45" s="105">
        <v>80</v>
      </c>
      <c r="S45" s="105">
        <v>82</v>
      </c>
      <c r="T45" s="106">
        <v>88</v>
      </c>
    </row>
    <row r="46" spans="1:20" x14ac:dyDescent="0.35">
      <c r="A46" s="103">
        <v>9</v>
      </c>
      <c r="B46" s="111">
        <v>18</v>
      </c>
      <c r="C46" s="105">
        <v>24</v>
      </c>
      <c r="D46" s="105">
        <v>28</v>
      </c>
      <c r="E46" s="105">
        <v>35</v>
      </c>
      <c r="F46" s="105">
        <v>39</v>
      </c>
      <c r="G46" s="105">
        <v>42</v>
      </c>
      <c r="H46" s="105">
        <v>46</v>
      </c>
      <c r="I46" s="105">
        <v>54</v>
      </c>
      <c r="J46" s="105">
        <v>53</v>
      </c>
      <c r="K46" s="105">
        <v>59</v>
      </c>
      <c r="L46" s="105">
        <v>63</v>
      </c>
      <c r="M46" s="105">
        <v>65</v>
      </c>
      <c r="N46" s="105">
        <v>70</v>
      </c>
      <c r="O46" s="105">
        <v>75</v>
      </c>
      <c r="P46" s="105">
        <v>78</v>
      </c>
      <c r="Q46" s="105">
        <v>82</v>
      </c>
      <c r="R46" s="105">
        <v>92</v>
      </c>
      <c r="S46" s="105">
        <v>89</v>
      </c>
      <c r="T46" s="106">
        <v>93</v>
      </c>
    </row>
    <row r="47" spans="1:20" x14ac:dyDescent="0.35">
      <c r="A47" s="103">
        <v>10</v>
      </c>
      <c r="B47" s="111">
        <v>20</v>
      </c>
      <c r="C47" s="105">
        <v>27</v>
      </c>
      <c r="D47" s="105">
        <v>30</v>
      </c>
      <c r="E47" s="105">
        <v>40</v>
      </c>
      <c r="F47" s="105">
        <v>40</v>
      </c>
      <c r="G47" s="105">
        <v>46</v>
      </c>
      <c r="H47" s="105">
        <v>48</v>
      </c>
      <c r="I47" s="105">
        <v>53</v>
      </c>
      <c r="J47" s="105">
        <v>70</v>
      </c>
      <c r="K47" s="105">
        <v>60</v>
      </c>
      <c r="L47" s="105">
        <v>66</v>
      </c>
      <c r="M47" s="105">
        <v>70</v>
      </c>
      <c r="N47" s="105">
        <v>74</v>
      </c>
      <c r="O47" s="105">
        <v>80</v>
      </c>
      <c r="P47" s="105">
        <v>84</v>
      </c>
      <c r="Q47" s="105">
        <v>89</v>
      </c>
      <c r="R47" s="105">
        <v>92</v>
      </c>
      <c r="S47" s="105">
        <v>94</v>
      </c>
      <c r="T47" s="106">
        <v>110</v>
      </c>
    </row>
    <row r="48" spans="1:20" x14ac:dyDescent="0.35">
      <c r="A48" s="103">
        <v>11</v>
      </c>
      <c r="B48" s="111">
        <v>22</v>
      </c>
      <c r="C48" s="105">
        <v>30</v>
      </c>
      <c r="D48" s="105">
        <v>33</v>
      </c>
      <c r="E48" s="105">
        <v>39</v>
      </c>
      <c r="F48" s="105">
        <v>43</v>
      </c>
      <c r="G48" s="105">
        <v>48</v>
      </c>
      <c r="H48" s="105">
        <v>53</v>
      </c>
      <c r="I48" s="105">
        <v>59</v>
      </c>
      <c r="J48" s="105">
        <v>60</v>
      </c>
      <c r="K48" s="105">
        <v>77</v>
      </c>
      <c r="L48" s="105">
        <v>72</v>
      </c>
      <c r="M48" s="105">
        <v>75</v>
      </c>
      <c r="N48" s="105">
        <v>82</v>
      </c>
      <c r="O48" s="105">
        <v>84</v>
      </c>
      <c r="P48" s="105">
        <v>89</v>
      </c>
      <c r="Q48" s="105">
        <v>93</v>
      </c>
      <c r="R48" s="105">
        <v>97</v>
      </c>
      <c r="S48" s="105">
        <v>102</v>
      </c>
      <c r="T48" s="106">
        <v>107</v>
      </c>
    </row>
    <row r="49" spans="1:20" x14ac:dyDescent="0.35">
      <c r="A49" s="103">
        <v>12</v>
      </c>
      <c r="B49" s="111">
        <v>24</v>
      </c>
      <c r="C49" s="105">
        <v>30</v>
      </c>
      <c r="D49" s="105">
        <v>36</v>
      </c>
      <c r="E49" s="105">
        <v>43</v>
      </c>
      <c r="F49" s="105">
        <v>48</v>
      </c>
      <c r="G49" s="105">
        <v>53</v>
      </c>
      <c r="H49" s="105">
        <v>60</v>
      </c>
      <c r="I49" s="105">
        <v>63</v>
      </c>
      <c r="J49" s="105">
        <v>66</v>
      </c>
      <c r="K49" s="105">
        <v>72</v>
      </c>
      <c r="L49" s="105">
        <v>84</v>
      </c>
      <c r="M49" s="105">
        <v>81</v>
      </c>
      <c r="N49" s="105">
        <v>86</v>
      </c>
      <c r="O49" s="105">
        <v>93</v>
      </c>
      <c r="P49" s="105">
        <v>96</v>
      </c>
      <c r="Q49" s="105">
        <v>100</v>
      </c>
      <c r="R49" s="105">
        <v>108</v>
      </c>
      <c r="S49" s="105">
        <v>108</v>
      </c>
      <c r="T49" s="106">
        <v>116</v>
      </c>
    </row>
    <row r="50" spans="1:20" x14ac:dyDescent="0.35">
      <c r="A50" s="103">
        <v>13</v>
      </c>
      <c r="B50" s="111">
        <v>26</v>
      </c>
      <c r="C50" s="105">
        <v>33</v>
      </c>
      <c r="D50" s="105">
        <v>39</v>
      </c>
      <c r="E50" s="105">
        <v>45</v>
      </c>
      <c r="F50" s="105">
        <v>52</v>
      </c>
      <c r="G50" s="105">
        <v>56</v>
      </c>
      <c r="H50" s="105">
        <v>62</v>
      </c>
      <c r="I50" s="105">
        <v>65</v>
      </c>
      <c r="J50" s="105">
        <v>70</v>
      </c>
      <c r="K50" s="105">
        <v>75</v>
      </c>
      <c r="L50" s="105">
        <v>81</v>
      </c>
      <c r="M50" s="105">
        <v>91</v>
      </c>
      <c r="N50" s="105">
        <v>89</v>
      </c>
      <c r="O50" s="105">
        <v>96</v>
      </c>
      <c r="P50" s="105">
        <v>101</v>
      </c>
      <c r="Q50" s="105">
        <v>105</v>
      </c>
      <c r="R50" s="105">
        <v>110</v>
      </c>
      <c r="S50" s="105">
        <v>114</v>
      </c>
      <c r="T50" s="106">
        <v>120</v>
      </c>
    </row>
    <row r="51" spans="1:20" x14ac:dyDescent="0.35">
      <c r="A51" s="103">
        <v>14</v>
      </c>
      <c r="B51" s="111">
        <v>26</v>
      </c>
      <c r="C51" s="105">
        <v>36</v>
      </c>
      <c r="D51" s="105">
        <v>42</v>
      </c>
      <c r="E51" s="105">
        <v>46</v>
      </c>
      <c r="F51" s="105">
        <v>54</v>
      </c>
      <c r="G51" s="105">
        <v>63</v>
      </c>
      <c r="H51" s="105">
        <v>64</v>
      </c>
      <c r="I51" s="105">
        <v>70</v>
      </c>
      <c r="J51" s="105">
        <v>74</v>
      </c>
      <c r="K51" s="105">
        <v>82</v>
      </c>
      <c r="L51" s="105">
        <v>86</v>
      </c>
      <c r="M51" s="105">
        <v>89</v>
      </c>
      <c r="N51" s="105">
        <v>112</v>
      </c>
      <c r="O51" s="105">
        <v>98</v>
      </c>
      <c r="P51" s="105">
        <v>106</v>
      </c>
      <c r="Q51" s="105">
        <v>111</v>
      </c>
      <c r="R51" s="105">
        <v>116</v>
      </c>
      <c r="S51" s="105">
        <v>121</v>
      </c>
      <c r="T51" s="106">
        <v>126</v>
      </c>
    </row>
    <row r="52" spans="1:20" x14ac:dyDescent="0.35">
      <c r="A52" s="103">
        <v>15</v>
      </c>
      <c r="B52" s="112">
        <v>28</v>
      </c>
      <c r="C52" s="113">
        <v>36</v>
      </c>
      <c r="D52" s="113">
        <v>44</v>
      </c>
      <c r="E52" s="113">
        <v>55</v>
      </c>
      <c r="F52" s="113">
        <v>57</v>
      </c>
      <c r="G52" s="113">
        <v>62</v>
      </c>
      <c r="H52" s="113">
        <v>67</v>
      </c>
      <c r="I52" s="113">
        <v>75</v>
      </c>
      <c r="J52" s="113">
        <v>80</v>
      </c>
      <c r="K52" s="113">
        <v>84</v>
      </c>
      <c r="L52" s="113">
        <v>93</v>
      </c>
      <c r="M52" s="113">
        <v>96</v>
      </c>
      <c r="N52" s="113">
        <v>98</v>
      </c>
      <c r="O52" s="113">
        <v>120</v>
      </c>
      <c r="P52" s="113">
        <v>114</v>
      </c>
      <c r="Q52" s="113">
        <v>116</v>
      </c>
      <c r="R52" s="113">
        <v>123</v>
      </c>
      <c r="S52" s="113">
        <v>127</v>
      </c>
      <c r="T52" s="114">
        <v>135</v>
      </c>
    </row>
    <row r="54" spans="1:20" x14ac:dyDescent="0.35">
      <c r="A54" s="18" t="s">
        <v>44</v>
      </c>
    </row>
    <row r="55" spans="1:20" x14ac:dyDescent="0.35">
      <c r="B55" s="103">
        <v>2</v>
      </c>
      <c r="C55" s="103">
        <v>3</v>
      </c>
      <c r="D55" s="103">
        <v>4</v>
      </c>
      <c r="E55" s="103">
        <v>5</v>
      </c>
      <c r="F55" s="103">
        <v>6</v>
      </c>
      <c r="G55" s="103">
        <v>7</v>
      </c>
      <c r="H55" s="103">
        <v>8</v>
      </c>
      <c r="I55" s="103">
        <v>9</v>
      </c>
      <c r="J55" s="103">
        <v>10</v>
      </c>
      <c r="K55" s="103">
        <v>11</v>
      </c>
      <c r="L55" s="103">
        <v>12</v>
      </c>
      <c r="M55" s="103">
        <v>13</v>
      </c>
      <c r="N55" s="103">
        <v>14</v>
      </c>
      <c r="O55" s="103">
        <v>15</v>
      </c>
      <c r="P55" s="103">
        <v>16</v>
      </c>
      <c r="Q55" s="103">
        <v>17</v>
      </c>
      <c r="R55" s="103">
        <v>18</v>
      </c>
      <c r="S55" s="103">
        <v>19</v>
      </c>
      <c r="T55" s="103">
        <v>20</v>
      </c>
    </row>
    <row r="56" spans="1:20" x14ac:dyDescent="0.35">
      <c r="A56" s="103">
        <v>2</v>
      </c>
      <c r="B56" s="109" t="s">
        <v>67</v>
      </c>
      <c r="C56" s="104" t="s">
        <v>67</v>
      </c>
      <c r="D56" s="104" t="s">
        <v>67</v>
      </c>
      <c r="E56" s="104">
        <v>10</v>
      </c>
      <c r="F56" s="104">
        <v>12</v>
      </c>
      <c r="G56" s="104">
        <v>14</v>
      </c>
      <c r="H56" s="104">
        <v>16</v>
      </c>
      <c r="I56" s="104">
        <v>18</v>
      </c>
      <c r="J56" s="104">
        <v>18</v>
      </c>
      <c r="K56" s="104">
        <v>20</v>
      </c>
      <c r="L56" s="104">
        <v>22</v>
      </c>
      <c r="M56" s="104">
        <v>24</v>
      </c>
      <c r="N56" s="104">
        <v>24</v>
      </c>
      <c r="O56" s="104">
        <v>26</v>
      </c>
      <c r="P56" s="104">
        <v>28</v>
      </c>
      <c r="Q56" s="104">
        <v>30</v>
      </c>
      <c r="R56" s="104">
        <v>32</v>
      </c>
      <c r="S56" s="104">
        <v>32</v>
      </c>
      <c r="T56" s="110">
        <v>34</v>
      </c>
    </row>
    <row r="57" spans="1:20" x14ac:dyDescent="0.35">
      <c r="A57" s="103">
        <v>3</v>
      </c>
      <c r="B57" s="111" t="s">
        <v>67</v>
      </c>
      <c r="C57" s="105">
        <v>9</v>
      </c>
      <c r="D57" s="105">
        <v>12</v>
      </c>
      <c r="E57" s="105">
        <v>15</v>
      </c>
      <c r="F57" s="105">
        <v>15</v>
      </c>
      <c r="G57" s="105">
        <v>18</v>
      </c>
      <c r="H57" s="105">
        <v>21</v>
      </c>
      <c r="I57" s="105">
        <v>21</v>
      </c>
      <c r="J57" s="105">
        <v>24</v>
      </c>
      <c r="K57" s="105">
        <v>27</v>
      </c>
      <c r="L57" s="105">
        <v>27</v>
      </c>
      <c r="M57" s="105">
        <v>30</v>
      </c>
      <c r="N57" s="105">
        <v>33</v>
      </c>
      <c r="O57" s="105">
        <v>33</v>
      </c>
      <c r="P57" s="105">
        <v>36</v>
      </c>
      <c r="Q57" s="105">
        <v>36</v>
      </c>
      <c r="R57" s="105">
        <v>39</v>
      </c>
      <c r="S57" s="105">
        <v>42</v>
      </c>
      <c r="T57" s="106">
        <v>42</v>
      </c>
    </row>
    <row r="58" spans="1:20" x14ac:dyDescent="0.35">
      <c r="A58" s="103">
        <v>4</v>
      </c>
      <c r="B58" s="111" t="s">
        <v>67</v>
      </c>
      <c r="C58" s="105">
        <v>12</v>
      </c>
      <c r="D58" s="105">
        <v>16</v>
      </c>
      <c r="E58" s="105">
        <v>16</v>
      </c>
      <c r="F58" s="105">
        <v>18</v>
      </c>
      <c r="G58" s="105">
        <v>21</v>
      </c>
      <c r="H58" s="105">
        <v>24</v>
      </c>
      <c r="I58" s="105">
        <v>27</v>
      </c>
      <c r="J58" s="105">
        <v>28</v>
      </c>
      <c r="K58" s="105">
        <v>29</v>
      </c>
      <c r="L58" s="105">
        <v>36</v>
      </c>
      <c r="M58" s="105">
        <v>35</v>
      </c>
      <c r="N58" s="105">
        <v>38</v>
      </c>
      <c r="O58" s="105">
        <v>40</v>
      </c>
      <c r="P58" s="105">
        <v>44</v>
      </c>
      <c r="Q58" s="105">
        <v>44</v>
      </c>
      <c r="R58" s="105">
        <v>46</v>
      </c>
      <c r="S58" s="105">
        <v>49</v>
      </c>
      <c r="T58" s="106">
        <v>52</v>
      </c>
    </row>
    <row r="59" spans="1:20" x14ac:dyDescent="0.35">
      <c r="A59" s="103">
        <v>5</v>
      </c>
      <c r="B59" s="111">
        <v>10</v>
      </c>
      <c r="C59" s="105">
        <v>15</v>
      </c>
      <c r="D59" s="105">
        <v>16</v>
      </c>
      <c r="E59" s="105">
        <v>20</v>
      </c>
      <c r="F59" s="105">
        <v>24</v>
      </c>
      <c r="G59" s="105">
        <v>25</v>
      </c>
      <c r="H59" s="105">
        <v>27</v>
      </c>
      <c r="I59" s="105">
        <v>30</v>
      </c>
      <c r="J59" s="105">
        <v>35</v>
      </c>
      <c r="K59" s="105">
        <v>35</v>
      </c>
      <c r="L59" s="105">
        <v>36</v>
      </c>
      <c r="M59" s="105">
        <v>40</v>
      </c>
      <c r="N59" s="105">
        <v>42</v>
      </c>
      <c r="O59" s="105">
        <v>50</v>
      </c>
      <c r="P59" s="105">
        <v>48</v>
      </c>
      <c r="Q59" s="105">
        <v>50</v>
      </c>
      <c r="R59" s="105">
        <v>52</v>
      </c>
      <c r="S59" s="105">
        <v>56</v>
      </c>
      <c r="T59" s="106">
        <v>60</v>
      </c>
    </row>
    <row r="60" spans="1:20" x14ac:dyDescent="0.35">
      <c r="A60" s="103">
        <v>6</v>
      </c>
      <c r="B60" s="111">
        <v>12</v>
      </c>
      <c r="C60" s="105">
        <v>15</v>
      </c>
      <c r="D60" s="105">
        <v>18</v>
      </c>
      <c r="E60" s="105">
        <v>24</v>
      </c>
      <c r="F60" s="105">
        <v>30</v>
      </c>
      <c r="G60" s="105">
        <v>28</v>
      </c>
      <c r="H60" s="105">
        <v>30</v>
      </c>
      <c r="I60" s="105">
        <v>33</v>
      </c>
      <c r="J60" s="105">
        <v>36</v>
      </c>
      <c r="K60" s="105">
        <v>38</v>
      </c>
      <c r="L60" s="105">
        <v>48</v>
      </c>
      <c r="M60" s="105">
        <v>46</v>
      </c>
      <c r="N60" s="105">
        <v>48</v>
      </c>
      <c r="O60" s="105">
        <v>51</v>
      </c>
      <c r="P60" s="105">
        <v>54</v>
      </c>
      <c r="Q60" s="105">
        <v>56</v>
      </c>
      <c r="R60" s="105">
        <v>66</v>
      </c>
      <c r="S60" s="105">
        <v>64</v>
      </c>
      <c r="T60" s="106">
        <v>66</v>
      </c>
    </row>
    <row r="61" spans="1:20" x14ac:dyDescent="0.35">
      <c r="A61" s="103">
        <v>7</v>
      </c>
      <c r="B61" s="111">
        <v>14</v>
      </c>
      <c r="C61" s="105">
        <v>18</v>
      </c>
      <c r="D61" s="105">
        <v>21</v>
      </c>
      <c r="E61" s="105">
        <v>25</v>
      </c>
      <c r="F61" s="105">
        <v>28</v>
      </c>
      <c r="G61" s="105">
        <v>38</v>
      </c>
      <c r="H61" s="105">
        <v>34</v>
      </c>
      <c r="I61" s="105">
        <v>36</v>
      </c>
      <c r="J61" s="105">
        <v>40</v>
      </c>
      <c r="K61" s="105">
        <v>44</v>
      </c>
      <c r="L61" s="105">
        <v>46</v>
      </c>
      <c r="M61" s="105">
        <v>50</v>
      </c>
      <c r="N61" s="105">
        <v>56</v>
      </c>
      <c r="O61" s="105">
        <v>56</v>
      </c>
      <c r="P61" s="105">
        <v>59</v>
      </c>
      <c r="Q61" s="105">
        <v>61</v>
      </c>
      <c r="R61" s="105">
        <v>65</v>
      </c>
      <c r="S61" s="105">
        <v>69</v>
      </c>
      <c r="T61" s="106">
        <v>72</v>
      </c>
    </row>
    <row r="62" spans="1:20" x14ac:dyDescent="0.35">
      <c r="A62" s="103">
        <v>8</v>
      </c>
      <c r="B62" s="111">
        <v>16</v>
      </c>
      <c r="C62" s="105">
        <v>21</v>
      </c>
      <c r="D62" s="105">
        <v>24</v>
      </c>
      <c r="E62" s="105">
        <v>27</v>
      </c>
      <c r="F62" s="105">
        <v>30</v>
      </c>
      <c r="G62" s="105">
        <v>34</v>
      </c>
      <c r="H62" s="105">
        <v>40</v>
      </c>
      <c r="I62" s="105">
        <v>40</v>
      </c>
      <c r="J62" s="105">
        <v>44</v>
      </c>
      <c r="K62" s="105">
        <v>48</v>
      </c>
      <c r="L62" s="105">
        <v>52</v>
      </c>
      <c r="M62" s="105">
        <v>54</v>
      </c>
      <c r="N62" s="105">
        <v>58</v>
      </c>
      <c r="O62" s="105">
        <v>60</v>
      </c>
      <c r="P62" s="105">
        <v>72</v>
      </c>
      <c r="Q62" s="105">
        <v>68</v>
      </c>
      <c r="R62" s="105">
        <v>72</v>
      </c>
      <c r="S62" s="105">
        <v>74</v>
      </c>
      <c r="T62" s="106">
        <v>80</v>
      </c>
    </row>
    <row r="63" spans="1:20" x14ac:dyDescent="0.35">
      <c r="A63" s="103">
        <v>9</v>
      </c>
      <c r="B63" s="111">
        <v>18</v>
      </c>
      <c r="C63" s="105">
        <v>21</v>
      </c>
      <c r="D63" s="105">
        <v>27</v>
      </c>
      <c r="E63" s="105">
        <v>30</v>
      </c>
      <c r="F63" s="105">
        <v>33</v>
      </c>
      <c r="G63" s="105">
        <v>36</v>
      </c>
      <c r="H63" s="105">
        <v>40</v>
      </c>
      <c r="I63" s="105">
        <v>54</v>
      </c>
      <c r="J63" s="105">
        <v>50</v>
      </c>
      <c r="K63" s="105">
        <v>52</v>
      </c>
      <c r="L63" s="105">
        <v>57</v>
      </c>
      <c r="M63" s="105">
        <v>59</v>
      </c>
      <c r="N63" s="105">
        <v>63</v>
      </c>
      <c r="O63" s="105">
        <v>69</v>
      </c>
      <c r="P63" s="105">
        <v>69</v>
      </c>
      <c r="Q63" s="105">
        <v>74</v>
      </c>
      <c r="R63" s="105">
        <v>81</v>
      </c>
      <c r="S63" s="105">
        <v>80</v>
      </c>
      <c r="T63" s="106">
        <v>84</v>
      </c>
    </row>
    <row r="64" spans="1:20" x14ac:dyDescent="0.35">
      <c r="A64" s="103">
        <v>10</v>
      </c>
      <c r="B64" s="111">
        <v>18</v>
      </c>
      <c r="C64" s="105">
        <v>24</v>
      </c>
      <c r="D64" s="105">
        <v>28</v>
      </c>
      <c r="E64" s="105">
        <v>35</v>
      </c>
      <c r="F64" s="105">
        <v>36</v>
      </c>
      <c r="G64" s="105">
        <v>40</v>
      </c>
      <c r="H64" s="105">
        <v>44</v>
      </c>
      <c r="I64" s="105">
        <v>50</v>
      </c>
      <c r="J64" s="105">
        <v>60</v>
      </c>
      <c r="K64" s="105">
        <v>57</v>
      </c>
      <c r="L64" s="105">
        <v>60</v>
      </c>
      <c r="M64" s="105">
        <v>64</v>
      </c>
      <c r="N64" s="105">
        <v>68</v>
      </c>
      <c r="O64" s="105">
        <v>75</v>
      </c>
      <c r="P64" s="105">
        <v>76</v>
      </c>
      <c r="Q64" s="105">
        <v>79</v>
      </c>
      <c r="R64" s="105">
        <v>82</v>
      </c>
      <c r="S64" s="105">
        <v>85</v>
      </c>
      <c r="T64" s="106">
        <v>100</v>
      </c>
    </row>
    <row r="65" spans="1:20" x14ac:dyDescent="0.35">
      <c r="A65" s="103">
        <v>11</v>
      </c>
      <c r="B65" s="111">
        <v>20</v>
      </c>
      <c r="C65" s="105">
        <v>27</v>
      </c>
      <c r="D65" s="105">
        <v>29</v>
      </c>
      <c r="E65" s="105">
        <v>35</v>
      </c>
      <c r="F65" s="105">
        <v>38</v>
      </c>
      <c r="G65" s="105">
        <v>44</v>
      </c>
      <c r="H65" s="105">
        <v>48</v>
      </c>
      <c r="I65" s="105">
        <v>52</v>
      </c>
      <c r="J65" s="105">
        <v>57</v>
      </c>
      <c r="K65" s="105">
        <v>66</v>
      </c>
      <c r="L65" s="105">
        <v>64</v>
      </c>
      <c r="M65" s="105">
        <v>67</v>
      </c>
      <c r="N65" s="105">
        <v>73</v>
      </c>
      <c r="O65" s="105">
        <v>76</v>
      </c>
      <c r="P65" s="105">
        <v>80</v>
      </c>
      <c r="Q65" s="105">
        <v>85</v>
      </c>
      <c r="R65" s="105">
        <v>88</v>
      </c>
      <c r="S65" s="105">
        <v>92</v>
      </c>
      <c r="T65" s="106">
        <v>96</v>
      </c>
    </row>
    <row r="66" spans="1:20" x14ac:dyDescent="0.35">
      <c r="A66" s="103">
        <v>12</v>
      </c>
      <c r="B66" s="111">
        <v>22</v>
      </c>
      <c r="C66" s="105">
        <v>27</v>
      </c>
      <c r="D66" s="105">
        <v>36</v>
      </c>
      <c r="E66" s="105">
        <v>36</v>
      </c>
      <c r="F66" s="105">
        <v>48</v>
      </c>
      <c r="G66" s="105">
        <v>46</v>
      </c>
      <c r="H66" s="105">
        <v>52</v>
      </c>
      <c r="I66" s="105">
        <v>57</v>
      </c>
      <c r="J66" s="105">
        <v>60</v>
      </c>
      <c r="K66" s="105">
        <v>64</v>
      </c>
      <c r="L66" s="105">
        <v>72</v>
      </c>
      <c r="M66" s="105">
        <v>71</v>
      </c>
      <c r="N66" s="105">
        <v>78</v>
      </c>
      <c r="O66" s="105">
        <v>84</v>
      </c>
      <c r="P66" s="105">
        <v>88</v>
      </c>
      <c r="Q66" s="105">
        <v>90</v>
      </c>
      <c r="R66" s="105">
        <v>96</v>
      </c>
      <c r="S66" s="105">
        <v>99</v>
      </c>
      <c r="T66" s="106">
        <v>104</v>
      </c>
    </row>
    <row r="67" spans="1:20" x14ac:dyDescent="0.35">
      <c r="A67" s="103">
        <v>13</v>
      </c>
      <c r="B67" s="111">
        <v>24</v>
      </c>
      <c r="C67" s="105">
        <v>30</v>
      </c>
      <c r="D67" s="105">
        <v>35</v>
      </c>
      <c r="E67" s="105">
        <v>40</v>
      </c>
      <c r="F67" s="105">
        <v>46</v>
      </c>
      <c r="G67" s="105">
        <v>50</v>
      </c>
      <c r="H67" s="105">
        <v>54</v>
      </c>
      <c r="I67" s="105">
        <v>59</v>
      </c>
      <c r="J67" s="105">
        <v>64</v>
      </c>
      <c r="K67" s="105">
        <v>67</v>
      </c>
      <c r="L67" s="105">
        <v>71</v>
      </c>
      <c r="M67" s="105">
        <v>91</v>
      </c>
      <c r="N67" s="105">
        <v>78</v>
      </c>
      <c r="O67" s="105">
        <v>87</v>
      </c>
      <c r="P67" s="105">
        <v>91</v>
      </c>
      <c r="Q67" s="105">
        <v>96</v>
      </c>
      <c r="R67" s="105">
        <v>99</v>
      </c>
      <c r="S67" s="105">
        <v>104</v>
      </c>
      <c r="T67" s="106">
        <v>108</v>
      </c>
    </row>
    <row r="68" spans="1:20" x14ac:dyDescent="0.35">
      <c r="A68" s="103">
        <v>14</v>
      </c>
      <c r="B68" s="111">
        <v>24</v>
      </c>
      <c r="C68" s="105">
        <v>33</v>
      </c>
      <c r="D68" s="105">
        <v>38</v>
      </c>
      <c r="E68" s="105">
        <v>42</v>
      </c>
      <c r="F68" s="105">
        <v>48</v>
      </c>
      <c r="G68" s="105">
        <v>56</v>
      </c>
      <c r="H68" s="105">
        <v>58</v>
      </c>
      <c r="I68" s="105">
        <v>63</v>
      </c>
      <c r="J68" s="105">
        <v>68</v>
      </c>
      <c r="K68" s="105">
        <v>73</v>
      </c>
      <c r="L68" s="105">
        <v>78</v>
      </c>
      <c r="M68" s="105">
        <v>78</v>
      </c>
      <c r="N68" s="105">
        <v>98</v>
      </c>
      <c r="O68" s="105">
        <v>92</v>
      </c>
      <c r="P68" s="105">
        <v>96</v>
      </c>
      <c r="Q68" s="105">
        <v>100</v>
      </c>
      <c r="R68" s="105">
        <v>104</v>
      </c>
      <c r="S68" s="105">
        <v>110</v>
      </c>
      <c r="T68" s="106">
        <v>114</v>
      </c>
    </row>
    <row r="69" spans="1:20" x14ac:dyDescent="0.35">
      <c r="A69" s="103">
        <v>15</v>
      </c>
      <c r="B69" s="112">
        <v>26</v>
      </c>
      <c r="C69" s="113">
        <v>33</v>
      </c>
      <c r="D69" s="113">
        <v>40</v>
      </c>
      <c r="E69" s="113">
        <v>50</v>
      </c>
      <c r="F69" s="113">
        <v>51</v>
      </c>
      <c r="G69" s="113">
        <v>56</v>
      </c>
      <c r="H69" s="113">
        <v>60</v>
      </c>
      <c r="I69" s="113">
        <v>69</v>
      </c>
      <c r="J69" s="113">
        <v>75</v>
      </c>
      <c r="K69" s="113">
        <v>76</v>
      </c>
      <c r="L69" s="113">
        <v>84</v>
      </c>
      <c r="M69" s="113">
        <v>87</v>
      </c>
      <c r="N69" s="113">
        <v>92</v>
      </c>
      <c r="O69" s="113">
        <v>105</v>
      </c>
      <c r="P69" s="113">
        <v>101</v>
      </c>
      <c r="Q69" s="113">
        <v>105</v>
      </c>
      <c r="R69" s="113">
        <v>111</v>
      </c>
      <c r="S69" s="113">
        <v>114</v>
      </c>
      <c r="T69" s="114">
        <v>125</v>
      </c>
    </row>
    <row r="71" spans="1:20" x14ac:dyDescent="0.35">
      <c r="A71" s="18" t="s">
        <v>152</v>
      </c>
    </row>
    <row r="72" spans="1:20" x14ac:dyDescent="0.35">
      <c r="B72" s="103">
        <v>2</v>
      </c>
      <c r="C72" s="103">
        <v>3</v>
      </c>
      <c r="D72" s="103">
        <v>4</v>
      </c>
      <c r="E72" s="103">
        <v>5</v>
      </c>
      <c r="F72" s="103">
        <v>6</v>
      </c>
      <c r="G72" s="103">
        <v>7</v>
      </c>
      <c r="H72" s="103">
        <v>8</v>
      </c>
      <c r="I72" s="103">
        <v>9</v>
      </c>
      <c r="J72" s="103">
        <v>10</v>
      </c>
      <c r="K72" s="103">
        <v>11</v>
      </c>
      <c r="L72" s="103">
        <v>12</v>
      </c>
      <c r="M72" s="103">
        <v>13</v>
      </c>
      <c r="N72" s="103">
        <v>14</v>
      </c>
      <c r="O72" s="103">
        <v>15</v>
      </c>
      <c r="P72" s="103">
        <v>16</v>
      </c>
      <c r="Q72" s="103">
        <v>17</v>
      </c>
      <c r="R72" s="103">
        <v>18</v>
      </c>
      <c r="S72" s="103">
        <v>19</v>
      </c>
      <c r="T72" s="103">
        <v>20</v>
      </c>
    </row>
    <row r="73" spans="1:20" x14ac:dyDescent="0.35">
      <c r="A73" s="103">
        <v>2</v>
      </c>
      <c r="B73" s="115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7"/>
    </row>
    <row r="74" spans="1:20" x14ac:dyDescent="0.35">
      <c r="A74" s="103">
        <v>3</v>
      </c>
      <c r="B74" s="118"/>
      <c r="C74" s="105">
        <v>9</v>
      </c>
      <c r="D74" s="105">
        <v>10</v>
      </c>
      <c r="E74" s="105">
        <v>11</v>
      </c>
      <c r="F74" s="105">
        <v>15</v>
      </c>
      <c r="G74" s="105">
        <v>15</v>
      </c>
      <c r="H74" s="105">
        <v>16</v>
      </c>
      <c r="I74" s="105">
        <v>21</v>
      </c>
      <c r="J74" s="105">
        <v>19</v>
      </c>
      <c r="K74" s="105">
        <v>22</v>
      </c>
      <c r="L74" s="105">
        <v>24</v>
      </c>
      <c r="M74" s="105">
        <v>25</v>
      </c>
      <c r="N74" s="105">
        <v>26</v>
      </c>
      <c r="O74" s="105">
        <v>30</v>
      </c>
      <c r="P74" s="105">
        <v>30</v>
      </c>
      <c r="Q74" s="105">
        <v>32</v>
      </c>
      <c r="R74" s="105">
        <v>36</v>
      </c>
      <c r="S74" s="105">
        <v>36</v>
      </c>
      <c r="T74" s="106">
        <v>37</v>
      </c>
    </row>
    <row r="75" spans="1:20" x14ac:dyDescent="0.35">
      <c r="A75" s="103">
        <v>4</v>
      </c>
      <c r="B75" s="118"/>
      <c r="C75" s="105">
        <v>10</v>
      </c>
      <c r="D75" s="105">
        <v>16</v>
      </c>
      <c r="E75" s="105">
        <v>13</v>
      </c>
      <c r="F75" s="105">
        <v>16</v>
      </c>
      <c r="G75" s="105">
        <v>18</v>
      </c>
      <c r="H75" s="105">
        <v>24</v>
      </c>
      <c r="I75" s="105">
        <v>21</v>
      </c>
      <c r="J75" s="105">
        <v>24</v>
      </c>
      <c r="K75" s="105">
        <v>26</v>
      </c>
      <c r="L75" s="105">
        <v>32</v>
      </c>
      <c r="M75" s="105">
        <v>29</v>
      </c>
      <c r="N75" s="105">
        <v>32</v>
      </c>
      <c r="O75" s="105">
        <v>34</v>
      </c>
      <c r="P75" s="105">
        <v>40</v>
      </c>
      <c r="Q75" s="105">
        <v>37</v>
      </c>
      <c r="R75" s="105">
        <v>40</v>
      </c>
      <c r="S75" s="105">
        <v>41</v>
      </c>
      <c r="T75" s="106">
        <v>48</v>
      </c>
    </row>
    <row r="76" spans="1:20" x14ac:dyDescent="0.35">
      <c r="A76" s="103">
        <v>5</v>
      </c>
      <c r="B76" s="118"/>
      <c r="C76" s="105">
        <v>11</v>
      </c>
      <c r="D76" s="105">
        <v>13</v>
      </c>
      <c r="E76" s="105">
        <v>20</v>
      </c>
      <c r="F76" s="105">
        <v>19</v>
      </c>
      <c r="G76" s="105">
        <v>21</v>
      </c>
      <c r="H76" s="105">
        <v>23</v>
      </c>
      <c r="I76" s="105">
        <v>26</v>
      </c>
      <c r="J76" s="105">
        <v>30</v>
      </c>
      <c r="K76" s="105">
        <v>30</v>
      </c>
      <c r="L76" s="105">
        <v>32</v>
      </c>
      <c r="M76" s="105">
        <v>35</v>
      </c>
      <c r="N76" s="105">
        <v>37</v>
      </c>
      <c r="O76" s="105">
        <v>45</v>
      </c>
      <c r="P76" s="105">
        <v>41</v>
      </c>
      <c r="Q76" s="105">
        <v>44</v>
      </c>
      <c r="R76" s="105">
        <v>46</v>
      </c>
      <c r="S76" s="105">
        <v>47</v>
      </c>
      <c r="T76" s="106">
        <v>55</v>
      </c>
    </row>
    <row r="77" spans="1:20" x14ac:dyDescent="0.35">
      <c r="A77" s="103">
        <v>6</v>
      </c>
      <c r="B77" s="118"/>
      <c r="C77" s="105">
        <v>15</v>
      </c>
      <c r="D77" s="105">
        <v>16</v>
      </c>
      <c r="E77" s="105">
        <v>19</v>
      </c>
      <c r="F77" s="105">
        <v>24</v>
      </c>
      <c r="G77" s="105">
        <v>24</v>
      </c>
      <c r="H77" s="105">
        <v>26</v>
      </c>
      <c r="I77" s="105">
        <v>30</v>
      </c>
      <c r="J77" s="105">
        <v>32</v>
      </c>
      <c r="K77" s="105">
        <v>33</v>
      </c>
      <c r="L77" s="105">
        <v>42</v>
      </c>
      <c r="M77" s="105">
        <v>37</v>
      </c>
      <c r="N77" s="105">
        <v>42</v>
      </c>
      <c r="O77" s="105">
        <v>45</v>
      </c>
      <c r="P77" s="105">
        <v>48</v>
      </c>
      <c r="Q77" s="105">
        <v>49</v>
      </c>
      <c r="R77" s="105">
        <v>54</v>
      </c>
      <c r="S77" s="105">
        <v>54</v>
      </c>
      <c r="T77" s="106">
        <v>56</v>
      </c>
    </row>
    <row r="78" spans="1:20" x14ac:dyDescent="0.35">
      <c r="A78" s="103">
        <v>7</v>
      </c>
      <c r="B78" s="118"/>
      <c r="C78" s="105">
        <v>15</v>
      </c>
      <c r="D78" s="105">
        <v>18</v>
      </c>
      <c r="E78" s="105">
        <v>21</v>
      </c>
      <c r="F78" s="105">
        <v>24</v>
      </c>
      <c r="G78" s="105">
        <v>35</v>
      </c>
      <c r="H78" s="105">
        <v>28</v>
      </c>
      <c r="I78" s="105">
        <v>32</v>
      </c>
      <c r="J78" s="105">
        <v>34</v>
      </c>
      <c r="K78" s="105">
        <v>38</v>
      </c>
      <c r="L78" s="105">
        <v>40</v>
      </c>
      <c r="M78" s="105">
        <v>44</v>
      </c>
      <c r="N78" s="105">
        <v>49</v>
      </c>
      <c r="O78" s="105">
        <v>48</v>
      </c>
      <c r="P78" s="105">
        <v>51</v>
      </c>
      <c r="Q78" s="105">
        <v>54</v>
      </c>
      <c r="R78" s="105">
        <v>56</v>
      </c>
      <c r="S78" s="105">
        <v>59</v>
      </c>
      <c r="T78" s="106">
        <v>61</v>
      </c>
    </row>
    <row r="79" spans="1:20" x14ac:dyDescent="0.35">
      <c r="A79" s="103">
        <v>8</v>
      </c>
      <c r="B79" s="118"/>
      <c r="C79" s="105">
        <v>16</v>
      </c>
      <c r="D79" s="105">
        <v>24</v>
      </c>
      <c r="E79" s="105">
        <v>23</v>
      </c>
      <c r="F79" s="105">
        <v>26</v>
      </c>
      <c r="G79" s="105">
        <v>28</v>
      </c>
      <c r="H79" s="105">
        <v>40</v>
      </c>
      <c r="I79" s="105">
        <v>33</v>
      </c>
      <c r="J79" s="105">
        <v>40</v>
      </c>
      <c r="K79" s="105">
        <v>41</v>
      </c>
      <c r="L79" s="105">
        <v>48</v>
      </c>
      <c r="M79" s="105">
        <v>47</v>
      </c>
      <c r="N79" s="105">
        <v>50</v>
      </c>
      <c r="O79" s="105">
        <v>52</v>
      </c>
      <c r="P79" s="105">
        <v>64</v>
      </c>
      <c r="Q79" s="105">
        <v>57</v>
      </c>
      <c r="R79" s="105">
        <v>62</v>
      </c>
      <c r="S79" s="105">
        <v>64</v>
      </c>
      <c r="T79" s="106">
        <v>72</v>
      </c>
    </row>
    <row r="80" spans="1:20" x14ac:dyDescent="0.35">
      <c r="A80" s="103">
        <v>9</v>
      </c>
      <c r="B80" s="118"/>
      <c r="C80" s="105">
        <v>21</v>
      </c>
      <c r="D80" s="105">
        <v>21</v>
      </c>
      <c r="E80" s="105">
        <v>26</v>
      </c>
      <c r="F80" s="105">
        <v>30</v>
      </c>
      <c r="G80" s="105">
        <v>32</v>
      </c>
      <c r="H80" s="105">
        <v>33</v>
      </c>
      <c r="I80" s="105">
        <v>45</v>
      </c>
      <c r="J80" s="105">
        <v>43</v>
      </c>
      <c r="K80" s="105">
        <v>45</v>
      </c>
      <c r="L80" s="105">
        <v>51</v>
      </c>
      <c r="M80" s="105">
        <v>51</v>
      </c>
      <c r="N80" s="105">
        <v>54</v>
      </c>
      <c r="O80" s="105">
        <v>60</v>
      </c>
      <c r="P80" s="105">
        <v>61</v>
      </c>
      <c r="Q80" s="105">
        <v>65</v>
      </c>
      <c r="R80" s="105">
        <v>72</v>
      </c>
      <c r="S80" s="105">
        <v>70</v>
      </c>
      <c r="T80" s="106">
        <v>73</v>
      </c>
    </row>
    <row r="81" spans="1:20" x14ac:dyDescent="0.35">
      <c r="A81" s="103">
        <v>10</v>
      </c>
      <c r="B81" s="118"/>
      <c r="C81" s="105">
        <v>19</v>
      </c>
      <c r="D81" s="105">
        <v>24</v>
      </c>
      <c r="E81" s="105">
        <v>30</v>
      </c>
      <c r="F81" s="105">
        <v>32</v>
      </c>
      <c r="G81" s="105">
        <v>34</v>
      </c>
      <c r="H81" s="105">
        <v>40</v>
      </c>
      <c r="I81" s="105">
        <v>43</v>
      </c>
      <c r="J81" s="105">
        <v>50</v>
      </c>
      <c r="K81" s="105">
        <v>48</v>
      </c>
      <c r="L81" s="105">
        <v>52</v>
      </c>
      <c r="M81" s="105">
        <v>55</v>
      </c>
      <c r="N81" s="105">
        <v>60</v>
      </c>
      <c r="O81" s="105">
        <v>65</v>
      </c>
      <c r="P81" s="105">
        <v>66</v>
      </c>
      <c r="Q81" s="105">
        <v>69</v>
      </c>
      <c r="R81" s="105">
        <v>72</v>
      </c>
      <c r="S81" s="105">
        <v>74</v>
      </c>
      <c r="T81" s="106">
        <v>90</v>
      </c>
    </row>
    <row r="82" spans="1:20" x14ac:dyDescent="0.35">
      <c r="A82" s="103">
        <v>11</v>
      </c>
      <c r="B82" s="118"/>
      <c r="C82" s="105">
        <v>22</v>
      </c>
      <c r="D82" s="105">
        <v>26</v>
      </c>
      <c r="E82" s="105">
        <v>30</v>
      </c>
      <c r="F82" s="105">
        <v>33</v>
      </c>
      <c r="G82" s="105">
        <v>38</v>
      </c>
      <c r="H82" s="105">
        <v>41</v>
      </c>
      <c r="I82" s="105">
        <v>45</v>
      </c>
      <c r="J82" s="105">
        <v>48</v>
      </c>
      <c r="K82" s="105">
        <v>66</v>
      </c>
      <c r="L82" s="105">
        <v>54</v>
      </c>
      <c r="M82" s="105">
        <v>59</v>
      </c>
      <c r="N82" s="105">
        <v>63</v>
      </c>
      <c r="O82" s="105">
        <v>66</v>
      </c>
      <c r="P82" s="105">
        <v>69</v>
      </c>
      <c r="Q82" s="105">
        <v>72</v>
      </c>
      <c r="R82" s="105">
        <v>76</v>
      </c>
      <c r="S82" s="105">
        <v>79</v>
      </c>
      <c r="T82" s="106">
        <v>84</v>
      </c>
    </row>
    <row r="83" spans="1:20" x14ac:dyDescent="0.35">
      <c r="A83" s="103">
        <v>12</v>
      </c>
      <c r="B83" s="118"/>
      <c r="C83" s="105">
        <v>24</v>
      </c>
      <c r="D83" s="105">
        <v>32</v>
      </c>
      <c r="E83" s="105">
        <v>32</v>
      </c>
      <c r="F83" s="105">
        <v>42</v>
      </c>
      <c r="G83" s="105">
        <v>40</v>
      </c>
      <c r="H83" s="105">
        <v>48</v>
      </c>
      <c r="I83" s="105">
        <v>51</v>
      </c>
      <c r="J83" s="105">
        <v>52</v>
      </c>
      <c r="K83" s="105">
        <v>54</v>
      </c>
      <c r="L83" s="105">
        <v>72</v>
      </c>
      <c r="M83" s="105">
        <v>61</v>
      </c>
      <c r="N83" s="105">
        <v>68</v>
      </c>
      <c r="O83" s="105">
        <v>72</v>
      </c>
      <c r="P83" s="105">
        <v>76</v>
      </c>
      <c r="Q83" s="105">
        <v>77</v>
      </c>
      <c r="R83" s="105">
        <v>84</v>
      </c>
      <c r="S83" s="105">
        <v>85</v>
      </c>
      <c r="T83" s="106">
        <v>92</v>
      </c>
    </row>
    <row r="84" spans="1:20" x14ac:dyDescent="0.35">
      <c r="A84" s="103">
        <v>13</v>
      </c>
      <c r="B84" s="118"/>
      <c r="C84" s="105">
        <v>25</v>
      </c>
      <c r="D84" s="105">
        <v>29</v>
      </c>
      <c r="E84" s="105">
        <v>35</v>
      </c>
      <c r="F84" s="105">
        <v>37</v>
      </c>
      <c r="G84" s="105">
        <v>44</v>
      </c>
      <c r="H84" s="105">
        <v>47</v>
      </c>
      <c r="I84" s="105">
        <v>51</v>
      </c>
      <c r="J84" s="105">
        <v>55</v>
      </c>
      <c r="K84" s="105">
        <v>59</v>
      </c>
      <c r="L84" s="105">
        <v>61</v>
      </c>
      <c r="M84" s="105">
        <v>78</v>
      </c>
      <c r="N84" s="105">
        <v>72</v>
      </c>
      <c r="O84" s="105">
        <v>75</v>
      </c>
      <c r="P84" s="105">
        <v>79</v>
      </c>
      <c r="Q84" s="105">
        <v>81</v>
      </c>
      <c r="R84" s="105">
        <v>87</v>
      </c>
      <c r="S84" s="105">
        <v>89</v>
      </c>
      <c r="T84" s="106">
        <v>95</v>
      </c>
    </row>
    <row r="85" spans="1:20" x14ac:dyDescent="0.35">
      <c r="A85" s="103">
        <v>14</v>
      </c>
      <c r="B85" s="118"/>
      <c r="C85" s="105">
        <v>26</v>
      </c>
      <c r="D85" s="105">
        <v>32</v>
      </c>
      <c r="E85" s="105">
        <v>37</v>
      </c>
      <c r="F85" s="105">
        <v>42</v>
      </c>
      <c r="G85" s="105">
        <v>49</v>
      </c>
      <c r="H85" s="105">
        <v>50</v>
      </c>
      <c r="I85" s="105">
        <v>54</v>
      </c>
      <c r="J85" s="105">
        <v>60</v>
      </c>
      <c r="K85" s="105">
        <v>63</v>
      </c>
      <c r="L85" s="105">
        <v>68</v>
      </c>
      <c r="M85" s="105">
        <v>72</v>
      </c>
      <c r="N85" s="105">
        <v>84</v>
      </c>
      <c r="O85" s="105">
        <v>80</v>
      </c>
      <c r="P85" s="105">
        <v>84</v>
      </c>
      <c r="Q85" s="105">
        <v>87</v>
      </c>
      <c r="R85" s="105">
        <v>92</v>
      </c>
      <c r="S85" s="105">
        <v>94</v>
      </c>
      <c r="T85" s="106">
        <v>100</v>
      </c>
    </row>
    <row r="86" spans="1:20" x14ac:dyDescent="0.35">
      <c r="A86" s="103">
        <v>15</v>
      </c>
      <c r="B86" s="120"/>
      <c r="C86" s="113">
        <v>30</v>
      </c>
      <c r="D86" s="113">
        <v>34</v>
      </c>
      <c r="E86" s="113">
        <v>45</v>
      </c>
      <c r="F86" s="113">
        <v>45</v>
      </c>
      <c r="G86" s="113">
        <v>48</v>
      </c>
      <c r="H86" s="113">
        <v>52</v>
      </c>
      <c r="I86" s="113">
        <v>60</v>
      </c>
      <c r="J86" s="113">
        <v>65</v>
      </c>
      <c r="K86" s="113">
        <v>66</v>
      </c>
      <c r="L86" s="113">
        <v>72</v>
      </c>
      <c r="M86" s="113">
        <v>75</v>
      </c>
      <c r="N86" s="113">
        <v>80</v>
      </c>
      <c r="O86" s="113">
        <v>90</v>
      </c>
      <c r="P86" s="113">
        <v>87</v>
      </c>
      <c r="Q86" s="113">
        <v>91</v>
      </c>
      <c r="R86" s="113">
        <v>99</v>
      </c>
      <c r="S86" s="113">
        <v>100</v>
      </c>
      <c r="T86" s="114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17"/>
  <dimension ref="A1:F28"/>
  <sheetViews>
    <sheetView workbookViewId="0"/>
  </sheetViews>
  <sheetFormatPr defaultColWidth="9.1796875" defaultRowHeight="14.5" x14ac:dyDescent="0.35"/>
  <cols>
    <col min="1" max="1" width="9.1796875" style="13"/>
    <col min="2" max="3" width="9.1796875" style="21"/>
    <col min="4" max="4" width="9.1796875" style="21" customWidth="1"/>
    <col min="5" max="16384" width="9.1796875" style="21"/>
  </cols>
  <sheetData>
    <row r="1" spans="1:6" x14ac:dyDescent="0.35">
      <c r="A1" s="81" t="s">
        <v>146</v>
      </c>
    </row>
    <row r="3" spans="1:6" ht="27" x14ac:dyDescent="0.55000000000000004">
      <c r="A3" s="86" t="s">
        <v>68</v>
      </c>
      <c r="B3" s="83">
        <v>0.01</v>
      </c>
      <c r="C3" s="83">
        <v>0.05</v>
      </c>
      <c r="D3" s="83">
        <v>0.1</v>
      </c>
      <c r="E3" s="83">
        <v>0.15</v>
      </c>
      <c r="F3" s="83">
        <v>0.2</v>
      </c>
    </row>
    <row r="4" spans="1:6" x14ac:dyDescent="0.35">
      <c r="A4" s="87">
        <v>4</v>
      </c>
      <c r="B4" s="51">
        <v>0.41699999999999998</v>
      </c>
      <c r="C4" s="51">
        <v>0.38100000000000001</v>
      </c>
      <c r="D4" s="51">
        <v>0.35199999999999998</v>
      </c>
      <c r="E4" s="51">
        <v>0.31900000000000001</v>
      </c>
      <c r="F4" s="51">
        <v>0.3</v>
      </c>
    </row>
    <row r="5" spans="1:6" x14ac:dyDescent="0.35">
      <c r="A5" s="87">
        <v>5</v>
      </c>
      <c r="B5" s="51">
        <v>0.40500000000000003</v>
      </c>
      <c r="C5" s="51">
        <v>0.33700000000000002</v>
      </c>
      <c r="D5" s="51">
        <v>0.315</v>
      </c>
      <c r="E5" s="51">
        <v>0.29899999999999999</v>
      </c>
      <c r="F5" s="51">
        <v>0.28499999999999998</v>
      </c>
    </row>
    <row r="6" spans="1:6" x14ac:dyDescent="0.35">
      <c r="A6" s="87">
        <v>6</v>
      </c>
      <c r="B6" s="51">
        <v>0.36399999999999999</v>
      </c>
      <c r="C6" s="51">
        <v>0.31900000000000001</v>
      </c>
      <c r="D6" s="51">
        <v>0.29399999999999998</v>
      </c>
      <c r="E6" s="51">
        <v>0.27700000000000002</v>
      </c>
      <c r="F6" s="51">
        <v>0.26500000000000001</v>
      </c>
    </row>
    <row r="7" spans="1:6" x14ac:dyDescent="0.35">
      <c r="A7" s="87">
        <v>7</v>
      </c>
      <c r="B7" s="51">
        <v>0.34799999999999998</v>
      </c>
      <c r="C7" s="51">
        <v>0.3</v>
      </c>
      <c r="D7" s="51">
        <v>0.27600000000000002</v>
      </c>
      <c r="E7" s="51">
        <v>0.25800000000000001</v>
      </c>
      <c r="F7" s="51">
        <v>0.247</v>
      </c>
    </row>
    <row r="8" spans="1:6" x14ac:dyDescent="0.35">
      <c r="A8" s="87">
        <v>8</v>
      </c>
      <c r="B8" s="51">
        <v>0.33100000000000002</v>
      </c>
      <c r="C8" s="51">
        <v>0.28499999999999998</v>
      </c>
      <c r="D8" s="51">
        <v>0.26100000000000001</v>
      </c>
      <c r="E8" s="51">
        <v>0.24399999999999999</v>
      </c>
      <c r="F8" s="51">
        <v>0.23300000000000001</v>
      </c>
    </row>
    <row r="9" spans="1:6" x14ac:dyDescent="0.35">
      <c r="A9" s="87">
        <v>9</v>
      </c>
      <c r="B9" s="51">
        <v>0.311</v>
      </c>
      <c r="C9" s="51">
        <v>0.27100000000000002</v>
      </c>
      <c r="D9" s="51">
        <v>0.249</v>
      </c>
      <c r="E9" s="51">
        <v>0.23300000000000001</v>
      </c>
      <c r="F9" s="51">
        <v>0.223</v>
      </c>
    </row>
    <row r="10" spans="1:6" x14ac:dyDescent="0.35">
      <c r="A10" s="87">
        <v>10</v>
      </c>
      <c r="B10" s="51">
        <v>0.29399999999999998</v>
      </c>
      <c r="C10" s="51">
        <v>0.25800000000000001</v>
      </c>
      <c r="D10" s="51">
        <v>0.23899999999999999</v>
      </c>
      <c r="E10" s="51">
        <v>0.224</v>
      </c>
      <c r="F10" s="51">
        <v>0.215</v>
      </c>
    </row>
    <row r="11" spans="1:6" x14ac:dyDescent="0.35">
      <c r="A11" s="87">
        <v>11</v>
      </c>
      <c r="B11" s="51">
        <v>0.28399999999999997</v>
      </c>
      <c r="C11" s="51">
        <v>0.249</v>
      </c>
      <c r="D11" s="51">
        <v>0.23</v>
      </c>
      <c r="E11" s="51">
        <v>0.217</v>
      </c>
      <c r="F11" s="51">
        <v>0.20599999999999999</v>
      </c>
    </row>
    <row r="12" spans="1:6" x14ac:dyDescent="0.35">
      <c r="A12" s="87">
        <v>12</v>
      </c>
      <c r="B12" s="51">
        <v>0.27500000000000002</v>
      </c>
      <c r="C12" s="51">
        <v>0.24199999999999999</v>
      </c>
      <c r="D12" s="51">
        <v>0.223</v>
      </c>
      <c r="E12" s="51">
        <v>0.21199999999999999</v>
      </c>
      <c r="F12" s="51">
        <v>0.19900000000000001</v>
      </c>
    </row>
    <row r="13" spans="1:6" x14ac:dyDescent="0.35">
      <c r="A13" s="87">
        <v>13</v>
      </c>
      <c r="B13" s="51">
        <v>0.26800000000000002</v>
      </c>
      <c r="C13" s="51">
        <v>0.23400000000000001</v>
      </c>
      <c r="D13" s="51">
        <v>0.214</v>
      </c>
      <c r="E13" s="51">
        <v>0.20200000000000001</v>
      </c>
      <c r="F13" s="51">
        <v>0.19</v>
      </c>
    </row>
    <row r="14" spans="1:6" x14ac:dyDescent="0.35">
      <c r="A14" s="87">
        <v>14</v>
      </c>
      <c r="B14" s="51">
        <v>0.26100000000000001</v>
      </c>
      <c r="C14" s="51">
        <v>0.22700000000000001</v>
      </c>
      <c r="D14" s="51">
        <v>0.20699999999999999</v>
      </c>
      <c r="E14" s="51">
        <v>0.19400000000000001</v>
      </c>
      <c r="F14" s="51">
        <v>0.183</v>
      </c>
    </row>
    <row r="15" spans="1:6" x14ac:dyDescent="0.35">
      <c r="A15" s="87">
        <v>15</v>
      </c>
      <c r="B15" s="51">
        <v>0.25700000000000001</v>
      </c>
      <c r="C15" s="51">
        <v>0.22</v>
      </c>
      <c r="D15" s="51">
        <v>0.20100000000000001</v>
      </c>
      <c r="E15" s="51">
        <v>0.187</v>
      </c>
      <c r="F15" s="51">
        <v>0.17699999999999999</v>
      </c>
    </row>
    <row r="16" spans="1:6" x14ac:dyDescent="0.35">
      <c r="A16" s="87">
        <v>16</v>
      </c>
      <c r="B16" s="51">
        <v>0.25</v>
      </c>
      <c r="C16" s="51">
        <v>0.21299999999999999</v>
      </c>
      <c r="D16" s="51">
        <v>0.19500000000000001</v>
      </c>
      <c r="E16" s="51">
        <v>0.182</v>
      </c>
      <c r="F16" s="51">
        <v>0.17299999999999999</v>
      </c>
    </row>
    <row r="17" spans="1:6" ht="15" customHeight="1" x14ac:dyDescent="0.35">
      <c r="A17" s="87">
        <v>17</v>
      </c>
      <c r="B17" s="51">
        <v>0.245</v>
      </c>
      <c r="C17" s="51">
        <v>0.20599999999999999</v>
      </c>
      <c r="D17" s="51">
        <v>0.189</v>
      </c>
      <c r="E17" s="51">
        <v>0.17699999999999999</v>
      </c>
      <c r="F17" s="51">
        <v>0.16900000000000001</v>
      </c>
    </row>
    <row r="18" spans="1:6" ht="15" customHeight="1" x14ac:dyDescent="0.35">
      <c r="A18" s="87">
        <v>18</v>
      </c>
      <c r="B18" s="51">
        <v>0.23899999999999999</v>
      </c>
      <c r="C18" s="51">
        <v>0.2</v>
      </c>
      <c r="D18" s="51">
        <v>0.184</v>
      </c>
      <c r="E18" s="51">
        <v>0.17299999999999999</v>
      </c>
      <c r="F18" s="51">
        <v>0.16600000000000001</v>
      </c>
    </row>
    <row r="19" spans="1:6" ht="15" customHeight="1" x14ac:dyDescent="0.35">
      <c r="A19" s="87">
        <v>19</v>
      </c>
      <c r="B19" s="51">
        <v>0.23499999999999999</v>
      </c>
      <c r="C19" s="51">
        <v>0.19500000000000001</v>
      </c>
      <c r="D19" s="51">
        <v>0.17899999999999999</v>
      </c>
      <c r="E19" s="51">
        <v>0.16900000000000001</v>
      </c>
      <c r="F19" s="51">
        <v>0.16300000000000001</v>
      </c>
    </row>
    <row r="20" spans="1:6" ht="15" customHeight="1" x14ac:dyDescent="0.35">
      <c r="A20" s="87">
        <v>20</v>
      </c>
      <c r="B20" s="51">
        <v>0.23100000000000001</v>
      </c>
      <c r="C20" s="51">
        <v>0.19</v>
      </c>
      <c r="D20" s="51">
        <v>0.17399999999999999</v>
      </c>
      <c r="E20" s="51">
        <v>0.16600000000000001</v>
      </c>
      <c r="F20" s="51">
        <v>0.16</v>
      </c>
    </row>
    <row r="21" spans="1:6" x14ac:dyDescent="0.35">
      <c r="A21" s="87">
        <v>25</v>
      </c>
      <c r="B21" s="51">
        <v>0.20300000000000001</v>
      </c>
      <c r="C21" s="51">
        <v>0.18</v>
      </c>
      <c r="D21" s="51">
        <v>0.16500000000000001</v>
      </c>
      <c r="E21" s="51">
        <v>0.153</v>
      </c>
      <c r="F21" s="51">
        <v>0.14899999999999999</v>
      </c>
    </row>
    <row r="22" spans="1:6" x14ac:dyDescent="0.35">
      <c r="A22" s="87">
        <v>30</v>
      </c>
      <c r="B22" s="51">
        <v>0.187</v>
      </c>
      <c r="C22" s="51">
        <v>0.161</v>
      </c>
      <c r="D22" s="51">
        <v>0.14399999999999999</v>
      </c>
      <c r="E22" s="51">
        <v>0.13600000000000001</v>
      </c>
      <c r="F22" s="51">
        <v>0.13100000000000001</v>
      </c>
    </row>
    <row r="23" spans="1:6" x14ac:dyDescent="0.35">
      <c r="A23" s="203" t="s">
        <v>144</v>
      </c>
      <c r="B23" s="51">
        <v>1.0309999999999999</v>
      </c>
      <c r="C23" s="51">
        <v>0.88600000000000001</v>
      </c>
      <c r="D23" s="51">
        <v>0.80500000000000005</v>
      </c>
      <c r="E23" s="51">
        <v>0.76800000000000002</v>
      </c>
      <c r="F23" s="51">
        <v>0.73599999999999999</v>
      </c>
    </row>
    <row r="24" spans="1:6" ht="6" customHeight="1" x14ac:dyDescent="0.35">
      <c r="A24" s="204"/>
      <c r="B24" s="84" t="s">
        <v>69</v>
      </c>
      <c r="C24" s="84" t="s">
        <v>69</v>
      </c>
      <c r="D24" s="84" t="s">
        <v>69</v>
      </c>
      <c r="E24" s="84" t="s">
        <v>70</v>
      </c>
      <c r="F24" s="84" t="s">
        <v>71</v>
      </c>
    </row>
    <row r="25" spans="1:6" x14ac:dyDescent="0.35">
      <c r="A25" s="205"/>
      <c r="B25" s="85" t="s">
        <v>102</v>
      </c>
      <c r="C25" s="85" t="s">
        <v>102</v>
      </c>
      <c r="D25" s="85" t="s">
        <v>102</v>
      </c>
      <c r="E25" s="85" t="s">
        <v>102</v>
      </c>
      <c r="F25" s="85" t="s">
        <v>102</v>
      </c>
    </row>
    <row r="27" spans="1:6" x14ac:dyDescent="0.35">
      <c r="A27" s="206" t="s">
        <v>103</v>
      </c>
      <c r="B27" s="206"/>
      <c r="C27" s="206"/>
      <c r="D27" s="206"/>
      <c r="E27" s="206"/>
      <c r="F27" s="206"/>
    </row>
    <row r="28" spans="1:6" x14ac:dyDescent="0.35">
      <c r="A28" s="13" t="s">
        <v>104</v>
      </c>
    </row>
  </sheetData>
  <mergeCells count="2">
    <mergeCell ref="A23:A25"/>
    <mergeCell ref="A27:F27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418"/>
  <dimension ref="A1:F56"/>
  <sheetViews>
    <sheetView workbookViewId="0"/>
  </sheetViews>
  <sheetFormatPr defaultColWidth="9.1796875" defaultRowHeight="14.5" x14ac:dyDescent="0.35"/>
  <cols>
    <col min="1" max="1" width="9.1796875" style="13"/>
    <col min="2" max="3" width="9.1796875" style="21"/>
    <col min="4" max="4" width="9.1796875" style="21" customWidth="1"/>
    <col min="5" max="16384" width="9.1796875" style="21"/>
  </cols>
  <sheetData>
    <row r="1" spans="1:6" x14ac:dyDescent="0.35">
      <c r="A1" s="81" t="s">
        <v>143</v>
      </c>
    </row>
    <row r="3" spans="1:6" ht="27" x14ac:dyDescent="0.55000000000000004">
      <c r="A3" s="86" t="s">
        <v>68</v>
      </c>
      <c r="B3" s="83">
        <v>0.01</v>
      </c>
      <c r="C3" s="83">
        <v>0.05</v>
      </c>
      <c r="D3" s="83">
        <v>0.1</v>
      </c>
      <c r="E3" s="83">
        <v>0.15</v>
      </c>
      <c r="F3" s="83">
        <v>0.2</v>
      </c>
    </row>
    <row r="4" spans="1:6" x14ac:dyDescent="0.35">
      <c r="A4" s="87">
        <v>4</v>
      </c>
      <c r="B4" s="88">
        <v>0.41289999999999999</v>
      </c>
      <c r="C4" s="88">
        <v>0.37540000000000001</v>
      </c>
      <c r="D4" s="88">
        <v>0.34560000000000002</v>
      </c>
      <c r="E4" s="88">
        <v>0.3216</v>
      </c>
      <c r="F4" s="88">
        <v>0.30270000000000002</v>
      </c>
    </row>
    <row r="5" spans="1:6" x14ac:dyDescent="0.35">
      <c r="A5" s="87">
        <v>5</v>
      </c>
      <c r="B5" s="88">
        <v>0.39589999999999997</v>
      </c>
      <c r="C5" s="88">
        <v>0.3427</v>
      </c>
      <c r="D5" s="88">
        <v>0.31879999999999997</v>
      </c>
      <c r="E5" s="88">
        <v>0.30270000000000002</v>
      </c>
      <c r="F5" s="88">
        <v>0.2893</v>
      </c>
    </row>
    <row r="6" spans="1:6" x14ac:dyDescent="0.35">
      <c r="A6" s="87">
        <v>6</v>
      </c>
      <c r="B6" s="88">
        <v>0.37280000000000002</v>
      </c>
      <c r="C6" s="88">
        <v>0.32450000000000001</v>
      </c>
      <c r="D6" s="88">
        <v>0.29820000000000002</v>
      </c>
      <c r="E6" s="88">
        <v>0.28160000000000002</v>
      </c>
      <c r="F6" s="88">
        <v>0.26939999999999997</v>
      </c>
    </row>
    <row r="7" spans="1:6" x14ac:dyDescent="0.35">
      <c r="A7" s="87">
        <v>7</v>
      </c>
      <c r="B7" s="88">
        <v>0.35039999999999999</v>
      </c>
      <c r="C7" s="88">
        <v>0.30409999999999998</v>
      </c>
      <c r="D7" s="88">
        <v>0.2802</v>
      </c>
      <c r="E7" s="88">
        <v>0.2641</v>
      </c>
      <c r="F7" s="88">
        <v>0.25209999999999999</v>
      </c>
    </row>
    <row r="8" spans="1:6" x14ac:dyDescent="0.35">
      <c r="A8" s="87">
        <v>8</v>
      </c>
      <c r="B8" s="88">
        <v>0.33310000000000001</v>
      </c>
      <c r="C8" s="88">
        <v>0.28749999999999998</v>
      </c>
      <c r="D8" s="88">
        <v>0.26490000000000002</v>
      </c>
      <c r="E8" s="88">
        <v>0.25019999999999998</v>
      </c>
      <c r="F8" s="88">
        <v>0.2387</v>
      </c>
    </row>
    <row r="9" spans="1:6" x14ac:dyDescent="0.35">
      <c r="A9" s="87">
        <v>9</v>
      </c>
      <c r="B9" s="88">
        <v>0.31619999999999998</v>
      </c>
      <c r="C9" s="88">
        <v>0.27439999999999998</v>
      </c>
      <c r="D9" s="88">
        <v>0.25219999999999998</v>
      </c>
      <c r="E9" s="88">
        <v>0.2382</v>
      </c>
      <c r="F9" s="88">
        <v>0.2273</v>
      </c>
    </row>
    <row r="10" spans="1:6" x14ac:dyDescent="0.35">
      <c r="A10" s="87">
        <v>10</v>
      </c>
      <c r="B10" s="88">
        <v>0.30370000000000003</v>
      </c>
      <c r="C10" s="88">
        <v>0.2616</v>
      </c>
      <c r="D10" s="88">
        <v>0.24099999999999999</v>
      </c>
      <c r="E10" s="88">
        <v>0.2273</v>
      </c>
      <c r="F10" s="88">
        <v>0.21709999999999999</v>
      </c>
    </row>
    <row r="11" spans="1:6" x14ac:dyDescent="0.35">
      <c r="A11" s="87">
        <v>11</v>
      </c>
      <c r="B11" s="88">
        <v>0.29049999999999998</v>
      </c>
      <c r="C11" s="88">
        <v>0.25059999999999999</v>
      </c>
      <c r="D11" s="88">
        <v>0.2306</v>
      </c>
      <c r="E11" s="88">
        <v>0.21790000000000001</v>
      </c>
      <c r="F11" s="88">
        <v>0.20799999999999999</v>
      </c>
    </row>
    <row r="12" spans="1:6" x14ac:dyDescent="0.35">
      <c r="A12" s="87">
        <v>12</v>
      </c>
      <c r="B12" s="88">
        <v>0.28120000000000001</v>
      </c>
      <c r="C12" s="88">
        <v>0.24260000000000001</v>
      </c>
      <c r="D12" s="88">
        <v>0.2228</v>
      </c>
      <c r="E12" s="88">
        <v>0.21010000000000001</v>
      </c>
      <c r="F12" s="88">
        <v>0.20039999999999999</v>
      </c>
    </row>
    <row r="13" spans="1:6" x14ac:dyDescent="0.35">
      <c r="A13" s="87">
        <v>13</v>
      </c>
      <c r="B13" s="88">
        <v>0.27139999999999997</v>
      </c>
      <c r="C13" s="88">
        <v>0.23369999999999999</v>
      </c>
      <c r="D13" s="88">
        <v>0.2147</v>
      </c>
      <c r="E13" s="88">
        <v>0.20250000000000001</v>
      </c>
      <c r="F13" s="88">
        <v>0.19320000000000001</v>
      </c>
    </row>
    <row r="14" spans="1:6" x14ac:dyDescent="0.35">
      <c r="A14" s="87">
        <v>14</v>
      </c>
      <c r="B14" s="88">
        <v>0.26269999999999999</v>
      </c>
      <c r="C14" s="88">
        <v>0.22570000000000001</v>
      </c>
      <c r="D14" s="88">
        <v>0.2077</v>
      </c>
      <c r="E14" s="88">
        <v>0.19589999999999999</v>
      </c>
      <c r="F14" s="88">
        <v>0.18690000000000001</v>
      </c>
    </row>
    <row r="15" spans="1:6" x14ac:dyDescent="0.35">
      <c r="A15" s="87">
        <v>15</v>
      </c>
      <c r="B15" s="88">
        <v>0.2545</v>
      </c>
      <c r="C15" s="88">
        <v>0.21959999999999999</v>
      </c>
      <c r="D15" s="88">
        <v>0.2016</v>
      </c>
      <c r="E15" s="88">
        <v>0.18990000000000001</v>
      </c>
      <c r="F15" s="88">
        <v>0.18110000000000001</v>
      </c>
    </row>
    <row r="16" spans="1:6" x14ac:dyDescent="0.35">
      <c r="A16" s="87">
        <v>16</v>
      </c>
      <c r="B16" s="88">
        <v>0.2477</v>
      </c>
      <c r="C16" s="88">
        <v>0.21279999999999999</v>
      </c>
      <c r="D16" s="88">
        <v>0.1956</v>
      </c>
      <c r="E16" s="88">
        <v>0.18429999999999999</v>
      </c>
      <c r="F16" s="88">
        <v>0.17580000000000001</v>
      </c>
    </row>
    <row r="17" spans="1:6" ht="15" customHeight="1" x14ac:dyDescent="0.35">
      <c r="A17" s="87">
        <v>17</v>
      </c>
      <c r="B17" s="88">
        <v>0.24079999999999999</v>
      </c>
      <c r="C17" s="88">
        <v>0.20710000000000001</v>
      </c>
      <c r="D17" s="88">
        <v>0.19020000000000001</v>
      </c>
      <c r="E17" s="88">
        <v>0.1794</v>
      </c>
      <c r="F17" s="88">
        <v>0.1711</v>
      </c>
    </row>
    <row r="18" spans="1:6" ht="15" customHeight="1" x14ac:dyDescent="0.35">
      <c r="A18" s="87">
        <v>18</v>
      </c>
      <c r="B18" s="88">
        <v>0.23449999999999999</v>
      </c>
      <c r="C18" s="88">
        <v>0.20180000000000001</v>
      </c>
      <c r="D18" s="88">
        <v>0.1852</v>
      </c>
      <c r="E18" s="88">
        <v>0.17469999999999999</v>
      </c>
      <c r="F18" s="88">
        <v>0.1666</v>
      </c>
    </row>
    <row r="19" spans="1:6" ht="15" customHeight="1" x14ac:dyDescent="0.35">
      <c r="A19" s="87">
        <v>19</v>
      </c>
      <c r="B19" s="88">
        <v>0.22850000000000001</v>
      </c>
      <c r="C19" s="88">
        <v>0.19650000000000001</v>
      </c>
      <c r="D19" s="88">
        <v>0.18029999999999999</v>
      </c>
      <c r="E19" s="88">
        <v>0.17</v>
      </c>
      <c r="F19" s="88">
        <v>0.16239999999999999</v>
      </c>
    </row>
    <row r="20" spans="1:6" ht="15" customHeight="1" x14ac:dyDescent="0.35">
      <c r="A20" s="87">
        <v>20</v>
      </c>
      <c r="B20" s="88">
        <v>0.22259999999999999</v>
      </c>
      <c r="C20" s="88">
        <v>0.192</v>
      </c>
      <c r="D20" s="88">
        <v>0.1764</v>
      </c>
      <c r="E20" s="88">
        <v>0.1666</v>
      </c>
      <c r="F20" s="88">
        <v>0.15890000000000001</v>
      </c>
    </row>
    <row r="21" spans="1:6" ht="15" customHeight="1" x14ac:dyDescent="0.35">
      <c r="A21" s="87">
        <v>21</v>
      </c>
      <c r="B21" s="88">
        <v>0.219</v>
      </c>
      <c r="C21" s="88">
        <v>0.18809999999999999</v>
      </c>
      <c r="D21" s="88">
        <v>0.1726</v>
      </c>
      <c r="E21" s="88">
        <v>0.16289999999999999</v>
      </c>
      <c r="F21" s="88">
        <v>0.15529999999999999</v>
      </c>
    </row>
    <row r="22" spans="1:6" ht="15" customHeight="1" x14ac:dyDescent="0.35">
      <c r="A22" s="87">
        <v>22</v>
      </c>
      <c r="B22" s="88">
        <v>0.21410000000000001</v>
      </c>
      <c r="C22" s="88">
        <v>0.184</v>
      </c>
      <c r="D22" s="88">
        <v>0.16900000000000001</v>
      </c>
      <c r="E22" s="88">
        <v>0.15920000000000001</v>
      </c>
      <c r="F22" s="88">
        <v>0.1517</v>
      </c>
    </row>
    <row r="23" spans="1:6" ht="15" customHeight="1" x14ac:dyDescent="0.35">
      <c r="A23" s="87">
        <v>23</v>
      </c>
      <c r="B23" s="88">
        <v>0.20899999999999999</v>
      </c>
      <c r="C23" s="88">
        <v>0.17979999999999999</v>
      </c>
      <c r="D23" s="88">
        <v>0.16500000000000001</v>
      </c>
      <c r="E23" s="88">
        <v>0.1555</v>
      </c>
      <c r="F23" s="88">
        <v>0.1484</v>
      </c>
    </row>
    <row r="24" spans="1:6" ht="15" customHeight="1" x14ac:dyDescent="0.35">
      <c r="A24" s="87">
        <v>24</v>
      </c>
      <c r="B24" s="88">
        <v>0.20530000000000001</v>
      </c>
      <c r="C24" s="88">
        <v>0.17660000000000001</v>
      </c>
      <c r="D24" s="88">
        <v>0.16189999999999999</v>
      </c>
      <c r="E24" s="88">
        <v>0.1527</v>
      </c>
      <c r="F24" s="88">
        <v>0.14580000000000001</v>
      </c>
    </row>
    <row r="25" spans="1:6" ht="15" customHeight="1" x14ac:dyDescent="0.35">
      <c r="A25" s="87">
        <v>25</v>
      </c>
      <c r="B25" s="88">
        <v>0.20100000000000001</v>
      </c>
      <c r="C25" s="88">
        <v>0.1726</v>
      </c>
      <c r="D25" s="88">
        <v>0.15890000000000001</v>
      </c>
      <c r="E25" s="88">
        <v>0.14979999999999999</v>
      </c>
      <c r="F25" s="88">
        <v>0.1429</v>
      </c>
    </row>
    <row r="26" spans="1:6" ht="15" customHeight="1" x14ac:dyDescent="0.35">
      <c r="A26" s="87">
        <v>26</v>
      </c>
      <c r="B26" s="88">
        <v>0.19850000000000001</v>
      </c>
      <c r="C26" s="88">
        <v>0.1699</v>
      </c>
      <c r="D26" s="88">
        <v>0.15620000000000001</v>
      </c>
      <c r="E26" s="88">
        <v>0.1472</v>
      </c>
      <c r="F26" s="88">
        <v>0.1406</v>
      </c>
    </row>
    <row r="27" spans="1:6" ht="15" customHeight="1" x14ac:dyDescent="0.35">
      <c r="A27" s="87">
        <v>27</v>
      </c>
      <c r="B27" s="88">
        <v>0.19409999999999999</v>
      </c>
      <c r="C27" s="88">
        <v>0.16650000000000001</v>
      </c>
      <c r="D27" s="88">
        <v>0.15329999999999999</v>
      </c>
      <c r="E27" s="88">
        <v>0.14480000000000001</v>
      </c>
      <c r="F27" s="88">
        <v>0.1381</v>
      </c>
    </row>
    <row r="28" spans="1:6" ht="15" customHeight="1" x14ac:dyDescent="0.35">
      <c r="A28" s="87">
        <v>28</v>
      </c>
      <c r="B28" s="88">
        <v>0.19109999999999999</v>
      </c>
      <c r="C28" s="88">
        <v>0.1641</v>
      </c>
      <c r="D28" s="88">
        <v>0.15090000000000001</v>
      </c>
      <c r="E28" s="88">
        <v>0.14230000000000001</v>
      </c>
      <c r="F28" s="88">
        <v>0.1358</v>
      </c>
    </row>
    <row r="29" spans="1:6" ht="15" customHeight="1" x14ac:dyDescent="0.35">
      <c r="A29" s="87">
        <v>29</v>
      </c>
      <c r="B29" s="88">
        <v>0.18859999999999999</v>
      </c>
      <c r="C29" s="88">
        <v>0.16139999999999999</v>
      </c>
      <c r="D29" s="88">
        <v>0.14829999999999999</v>
      </c>
      <c r="E29" s="88">
        <v>0.13980000000000001</v>
      </c>
      <c r="F29" s="88">
        <v>0.13339999999999999</v>
      </c>
    </row>
    <row r="30" spans="1:6" ht="15" customHeight="1" x14ac:dyDescent="0.35">
      <c r="A30" s="87">
        <v>30</v>
      </c>
      <c r="B30" s="88">
        <v>0.18479999999999999</v>
      </c>
      <c r="C30" s="88">
        <v>0.159</v>
      </c>
      <c r="D30" s="88">
        <v>0.14599999999999999</v>
      </c>
      <c r="E30" s="88">
        <v>0.13780000000000001</v>
      </c>
      <c r="F30" s="88">
        <v>0.13150000000000001</v>
      </c>
    </row>
    <row r="31" spans="1:6" ht="15" customHeight="1" x14ac:dyDescent="0.35">
      <c r="A31" s="87">
        <v>31</v>
      </c>
      <c r="B31" s="88">
        <v>0.182</v>
      </c>
      <c r="C31" s="88">
        <v>0.15590000000000001</v>
      </c>
      <c r="D31" s="88">
        <v>0.14319999999999999</v>
      </c>
      <c r="E31" s="88">
        <v>0.1353</v>
      </c>
      <c r="F31" s="88">
        <v>0.12909999999999999</v>
      </c>
    </row>
    <row r="32" spans="1:6" ht="15" customHeight="1" x14ac:dyDescent="0.35">
      <c r="A32" s="87">
        <v>32</v>
      </c>
      <c r="B32" s="88">
        <v>0.17979999999999999</v>
      </c>
      <c r="C32" s="88">
        <v>0.1542</v>
      </c>
      <c r="D32" s="88">
        <v>0.14149999999999999</v>
      </c>
      <c r="E32" s="88">
        <v>0.1336</v>
      </c>
      <c r="F32" s="88">
        <v>0.12740000000000001</v>
      </c>
    </row>
    <row r="33" spans="1:6" ht="15" customHeight="1" x14ac:dyDescent="0.35">
      <c r="A33" s="87">
        <v>33</v>
      </c>
      <c r="B33" s="88">
        <v>0.17699999999999999</v>
      </c>
      <c r="C33" s="88">
        <v>0.15179999999999999</v>
      </c>
      <c r="D33" s="88">
        <v>0.13919999999999999</v>
      </c>
      <c r="E33" s="88">
        <v>0.13139999999999999</v>
      </c>
      <c r="F33" s="88">
        <v>0.12540000000000001</v>
      </c>
    </row>
    <row r="34" spans="1:6" ht="15" customHeight="1" x14ac:dyDescent="0.35">
      <c r="A34" s="87">
        <v>34</v>
      </c>
      <c r="B34" s="88">
        <v>0.17469999999999999</v>
      </c>
      <c r="C34" s="88">
        <v>0.1497</v>
      </c>
      <c r="D34" s="88">
        <v>0.13730000000000001</v>
      </c>
      <c r="E34" s="88">
        <v>0.1295</v>
      </c>
      <c r="F34" s="88">
        <v>0.1236</v>
      </c>
    </row>
    <row r="35" spans="1:6" ht="15" customHeight="1" x14ac:dyDescent="0.35">
      <c r="A35" s="87">
        <v>35</v>
      </c>
      <c r="B35" s="88">
        <v>0.17199999999999999</v>
      </c>
      <c r="C35" s="88">
        <v>0.14779999999999999</v>
      </c>
      <c r="D35" s="88">
        <v>0.1356</v>
      </c>
      <c r="E35" s="88">
        <v>0.1278</v>
      </c>
      <c r="F35" s="88">
        <v>0.122</v>
      </c>
    </row>
    <row r="36" spans="1:6" ht="15" customHeight="1" x14ac:dyDescent="0.35">
      <c r="A36" s="87">
        <v>36</v>
      </c>
      <c r="B36" s="88">
        <v>0.16950000000000001</v>
      </c>
      <c r="C36" s="88">
        <v>0.1454</v>
      </c>
      <c r="D36" s="88">
        <v>0.1336</v>
      </c>
      <c r="E36" s="88">
        <v>0.126</v>
      </c>
      <c r="F36" s="88">
        <v>0.1203</v>
      </c>
    </row>
    <row r="37" spans="1:6" ht="15" customHeight="1" x14ac:dyDescent="0.35">
      <c r="A37" s="87">
        <v>37</v>
      </c>
      <c r="B37" s="88">
        <v>0.16769999999999999</v>
      </c>
      <c r="C37" s="88">
        <v>0.14360000000000001</v>
      </c>
      <c r="D37" s="88">
        <v>0.13200000000000001</v>
      </c>
      <c r="E37" s="88">
        <v>0.1245</v>
      </c>
      <c r="F37" s="88">
        <v>0.1188</v>
      </c>
    </row>
    <row r="38" spans="1:6" ht="15" customHeight="1" x14ac:dyDescent="0.35">
      <c r="A38" s="87">
        <v>38</v>
      </c>
      <c r="B38" s="88">
        <v>0.1653</v>
      </c>
      <c r="C38" s="88">
        <v>0.1421</v>
      </c>
      <c r="D38" s="88">
        <v>0.1303</v>
      </c>
      <c r="E38" s="88">
        <v>0.123</v>
      </c>
      <c r="F38" s="88">
        <v>0.1174</v>
      </c>
    </row>
    <row r="39" spans="1:6" ht="15" customHeight="1" x14ac:dyDescent="0.35">
      <c r="A39" s="87">
        <v>39</v>
      </c>
      <c r="B39" s="88">
        <v>0.16339999999999999</v>
      </c>
      <c r="C39" s="88">
        <v>0.14019999999999999</v>
      </c>
      <c r="D39" s="88">
        <v>0.1288</v>
      </c>
      <c r="E39" s="88">
        <v>0.12139999999999999</v>
      </c>
      <c r="F39" s="88">
        <v>0.1159</v>
      </c>
    </row>
    <row r="40" spans="1:6" ht="15" customHeight="1" x14ac:dyDescent="0.35">
      <c r="A40" s="87">
        <v>40</v>
      </c>
      <c r="B40" s="88">
        <v>0.16159999999999999</v>
      </c>
      <c r="C40" s="88">
        <v>0.1386</v>
      </c>
      <c r="D40" s="88">
        <v>0.1275</v>
      </c>
      <c r="E40" s="88">
        <v>0.12039999999999999</v>
      </c>
      <c r="F40" s="88">
        <v>0.1147</v>
      </c>
    </row>
    <row r="41" spans="1:6" ht="15" customHeight="1" x14ac:dyDescent="0.35">
      <c r="A41" s="87">
        <v>41</v>
      </c>
      <c r="B41" s="88">
        <v>0.15989999999999999</v>
      </c>
      <c r="C41" s="88">
        <v>0.13730000000000001</v>
      </c>
      <c r="D41" s="88">
        <v>0.1258</v>
      </c>
      <c r="E41" s="88">
        <v>0.1186</v>
      </c>
      <c r="F41" s="88">
        <v>0.11310000000000001</v>
      </c>
    </row>
    <row r="42" spans="1:6" ht="15" customHeight="1" x14ac:dyDescent="0.35">
      <c r="A42" s="87">
        <v>42</v>
      </c>
      <c r="B42" s="88">
        <v>0.1573</v>
      </c>
      <c r="C42" s="88">
        <v>0.1353</v>
      </c>
      <c r="D42" s="88">
        <v>0.1244</v>
      </c>
      <c r="E42" s="88">
        <v>0.1172</v>
      </c>
      <c r="F42" s="88">
        <v>0.1119</v>
      </c>
    </row>
    <row r="43" spans="1:6" ht="15" customHeight="1" x14ac:dyDescent="0.35">
      <c r="A43" s="87">
        <v>43</v>
      </c>
      <c r="B43" s="88">
        <v>0.15559999999999999</v>
      </c>
      <c r="C43" s="88">
        <v>0.13389999999999999</v>
      </c>
      <c r="D43" s="88">
        <v>0.12280000000000001</v>
      </c>
      <c r="E43" s="88">
        <v>0.1159</v>
      </c>
      <c r="F43" s="88">
        <v>0.1106</v>
      </c>
    </row>
    <row r="44" spans="1:6" ht="15" customHeight="1" x14ac:dyDescent="0.35">
      <c r="A44" s="87">
        <v>44</v>
      </c>
      <c r="B44" s="88">
        <v>0.1542</v>
      </c>
      <c r="C44" s="88">
        <v>0.13220000000000001</v>
      </c>
      <c r="D44" s="88">
        <v>0.1216</v>
      </c>
      <c r="E44" s="88">
        <v>0.1148</v>
      </c>
      <c r="F44" s="88">
        <v>0.1095</v>
      </c>
    </row>
    <row r="45" spans="1:6" ht="15" customHeight="1" x14ac:dyDescent="0.35">
      <c r="A45" s="87">
        <v>45</v>
      </c>
      <c r="B45" s="88">
        <v>0.1525</v>
      </c>
      <c r="C45" s="88">
        <v>0.13089999999999999</v>
      </c>
      <c r="D45" s="88">
        <v>0.12039999999999999</v>
      </c>
      <c r="E45" s="88">
        <v>0.1134</v>
      </c>
      <c r="F45" s="88">
        <v>0.10829999999999999</v>
      </c>
    </row>
    <row r="46" spans="1:6" ht="15" customHeight="1" x14ac:dyDescent="0.35">
      <c r="A46" s="87">
        <v>46</v>
      </c>
      <c r="B46" s="88">
        <v>0.1512</v>
      </c>
      <c r="C46" s="88">
        <v>0.1293</v>
      </c>
      <c r="D46" s="88">
        <v>0.11890000000000001</v>
      </c>
      <c r="E46" s="88">
        <v>0.1123</v>
      </c>
      <c r="F46" s="88">
        <v>0.1071</v>
      </c>
    </row>
    <row r="47" spans="1:6" ht="15" customHeight="1" x14ac:dyDescent="0.35">
      <c r="A47" s="87">
        <v>47</v>
      </c>
      <c r="B47" s="88">
        <v>0.14990000000000001</v>
      </c>
      <c r="C47" s="88">
        <v>0.12820000000000001</v>
      </c>
      <c r="D47" s="88">
        <v>0.11799999999999999</v>
      </c>
      <c r="E47" s="88">
        <v>0.1113</v>
      </c>
      <c r="F47" s="88">
        <v>0.1062</v>
      </c>
    </row>
    <row r="48" spans="1:6" ht="15" customHeight="1" x14ac:dyDescent="0.35">
      <c r="A48" s="87">
        <v>48</v>
      </c>
      <c r="B48" s="88">
        <v>0.14760000000000001</v>
      </c>
      <c r="C48" s="88">
        <v>0.12690000000000001</v>
      </c>
      <c r="D48" s="88">
        <v>0.11650000000000001</v>
      </c>
      <c r="E48" s="88">
        <v>0.10979999999999999</v>
      </c>
      <c r="F48" s="88">
        <v>0.1047</v>
      </c>
    </row>
    <row r="49" spans="1:6" x14ac:dyDescent="0.35">
      <c r="A49" s="87">
        <v>49</v>
      </c>
      <c r="B49" s="88">
        <v>0.14630000000000001</v>
      </c>
      <c r="C49" s="88">
        <v>0.12559999999999999</v>
      </c>
      <c r="D49" s="88">
        <v>0.1153</v>
      </c>
      <c r="E49" s="88">
        <v>0.1089</v>
      </c>
      <c r="F49" s="88">
        <v>0.104</v>
      </c>
    </row>
    <row r="50" spans="1:6" x14ac:dyDescent="0.35">
      <c r="A50" s="87">
        <v>50</v>
      </c>
      <c r="B50" s="88">
        <v>0.1457</v>
      </c>
      <c r="C50" s="88">
        <v>0.1246</v>
      </c>
      <c r="D50" s="88">
        <v>0.1142</v>
      </c>
      <c r="E50" s="88">
        <v>0.1079</v>
      </c>
      <c r="F50" s="88">
        <v>0.10299999999999999</v>
      </c>
    </row>
    <row r="51" spans="1:6" x14ac:dyDescent="0.35">
      <c r="A51" s="203" t="s">
        <v>105</v>
      </c>
      <c r="B51" s="51">
        <v>1.0349999999999999</v>
      </c>
      <c r="C51" s="51">
        <v>0.89500000000000002</v>
      </c>
      <c r="D51" s="51">
        <v>0.81899999999999995</v>
      </c>
      <c r="E51" s="51">
        <v>0.77500000000000002</v>
      </c>
      <c r="F51" s="51">
        <v>0.74099999999999999</v>
      </c>
    </row>
    <row r="52" spans="1:6" ht="6" customHeight="1" x14ac:dyDescent="0.35">
      <c r="A52" s="204"/>
      <c r="B52" s="84" t="s">
        <v>69</v>
      </c>
      <c r="C52" s="84" t="s">
        <v>69</v>
      </c>
      <c r="D52" s="84" t="s">
        <v>69</v>
      </c>
      <c r="E52" s="84" t="s">
        <v>70</v>
      </c>
      <c r="F52" s="84" t="s">
        <v>71</v>
      </c>
    </row>
    <row r="53" spans="1:6" x14ac:dyDescent="0.35">
      <c r="A53" s="205"/>
      <c r="B53" s="89" t="s">
        <v>145</v>
      </c>
      <c r="C53" s="89" t="s">
        <v>145</v>
      </c>
      <c r="D53" s="89" t="s">
        <v>145</v>
      </c>
      <c r="E53" s="89" t="s">
        <v>145</v>
      </c>
      <c r="F53" s="89" t="s">
        <v>145</v>
      </c>
    </row>
    <row r="55" spans="1:6" x14ac:dyDescent="0.35">
      <c r="A55" s="206" t="s">
        <v>103</v>
      </c>
      <c r="B55" s="206"/>
      <c r="C55" s="206"/>
      <c r="D55" s="206"/>
      <c r="E55" s="206"/>
      <c r="F55" s="206"/>
    </row>
    <row r="56" spans="1:6" x14ac:dyDescent="0.35">
      <c r="A56" s="13" t="s">
        <v>104</v>
      </c>
    </row>
  </sheetData>
  <mergeCells count="2">
    <mergeCell ref="A51:A53"/>
    <mergeCell ref="A55:F55"/>
  </mergeCells>
  <pageMargins left="0.7" right="0.7" top="0.75" bottom="0.75" header="0.3" footer="0.3"/>
  <pageSetup paperSize="9" orientation="portrait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47"/>
  <dimension ref="A1:AX82"/>
  <sheetViews>
    <sheetView zoomScaleNormal="100" workbookViewId="0"/>
  </sheetViews>
  <sheetFormatPr defaultRowHeight="14.5" x14ac:dyDescent="0.35"/>
  <cols>
    <col min="2" max="20" width="9.1796875" customWidth="1"/>
    <col min="21" max="26" width="9.54296875" customWidth="1"/>
    <col min="27" max="29" width="9.1796875" style="20" customWidth="1"/>
    <col min="30" max="38" width="9.1796875" customWidth="1"/>
  </cols>
  <sheetData>
    <row r="1" spans="1:50" x14ac:dyDescent="0.35">
      <c r="A1" s="1" t="s">
        <v>72</v>
      </c>
    </row>
    <row r="2" spans="1:50" x14ac:dyDescent="0.35">
      <c r="A2" s="1"/>
    </row>
    <row r="3" spans="1:50" x14ac:dyDescent="0.35">
      <c r="A3" s="1" t="s">
        <v>133</v>
      </c>
    </row>
    <row r="5" spans="1:50" x14ac:dyDescent="0.35">
      <c r="A5" s="5" t="s">
        <v>73</v>
      </c>
      <c r="B5">
        <v>2</v>
      </c>
      <c r="C5">
        <f>B5+1</f>
        <v>3</v>
      </c>
      <c r="D5">
        <f t="shared" ref="D5:X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>L5+1</f>
        <v>13</v>
      </c>
      <c r="N5">
        <f>M5+1</f>
        <v>14</v>
      </c>
      <c r="O5">
        <f t="shared" si="0"/>
        <v>15</v>
      </c>
      <c r="P5">
        <f t="shared" si="0"/>
        <v>16</v>
      </c>
      <c r="Q5">
        <f t="shared" si="0"/>
        <v>17</v>
      </c>
      <c r="R5">
        <f t="shared" si="0"/>
        <v>18</v>
      </c>
      <c r="S5">
        <f t="shared" si="0"/>
        <v>19</v>
      </c>
      <c r="T5">
        <f t="shared" si="0"/>
        <v>20</v>
      </c>
      <c r="U5">
        <f t="shared" si="0"/>
        <v>21</v>
      </c>
      <c r="V5">
        <f t="shared" si="0"/>
        <v>22</v>
      </c>
      <c r="W5">
        <f t="shared" si="0"/>
        <v>23</v>
      </c>
      <c r="X5">
        <f t="shared" si="0"/>
        <v>24</v>
      </c>
      <c r="Y5">
        <f>X5+1</f>
        <v>25</v>
      </c>
      <c r="Z5">
        <f>Y5+1</f>
        <v>26</v>
      </c>
      <c r="AA5">
        <f t="shared" ref="AA5:AX5" si="1">Z5+1</f>
        <v>27</v>
      </c>
      <c r="AB5">
        <f t="shared" si="1"/>
        <v>28</v>
      </c>
      <c r="AC5">
        <f t="shared" si="1"/>
        <v>29</v>
      </c>
      <c r="AD5">
        <f t="shared" si="1"/>
        <v>30</v>
      </c>
      <c r="AE5">
        <f t="shared" si="1"/>
        <v>31</v>
      </c>
      <c r="AF5">
        <f t="shared" si="1"/>
        <v>32</v>
      </c>
      <c r="AG5">
        <f t="shared" si="1"/>
        <v>33</v>
      </c>
      <c r="AH5">
        <f t="shared" si="1"/>
        <v>34</v>
      </c>
      <c r="AI5">
        <f t="shared" si="1"/>
        <v>35</v>
      </c>
      <c r="AJ5">
        <f t="shared" si="1"/>
        <v>36</v>
      </c>
      <c r="AK5">
        <f t="shared" si="1"/>
        <v>37</v>
      </c>
      <c r="AL5">
        <f t="shared" si="1"/>
        <v>38</v>
      </c>
      <c r="AM5">
        <f t="shared" si="1"/>
        <v>39</v>
      </c>
      <c r="AN5">
        <f t="shared" si="1"/>
        <v>40</v>
      </c>
      <c r="AO5">
        <f t="shared" si="1"/>
        <v>41</v>
      </c>
      <c r="AP5">
        <f t="shared" si="1"/>
        <v>42</v>
      </c>
      <c r="AQ5">
        <f t="shared" si="1"/>
        <v>43</v>
      </c>
      <c r="AR5">
        <f t="shared" si="1"/>
        <v>44</v>
      </c>
      <c r="AS5">
        <f t="shared" si="1"/>
        <v>45</v>
      </c>
      <c r="AT5">
        <f t="shared" si="1"/>
        <v>46</v>
      </c>
      <c r="AU5">
        <f t="shared" si="1"/>
        <v>47</v>
      </c>
      <c r="AV5">
        <f t="shared" si="1"/>
        <v>48</v>
      </c>
      <c r="AW5">
        <f t="shared" si="1"/>
        <v>49</v>
      </c>
      <c r="AX5">
        <f t="shared" si="1"/>
        <v>50</v>
      </c>
    </row>
    <row r="6" spans="1:50" x14ac:dyDescent="0.35">
      <c r="A6" t="s">
        <v>74</v>
      </c>
      <c r="B6">
        <v>0.70709999999999995</v>
      </c>
      <c r="C6" s="7">
        <v>0.70709999999999995</v>
      </c>
      <c r="D6" s="7">
        <v>0.68720000000000003</v>
      </c>
      <c r="E6" s="7">
        <v>0.66459999999999997</v>
      </c>
      <c r="F6" s="7">
        <v>0.6431</v>
      </c>
      <c r="G6" s="7">
        <v>0.62329999999999997</v>
      </c>
      <c r="H6" s="7">
        <v>0.60519999999999996</v>
      </c>
      <c r="I6" s="7">
        <v>0.58879999999999999</v>
      </c>
      <c r="J6" s="7">
        <v>0.57389999999999997</v>
      </c>
      <c r="K6" s="7">
        <v>0.56010000000000004</v>
      </c>
      <c r="L6" s="7">
        <v>0.54749999999999999</v>
      </c>
      <c r="M6" s="7">
        <v>0.53590000000000004</v>
      </c>
      <c r="N6" s="7">
        <v>0.52510000000000001</v>
      </c>
      <c r="O6" s="7">
        <v>0.51500000000000001</v>
      </c>
      <c r="P6" s="7">
        <v>0.50560000000000005</v>
      </c>
      <c r="Q6" s="7">
        <v>0.49680000000000002</v>
      </c>
      <c r="R6" s="7">
        <v>0.48859999999999998</v>
      </c>
      <c r="S6" s="7">
        <v>0.48080000000000001</v>
      </c>
      <c r="T6" s="7">
        <v>0.47339999999999999</v>
      </c>
      <c r="U6" s="7">
        <v>0.46429999999999999</v>
      </c>
      <c r="V6" s="7">
        <v>0.45900000000000002</v>
      </c>
      <c r="W6" s="7">
        <v>0.45419999999999999</v>
      </c>
      <c r="X6" s="7">
        <v>0.44929999999999998</v>
      </c>
      <c r="Y6" s="7">
        <v>0.44500000000000001</v>
      </c>
      <c r="Z6" s="7">
        <v>0.44069999999999998</v>
      </c>
      <c r="AA6" s="7">
        <v>0.43659999999999999</v>
      </c>
      <c r="AB6" s="7">
        <v>0.43280000000000002</v>
      </c>
      <c r="AC6" s="7">
        <v>0.42909999999999998</v>
      </c>
      <c r="AD6" s="7">
        <v>0.4254</v>
      </c>
      <c r="AE6" s="7">
        <v>0.42199999999999999</v>
      </c>
      <c r="AF6" s="7">
        <v>0.41880000000000001</v>
      </c>
      <c r="AG6" s="7">
        <v>0.41560000000000002</v>
      </c>
      <c r="AH6" s="7">
        <v>0.41270000000000001</v>
      </c>
      <c r="AI6" s="7">
        <v>0.40960000000000002</v>
      </c>
      <c r="AJ6" s="7">
        <v>0.40679999999999999</v>
      </c>
      <c r="AK6" s="7">
        <v>0.40400000000000003</v>
      </c>
      <c r="AL6" s="7">
        <v>0.40150000000000002</v>
      </c>
      <c r="AM6" s="16">
        <v>0.39889999999999998</v>
      </c>
      <c r="AN6" s="16">
        <v>0.39639999999999997</v>
      </c>
      <c r="AO6" s="16">
        <v>0.39400000000000002</v>
      </c>
      <c r="AP6" s="16">
        <v>0.39169999999999999</v>
      </c>
      <c r="AQ6" s="16">
        <v>0.38940000000000002</v>
      </c>
      <c r="AR6" s="16">
        <v>0.38719999999999999</v>
      </c>
      <c r="AS6" s="16">
        <v>0.38500000000000001</v>
      </c>
      <c r="AT6" s="16">
        <v>0.38300000000000001</v>
      </c>
      <c r="AU6" s="16">
        <v>0.38080000000000003</v>
      </c>
      <c r="AV6" s="16">
        <v>0.37890000000000001</v>
      </c>
      <c r="AW6" s="16">
        <v>0.377</v>
      </c>
      <c r="AX6" s="16">
        <v>0.37509999999999999</v>
      </c>
    </row>
    <row r="7" spans="1:50" x14ac:dyDescent="0.35">
      <c r="A7" t="s">
        <v>75</v>
      </c>
      <c r="D7" s="7">
        <v>0.16769999999999999</v>
      </c>
      <c r="E7" s="7">
        <v>0.24129999999999999</v>
      </c>
      <c r="F7" s="7">
        <v>0.28060000000000002</v>
      </c>
      <c r="G7" s="7">
        <v>0.30309999999999998</v>
      </c>
      <c r="H7" s="7">
        <v>0.31640000000000001</v>
      </c>
      <c r="I7" s="7">
        <v>0.32440000000000002</v>
      </c>
      <c r="J7" s="7">
        <v>0.3291</v>
      </c>
      <c r="K7" s="7">
        <v>0.33150000000000002</v>
      </c>
      <c r="L7" s="7">
        <v>0.33250000000000002</v>
      </c>
      <c r="M7" s="7">
        <v>0.33250000000000002</v>
      </c>
      <c r="N7" s="7">
        <v>0.33179999999999998</v>
      </c>
      <c r="O7" s="7">
        <v>0.3306</v>
      </c>
      <c r="P7" s="7">
        <v>0.32900000000000001</v>
      </c>
      <c r="Q7" s="7">
        <v>0.32729999999999998</v>
      </c>
      <c r="R7" s="7">
        <v>0.32529999999999998</v>
      </c>
      <c r="S7" s="7">
        <v>0.32319999999999999</v>
      </c>
      <c r="T7" s="7">
        <v>0.3211</v>
      </c>
      <c r="U7" s="7">
        <v>0.31850000000000001</v>
      </c>
      <c r="V7" s="7">
        <v>0.31559999999999999</v>
      </c>
      <c r="W7" s="7">
        <v>0.31259999999999999</v>
      </c>
      <c r="X7" s="7">
        <v>0.30980000000000002</v>
      </c>
      <c r="Y7" s="7">
        <v>0.30690000000000001</v>
      </c>
      <c r="Z7" s="7">
        <v>0.30430000000000001</v>
      </c>
      <c r="AA7" s="7">
        <v>0.30180000000000001</v>
      </c>
      <c r="AB7" s="7">
        <v>0.29920000000000002</v>
      </c>
      <c r="AC7" s="7">
        <v>0.29680000000000001</v>
      </c>
      <c r="AD7" s="7">
        <v>0.2944</v>
      </c>
      <c r="AE7" s="7">
        <v>0.29210000000000003</v>
      </c>
      <c r="AF7" s="7">
        <v>0.2898</v>
      </c>
      <c r="AG7" s="7">
        <v>0.28760000000000002</v>
      </c>
      <c r="AH7" s="7">
        <v>0.28539999999999999</v>
      </c>
      <c r="AI7" s="7">
        <v>0.28339999999999999</v>
      </c>
      <c r="AJ7" s="7">
        <v>0.28129999999999999</v>
      </c>
      <c r="AK7" s="7">
        <v>0.27939999999999998</v>
      </c>
      <c r="AL7" s="7">
        <v>0.27739999999999998</v>
      </c>
      <c r="AM7" s="16">
        <v>0.27550000000000002</v>
      </c>
      <c r="AN7" s="16">
        <v>0.2737</v>
      </c>
      <c r="AO7" s="16">
        <v>0.27189999999999998</v>
      </c>
      <c r="AP7" s="16">
        <v>0.27010000000000001</v>
      </c>
      <c r="AQ7" s="16">
        <v>0.26840000000000003</v>
      </c>
      <c r="AR7" s="16">
        <v>0.26669999999999999</v>
      </c>
      <c r="AS7" s="16">
        <v>0.2651</v>
      </c>
      <c r="AT7" s="16">
        <v>0.26350000000000001</v>
      </c>
      <c r="AU7" s="16">
        <v>0.26200000000000001</v>
      </c>
      <c r="AV7" s="16">
        <v>0.26040000000000002</v>
      </c>
      <c r="AW7" s="16">
        <v>0.25890000000000002</v>
      </c>
      <c r="AX7" s="16">
        <v>0.25740000000000002</v>
      </c>
    </row>
    <row r="8" spans="1:50" x14ac:dyDescent="0.35">
      <c r="A8" t="s">
        <v>76</v>
      </c>
      <c r="D8" s="7"/>
      <c r="E8" s="7"/>
      <c r="F8" s="7">
        <v>8.7499999999999994E-2</v>
      </c>
      <c r="G8" s="7">
        <v>0.1401</v>
      </c>
      <c r="H8" s="7">
        <v>0.17430000000000001</v>
      </c>
      <c r="I8" s="7">
        <v>0.1976</v>
      </c>
      <c r="J8" s="7">
        <v>0.21410000000000001</v>
      </c>
      <c r="K8" s="7">
        <v>0.22600000000000001</v>
      </c>
      <c r="L8" s="7">
        <v>0.23469999999999999</v>
      </c>
      <c r="M8" s="7">
        <v>0.2412</v>
      </c>
      <c r="N8" s="7">
        <v>0.246</v>
      </c>
      <c r="O8" s="7">
        <v>0.2495</v>
      </c>
      <c r="P8" s="7">
        <v>0.25209999999999999</v>
      </c>
      <c r="Q8" s="7">
        <v>0.254</v>
      </c>
      <c r="R8" s="7">
        <v>0.25530000000000003</v>
      </c>
      <c r="S8" s="7">
        <v>0.25609999999999999</v>
      </c>
      <c r="T8" s="7">
        <v>0.25650000000000001</v>
      </c>
      <c r="U8" s="7">
        <v>0.25779999999999997</v>
      </c>
      <c r="V8" s="7">
        <v>0.2571</v>
      </c>
      <c r="W8" s="7">
        <v>0.25629999999999997</v>
      </c>
      <c r="X8" s="7">
        <v>0.25540000000000002</v>
      </c>
      <c r="Y8" s="7">
        <v>0.25430000000000003</v>
      </c>
      <c r="Z8" s="7">
        <v>0.25330000000000003</v>
      </c>
      <c r="AA8" s="7">
        <v>0.25219999999999998</v>
      </c>
      <c r="AB8" s="7">
        <v>0.251</v>
      </c>
      <c r="AC8" s="7">
        <v>0.24990000000000001</v>
      </c>
      <c r="AD8" s="7">
        <v>0.2487</v>
      </c>
      <c r="AE8" s="7">
        <v>0.2475</v>
      </c>
      <c r="AF8" s="7">
        <v>0.24629999999999999</v>
      </c>
      <c r="AG8" s="7">
        <v>0.24510000000000001</v>
      </c>
      <c r="AH8" s="7">
        <v>0.24390000000000001</v>
      </c>
      <c r="AI8" s="7">
        <v>0.2427</v>
      </c>
      <c r="AJ8" s="7">
        <v>0.24149999999999999</v>
      </c>
      <c r="AK8" s="7">
        <v>0.24030000000000001</v>
      </c>
      <c r="AL8" s="7">
        <v>0.23910000000000001</v>
      </c>
      <c r="AM8" s="16">
        <v>0.23799999999999999</v>
      </c>
      <c r="AN8" s="16">
        <v>0.23680000000000001</v>
      </c>
      <c r="AO8" s="16">
        <v>0.23569999999999999</v>
      </c>
      <c r="AP8" s="16">
        <v>0.23449999999999999</v>
      </c>
      <c r="AQ8" s="16">
        <v>0.2334</v>
      </c>
      <c r="AR8" s="16">
        <v>0.23230000000000001</v>
      </c>
      <c r="AS8" s="16">
        <v>0.23130000000000001</v>
      </c>
      <c r="AT8" s="16">
        <v>0.23019999999999999</v>
      </c>
      <c r="AU8" s="16">
        <v>0.2291</v>
      </c>
      <c r="AV8" s="16">
        <v>0.2281</v>
      </c>
      <c r="AW8" s="16">
        <v>0.2271</v>
      </c>
      <c r="AX8" s="16">
        <v>0.22600000000000001</v>
      </c>
    </row>
    <row r="9" spans="1:50" x14ac:dyDescent="0.35">
      <c r="A9" t="s">
        <v>77</v>
      </c>
      <c r="D9" s="7"/>
      <c r="E9" s="7"/>
      <c r="F9" s="7"/>
      <c r="G9" s="7"/>
      <c r="H9" s="7">
        <v>5.6099999999999997E-2</v>
      </c>
      <c r="I9" s="7">
        <v>9.4700000000000006E-2</v>
      </c>
      <c r="J9" s="7">
        <v>0.12239999999999999</v>
      </c>
      <c r="K9" s="7">
        <v>0.1429</v>
      </c>
      <c r="L9" s="7">
        <v>0.15859999999999999</v>
      </c>
      <c r="M9" s="7">
        <v>0.17069999999999999</v>
      </c>
      <c r="N9" s="7">
        <v>0.1802</v>
      </c>
      <c r="O9" s="7">
        <v>0.18779999999999999</v>
      </c>
      <c r="P9" s="7">
        <v>0.19389999999999999</v>
      </c>
      <c r="Q9" s="7">
        <v>0.1988</v>
      </c>
      <c r="R9" s="7">
        <v>0.20269999999999999</v>
      </c>
      <c r="S9" s="7">
        <v>0.2059</v>
      </c>
      <c r="T9" s="7">
        <v>0.20849999999999999</v>
      </c>
      <c r="U9" s="7">
        <v>0.21190000000000001</v>
      </c>
      <c r="V9" s="7">
        <v>0.21310000000000001</v>
      </c>
      <c r="W9" s="7">
        <v>0.21390000000000001</v>
      </c>
      <c r="X9" s="7">
        <v>0.2145</v>
      </c>
      <c r="Y9" s="7">
        <v>0.21479999999999999</v>
      </c>
      <c r="Z9" s="7">
        <v>0.21510000000000001</v>
      </c>
      <c r="AA9" s="7">
        <v>0.2152</v>
      </c>
      <c r="AB9" s="7">
        <v>0.21510000000000001</v>
      </c>
      <c r="AC9" s="7">
        <v>0.215</v>
      </c>
      <c r="AD9" s="7">
        <v>0.21479999999999999</v>
      </c>
      <c r="AE9" s="7">
        <v>0.2145</v>
      </c>
      <c r="AF9" s="7">
        <v>0.21410000000000001</v>
      </c>
      <c r="AG9" s="7">
        <v>0.2137</v>
      </c>
      <c r="AH9" s="7">
        <v>0.2132</v>
      </c>
      <c r="AI9" s="7">
        <v>0.2127</v>
      </c>
      <c r="AJ9" s="7">
        <v>0.21210000000000001</v>
      </c>
      <c r="AK9" s="7">
        <v>0.21160000000000001</v>
      </c>
      <c r="AL9" s="7">
        <v>0.21099999999999999</v>
      </c>
      <c r="AM9" s="16">
        <v>0.2104</v>
      </c>
      <c r="AN9" s="16">
        <v>0.20979999999999999</v>
      </c>
      <c r="AO9" s="16">
        <v>0.20910000000000001</v>
      </c>
      <c r="AP9" s="16">
        <v>0.20849999999999999</v>
      </c>
      <c r="AQ9" s="16">
        <v>0.20780000000000001</v>
      </c>
      <c r="AR9" s="16">
        <v>0.2072</v>
      </c>
      <c r="AS9" s="16">
        <v>0.20649999999999999</v>
      </c>
      <c r="AT9" s="16">
        <v>0.20580000000000001</v>
      </c>
      <c r="AU9" s="16">
        <v>0.20519999999999999</v>
      </c>
      <c r="AV9" s="16">
        <v>0.20449999999999999</v>
      </c>
      <c r="AW9" s="16">
        <v>0.20380000000000001</v>
      </c>
      <c r="AX9" s="16">
        <v>0.20319999999999999</v>
      </c>
    </row>
    <row r="10" spans="1:50" x14ac:dyDescent="0.35">
      <c r="A10" t="s">
        <v>78</v>
      </c>
      <c r="D10" s="7"/>
      <c r="E10" s="7"/>
      <c r="F10" s="7"/>
      <c r="G10" s="7"/>
      <c r="H10" s="7"/>
      <c r="I10" s="7"/>
      <c r="J10" s="7">
        <v>3.9899999999999998E-2</v>
      </c>
      <c r="K10" s="7">
        <v>6.9500000000000006E-2</v>
      </c>
      <c r="L10" s="7">
        <v>9.2200000000000004E-2</v>
      </c>
      <c r="M10" s="7">
        <v>0.1099</v>
      </c>
      <c r="N10" s="7">
        <v>0.124</v>
      </c>
      <c r="O10" s="7">
        <v>0.1353</v>
      </c>
      <c r="P10" s="7">
        <v>0.1447</v>
      </c>
      <c r="Q10" s="7">
        <v>0.15240000000000001</v>
      </c>
      <c r="R10" s="7">
        <v>0.15870000000000001</v>
      </c>
      <c r="S10" s="7">
        <v>0.1641</v>
      </c>
      <c r="T10" s="7">
        <v>0.1686</v>
      </c>
      <c r="U10" s="7">
        <v>0.1736</v>
      </c>
      <c r="V10" s="7">
        <v>0.1764</v>
      </c>
      <c r="W10" s="7">
        <v>0.1787</v>
      </c>
      <c r="X10" s="7">
        <v>0.1807</v>
      </c>
      <c r="Y10" s="7">
        <v>0.1822</v>
      </c>
      <c r="Z10" s="7">
        <v>0.18360000000000001</v>
      </c>
      <c r="AA10" s="7">
        <v>0.18479999999999999</v>
      </c>
      <c r="AB10" s="7">
        <v>0.1857</v>
      </c>
      <c r="AC10" s="7">
        <v>0.18640000000000001</v>
      </c>
      <c r="AD10" s="7">
        <v>0.187</v>
      </c>
      <c r="AE10" s="7">
        <v>0.18740000000000001</v>
      </c>
      <c r="AF10" s="7">
        <v>0.18779999999999999</v>
      </c>
      <c r="AG10" s="7">
        <v>0.188</v>
      </c>
      <c r="AH10" s="7">
        <v>0.18820000000000001</v>
      </c>
      <c r="AI10" s="7">
        <v>0.1883</v>
      </c>
      <c r="AJ10" s="7">
        <v>0.1883</v>
      </c>
      <c r="AK10" s="7">
        <v>0.1883</v>
      </c>
      <c r="AL10" s="7">
        <v>0.18809999999999999</v>
      </c>
      <c r="AM10" s="16">
        <v>0.188</v>
      </c>
      <c r="AN10" s="16">
        <v>0.18779999999999999</v>
      </c>
      <c r="AO10" s="16">
        <v>0.18759999999999999</v>
      </c>
      <c r="AP10" s="16">
        <v>0.18740000000000001</v>
      </c>
      <c r="AQ10" s="16">
        <v>0.18709999999999999</v>
      </c>
      <c r="AR10" s="16">
        <v>0.18679999999999999</v>
      </c>
      <c r="AS10" s="16">
        <v>0.1865</v>
      </c>
      <c r="AT10" s="16">
        <v>0.1862</v>
      </c>
      <c r="AU10" s="16">
        <v>0.18590000000000001</v>
      </c>
      <c r="AV10" s="16">
        <v>0.1855</v>
      </c>
      <c r="AW10" s="16">
        <v>0.18509999999999999</v>
      </c>
      <c r="AX10" s="16">
        <v>0.1847</v>
      </c>
    </row>
    <row r="11" spans="1:50" x14ac:dyDescent="0.35">
      <c r="A11" t="s">
        <v>79</v>
      </c>
      <c r="D11" s="7"/>
      <c r="E11" s="7"/>
      <c r="F11" s="7"/>
      <c r="G11" s="7"/>
      <c r="H11" s="7"/>
      <c r="I11" s="7"/>
      <c r="J11" s="7"/>
      <c r="K11" s="7"/>
      <c r="L11" s="7">
        <v>3.0300000000000001E-2</v>
      </c>
      <c r="M11" s="7">
        <v>5.3900000000000003E-2</v>
      </c>
      <c r="N11" s="7">
        <v>7.2700000000000001E-2</v>
      </c>
      <c r="O11" s="7">
        <v>8.7999999999999995E-2</v>
      </c>
      <c r="P11" s="7">
        <v>0.10050000000000001</v>
      </c>
      <c r="Q11" s="7">
        <v>0.1109</v>
      </c>
      <c r="R11" s="7">
        <v>0.1197</v>
      </c>
      <c r="S11" s="7">
        <v>0.12709999999999999</v>
      </c>
      <c r="T11" s="7">
        <v>0.13339999999999999</v>
      </c>
      <c r="U11" s="7">
        <v>0.1399</v>
      </c>
      <c r="V11" s="7">
        <v>0.14430000000000001</v>
      </c>
      <c r="W11" s="7">
        <v>0.14799999999999999</v>
      </c>
      <c r="X11" s="7">
        <v>0.1512</v>
      </c>
      <c r="Y11" s="7">
        <v>0.15390000000000001</v>
      </c>
      <c r="Z11" s="7">
        <v>0.15629999999999999</v>
      </c>
      <c r="AA11" s="7">
        <v>0.15840000000000001</v>
      </c>
      <c r="AB11" s="7">
        <v>0.16009999999999999</v>
      </c>
      <c r="AC11" s="7">
        <v>0.16159999999999999</v>
      </c>
      <c r="AD11" s="7">
        <v>0.16300000000000001</v>
      </c>
      <c r="AE11" s="7">
        <v>0.1641</v>
      </c>
      <c r="AF11" s="7">
        <v>0.1651</v>
      </c>
      <c r="AG11" s="7">
        <v>0.16600000000000001</v>
      </c>
      <c r="AH11" s="7">
        <v>0.16669999999999999</v>
      </c>
      <c r="AI11" s="7">
        <v>0.1673</v>
      </c>
      <c r="AJ11" s="7">
        <v>0.1678</v>
      </c>
      <c r="AK11" s="7">
        <v>0.16830000000000001</v>
      </c>
      <c r="AL11" s="7">
        <v>0.1686</v>
      </c>
      <c r="AM11" s="16">
        <v>0.16889999999999999</v>
      </c>
      <c r="AN11" s="16">
        <v>0.1691</v>
      </c>
      <c r="AO11" s="16">
        <v>0.16930000000000001</v>
      </c>
      <c r="AP11" s="16">
        <v>0.1694</v>
      </c>
      <c r="AQ11" s="16">
        <v>0.16950000000000001</v>
      </c>
      <c r="AR11" s="16">
        <v>0.16950000000000001</v>
      </c>
      <c r="AS11" s="16">
        <v>0.16950000000000001</v>
      </c>
      <c r="AT11" s="16">
        <v>0.16950000000000001</v>
      </c>
      <c r="AU11" s="16">
        <v>0.16950000000000001</v>
      </c>
      <c r="AV11" s="16">
        <v>0.16930000000000001</v>
      </c>
      <c r="AW11" s="16">
        <v>0.16919999999999999</v>
      </c>
      <c r="AX11" s="16">
        <v>0.1691</v>
      </c>
    </row>
    <row r="12" spans="1:50" x14ac:dyDescent="0.35">
      <c r="A12" t="s">
        <v>80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>
        <v>2.4E-2</v>
      </c>
      <c r="O12" s="7">
        <v>4.3299999999999998E-2</v>
      </c>
      <c r="P12" s="7">
        <v>5.9299999999999999E-2</v>
      </c>
      <c r="Q12" s="7">
        <v>7.2499999999999995E-2</v>
      </c>
      <c r="R12" s="7">
        <v>8.3699999999999997E-2</v>
      </c>
      <c r="S12" s="7">
        <v>9.3200000000000005E-2</v>
      </c>
      <c r="T12" s="7">
        <v>0.1013</v>
      </c>
      <c r="U12" s="7">
        <v>0.10920000000000001</v>
      </c>
      <c r="V12" s="7">
        <v>0.115</v>
      </c>
      <c r="W12" s="7">
        <v>0.1201</v>
      </c>
      <c r="X12" s="7">
        <v>0.1245</v>
      </c>
      <c r="Y12" s="7">
        <v>0.1283</v>
      </c>
      <c r="Z12" s="7">
        <v>0.13159999999999999</v>
      </c>
      <c r="AA12" s="7">
        <v>0.1346</v>
      </c>
      <c r="AB12" s="7">
        <v>0.13719999999999999</v>
      </c>
      <c r="AC12" s="7">
        <v>0.13950000000000001</v>
      </c>
      <c r="AD12" s="7">
        <v>0.14149999999999999</v>
      </c>
      <c r="AE12" s="7">
        <v>0.14330000000000001</v>
      </c>
      <c r="AF12" s="7">
        <v>0.1449</v>
      </c>
      <c r="AG12" s="7">
        <v>0.14630000000000001</v>
      </c>
      <c r="AH12" s="7">
        <v>0.14749999999999999</v>
      </c>
      <c r="AI12" s="7">
        <v>0.1487</v>
      </c>
      <c r="AJ12" s="7">
        <v>0.14960000000000001</v>
      </c>
      <c r="AK12" s="7">
        <v>0.15049999999999999</v>
      </c>
      <c r="AL12" s="7">
        <v>0.15129999999999999</v>
      </c>
      <c r="AM12" s="16">
        <v>0.152</v>
      </c>
      <c r="AN12" s="16">
        <v>0.15260000000000001</v>
      </c>
      <c r="AO12" s="16">
        <v>0.15310000000000001</v>
      </c>
      <c r="AP12" s="16">
        <v>0.1535</v>
      </c>
      <c r="AQ12" s="16">
        <v>0.15390000000000001</v>
      </c>
      <c r="AR12" s="16">
        <v>0.1542</v>
      </c>
      <c r="AS12" s="16">
        <v>0.1545</v>
      </c>
      <c r="AT12" s="16">
        <v>0.15479999999999999</v>
      </c>
      <c r="AU12" s="16">
        <v>0.155</v>
      </c>
      <c r="AV12" s="16">
        <v>0.15509999999999999</v>
      </c>
      <c r="AW12" s="16">
        <v>0.15529999999999999</v>
      </c>
      <c r="AX12" s="16">
        <v>0.15540000000000001</v>
      </c>
    </row>
    <row r="13" spans="1:50" x14ac:dyDescent="0.35">
      <c r="A13" t="s">
        <v>81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>
        <v>1.9599999999999999E-2</v>
      </c>
      <c r="Q13" s="7">
        <v>3.5900000000000001E-2</v>
      </c>
      <c r="R13" s="7">
        <v>4.9599999999999998E-2</v>
      </c>
      <c r="S13" s="7">
        <v>6.1199999999999997E-2</v>
      </c>
      <c r="T13" s="7">
        <v>7.1099999999999997E-2</v>
      </c>
      <c r="U13" s="7">
        <v>8.0399999999999999E-2</v>
      </c>
      <c r="V13" s="7">
        <v>8.7800000000000003E-2</v>
      </c>
      <c r="W13" s="7">
        <v>9.4100000000000003E-2</v>
      </c>
      <c r="X13" s="7">
        <v>9.9699999999999997E-2</v>
      </c>
      <c r="Y13" s="7">
        <v>0.1046</v>
      </c>
      <c r="Z13" s="7">
        <v>0.1089</v>
      </c>
      <c r="AA13" s="7">
        <v>0.1128</v>
      </c>
      <c r="AB13" s="7">
        <v>0.1162</v>
      </c>
      <c r="AC13" s="7">
        <v>0.1192</v>
      </c>
      <c r="AD13" s="7">
        <v>0.12189999999999999</v>
      </c>
      <c r="AE13" s="7">
        <v>0.12429999999999999</v>
      </c>
      <c r="AF13" s="7">
        <v>0.1265</v>
      </c>
      <c r="AG13" s="7">
        <v>0.12839999999999999</v>
      </c>
      <c r="AH13" s="7">
        <v>0.13009999999999999</v>
      </c>
      <c r="AI13" s="7">
        <v>0.13170000000000001</v>
      </c>
      <c r="AJ13" s="7">
        <v>0.1331</v>
      </c>
      <c r="AK13" s="7">
        <v>0.13439999999999999</v>
      </c>
      <c r="AL13" s="7">
        <v>0.1356</v>
      </c>
      <c r="AM13" s="16">
        <v>0.1366</v>
      </c>
      <c r="AN13" s="16">
        <v>0.1376</v>
      </c>
      <c r="AO13" s="16">
        <v>0.1384</v>
      </c>
      <c r="AP13" s="16">
        <v>0.13919999999999999</v>
      </c>
      <c r="AQ13" s="16">
        <v>0.13980000000000001</v>
      </c>
      <c r="AR13" s="16">
        <v>0.14050000000000001</v>
      </c>
      <c r="AS13" s="16">
        <v>0.14099999999999999</v>
      </c>
      <c r="AT13" s="16">
        <v>0.14149999999999999</v>
      </c>
      <c r="AU13" s="16">
        <v>0.14199999999999999</v>
      </c>
      <c r="AV13" s="16">
        <v>0.14230000000000001</v>
      </c>
      <c r="AW13" s="16">
        <v>0.14269999999999999</v>
      </c>
      <c r="AX13" s="16">
        <v>0.14299999999999999</v>
      </c>
    </row>
    <row r="14" spans="1:50" x14ac:dyDescent="0.35">
      <c r="A14" t="s">
        <v>82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>
        <v>1.6299999999999999E-2</v>
      </c>
      <c r="S14" s="7">
        <v>3.0300000000000001E-2</v>
      </c>
      <c r="T14" s="7">
        <v>4.2200000000000001E-2</v>
      </c>
      <c r="U14" s="7">
        <v>5.2999999999999999E-2</v>
      </c>
      <c r="V14" s="7">
        <v>6.1800000000000001E-2</v>
      </c>
      <c r="W14" s="7">
        <v>6.9599999999999995E-2</v>
      </c>
      <c r="X14" s="7">
        <v>7.6399999999999996E-2</v>
      </c>
      <c r="Y14" s="7">
        <v>8.2299999999999998E-2</v>
      </c>
      <c r="Z14" s="7">
        <v>8.7599999999999997E-2</v>
      </c>
      <c r="AA14" s="7">
        <v>9.2299999999999993E-2</v>
      </c>
      <c r="AB14" s="7">
        <v>9.6500000000000002E-2</v>
      </c>
      <c r="AC14" s="7">
        <v>0.1002</v>
      </c>
      <c r="AD14" s="7">
        <v>0.1036</v>
      </c>
      <c r="AE14" s="7">
        <v>0.1066</v>
      </c>
      <c r="AF14" s="7">
        <v>0.10929999999999999</v>
      </c>
      <c r="AG14" s="7">
        <v>0.1118</v>
      </c>
      <c r="AH14" s="7">
        <v>0.114</v>
      </c>
      <c r="AI14" s="7">
        <v>0.11600000000000001</v>
      </c>
      <c r="AJ14" s="7">
        <v>0.1179</v>
      </c>
      <c r="AK14" s="7">
        <v>0.1196</v>
      </c>
      <c r="AL14" s="7">
        <v>0.1211</v>
      </c>
      <c r="AM14" s="16">
        <v>0.1225</v>
      </c>
      <c r="AN14" s="16">
        <v>0.1237</v>
      </c>
      <c r="AO14" s="16">
        <v>0.1249</v>
      </c>
      <c r="AP14" s="16">
        <v>0.12590000000000001</v>
      </c>
      <c r="AQ14" s="16">
        <v>0.12690000000000001</v>
      </c>
      <c r="AR14" s="16">
        <v>0.1278</v>
      </c>
      <c r="AS14" s="16">
        <v>0.12859999999999999</v>
      </c>
      <c r="AT14" s="16">
        <v>0.1293</v>
      </c>
      <c r="AU14" s="16">
        <v>0.13</v>
      </c>
      <c r="AV14" s="16">
        <v>0.13059999999999999</v>
      </c>
      <c r="AW14" s="16">
        <v>0.13120000000000001</v>
      </c>
      <c r="AX14" s="16">
        <v>0.13170000000000001</v>
      </c>
    </row>
    <row r="15" spans="1:50" x14ac:dyDescent="0.35">
      <c r="A15" t="s">
        <v>83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>
        <v>1.4E-2</v>
      </c>
      <c r="U15" s="7">
        <v>2.63E-2</v>
      </c>
      <c r="V15" s="7">
        <v>3.6799999999999999E-2</v>
      </c>
      <c r="W15" s="7">
        <v>4.5900000000000003E-2</v>
      </c>
      <c r="X15" s="7">
        <v>5.3900000000000003E-2</v>
      </c>
      <c r="Y15" s="7">
        <v>6.0999999999999999E-2</v>
      </c>
      <c r="Z15" s="7">
        <v>6.7199999999999996E-2</v>
      </c>
      <c r="AA15" s="7">
        <v>7.2800000000000004E-2</v>
      </c>
      <c r="AB15" s="7">
        <v>7.7799999999999994E-2</v>
      </c>
      <c r="AC15" s="7">
        <v>8.2199999999999995E-2</v>
      </c>
      <c r="AD15" s="7">
        <v>8.6199999999999999E-2</v>
      </c>
      <c r="AE15" s="7">
        <v>8.9899999999999994E-2</v>
      </c>
      <c r="AF15" s="7">
        <v>9.3100000000000002E-2</v>
      </c>
      <c r="AG15" s="7">
        <v>9.6100000000000005E-2</v>
      </c>
      <c r="AH15" s="7">
        <v>9.8799999999999999E-2</v>
      </c>
      <c r="AI15" s="7">
        <v>0.1013</v>
      </c>
      <c r="AJ15" s="7">
        <v>0.1036</v>
      </c>
      <c r="AK15" s="7">
        <v>0.1056</v>
      </c>
      <c r="AL15" s="7">
        <v>0.1075</v>
      </c>
      <c r="AM15" s="16">
        <v>0.10920000000000001</v>
      </c>
      <c r="AN15" s="16">
        <v>0.1108</v>
      </c>
      <c r="AO15" s="16">
        <v>0.1123</v>
      </c>
      <c r="AP15" s="16">
        <v>0.11360000000000001</v>
      </c>
      <c r="AQ15" s="16">
        <v>0.1149</v>
      </c>
      <c r="AR15" s="16">
        <v>0.11600000000000001</v>
      </c>
      <c r="AS15" s="16">
        <v>0.11700000000000001</v>
      </c>
      <c r="AT15" s="16">
        <v>0.11799999999999999</v>
      </c>
      <c r="AU15" s="16">
        <v>0.11890000000000001</v>
      </c>
      <c r="AV15" s="16">
        <v>0.1197</v>
      </c>
      <c r="AW15" s="16">
        <v>0.1205</v>
      </c>
      <c r="AX15" s="16">
        <v>0.1212</v>
      </c>
    </row>
    <row r="16" spans="1:50" x14ac:dyDescent="0.35">
      <c r="A16" t="s">
        <v>84</v>
      </c>
      <c r="V16" s="7">
        <v>1.2200000000000001E-2</v>
      </c>
      <c r="W16" s="7">
        <v>2.2800000000000001E-2</v>
      </c>
      <c r="X16" s="7">
        <v>3.2099999999999997E-2</v>
      </c>
      <c r="Y16" s="7">
        <v>4.0300000000000002E-2</v>
      </c>
      <c r="Z16" s="7">
        <v>4.7600000000000003E-2</v>
      </c>
      <c r="AA16" s="7">
        <v>5.3999999999999999E-2</v>
      </c>
      <c r="AB16" s="7">
        <v>5.9799999999999999E-2</v>
      </c>
      <c r="AC16" s="7">
        <v>6.5000000000000002E-2</v>
      </c>
      <c r="AD16" s="7">
        <v>6.9699999999999998E-2</v>
      </c>
      <c r="AE16" s="7">
        <v>7.3899999999999993E-2</v>
      </c>
      <c r="AF16" s="7">
        <v>7.7700000000000005E-2</v>
      </c>
      <c r="AG16" s="7">
        <v>8.1199999999999994E-2</v>
      </c>
      <c r="AH16" s="7">
        <v>8.4400000000000003E-2</v>
      </c>
      <c r="AI16" s="7">
        <v>8.7300000000000003E-2</v>
      </c>
      <c r="AJ16" s="7">
        <v>0.09</v>
      </c>
      <c r="AK16" s="7">
        <v>9.2399999999999996E-2</v>
      </c>
      <c r="AL16" s="7">
        <v>9.4700000000000006E-2</v>
      </c>
      <c r="AM16" s="16">
        <v>9.6699999999999994E-2</v>
      </c>
      <c r="AN16" s="16">
        <v>9.8599999999999993E-2</v>
      </c>
      <c r="AO16" s="16">
        <v>0.1004</v>
      </c>
      <c r="AP16" s="16">
        <v>0.10199999999999999</v>
      </c>
      <c r="AQ16" s="16">
        <v>0.10349999999999999</v>
      </c>
      <c r="AR16" s="16">
        <v>0.10489999999999999</v>
      </c>
      <c r="AS16" s="16">
        <v>0.1062</v>
      </c>
      <c r="AT16" s="16">
        <v>0.10730000000000001</v>
      </c>
      <c r="AU16" s="16">
        <v>0.1085</v>
      </c>
      <c r="AV16" s="16">
        <v>0.1095</v>
      </c>
      <c r="AW16" s="16">
        <v>0.1105</v>
      </c>
      <c r="AX16" s="16">
        <v>0.1113</v>
      </c>
    </row>
    <row r="17" spans="1:50" x14ac:dyDescent="0.35">
      <c r="A17" t="s">
        <v>85</v>
      </c>
      <c r="W17" s="7">
        <v>0</v>
      </c>
      <c r="X17" s="7">
        <v>1.0699999999999999E-2</v>
      </c>
      <c r="Y17" s="7">
        <v>0.02</v>
      </c>
      <c r="Z17" s="7">
        <v>2.8400000000000002E-2</v>
      </c>
      <c r="AA17" s="7">
        <v>3.5799999999999998E-2</v>
      </c>
      <c r="AB17" s="7">
        <v>4.24E-2</v>
      </c>
      <c r="AC17" s="7">
        <v>4.8300000000000003E-2</v>
      </c>
      <c r="AD17" s="7">
        <v>5.3699999999999998E-2</v>
      </c>
      <c r="AE17" s="7">
        <v>5.8500000000000003E-2</v>
      </c>
      <c r="AF17" s="7">
        <v>6.2899999999999998E-2</v>
      </c>
      <c r="AG17" s="7">
        <v>6.6900000000000001E-2</v>
      </c>
      <c r="AH17" s="7">
        <v>7.0599999999999996E-2</v>
      </c>
      <c r="AI17" s="7">
        <v>7.3899999999999993E-2</v>
      </c>
      <c r="AJ17" s="7">
        <v>7.6999999999999999E-2</v>
      </c>
      <c r="AK17" s="7">
        <v>7.9799999999999996E-2</v>
      </c>
      <c r="AL17" s="7">
        <v>8.2400000000000001E-2</v>
      </c>
      <c r="AM17" s="16">
        <v>8.48E-2</v>
      </c>
      <c r="AN17" s="16">
        <v>8.6999999999999994E-2</v>
      </c>
      <c r="AO17" s="16">
        <v>8.9099999999999999E-2</v>
      </c>
      <c r="AP17" s="16">
        <v>9.0899999999999995E-2</v>
      </c>
      <c r="AQ17" s="16">
        <v>9.2700000000000005E-2</v>
      </c>
      <c r="AR17" s="16">
        <v>9.4299999999999995E-2</v>
      </c>
      <c r="AS17" s="16">
        <v>9.5899999999999999E-2</v>
      </c>
      <c r="AT17" s="16">
        <v>9.7199999999999995E-2</v>
      </c>
      <c r="AU17" s="16">
        <v>9.8599999999999993E-2</v>
      </c>
      <c r="AV17" s="16">
        <v>9.98E-2</v>
      </c>
      <c r="AW17" s="16">
        <v>0.10100000000000001</v>
      </c>
      <c r="AX17" s="16">
        <v>0.10199999999999999</v>
      </c>
    </row>
    <row r="18" spans="1:50" x14ac:dyDescent="0.35">
      <c r="A18" t="s">
        <v>86</v>
      </c>
      <c r="Y18" s="7">
        <v>0</v>
      </c>
      <c r="Z18" s="7">
        <v>9.4000000000000004E-3</v>
      </c>
      <c r="AA18" s="7">
        <v>1.78E-2</v>
      </c>
      <c r="AB18" s="7">
        <v>2.53E-2</v>
      </c>
      <c r="AC18" s="7">
        <v>3.2000000000000001E-2</v>
      </c>
      <c r="AD18" s="7">
        <v>3.8100000000000002E-2</v>
      </c>
      <c r="AE18" s="7">
        <v>4.3499999999999997E-2</v>
      </c>
      <c r="AF18" s="7">
        <v>4.8500000000000001E-2</v>
      </c>
      <c r="AG18" s="7">
        <v>5.2999999999999999E-2</v>
      </c>
      <c r="AH18" s="7">
        <v>5.7200000000000001E-2</v>
      </c>
      <c r="AI18" s="7">
        <v>6.0999999999999999E-2</v>
      </c>
      <c r="AJ18" s="7">
        <v>6.4500000000000002E-2</v>
      </c>
      <c r="AK18" s="7">
        <v>6.7699999999999996E-2</v>
      </c>
      <c r="AL18" s="7">
        <v>7.0599999999999996E-2</v>
      </c>
      <c r="AM18" s="16">
        <v>7.3300000000000004E-2</v>
      </c>
      <c r="AN18" s="16">
        <v>7.5899999999999995E-2</v>
      </c>
      <c r="AO18" s="16">
        <v>7.8200000000000006E-2</v>
      </c>
      <c r="AP18" s="16">
        <v>8.0399999999999999E-2</v>
      </c>
      <c r="AQ18" s="16">
        <v>8.2400000000000001E-2</v>
      </c>
      <c r="AR18" s="16">
        <v>8.4199999999999997E-2</v>
      </c>
      <c r="AS18" s="16">
        <v>8.5999999999999993E-2</v>
      </c>
      <c r="AT18" s="16">
        <v>8.7599999999999997E-2</v>
      </c>
      <c r="AU18" s="16">
        <v>8.9200000000000002E-2</v>
      </c>
      <c r="AV18" s="16">
        <v>9.06E-2</v>
      </c>
      <c r="AW18" s="16">
        <v>9.1899999999999996E-2</v>
      </c>
      <c r="AX18" s="16">
        <v>9.3200000000000005E-2</v>
      </c>
    </row>
    <row r="19" spans="1:50" x14ac:dyDescent="0.35">
      <c r="A19" t="s">
        <v>106</v>
      </c>
      <c r="AA19" s="7">
        <v>0</v>
      </c>
      <c r="AB19" s="7">
        <v>8.3999999999999995E-3</v>
      </c>
      <c r="AC19" s="7">
        <v>1.5900000000000001E-2</v>
      </c>
      <c r="AD19" s="7">
        <v>2.2700000000000001E-2</v>
      </c>
      <c r="AE19" s="7">
        <v>2.8899999999999999E-2</v>
      </c>
      <c r="AF19" s="7">
        <v>3.44E-2</v>
      </c>
      <c r="AG19" s="7">
        <v>3.95E-2</v>
      </c>
      <c r="AH19" s="7">
        <v>4.41E-2</v>
      </c>
      <c r="AI19" s="7">
        <v>4.8399999999999999E-2</v>
      </c>
      <c r="AJ19" s="7">
        <v>5.2299999999999999E-2</v>
      </c>
      <c r="AK19" s="7">
        <v>5.5899999999999998E-2</v>
      </c>
      <c r="AL19" s="7">
        <v>5.9200000000000003E-2</v>
      </c>
      <c r="AM19" s="16">
        <v>6.2199999999999998E-2</v>
      </c>
      <c r="AN19" s="16">
        <v>6.5100000000000005E-2</v>
      </c>
      <c r="AO19" s="16">
        <v>6.7699999999999996E-2</v>
      </c>
      <c r="AP19" s="16">
        <v>7.0099999999999996E-2</v>
      </c>
      <c r="AQ19" s="16">
        <v>7.2400000000000006E-2</v>
      </c>
      <c r="AR19" s="16">
        <v>7.4499999999999997E-2</v>
      </c>
      <c r="AS19" s="16">
        <v>7.6499999999999999E-2</v>
      </c>
      <c r="AT19" s="16">
        <v>7.8299999999999995E-2</v>
      </c>
      <c r="AU19" s="16">
        <v>8.0100000000000005E-2</v>
      </c>
      <c r="AV19" s="16">
        <v>8.1699999999999995E-2</v>
      </c>
      <c r="AW19" s="16">
        <v>8.3199999999999996E-2</v>
      </c>
      <c r="AX19" s="16">
        <v>8.4599999999999995E-2</v>
      </c>
    </row>
    <row r="20" spans="1:50" x14ac:dyDescent="0.35">
      <c r="A20" t="s">
        <v>107</v>
      </c>
      <c r="AA20" s="7" t="s">
        <v>108</v>
      </c>
      <c r="AB20" s="7" t="s">
        <v>108</v>
      </c>
      <c r="AC20" s="7">
        <v>0</v>
      </c>
      <c r="AD20" s="7">
        <v>7.6E-3</v>
      </c>
      <c r="AE20" s="7">
        <v>1.44E-2</v>
      </c>
      <c r="AF20" s="7">
        <v>2.06E-2</v>
      </c>
      <c r="AG20" s="7">
        <v>2.6200000000000001E-2</v>
      </c>
      <c r="AH20" s="7">
        <v>3.1399999999999997E-2</v>
      </c>
      <c r="AI20" s="7">
        <v>3.61E-2</v>
      </c>
      <c r="AJ20" s="7">
        <v>4.0399999999999998E-2</v>
      </c>
      <c r="AK20" s="7">
        <v>4.4400000000000002E-2</v>
      </c>
      <c r="AL20" s="7">
        <v>4.8099999999999997E-2</v>
      </c>
      <c r="AM20" s="16">
        <v>5.1499999999999997E-2</v>
      </c>
      <c r="AN20" s="16">
        <v>5.4600000000000003E-2</v>
      </c>
      <c r="AO20" s="16">
        <v>5.7500000000000002E-2</v>
      </c>
      <c r="AP20" s="16">
        <v>6.0199999999999997E-2</v>
      </c>
      <c r="AQ20" s="16">
        <v>6.2799999999999995E-2</v>
      </c>
      <c r="AR20" s="16">
        <v>6.5100000000000005E-2</v>
      </c>
      <c r="AS20" s="16">
        <v>6.7299999999999999E-2</v>
      </c>
      <c r="AT20" s="16">
        <v>6.9400000000000003E-2</v>
      </c>
      <c r="AU20" s="16">
        <v>7.1300000000000002E-2</v>
      </c>
      <c r="AV20" s="16">
        <v>7.3099999999999998E-2</v>
      </c>
      <c r="AW20" s="16">
        <v>7.4800000000000005E-2</v>
      </c>
      <c r="AX20" s="16">
        <v>7.6399999999999996E-2</v>
      </c>
    </row>
    <row r="21" spans="1:50" x14ac:dyDescent="0.35">
      <c r="A21" t="s">
        <v>109</v>
      </c>
      <c r="AA21" s="7"/>
      <c r="AB21" s="7"/>
      <c r="AC21" s="7" t="s">
        <v>108</v>
      </c>
      <c r="AD21" s="7" t="s">
        <v>108</v>
      </c>
      <c r="AE21" s="7">
        <v>0</v>
      </c>
      <c r="AF21" s="7">
        <v>6.7999999999999996E-3</v>
      </c>
      <c r="AG21" s="7">
        <v>1.3100000000000001E-2</v>
      </c>
      <c r="AH21" s="7">
        <v>1.8700000000000001E-2</v>
      </c>
      <c r="AI21" s="7">
        <v>2.3900000000000001E-2</v>
      </c>
      <c r="AJ21" s="7">
        <v>2.87E-2</v>
      </c>
      <c r="AK21" s="7">
        <v>3.3099999999999997E-2</v>
      </c>
      <c r="AL21" s="7">
        <v>3.7199999999999997E-2</v>
      </c>
      <c r="AM21" s="16">
        <v>4.0899999999999999E-2</v>
      </c>
      <c r="AN21" s="16">
        <v>4.4400000000000002E-2</v>
      </c>
      <c r="AO21" s="16">
        <v>4.7600000000000003E-2</v>
      </c>
      <c r="AP21" s="16">
        <v>5.0599999999999999E-2</v>
      </c>
      <c r="AQ21" s="16">
        <v>5.3400000000000003E-2</v>
      </c>
      <c r="AR21" s="16">
        <v>5.6000000000000001E-2</v>
      </c>
      <c r="AS21" s="16">
        <v>5.8400000000000001E-2</v>
      </c>
      <c r="AT21" s="16">
        <v>6.0699999999999997E-2</v>
      </c>
      <c r="AU21" s="16">
        <v>6.2799999999999995E-2</v>
      </c>
      <c r="AV21" s="16">
        <v>6.4799999999999996E-2</v>
      </c>
      <c r="AW21" s="16">
        <v>6.6699999999999995E-2</v>
      </c>
      <c r="AX21" s="16">
        <v>6.8500000000000005E-2</v>
      </c>
    </row>
    <row r="22" spans="1:50" x14ac:dyDescent="0.35">
      <c r="A22" t="s">
        <v>110</v>
      </c>
      <c r="AA22" s="7"/>
      <c r="AB22" s="7"/>
      <c r="AC22" s="7" t="s">
        <v>108</v>
      </c>
      <c r="AD22" s="7" t="s">
        <v>108</v>
      </c>
      <c r="AE22" s="7" t="s">
        <v>108</v>
      </c>
      <c r="AF22" s="7" t="s">
        <v>108</v>
      </c>
      <c r="AG22" s="7">
        <v>0</v>
      </c>
      <c r="AH22" s="7">
        <v>6.1999999999999998E-3</v>
      </c>
      <c r="AI22" s="7">
        <v>1.1900000000000001E-2</v>
      </c>
      <c r="AJ22" s="7">
        <v>1.72E-2</v>
      </c>
      <c r="AK22" s="7">
        <v>2.1999999999999999E-2</v>
      </c>
      <c r="AL22" s="7">
        <v>2.64E-2</v>
      </c>
      <c r="AM22" s="16">
        <v>3.0499999999999999E-2</v>
      </c>
      <c r="AN22" s="16">
        <v>3.4299999999999997E-2</v>
      </c>
      <c r="AO22" s="16">
        <v>3.7900000000000003E-2</v>
      </c>
      <c r="AP22" s="16">
        <v>4.1099999999999998E-2</v>
      </c>
      <c r="AQ22" s="16">
        <v>4.4200000000000003E-2</v>
      </c>
      <c r="AR22" s="16">
        <v>4.7100000000000003E-2</v>
      </c>
      <c r="AS22" s="16">
        <v>4.9700000000000001E-2</v>
      </c>
      <c r="AT22" s="16">
        <v>5.2200000000000003E-2</v>
      </c>
      <c r="AU22" s="16">
        <v>5.4600000000000003E-2</v>
      </c>
      <c r="AV22" s="16">
        <v>5.6800000000000003E-2</v>
      </c>
      <c r="AW22" s="16">
        <v>5.8799999999999998E-2</v>
      </c>
      <c r="AX22" s="16">
        <v>6.08E-2</v>
      </c>
    </row>
    <row r="23" spans="1:50" x14ac:dyDescent="0.35">
      <c r="A23" t="s">
        <v>111</v>
      </c>
      <c r="AA23" s="7"/>
      <c r="AB23" s="7"/>
      <c r="AC23" s="7" t="s">
        <v>108</v>
      </c>
      <c r="AD23" s="7" t="s">
        <v>108</v>
      </c>
      <c r="AE23" s="7" t="s">
        <v>108</v>
      </c>
      <c r="AF23" s="7" t="s">
        <v>108</v>
      </c>
      <c r="AG23" s="7" t="s">
        <v>108</v>
      </c>
      <c r="AH23" s="7" t="s">
        <v>108</v>
      </c>
      <c r="AI23" s="7">
        <v>0</v>
      </c>
      <c r="AJ23" s="7">
        <v>5.7000000000000002E-3</v>
      </c>
      <c r="AK23" s="7">
        <v>1.0999999999999999E-2</v>
      </c>
      <c r="AL23" s="7">
        <v>1.5800000000000002E-2</v>
      </c>
      <c r="AM23" s="16">
        <v>2.0299999999999999E-2</v>
      </c>
      <c r="AN23" s="16">
        <v>2.4400000000000002E-2</v>
      </c>
      <c r="AO23" s="16">
        <v>2.8299999999999999E-2</v>
      </c>
      <c r="AP23" s="16">
        <v>3.1800000000000002E-2</v>
      </c>
      <c r="AQ23" s="16">
        <v>3.5200000000000002E-2</v>
      </c>
      <c r="AR23" s="16">
        <v>3.8300000000000001E-2</v>
      </c>
      <c r="AS23" s="16">
        <v>4.1200000000000001E-2</v>
      </c>
      <c r="AT23" s="16">
        <v>4.3900000000000002E-2</v>
      </c>
      <c r="AU23" s="16">
        <v>4.65E-2</v>
      </c>
      <c r="AV23" s="16">
        <v>4.8899999999999999E-2</v>
      </c>
      <c r="AW23" s="16">
        <v>5.11E-2</v>
      </c>
      <c r="AX23" s="16">
        <v>5.3199999999999997E-2</v>
      </c>
    </row>
    <row r="24" spans="1:50" x14ac:dyDescent="0.35">
      <c r="A24" t="s">
        <v>112</v>
      </c>
      <c r="AK24" s="7">
        <v>0</v>
      </c>
      <c r="AL24" s="7">
        <v>5.3E-3</v>
      </c>
      <c r="AM24" s="16">
        <v>1.01E-2</v>
      </c>
      <c r="AN24" s="16">
        <v>1.46E-2</v>
      </c>
      <c r="AO24" s="16">
        <v>1.8800000000000001E-2</v>
      </c>
      <c r="AP24" s="16">
        <v>2.2700000000000001E-2</v>
      </c>
      <c r="AQ24" s="16">
        <v>2.63E-2</v>
      </c>
      <c r="AR24" s="16">
        <v>2.9600000000000001E-2</v>
      </c>
      <c r="AS24" s="16">
        <v>3.2800000000000003E-2</v>
      </c>
      <c r="AT24" s="16">
        <v>3.5700000000000003E-2</v>
      </c>
      <c r="AU24" s="16">
        <v>3.85E-2</v>
      </c>
      <c r="AV24" s="16">
        <v>4.1099999999999998E-2</v>
      </c>
      <c r="AW24" s="16">
        <v>4.36E-2</v>
      </c>
      <c r="AX24" s="16">
        <v>4.5900000000000003E-2</v>
      </c>
    </row>
    <row r="25" spans="1:50" x14ac:dyDescent="0.35">
      <c r="A25" t="s">
        <v>113</v>
      </c>
      <c r="AM25" s="16">
        <v>0</v>
      </c>
      <c r="AN25" s="16">
        <v>4.8999999999999998E-3</v>
      </c>
      <c r="AO25" s="16">
        <v>9.4000000000000004E-3</v>
      </c>
      <c r="AP25" s="16">
        <v>1.3599999999999999E-2</v>
      </c>
      <c r="AQ25" s="16">
        <v>1.7500000000000002E-2</v>
      </c>
      <c r="AR25" s="16">
        <v>2.1100000000000001E-2</v>
      </c>
      <c r="AS25" s="16">
        <v>2.4500000000000001E-2</v>
      </c>
      <c r="AT25" s="16">
        <v>2.7699999999999999E-2</v>
      </c>
      <c r="AU25" s="16">
        <v>3.0700000000000002E-2</v>
      </c>
      <c r="AV25" s="16">
        <v>3.3500000000000002E-2</v>
      </c>
      <c r="AW25" s="16">
        <v>3.61E-2</v>
      </c>
      <c r="AX25" s="16">
        <v>3.8600000000000002E-2</v>
      </c>
    </row>
    <row r="26" spans="1:50" x14ac:dyDescent="0.35">
      <c r="A26" t="s">
        <v>114</v>
      </c>
      <c r="AM26" s="4"/>
      <c r="AN26" s="4"/>
      <c r="AO26" s="16">
        <v>0</v>
      </c>
      <c r="AP26" s="16">
        <v>4.4999999999999997E-3</v>
      </c>
      <c r="AQ26" s="16">
        <v>8.6999999999999994E-3</v>
      </c>
      <c r="AR26" s="16">
        <v>1.26E-2</v>
      </c>
      <c r="AS26" s="16">
        <v>1.6299999999999999E-2</v>
      </c>
      <c r="AT26" s="16">
        <v>1.9699999999999999E-2</v>
      </c>
      <c r="AU26" s="16">
        <v>2.29E-2</v>
      </c>
      <c r="AV26" s="16">
        <v>2.5899999999999999E-2</v>
      </c>
      <c r="AW26" s="16">
        <v>2.8799999999999999E-2</v>
      </c>
      <c r="AX26" s="16">
        <v>3.1399999999999997E-2</v>
      </c>
    </row>
    <row r="27" spans="1:50" x14ac:dyDescent="0.35">
      <c r="A27" t="s">
        <v>115</v>
      </c>
      <c r="AM27" s="4"/>
      <c r="AN27" s="4"/>
      <c r="AO27" s="4"/>
      <c r="AP27" s="4"/>
      <c r="AQ27" s="16">
        <v>0</v>
      </c>
      <c r="AR27" s="16">
        <v>4.1999999999999997E-3</v>
      </c>
      <c r="AS27" s="16">
        <v>8.0999999999999996E-3</v>
      </c>
      <c r="AT27" s="16">
        <v>1.18E-2</v>
      </c>
      <c r="AU27" s="16">
        <v>1.5299999999999999E-2</v>
      </c>
      <c r="AV27" s="16">
        <v>1.8499999999999999E-2</v>
      </c>
      <c r="AW27" s="16">
        <v>2.1499999999999998E-2</v>
      </c>
      <c r="AX27" s="16">
        <v>2.4400000000000002E-2</v>
      </c>
    </row>
    <row r="28" spans="1:50" x14ac:dyDescent="0.35">
      <c r="A28" t="s">
        <v>116</v>
      </c>
      <c r="AM28" s="4"/>
      <c r="AN28" s="4"/>
      <c r="AO28" s="4"/>
      <c r="AP28" s="4"/>
      <c r="AQ28" s="4"/>
      <c r="AR28" s="4"/>
      <c r="AS28" s="16">
        <v>0</v>
      </c>
      <c r="AT28" s="16">
        <v>3.8999999999999998E-3</v>
      </c>
      <c r="AU28" s="16">
        <v>7.6E-3</v>
      </c>
      <c r="AV28" s="16">
        <v>1.11E-2</v>
      </c>
      <c r="AW28" s="16">
        <v>1.43E-2</v>
      </c>
      <c r="AX28" s="16">
        <v>1.7399999999999999E-2</v>
      </c>
    </row>
    <row r="29" spans="1:50" x14ac:dyDescent="0.35">
      <c r="A29" t="s">
        <v>117</v>
      </c>
      <c r="AM29" s="4"/>
      <c r="AN29" s="4"/>
      <c r="AO29" s="4"/>
      <c r="AP29" s="4"/>
      <c r="AQ29" s="4"/>
      <c r="AR29" s="4"/>
      <c r="AS29" s="4"/>
      <c r="AT29" s="16"/>
      <c r="AU29" s="16">
        <v>0</v>
      </c>
      <c r="AV29" s="16">
        <v>3.7000000000000002E-3</v>
      </c>
      <c r="AW29" s="16">
        <v>7.1000000000000004E-3</v>
      </c>
      <c r="AX29" s="16">
        <v>1.04E-2</v>
      </c>
    </row>
    <row r="30" spans="1:50" x14ac:dyDescent="0.35">
      <c r="A30" t="s">
        <v>118</v>
      </c>
      <c r="AM30" s="4"/>
      <c r="AN30" s="4"/>
      <c r="AO30" s="4"/>
      <c r="AP30" s="4"/>
      <c r="AQ30" s="4"/>
      <c r="AR30" s="4"/>
      <c r="AS30" s="4"/>
      <c r="AT30" s="16"/>
      <c r="AU30" s="16"/>
      <c r="AV30" s="16"/>
      <c r="AW30" s="16">
        <v>0</v>
      </c>
      <c r="AX30" s="16">
        <v>3.5000000000000001E-3</v>
      </c>
    </row>
    <row r="31" spans="1:50" x14ac:dyDescent="0.35">
      <c r="AT31" s="7"/>
      <c r="AU31" s="7"/>
      <c r="AV31" s="7"/>
      <c r="AW31" s="7"/>
    </row>
    <row r="32" spans="1:50" x14ac:dyDescent="0.35">
      <c r="A32" s="1" t="s">
        <v>132</v>
      </c>
    </row>
    <row r="33" spans="1:10" customFormat="1" x14ac:dyDescent="0.35">
      <c r="A33" s="1"/>
    </row>
    <row r="34" spans="1:10" customFormat="1" ht="24" x14ac:dyDescent="0.5">
      <c r="A34" t="s">
        <v>87</v>
      </c>
      <c r="B34">
        <v>0.01</v>
      </c>
      <c r="C34">
        <v>0.02</v>
      </c>
      <c r="D34">
        <v>0.05</v>
      </c>
      <c r="E34">
        <v>0.1</v>
      </c>
      <c r="F34">
        <v>0.5</v>
      </c>
      <c r="G34">
        <v>0.9</v>
      </c>
      <c r="H34">
        <v>0.95</v>
      </c>
      <c r="I34">
        <v>0.98</v>
      </c>
      <c r="J34">
        <v>0.99</v>
      </c>
    </row>
    <row r="35" spans="1:10" customFormat="1" x14ac:dyDescent="0.35">
      <c r="A35">
        <v>3</v>
      </c>
      <c r="B35" s="57">
        <v>0.753</v>
      </c>
      <c r="C35" s="22">
        <v>0.75600000000000001</v>
      </c>
      <c r="D35" s="22">
        <v>0.76700000000000002</v>
      </c>
      <c r="E35" s="22">
        <v>0.78900000000000003</v>
      </c>
      <c r="F35" s="22">
        <v>0.95899999999999996</v>
      </c>
      <c r="G35" s="22">
        <v>0.998</v>
      </c>
      <c r="H35" s="22">
        <v>0.999</v>
      </c>
      <c r="I35" s="22">
        <v>1</v>
      </c>
      <c r="J35" s="58">
        <v>1</v>
      </c>
    </row>
    <row r="36" spans="1:10" customFormat="1" x14ac:dyDescent="0.35">
      <c r="A36">
        <f>A35+1</f>
        <v>4</v>
      </c>
      <c r="B36" s="59">
        <v>0.68700000000000006</v>
      </c>
      <c r="C36" s="23">
        <v>0.70699999999999996</v>
      </c>
      <c r="D36" s="23">
        <v>0.748</v>
      </c>
      <c r="E36" s="23">
        <v>0.79200000000000004</v>
      </c>
      <c r="F36" s="23">
        <v>0.93500000000000005</v>
      </c>
      <c r="G36" s="23">
        <v>0.98699999999999999</v>
      </c>
      <c r="H36" s="23">
        <v>0.99199999999999999</v>
      </c>
      <c r="I36" s="23">
        <v>0.996</v>
      </c>
      <c r="J36" s="60">
        <v>0.997</v>
      </c>
    </row>
    <row r="37" spans="1:10" customFormat="1" x14ac:dyDescent="0.35">
      <c r="A37">
        <f t="shared" ref="A37:A82" si="2">A36+1</f>
        <v>5</v>
      </c>
      <c r="B37" s="59">
        <v>0.68600000000000005</v>
      </c>
      <c r="C37" s="23">
        <v>0.71499999999999997</v>
      </c>
      <c r="D37" s="23">
        <v>0.76200000000000001</v>
      </c>
      <c r="E37" s="23">
        <v>0.80600000000000005</v>
      </c>
      <c r="F37" s="23">
        <v>0.92700000000000005</v>
      </c>
      <c r="G37" s="23">
        <v>0.97899999999999998</v>
      </c>
      <c r="H37" s="23">
        <v>0.98599999999999999</v>
      </c>
      <c r="I37" s="23">
        <v>0.99099999999999999</v>
      </c>
      <c r="J37" s="60">
        <v>0.99299999999999999</v>
      </c>
    </row>
    <row r="38" spans="1:10" customFormat="1" x14ac:dyDescent="0.35">
      <c r="A38">
        <f t="shared" si="2"/>
        <v>6</v>
      </c>
      <c r="B38" s="59">
        <v>0.71299999999999997</v>
      </c>
      <c r="C38" s="23">
        <v>0.74299999999999999</v>
      </c>
      <c r="D38" s="23">
        <v>0.78800000000000003</v>
      </c>
      <c r="E38" s="23">
        <v>0.82599999999999996</v>
      </c>
      <c r="F38" s="23">
        <v>0.92700000000000005</v>
      </c>
      <c r="G38" s="23">
        <v>0.97399999999999998</v>
      </c>
      <c r="H38" s="23">
        <v>0.98099999999999998</v>
      </c>
      <c r="I38" s="23">
        <v>0.98599999999999999</v>
      </c>
      <c r="J38" s="60">
        <v>0.98899999999999999</v>
      </c>
    </row>
    <row r="39" spans="1:10" customFormat="1" x14ac:dyDescent="0.35">
      <c r="A39">
        <f t="shared" si="2"/>
        <v>7</v>
      </c>
      <c r="B39" s="59">
        <v>0.73</v>
      </c>
      <c r="C39" s="23">
        <v>0.76</v>
      </c>
      <c r="D39" s="23">
        <v>0.80300000000000005</v>
      </c>
      <c r="E39" s="23">
        <v>0.83799999999999997</v>
      </c>
      <c r="F39" s="23">
        <v>0.92800000000000005</v>
      </c>
      <c r="G39" s="23">
        <v>0.97199999999999998</v>
      </c>
      <c r="H39" s="23">
        <v>0.97899999999999998</v>
      </c>
      <c r="I39" s="23">
        <v>0.98499999999999999</v>
      </c>
      <c r="J39" s="60">
        <v>0.98799999999999999</v>
      </c>
    </row>
    <row r="40" spans="1:10" customFormat="1" x14ac:dyDescent="0.35">
      <c r="A40">
        <f t="shared" si="2"/>
        <v>8</v>
      </c>
      <c r="B40" s="59">
        <v>0.749</v>
      </c>
      <c r="C40" s="23">
        <v>0.77800000000000002</v>
      </c>
      <c r="D40" s="23">
        <v>0.81799999999999995</v>
      </c>
      <c r="E40" s="23">
        <v>0.85099999999999998</v>
      </c>
      <c r="F40" s="23">
        <v>0.93200000000000005</v>
      </c>
      <c r="G40" s="23">
        <v>0.97199999999999998</v>
      </c>
      <c r="H40" s="23">
        <v>0.97799999999999998</v>
      </c>
      <c r="I40" s="23">
        <v>0.98399999999999999</v>
      </c>
      <c r="J40" s="60">
        <v>0.98699999999999999</v>
      </c>
    </row>
    <row r="41" spans="1:10" customFormat="1" x14ac:dyDescent="0.35">
      <c r="A41">
        <f t="shared" si="2"/>
        <v>9</v>
      </c>
      <c r="B41" s="59">
        <v>0.76400000000000001</v>
      </c>
      <c r="C41" s="23">
        <v>0.79100000000000004</v>
      </c>
      <c r="D41" s="23">
        <v>0.82899999999999996</v>
      </c>
      <c r="E41" s="23">
        <v>0.85899999999999999</v>
      </c>
      <c r="F41" s="23">
        <v>0.93500000000000005</v>
      </c>
      <c r="G41" s="23">
        <v>0.97199999999999998</v>
      </c>
      <c r="H41" s="23">
        <v>0.97799999999999998</v>
      </c>
      <c r="I41" s="23">
        <v>0.98399999999999999</v>
      </c>
      <c r="J41" s="60">
        <v>0.98599999999999999</v>
      </c>
    </row>
    <row r="42" spans="1:10" customFormat="1" x14ac:dyDescent="0.35">
      <c r="A42">
        <f t="shared" si="2"/>
        <v>10</v>
      </c>
      <c r="B42" s="59">
        <v>0.78100000000000003</v>
      </c>
      <c r="C42" s="23">
        <v>0.80600000000000005</v>
      </c>
      <c r="D42" s="23">
        <v>0.84199999999999997</v>
      </c>
      <c r="E42" s="23">
        <v>0.86899999999999999</v>
      </c>
      <c r="F42" s="23">
        <v>0.93799999999999994</v>
      </c>
      <c r="G42" s="23">
        <v>0.97199999999999998</v>
      </c>
      <c r="H42" s="23">
        <v>0.97799999999999998</v>
      </c>
      <c r="I42" s="23">
        <v>0.98299999999999998</v>
      </c>
      <c r="J42" s="60">
        <v>0.98599999999999999</v>
      </c>
    </row>
    <row r="43" spans="1:10" customFormat="1" x14ac:dyDescent="0.35">
      <c r="A43">
        <f t="shared" si="2"/>
        <v>11</v>
      </c>
      <c r="B43" s="59">
        <v>0.79200000000000004</v>
      </c>
      <c r="C43" s="23">
        <v>0.81699999999999995</v>
      </c>
      <c r="D43" s="23">
        <v>0.85</v>
      </c>
      <c r="E43" s="23">
        <v>0.876</v>
      </c>
      <c r="F43" s="23">
        <v>0.94</v>
      </c>
      <c r="G43" s="23">
        <v>0.97299999999999998</v>
      </c>
      <c r="H43" s="23">
        <v>0.97899999999999998</v>
      </c>
      <c r="I43" s="23">
        <v>0.98399999999999999</v>
      </c>
      <c r="J43" s="60">
        <v>0.98599999999999999</v>
      </c>
    </row>
    <row r="44" spans="1:10" customFormat="1" x14ac:dyDescent="0.35">
      <c r="A44">
        <f t="shared" si="2"/>
        <v>12</v>
      </c>
      <c r="B44" s="59">
        <v>0.80500000000000005</v>
      </c>
      <c r="C44" s="23">
        <v>0.82799999999999996</v>
      </c>
      <c r="D44" s="23">
        <v>0.85899999999999999</v>
      </c>
      <c r="E44" s="23">
        <v>0.88300000000000001</v>
      </c>
      <c r="F44" s="23">
        <v>0.94299999999999995</v>
      </c>
      <c r="G44" s="23">
        <v>0.97299999999999998</v>
      </c>
      <c r="H44" s="23">
        <v>0.97899999999999998</v>
      </c>
      <c r="I44" s="23">
        <v>0.98399999999999999</v>
      </c>
      <c r="J44" s="60">
        <v>0.98599999999999999</v>
      </c>
    </row>
    <row r="45" spans="1:10" customFormat="1" x14ac:dyDescent="0.35">
      <c r="A45">
        <f t="shared" si="2"/>
        <v>13</v>
      </c>
      <c r="B45" s="59">
        <v>0.81399999999999995</v>
      </c>
      <c r="C45" s="23">
        <v>0.83699999999999997</v>
      </c>
      <c r="D45" s="23">
        <v>0.86599999999999999</v>
      </c>
      <c r="E45" s="23">
        <v>0.88900000000000001</v>
      </c>
      <c r="F45" s="23">
        <v>0.94499999999999995</v>
      </c>
      <c r="G45" s="23">
        <v>0.97399999999999998</v>
      </c>
      <c r="H45" s="23">
        <v>0.97899999999999998</v>
      </c>
      <c r="I45" s="23">
        <v>0.98399999999999999</v>
      </c>
      <c r="J45" s="60">
        <v>0.98599999999999999</v>
      </c>
    </row>
    <row r="46" spans="1:10" customFormat="1" x14ac:dyDescent="0.35">
      <c r="A46">
        <f t="shared" si="2"/>
        <v>14</v>
      </c>
      <c r="B46" s="59">
        <v>0.82499999999999996</v>
      </c>
      <c r="C46" s="23">
        <v>0.84599999999999997</v>
      </c>
      <c r="D46" s="23">
        <v>0.874</v>
      </c>
      <c r="E46" s="23">
        <v>0.89500000000000002</v>
      </c>
      <c r="F46" s="23">
        <v>0.94699999999999995</v>
      </c>
      <c r="G46" s="23">
        <v>0.97499999999999998</v>
      </c>
      <c r="H46" s="23">
        <v>0.98</v>
      </c>
      <c r="I46" s="23">
        <v>0.98399999999999999</v>
      </c>
      <c r="J46" s="60">
        <v>0.98599999999999999</v>
      </c>
    </row>
    <row r="47" spans="1:10" customFormat="1" x14ac:dyDescent="0.35">
      <c r="A47">
        <f t="shared" si="2"/>
        <v>15</v>
      </c>
      <c r="B47" s="59">
        <v>0.83499999999999996</v>
      </c>
      <c r="C47" s="23">
        <v>0.85499999999999998</v>
      </c>
      <c r="D47" s="23">
        <v>0.88100000000000001</v>
      </c>
      <c r="E47" s="23">
        <v>0.90100000000000002</v>
      </c>
      <c r="F47" s="23">
        <v>0.95</v>
      </c>
      <c r="G47" s="23">
        <v>0.97499999999999998</v>
      </c>
      <c r="H47" s="23">
        <v>0.98</v>
      </c>
      <c r="I47" s="23">
        <v>0.98399999999999999</v>
      </c>
      <c r="J47" s="60">
        <v>0.98699999999999999</v>
      </c>
    </row>
    <row r="48" spans="1:10" customFormat="1" x14ac:dyDescent="0.35">
      <c r="A48">
        <f t="shared" si="2"/>
        <v>16</v>
      </c>
      <c r="B48" s="59">
        <v>0.84399999999999997</v>
      </c>
      <c r="C48" s="23">
        <v>0.86299999999999999</v>
      </c>
      <c r="D48" s="23">
        <v>0.88700000000000001</v>
      </c>
      <c r="E48" s="23">
        <v>0.90600000000000003</v>
      </c>
      <c r="F48" s="23">
        <v>0.95199999999999996</v>
      </c>
      <c r="G48" s="23">
        <v>0.97599999999999998</v>
      </c>
      <c r="H48" s="23">
        <v>0.98099999999999998</v>
      </c>
      <c r="I48" s="23">
        <v>0.98499999999999999</v>
      </c>
      <c r="J48" s="60">
        <v>0.98699999999999999</v>
      </c>
    </row>
    <row r="49" spans="1:10" customFormat="1" x14ac:dyDescent="0.35">
      <c r="A49">
        <f t="shared" si="2"/>
        <v>17</v>
      </c>
      <c r="B49" s="59">
        <v>0.85099999999999998</v>
      </c>
      <c r="C49" s="23">
        <v>0.86899999999999999</v>
      </c>
      <c r="D49" s="23">
        <v>0.89200000000000002</v>
      </c>
      <c r="E49" s="23">
        <v>0.91</v>
      </c>
      <c r="F49" s="23">
        <v>0.95399999999999996</v>
      </c>
      <c r="G49" s="23">
        <v>0.97699999999999998</v>
      </c>
      <c r="H49" s="23">
        <v>0.98099999999999998</v>
      </c>
      <c r="I49" s="23">
        <v>0.98499999999999999</v>
      </c>
      <c r="J49" s="60">
        <v>0.98699999999999999</v>
      </c>
    </row>
    <row r="50" spans="1:10" customFormat="1" x14ac:dyDescent="0.35">
      <c r="A50">
        <f t="shared" si="2"/>
        <v>18</v>
      </c>
      <c r="B50" s="59">
        <v>0.85799999999999998</v>
      </c>
      <c r="C50" s="23">
        <v>0.874</v>
      </c>
      <c r="D50" s="23">
        <v>0.89700000000000002</v>
      </c>
      <c r="E50" s="23">
        <v>0.91400000000000003</v>
      </c>
      <c r="F50" s="23">
        <v>0.95599999999999996</v>
      </c>
      <c r="G50" s="23">
        <v>0.97799999999999998</v>
      </c>
      <c r="H50" s="23">
        <v>0.98199999999999998</v>
      </c>
      <c r="I50" s="23">
        <v>0.98599999999999999</v>
      </c>
      <c r="J50" s="60">
        <v>0.98799999999999999</v>
      </c>
    </row>
    <row r="51" spans="1:10" customFormat="1" x14ac:dyDescent="0.35">
      <c r="A51">
        <f t="shared" si="2"/>
        <v>19</v>
      </c>
      <c r="B51" s="59">
        <v>0.86299999999999999</v>
      </c>
      <c r="C51" s="23">
        <v>0.879</v>
      </c>
      <c r="D51" s="23">
        <v>0.90100000000000002</v>
      </c>
      <c r="E51" s="23">
        <v>0.91700000000000004</v>
      </c>
      <c r="F51" s="23">
        <v>0.95699999999999996</v>
      </c>
      <c r="G51" s="23">
        <v>0.97799999999999998</v>
      </c>
      <c r="H51" s="23">
        <v>0.98199999999999998</v>
      </c>
      <c r="I51" s="23">
        <v>0.98599999999999999</v>
      </c>
      <c r="J51" s="60">
        <v>0.98799999999999999</v>
      </c>
    </row>
    <row r="52" spans="1:10" customFormat="1" x14ac:dyDescent="0.35">
      <c r="A52">
        <f t="shared" si="2"/>
        <v>20</v>
      </c>
      <c r="B52" s="59">
        <v>0.86799999999999999</v>
      </c>
      <c r="C52" s="23">
        <v>0.88400000000000001</v>
      </c>
      <c r="D52" s="23">
        <v>0.90500000000000003</v>
      </c>
      <c r="E52" s="23">
        <v>0.92</v>
      </c>
      <c r="F52" s="23">
        <v>0.95899999999999996</v>
      </c>
      <c r="G52" s="23">
        <v>0.97899999999999998</v>
      </c>
      <c r="H52" s="23">
        <v>0.98299999999999998</v>
      </c>
      <c r="I52" s="23">
        <v>0.98599999999999999</v>
      </c>
      <c r="J52" s="60">
        <v>0.98799999999999999</v>
      </c>
    </row>
    <row r="53" spans="1:10" customFormat="1" x14ac:dyDescent="0.35">
      <c r="A53">
        <f t="shared" si="2"/>
        <v>21</v>
      </c>
      <c r="B53" s="59">
        <v>0.873</v>
      </c>
      <c r="C53" s="23">
        <v>0.88800000000000001</v>
      </c>
      <c r="D53" s="23">
        <v>0.90800000000000003</v>
      </c>
      <c r="E53" s="23">
        <v>0.92300000000000004</v>
      </c>
      <c r="F53" s="23">
        <v>0.96</v>
      </c>
      <c r="G53" s="23">
        <v>0.98</v>
      </c>
      <c r="H53" s="23">
        <v>0.98299999999999998</v>
      </c>
      <c r="I53" s="23">
        <v>0.98699999999999999</v>
      </c>
      <c r="J53" s="60">
        <v>0.98899999999999999</v>
      </c>
    </row>
    <row r="54" spans="1:10" customFormat="1" x14ac:dyDescent="0.35">
      <c r="A54">
        <f t="shared" si="2"/>
        <v>22</v>
      </c>
      <c r="B54" s="59">
        <v>0.878</v>
      </c>
      <c r="C54" s="23">
        <v>0.89200000000000002</v>
      </c>
      <c r="D54" s="23">
        <v>0.91100000000000003</v>
      </c>
      <c r="E54" s="23">
        <v>0.92600000000000005</v>
      </c>
      <c r="F54" s="23">
        <v>0.96099999999999997</v>
      </c>
      <c r="G54" s="23">
        <v>0.98</v>
      </c>
      <c r="H54" s="23">
        <v>0.98399999999999999</v>
      </c>
      <c r="I54" s="23">
        <v>0.98699999999999999</v>
      </c>
      <c r="J54" s="60">
        <v>0.98899999999999999</v>
      </c>
    </row>
    <row r="55" spans="1:10" customFormat="1" x14ac:dyDescent="0.35">
      <c r="A55">
        <f t="shared" si="2"/>
        <v>23</v>
      </c>
      <c r="B55" s="59">
        <v>0.88100000000000001</v>
      </c>
      <c r="C55" s="23">
        <v>0.89500000000000002</v>
      </c>
      <c r="D55" s="23">
        <v>0.91400000000000003</v>
      </c>
      <c r="E55" s="23">
        <v>0.92800000000000005</v>
      </c>
      <c r="F55" s="23">
        <v>0.96199999999999997</v>
      </c>
      <c r="G55" s="23">
        <v>0.98099999999999998</v>
      </c>
      <c r="H55" s="23">
        <v>0.98399999999999999</v>
      </c>
      <c r="I55" s="23">
        <v>0.98699999999999999</v>
      </c>
      <c r="J55" s="60">
        <v>0.98899999999999999</v>
      </c>
    </row>
    <row r="56" spans="1:10" customFormat="1" x14ac:dyDescent="0.35">
      <c r="A56">
        <f t="shared" si="2"/>
        <v>24</v>
      </c>
      <c r="B56" s="59">
        <v>0.88400000000000001</v>
      </c>
      <c r="C56" s="23">
        <v>0.89800000000000002</v>
      </c>
      <c r="D56" s="23">
        <v>0.91600000000000004</v>
      </c>
      <c r="E56" s="23">
        <v>0.93</v>
      </c>
      <c r="F56" s="23">
        <v>0.96299999999999997</v>
      </c>
      <c r="G56" s="23">
        <v>0.98099999999999998</v>
      </c>
      <c r="H56" s="23">
        <v>0.98399999999999999</v>
      </c>
      <c r="I56" s="23">
        <v>0.98699999999999999</v>
      </c>
      <c r="J56" s="60">
        <v>0.98899999999999999</v>
      </c>
    </row>
    <row r="57" spans="1:10" customFormat="1" x14ac:dyDescent="0.35">
      <c r="A57">
        <f t="shared" si="2"/>
        <v>25</v>
      </c>
      <c r="B57" s="59">
        <v>0.88800000000000001</v>
      </c>
      <c r="C57" s="23">
        <v>0.90100000000000002</v>
      </c>
      <c r="D57" s="23">
        <v>0.91800000000000004</v>
      </c>
      <c r="E57" s="23">
        <v>0.93100000000000005</v>
      </c>
      <c r="F57" s="23">
        <v>0.96399999999999997</v>
      </c>
      <c r="G57" s="23">
        <v>0.98099999999999998</v>
      </c>
      <c r="H57" s="23">
        <v>0.98499999999999999</v>
      </c>
      <c r="I57" s="23">
        <v>0.98799999999999999</v>
      </c>
      <c r="J57" s="60">
        <v>0.98899999999999999</v>
      </c>
    </row>
    <row r="58" spans="1:10" customFormat="1" x14ac:dyDescent="0.35">
      <c r="A58">
        <f t="shared" si="2"/>
        <v>26</v>
      </c>
      <c r="B58" s="59">
        <v>0.89100000000000001</v>
      </c>
      <c r="C58" s="23">
        <v>0.90400000000000003</v>
      </c>
      <c r="D58" s="23">
        <v>0.92</v>
      </c>
      <c r="E58" s="23">
        <v>0.93300000000000005</v>
      </c>
      <c r="F58" s="23">
        <v>0.96499999999999997</v>
      </c>
      <c r="G58" s="23">
        <v>0.98199999999999998</v>
      </c>
      <c r="H58" s="23">
        <v>0.98499999999999999</v>
      </c>
      <c r="I58" s="23">
        <v>0.98799999999999999</v>
      </c>
      <c r="J58" s="60">
        <v>0.98899999999999999</v>
      </c>
    </row>
    <row r="59" spans="1:10" customFormat="1" x14ac:dyDescent="0.35">
      <c r="A59">
        <f t="shared" si="2"/>
        <v>27</v>
      </c>
      <c r="B59" s="59">
        <v>0.89400000000000002</v>
      </c>
      <c r="C59" s="23">
        <v>0.90600000000000003</v>
      </c>
      <c r="D59" s="23">
        <v>0.92300000000000004</v>
      </c>
      <c r="E59" s="23">
        <v>0.93500000000000005</v>
      </c>
      <c r="F59" s="23">
        <v>0.96499999999999997</v>
      </c>
      <c r="G59" s="23">
        <v>0.98199999999999998</v>
      </c>
      <c r="H59" s="23">
        <v>0.98499999999999999</v>
      </c>
      <c r="I59" s="23">
        <v>0.98799999999999999</v>
      </c>
      <c r="J59" s="60">
        <v>0.99</v>
      </c>
    </row>
    <row r="60" spans="1:10" customFormat="1" x14ac:dyDescent="0.35">
      <c r="A60">
        <f t="shared" si="2"/>
        <v>28</v>
      </c>
      <c r="B60" s="59">
        <v>0.89600000000000002</v>
      </c>
      <c r="C60" s="23">
        <v>0.90800000000000003</v>
      </c>
      <c r="D60" s="23">
        <v>0.92400000000000004</v>
      </c>
      <c r="E60" s="23">
        <v>0.93600000000000005</v>
      </c>
      <c r="F60" s="23">
        <v>0.96599999999999997</v>
      </c>
      <c r="G60" s="23">
        <v>0.98199999999999998</v>
      </c>
      <c r="H60" s="23">
        <v>0.98499999999999999</v>
      </c>
      <c r="I60" s="23">
        <v>0.98799999999999999</v>
      </c>
      <c r="J60" s="60">
        <v>0.99</v>
      </c>
    </row>
    <row r="61" spans="1:10" customFormat="1" x14ac:dyDescent="0.35">
      <c r="A61">
        <f t="shared" si="2"/>
        <v>29</v>
      </c>
      <c r="B61" s="59">
        <v>0.89800000000000002</v>
      </c>
      <c r="C61" s="23">
        <v>0.91</v>
      </c>
      <c r="D61" s="23">
        <v>0.92600000000000005</v>
      </c>
      <c r="E61" s="23">
        <v>0.93700000000000006</v>
      </c>
      <c r="F61" s="23">
        <v>0.96599999999999997</v>
      </c>
      <c r="G61" s="23">
        <v>0.98199999999999998</v>
      </c>
      <c r="H61" s="23">
        <v>0.98499999999999999</v>
      </c>
      <c r="I61" s="23">
        <v>0.98799999999999999</v>
      </c>
      <c r="J61" s="60">
        <v>0.99</v>
      </c>
    </row>
    <row r="62" spans="1:10" customFormat="1" x14ac:dyDescent="0.35">
      <c r="A62">
        <f t="shared" si="2"/>
        <v>30</v>
      </c>
      <c r="B62" s="59">
        <v>0.9</v>
      </c>
      <c r="C62" s="23">
        <v>0.91200000000000003</v>
      </c>
      <c r="D62" s="23">
        <v>0.92700000000000005</v>
      </c>
      <c r="E62" s="23">
        <v>0.93899999999999995</v>
      </c>
      <c r="F62" s="23">
        <v>0.96699999999999997</v>
      </c>
      <c r="G62" s="23">
        <v>0.98299999999999998</v>
      </c>
      <c r="H62" s="23">
        <v>0.98499999999999999</v>
      </c>
      <c r="I62" s="23">
        <v>0.98799999999999999</v>
      </c>
      <c r="J62" s="60">
        <v>0.99</v>
      </c>
    </row>
    <row r="63" spans="1:10" customFormat="1" x14ac:dyDescent="0.35">
      <c r="A63">
        <f t="shared" si="2"/>
        <v>31</v>
      </c>
      <c r="B63" s="59">
        <v>0.90200000000000002</v>
      </c>
      <c r="C63" s="23">
        <v>0.91400000000000003</v>
      </c>
      <c r="D63" s="23">
        <v>0.92900000000000005</v>
      </c>
      <c r="E63" s="23">
        <v>0.94</v>
      </c>
      <c r="F63" s="23">
        <v>0.96699999999999997</v>
      </c>
      <c r="G63" s="23">
        <v>0.98299999999999998</v>
      </c>
      <c r="H63" s="23">
        <v>0.98599999999999999</v>
      </c>
      <c r="I63" s="23">
        <v>0.98799999999999999</v>
      </c>
      <c r="J63" s="60">
        <v>0.99</v>
      </c>
    </row>
    <row r="64" spans="1:10" customFormat="1" x14ac:dyDescent="0.35">
      <c r="A64">
        <f t="shared" si="2"/>
        <v>32</v>
      </c>
      <c r="B64" s="59">
        <v>0.90400000000000003</v>
      </c>
      <c r="C64" s="23">
        <v>0.91500000000000004</v>
      </c>
      <c r="D64" s="23">
        <v>0.93</v>
      </c>
      <c r="E64" s="23">
        <v>0.94099999999999995</v>
      </c>
      <c r="F64" s="23">
        <v>0.96799999999999997</v>
      </c>
      <c r="G64" s="23">
        <v>0.98299999999999998</v>
      </c>
      <c r="H64" s="23">
        <v>0.98599999999999999</v>
      </c>
      <c r="I64" s="23">
        <v>0.98799999999999999</v>
      </c>
      <c r="J64" s="60">
        <v>0.99</v>
      </c>
    </row>
    <row r="65" spans="1:10" customFormat="1" x14ac:dyDescent="0.35">
      <c r="A65">
        <f t="shared" si="2"/>
        <v>33</v>
      </c>
      <c r="B65" s="59">
        <v>0.90600000000000003</v>
      </c>
      <c r="C65" s="23">
        <v>0.91700000000000004</v>
      </c>
      <c r="D65" s="23">
        <v>0.93100000000000005</v>
      </c>
      <c r="E65" s="23">
        <v>0.94199999999999995</v>
      </c>
      <c r="F65" s="23">
        <v>0.96799999999999997</v>
      </c>
      <c r="G65" s="23">
        <v>0.98299999999999998</v>
      </c>
      <c r="H65" s="23">
        <v>0.98599999999999999</v>
      </c>
      <c r="I65" s="23">
        <v>0.98899999999999999</v>
      </c>
      <c r="J65" s="60">
        <v>0.99</v>
      </c>
    </row>
    <row r="66" spans="1:10" customFormat="1" x14ac:dyDescent="0.35">
      <c r="A66">
        <f t="shared" si="2"/>
        <v>34</v>
      </c>
      <c r="B66" s="59">
        <v>0.90800000000000003</v>
      </c>
      <c r="C66" s="23">
        <v>0.91900000000000004</v>
      </c>
      <c r="D66" s="23">
        <v>0.93300000000000005</v>
      </c>
      <c r="E66" s="23">
        <v>0.94299999999999995</v>
      </c>
      <c r="F66" s="23">
        <v>0.96899999999999997</v>
      </c>
      <c r="G66" s="23">
        <v>0.98299999999999998</v>
      </c>
      <c r="H66" s="23">
        <v>0.98599999999999999</v>
      </c>
      <c r="I66" s="23">
        <v>0.98899999999999999</v>
      </c>
      <c r="J66" s="60">
        <v>0.99</v>
      </c>
    </row>
    <row r="67" spans="1:10" customFormat="1" x14ac:dyDescent="0.35">
      <c r="A67">
        <f t="shared" si="2"/>
        <v>35</v>
      </c>
      <c r="B67" s="59">
        <v>0.91</v>
      </c>
      <c r="C67" s="23">
        <v>0.92</v>
      </c>
      <c r="D67" s="23">
        <v>0.93400000000000005</v>
      </c>
      <c r="E67" s="23">
        <v>0.94399999999999995</v>
      </c>
      <c r="F67" s="23">
        <v>0.96899999999999997</v>
      </c>
      <c r="G67" s="23">
        <v>0.98399999999999999</v>
      </c>
      <c r="H67" s="23">
        <v>0.98599999999999999</v>
      </c>
      <c r="I67" s="23">
        <v>0.98899999999999999</v>
      </c>
      <c r="J67" s="60">
        <v>0.99</v>
      </c>
    </row>
    <row r="68" spans="1:10" customFormat="1" x14ac:dyDescent="0.35">
      <c r="A68">
        <f t="shared" si="2"/>
        <v>36</v>
      </c>
      <c r="B68" s="59">
        <v>0.91200000000000003</v>
      </c>
      <c r="C68" s="23">
        <v>0.92200000000000004</v>
      </c>
      <c r="D68" s="23">
        <v>0.93500000000000005</v>
      </c>
      <c r="E68" s="23">
        <v>0.94499999999999995</v>
      </c>
      <c r="F68" s="23">
        <v>0.97</v>
      </c>
      <c r="G68" s="23">
        <v>0.98399999999999999</v>
      </c>
      <c r="H68" s="23">
        <v>0.98599999999999999</v>
      </c>
      <c r="I68" s="23">
        <v>0.98899999999999999</v>
      </c>
      <c r="J68" s="60">
        <v>0.99</v>
      </c>
    </row>
    <row r="69" spans="1:10" customFormat="1" x14ac:dyDescent="0.35">
      <c r="A69">
        <f t="shared" si="2"/>
        <v>37</v>
      </c>
      <c r="B69" s="59">
        <v>0.91400000000000003</v>
      </c>
      <c r="C69" s="23">
        <v>0.92400000000000004</v>
      </c>
      <c r="D69" s="23">
        <v>0.93600000000000005</v>
      </c>
      <c r="E69" s="23">
        <v>0.94599999999999995</v>
      </c>
      <c r="F69" s="23">
        <v>0.97</v>
      </c>
      <c r="G69" s="23">
        <v>0.98399999999999999</v>
      </c>
      <c r="H69" s="23">
        <v>0.98699999999999999</v>
      </c>
      <c r="I69" s="23">
        <v>0.98899999999999999</v>
      </c>
      <c r="J69" s="60">
        <v>0.99</v>
      </c>
    </row>
    <row r="70" spans="1:10" customFormat="1" x14ac:dyDescent="0.35">
      <c r="A70">
        <f t="shared" si="2"/>
        <v>38</v>
      </c>
      <c r="B70" s="59">
        <v>0.91600000000000004</v>
      </c>
      <c r="C70" s="23">
        <v>0.92500000000000004</v>
      </c>
      <c r="D70" s="23">
        <v>0.93799999999999994</v>
      </c>
      <c r="E70" s="23">
        <v>0.94699999999999995</v>
      </c>
      <c r="F70" s="23">
        <v>0.97099999999999997</v>
      </c>
      <c r="G70" s="23">
        <v>0.98399999999999999</v>
      </c>
      <c r="H70" s="23">
        <v>0.98699999999999999</v>
      </c>
      <c r="I70" s="23">
        <v>0.98899999999999999</v>
      </c>
      <c r="J70" s="60">
        <v>0.99</v>
      </c>
    </row>
    <row r="71" spans="1:10" customFormat="1" x14ac:dyDescent="0.35">
      <c r="A71">
        <f t="shared" si="2"/>
        <v>39</v>
      </c>
      <c r="B71" s="59">
        <v>0.91700000000000004</v>
      </c>
      <c r="C71" s="23">
        <v>0.92700000000000005</v>
      </c>
      <c r="D71" s="23">
        <v>0.93899999999999995</v>
      </c>
      <c r="E71" s="23">
        <v>0.94799999999999995</v>
      </c>
      <c r="F71" s="23">
        <v>0.97099999999999997</v>
      </c>
      <c r="G71" s="23">
        <v>0.98399999999999999</v>
      </c>
      <c r="H71" s="23">
        <v>0.98699999999999999</v>
      </c>
      <c r="I71" s="23">
        <v>0.98899999999999999</v>
      </c>
      <c r="J71" s="60">
        <v>0.99099999999999999</v>
      </c>
    </row>
    <row r="72" spans="1:10" customFormat="1" x14ac:dyDescent="0.35">
      <c r="A72">
        <f t="shared" si="2"/>
        <v>40</v>
      </c>
      <c r="B72" s="59">
        <v>0.91900000000000004</v>
      </c>
      <c r="C72" s="23">
        <v>0.92800000000000005</v>
      </c>
      <c r="D72" s="23">
        <v>0.94</v>
      </c>
      <c r="E72" s="23">
        <v>0.94899999999999995</v>
      </c>
      <c r="F72" s="23">
        <v>0.97199999999999998</v>
      </c>
      <c r="G72" s="23">
        <v>0.98499999999999999</v>
      </c>
      <c r="H72" s="23">
        <v>0.98699999999999999</v>
      </c>
      <c r="I72" s="23">
        <v>0.98899999999999999</v>
      </c>
      <c r="J72" s="60">
        <v>0.99099999999999999</v>
      </c>
    </row>
    <row r="73" spans="1:10" customFormat="1" x14ac:dyDescent="0.35">
      <c r="A73">
        <f t="shared" si="2"/>
        <v>41</v>
      </c>
      <c r="B73" s="59">
        <v>0.92</v>
      </c>
      <c r="C73" s="23">
        <v>0.92900000000000005</v>
      </c>
      <c r="D73" s="23">
        <v>0.94099999999999995</v>
      </c>
      <c r="E73" s="23">
        <v>0.95</v>
      </c>
      <c r="F73" s="23">
        <v>0.97199999999999998</v>
      </c>
      <c r="G73" s="23">
        <v>0.98499999999999999</v>
      </c>
      <c r="H73" s="23">
        <v>0.98699999999999999</v>
      </c>
      <c r="I73" s="23">
        <v>0.98899999999999999</v>
      </c>
      <c r="J73" s="60">
        <v>0.99099999999999999</v>
      </c>
    </row>
    <row r="74" spans="1:10" customFormat="1" x14ac:dyDescent="0.35">
      <c r="A74">
        <f t="shared" si="2"/>
        <v>42</v>
      </c>
      <c r="B74" s="59">
        <v>0.92200000000000004</v>
      </c>
      <c r="C74" s="23">
        <v>0.93</v>
      </c>
      <c r="D74" s="23">
        <v>0.94199999999999995</v>
      </c>
      <c r="E74" s="23">
        <v>0.95099999999999996</v>
      </c>
      <c r="F74" s="23">
        <v>0.97199999999999998</v>
      </c>
      <c r="G74" s="23">
        <v>0.98499999999999999</v>
      </c>
      <c r="H74" s="23">
        <v>0.98699999999999999</v>
      </c>
      <c r="I74" s="23">
        <v>0.98899999999999999</v>
      </c>
      <c r="J74" s="60">
        <v>0.99099999999999999</v>
      </c>
    </row>
    <row r="75" spans="1:10" customFormat="1" x14ac:dyDescent="0.35">
      <c r="A75">
        <f t="shared" si="2"/>
        <v>43</v>
      </c>
      <c r="B75" s="59">
        <v>0.92300000000000004</v>
      </c>
      <c r="C75" s="23">
        <v>0.93200000000000005</v>
      </c>
      <c r="D75" s="23">
        <v>0.94299999999999995</v>
      </c>
      <c r="E75" s="23">
        <v>0.95099999999999996</v>
      </c>
      <c r="F75" s="23">
        <v>0.97299999999999998</v>
      </c>
      <c r="G75" s="23">
        <v>0.98499999999999999</v>
      </c>
      <c r="H75" s="23">
        <v>0.98699999999999999</v>
      </c>
      <c r="I75" s="23">
        <v>0.99</v>
      </c>
      <c r="J75" s="60">
        <v>0.99099999999999999</v>
      </c>
    </row>
    <row r="76" spans="1:10" customFormat="1" x14ac:dyDescent="0.35">
      <c r="A76">
        <f t="shared" si="2"/>
        <v>44</v>
      </c>
      <c r="B76" s="59">
        <v>0.92400000000000004</v>
      </c>
      <c r="C76" s="23">
        <v>0.93300000000000005</v>
      </c>
      <c r="D76" s="23">
        <v>0.94399999999999995</v>
      </c>
      <c r="E76" s="23">
        <v>0.95199999999999996</v>
      </c>
      <c r="F76" s="23">
        <v>0.97299999999999998</v>
      </c>
      <c r="G76" s="23">
        <v>0.98499999999999999</v>
      </c>
      <c r="H76" s="23">
        <v>0.98699999999999999</v>
      </c>
      <c r="I76" s="23">
        <v>0.99</v>
      </c>
      <c r="J76" s="60">
        <v>0.99099999999999999</v>
      </c>
    </row>
    <row r="77" spans="1:10" customFormat="1" x14ac:dyDescent="0.35">
      <c r="A77">
        <f t="shared" si="2"/>
        <v>45</v>
      </c>
      <c r="B77" s="59">
        <v>0.92600000000000005</v>
      </c>
      <c r="C77" s="23">
        <v>0.93400000000000005</v>
      </c>
      <c r="D77" s="23">
        <v>0.94499999999999995</v>
      </c>
      <c r="E77" s="4">
        <v>0.95299999999999996</v>
      </c>
      <c r="F77" s="23">
        <v>0.97299999999999998</v>
      </c>
      <c r="G77" s="23">
        <v>0.98499999999999999</v>
      </c>
      <c r="H77" s="4">
        <v>0.98799999999999999</v>
      </c>
      <c r="I77" s="23">
        <v>0.99</v>
      </c>
      <c r="J77" s="60">
        <v>0.99099999999999999</v>
      </c>
    </row>
    <row r="78" spans="1:10" customFormat="1" x14ac:dyDescent="0.35">
      <c r="A78">
        <f t="shared" si="2"/>
        <v>46</v>
      </c>
      <c r="B78" s="59">
        <v>0.92700000000000005</v>
      </c>
      <c r="C78" s="23">
        <v>0.93500000000000005</v>
      </c>
      <c r="D78" s="23">
        <v>0.94499999999999995</v>
      </c>
      <c r="E78" s="4">
        <v>0.95299999999999996</v>
      </c>
      <c r="F78" s="4">
        <v>0.97399999999999998</v>
      </c>
      <c r="G78" s="23">
        <v>0.98499999999999999</v>
      </c>
      <c r="H78" s="4">
        <v>0.98799999999999999</v>
      </c>
      <c r="I78" s="23">
        <v>0.99</v>
      </c>
      <c r="J78" s="60">
        <v>0.99099999999999999</v>
      </c>
    </row>
    <row r="79" spans="1:10" customFormat="1" x14ac:dyDescent="0.35">
      <c r="A79">
        <f t="shared" si="2"/>
        <v>47</v>
      </c>
      <c r="B79" s="59">
        <v>0.92800000000000005</v>
      </c>
      <c r="C79" s="23">
        <v>0.93600000000000005</v>
      </c>
      <c r="D79" s="23">
        <v>0.94599999999999995</v>
      </c>
      <c r="E79" s="4">
        <v>0.95399999999999996</v>
      </c>
      <c r="F79" s="4">
        <v>0.97399999999999998</v>
      </c>
      <c r="G79" s="23">
        <v>0.98499999999999999</v>
      </c>
      <c r="H79" s="4">
        <v>0.98799999999999999</v>
      </c>
      <c r="I79" s="23">
        <v>0.99</v>
      </c>
      <c r="J79" s="60">
        <v>0.99099999999999999</v>
      </c>
    </row>
    <row r="80" spans="1:10" customFormat="1" x14ac:dyDescent="0.35">
      <c r="A80">
        <f t="shared" si="2"/>
        <v>48</v>
      </c>
      <c r="B80" s="59">
        <v>0.92900000000000005</v>
      </c>
      <c r="C80" s="23">
        <v>0.93700000000000006</v>
      </c>
      <c r="D80" s="23">
        <v>0.94699999999999995</v>
      </c>
      <c r="E80" s="4">
        <v>0.95399999999999996</v>
      </c>
      <c r="F80" s="4">
        <v>0.97399999999999998</v>
      </c>
      <c r="G80" s="23">
        <v>0.98499999999999999</v>
      </c>
      <c r="H80" s="4">
        <v>0.98799999999999999</v>
      </c>
      <c r="I80" s="23">
        <v>0.99</v>
      </c>
      <c r="J80" s="60">
        <v>0.99099999999999999</v>
      </c>
    </row>
    <row r="81" spans="1:10" customFormat="1" x14ac:dyDescent="0.35">
      <c r="A81">
        <f t="shared" si="2"/>
        <v>49</v>
      </c>
      <c r="B81" s="59">
        <v>0.92900000000000005</v>
      </c>
      <c r="C81" s="23">
        <v>0.93899999999999995</v>
      </c>
      <c r="D81" s="23">
        <v>0.94699999999999995</v>
      </c>
      <c r="E81" s="4">
        <v>0.95499999999999996</v>
      </c>
      <c r="F81" s="4">
        <v>0.97399999999999998</v>
      </c>
      <c r="G81" s="23">
        <v>0.98499999999999999</v>
      </c>
      <c r="H81" s="4">
        <v>0.98799999999999999</v>
      </c>
      <c r="I81" s="23">
        <v>0.99</v>
      </c>
      <c r="J81" s="60">
        <v>0.99099999999999999</v>
      </c>
    </row>
    <row r="82" spans="1:10" customFormat="1" x14ac:dyDescent="0.35">
      <c r="A82">
        <f t="shared" si="2"/>
        <v>50</v>
      </c>
      <c r="B82" s="61">
        <v>0.93</v>
      </c>
      <c r="C82" s="62">
        <v>0.93799999999999994</v>
      </c>
      <c r="D82" s="62">
        <v>0.94699999999999995</v>
      </c>
      <c r="E82" s="31">
        <v>0.95499999999999996</v>
      </c>
      <c r="F82" s="31">
        <v>0.97399999999999998</v>
      </c>
      <c r="G82" s="62">
        <v>0.98499999999999999</v>
      </c>
      <c r="H82" s="31">
        <v>0.98799999999999999</v>
      </c>
      <c r="I82" s="62">
        <v>0.99</v>
      </c>
      <c r="J82" s="63">
        <v>0.99099999999999999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237"/>
  <dimension ref="A1:AX128"/>
  <sheetViews>
    <sheetView zoomScale="95" zoomScaleNormal="95" workbookViewId="0"/>
  </sheetViews>
  <sheetFormatPr defaultRowHeight="14.5" x14ac:dyDescent="0.35"/>
  <cols>
    <col min="21" max="26" width="9.54296875" bestFit="1" customWidth="1"/>
    <col min="27" max="29" width="9.1796875" style="20"/>
  </cols>
  <sheetData>
    <row r="1" spans="1:50" x14ac:dyDescent="0.35">
      <c r="A1" s="1" t="s">
        <v>72</v>
      </c>
    </row>
    <row r="2" spans="1:50" x14ac:dyDescent="0.35">
      <c r="A2" s="1"/>
    </row>
    <row r="3" spans="1:50" x14ac:dyDescent="0.35">
      <c r="A3" s="1" t="s">
        <v>133</v>
      </c>
    </row>
    <row r="4" spans="1:50" x14ac:dyDescent="0.35">
      <c r="AT4" s="7"/>
      <c r="AU4" s="7"/>
      <c r="AV4" s="7"/>
      <c r="AW4" s="7"/>
      <c r="AX4" s="7"/>
    </row>
    <row r="5" spans="1:50" x14ac:dyDescent="0.35">
      <c r="A5" s="5" t="s">
        <v>73</v>
      </c>
      <c r="B5">
        <v>2</v>
      </c>
      <c r="C5">
        <f t="shared" ref="C5:N5" si="0">B5+1</f>
        <v>3</v>
      </c>
      <c r="D5">
        <f t="shared" si="0"/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 t="shared" si="0"/>
        <v>13</v>
      </c>
      <c r="N5">
        <f t="shared" si="0"/>
        <v>14</v>
      </c>
      <c r="AT5" s="7"/>
      <c r="AU5" s="7"/>
      <c r="AV5" s="7"/>
      <c r="AW5" s="7"/>
      <c r="AX5" s="7"/>
    </row>
    <row r="6" spans="1:50" x14ac:dyDescent="0.35">
      <c r="A6" t="s">
        <v>74</v>
      </c>
      <c r="B6" s="56">
        <v>0.70709999999999995</v>
      </c>
      <c r="C6" s="15">
        <v>0.70709999999999995</v>
      </c>
      <c r="D6" s="15">
        <v>0.68720000000000003</v>
      </c>
      <c r="E6" s="15">
        <v>0.66459999999999997</v>
      </c>
      <c r="F6" s="15">
        <v>0.6431</v>
      </c>
      <c r="G6" s="15">
        <v>0.62329999999999997</v>
      </c>
      <c r="H6" s="15">
        <v>0.60519999999999996</v>
      </c>
      <c r="I6" s="15">
        <v>0.58879999999999999</v>
      </c>
      <c r="J6" s="15">
        <v>0.57389999999999997</v>
      </c>
      <c r="K6" s="15">
        <v>0.56010000000000004</v>
      </c>
      <c r="L6" s="15">
        <v>0.54749999999999999</v>
      </c>
      <c r="M6" s="15">
        <v>0.53590000000000004</v>
      </c>
      <c r="N6" s="64">
        <v>0.52510000000000001</v>
      </c>
      <c r="AT6" s="7"/>
      <c r="AU6" s="7"/>
      <c r="AV6" s="7"/>
      <c r="AW6" s="7"/>
      <c r="AX6" s="7"/>
    </row>
    <row r="7" spans="1:50" x14ac:dyDescent="0.35">
      <c r="A7" t="s">
        <v>75</v>
      </c>
      <c r="B7" s="40"/>
      <c r="C7" s="4"/>
      <c r="D7" s="16">
        <v>0.16769999999999999</v>
      </c>
      <c r="E7" s="16">
        <v>0.24129999999999999</v>
      </c>
      <c r="F7" s="16">
        <v>0.28060000000000002</v>
      </c>
      <c r="G7" s="16">
        <v>0.30309999999999998</v>
      </c>
      <c r="H7" s="16">
        <v>0.31640000000000001</v>
      </c>
      <c r="I7" s="16">
        <v>0.32440000000000002</v>
      </c>
      <c r="J7" s="16">
        <v>0.3291</v>
      </c>
      <c r="K7" s="16">
        <v>0.33150000000000002</v>
      </c>
      <c r="L7" s="16">
        <v>0.33250000000000002</v>
      </c>
      <c r="M7" s="16">
        <v>0.33250000000000002</v>
      </c>
      <c r="N7" s="45">
        <v>0.33179999999999998</v>
      </c>
      <c r="AT7" s="7"/>
      <c r="AU7" s="7"/>
      <c r="AV7" s="7"/>
      <c r="AW7" s="7"/>
      <c r="AX7" s="7"/>
    </row>
    <row r="8" spans="1:50" x14ac:dyDescent="0.35">
      <c r="A8" t="s">
        <v>76</v>
      </c>
      <c r="B8" s="40"/>
      <c r="C8" s="4"/>
      <c r="D8" s="16"/>
      <c r="E8" s="16"/>
      <c r="F8" s="16">
        <v>8.7499999999999994E-2</v>
      </c>
      <c r="G8" s="16">
        <v>0.1401</v>
      </c>
      <c r="H8" s="16">
        <v>0.17430000000000001</v>
      </c>
      <c r="I8" s="16">
        <v>0.1976</v>
      </c>
      <c r="J8" s="16">
        <v>0.21410000000000001</v>
      </c>
      <c r="K8" s="16">
        <v>0.22600000000000001</v>
      </c>
      <c r="L8" s="16">
        <v>0.23469999999999999</v>
      </c>
      <c r="M8" s="16">
        <v>0.2412</v>
      </c>
      <c r="N8" s="45">
        <v>0.246</v>
      </c>
      <c r="AT8" s="7"/>
      <c r="AU8" s="7"/>
      <c r="AV8" s="7"/>
      <c r="AW8" s="7"/>
      <c r="AX8" s="7"/>
    </row>
    <row r="9" spans="1:50" x14ac:dyDescent="0.35">
      <c r="A9" t="s">
        <v>77</v>
      </c>
      <c r="B9" s="40"/>
      <c r="C9" s="4"/>
      <c r="D9" s="16"/>
      <c r="E9" s="16"/>
      <c r="F9" s="16"/>
      <c r="G9" s="16"/>
      <c r="H9" s="16">
        <v>5.6099999999999997E-2</v>
      </c>
      <c r="I9" s="16">
        <v>9.4700000000000006E-2</v>
      </c>
      <c r="J9" s="16">
        <v>0.12239999999999999</v>
      </c>
      <c r="K9" s="16">
        <v>0.1429</v>
      </c>
      <c r="L9" s="16">
        <v>0.15859999999999999</v>
      </c>
      <c r="M9" s="16">
        <v>0.17069999999999999</v>
      </c>
      <c r="N9" s="45">
        <v>0.1802</v>
      </c>
      <c r="AT9" s="7"/>
      <c r="AU9" s="7"/>
      <c r="AV9" s="7"/>
      <c r="AW9" s="7"/>
      <c r="AX9" s="7"/>
    </row>
    <row r="10" spans="1:50" x14ac:dyDescent="0.35">
      <c r="A10" t="s">
        <v>78</v>
      </c>
      <c r="B10" s="40"/>
      <c r="C10" s="4"/>
      <c r="D10" s="16"/>
      <c r="E10" s="16"/>
      <c r="F10" s="16"/>
      <c r="G10" s="16"/>
      <c r="H10" s="16"/>
      <c r="I10" s="16"/>
      <c r="J10" s="16">
        <v>3.9899999999999998E-2</v>
      </c>
      <c r="K10" s="16">
        <v>6.9500000000000006E-2</v>
      </c>
      <c r="L10" s="16">
        <v>9.2200000000000004E-2</v>
      </c>
      <c r="M10" s="16">
        <v>0.1099</v>
      </c>
      <c r="N10" s="45">
        <v>0.124</v>
      </c>
      <c r="AT10" s="7"/>
      <c r="AU10" s="7"/>
      <c r="AV10" s="7"/>
      <c r="AW10" s="7"/>
      <c r="AX10" s="7"/>
    </row>
    <row r="11" spans="1:50" x14ac:dyDescent="0.35">
      <c r="A11" t="s">
        <v>79</v>
      </c>
      <c r="B11" s="40"/>
      <c r="C11" s="4"/>
      <c r="D11" s="16"/>
      <c r="E11" s="16"/>
      <c r="F11" s="16"/>
      <c r="G11" s="16"/>
      <c r="H11" s="16"/>
      <c r="I11" s="16"/>
      <c r="J11" s="16"/>
      <c r="K11" s="16"/>
      <c r="L11" s="16">
        <v>3.0300000000000001E-2</v>
      </c>
      <c r="M11" s="16">
        <v>5.3900000000000003E-2</v>
      </c>
      <c r="N11" s="45">
        <v>7.2700000000000001E-2</v>
      </c>
      <c r="AT11" s="7"/>
      <c r="AU11" s="7"/>
      <c r="AV11" s="7"/>
      <c r="AW11" s="7"/>
      <c r="AX11" s="7"/>
    </row>
    <row r="12" spans="1:50" x14ac:dyDescent="0.35">
      <c r="A12" t="s">
        <v>80</v>
      </c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47">
        <v>2.4E-2</v>
      </c>
      <c r="AT12" s="7"/>
      <c r="AU12" s="7"/>
      <c r="AV12" s="7"/>
      <c r="AW12" s="7"/>
      <c r="AX12" s="7"/>
    </row>
    <row r="13" spans="1:50" x14ac:dyDescent="0.35">
      <c r="AT13" s="7"/>
      <c r="AU13" s="7"/>
      <c r="AV13" s="7"/>
      <c r="AW13" s="7"/>
      <c r="AX13" s="7"/>
    </row>
    <row r="14" spans="1:50" x14ac:dyDescent="0.35">
      <c r="A14" s="5" t="s">
        <v>73</v>
      </c>
      <c r="B14">
        <v>15</v>
      </c>
      <c r="C14">
        <f t="shared" ref="C14:M14" si="1">B14+1</f>
        <v>16</v>
      </c>
      <c r="D14">
        <f t="shared" si="1"/>
        <v>17</v>
      </c>
      <c r="E14">
        <f t="shared" si="1"/>
        <v>18</v>
      </c>
      <c r="F14">
        <f t="shared" si="1"/>
        <v>19</v>
      </c>
      <c r="G14">
        <f t="shared" si="1"/>
        <v>20</v>
      </c>
      <c r="H14">
        <f t="shared" si="1"/>
        <v>21</v>
      </c>
      <c r="I14">
        <f t="shared" si="1"/>
        <v>22</v>
      </c>
      <c r="J14">
        <f t="shared" si="1"/>
        <v>23</v>
      </c>
      <c r="K14">
        <f t="shared" si="1"/>
        <v>24</v>
      </c>
      <c r="L14">
        <f t="shared" si="1"/>
        <v>25</v>
      </c>
      <c r="M14">
        <f t="shared" si="1"/>
        <v>26</v>
      </c>
      <c r="AT14" s="7"/>
      <c r="AU14" s="7"/>
      <c r="AV14" s="7"/>
      <c r="AW14" s="7"/>
      <c r="AX14" s="7"/>
    </row>
    <row r="15" spans="1:50" x14ac:dyDescent="0.35">
      <c r="A15" t="s">
        <v>74</v>
      </c>
      <c r="B15" s="65">
        <v>0.51500000000000001</v>
      </c>
      <c r="C15" s="15">
        <v>0.50560000000000005</v>
      </c>
      <c r="D15" s="15">
        <v>0.49680000000000002</v>
      </c>
      <c r="E15" s="15">
        <v>0.48859999999999998</v>
      </c>
      <c r="F15" s="15">
        <v>0.48080000000000001</v>
      </c>
      <c r="G15" s="15">
        <v>0.47339999999999999</v>
      </c>
      <c r="H15" s="15">
        <v>0.46429999999999999</v>
      </c>
      <c r="I15" s="15">
        <v>0.45900000000000002</v>
      </c>
      <c r="J15" s="15">
        <v>0.45419999999999999</v>
      </c>
      <c r="K15" s="15">
        <v>0.44929999999999998</v>
      </c>
      <c r="L15" s="15">
        <v>0.44500000000000001</v>
      </c>
      <c r="M15" s="64">
        <v>0.44069999999999998</v>
      </c>
      <c r="AT15" s="7"/>
      <c r="AU15" s="7"/>
      <c r="AV15" s="7"/>
      <c r="AW15" s="7"/>
      <c r="AX15" s="7"/>
    </row>
    <row r="16" spans="1:50" x14ac:dyDescent="0.35">
      <c r="A16" t="s">
        <v>75</v>
      </c>
      <c r="B16" s="44">
        <v>0.3306</v>
      </c>
      <c r="C16" s="16">
        <v>0.32900000000000001</v>
      </c>
      <c r="D16" s="16">
        <v>0.32729999999999998</v>
      </c>
      <c r="E16" s="16">
        <v>0.32529999999999998</v>
      </c>
      <c r="F16" s="16">
        <v>0.32319999999999999</v>
      </c>
      <c r="G16" s="16">
        <v>0.3211</v>
      </c>
      <c r="H16" s="16">
        <v>0.31850000000000001</v>
      </c>
      <c r="I16" s="16">
        <v>0.31559999999999999</v>
      </c>
      <c r="J16" s="16">
        <v>0.31259999999999999</v>
      </c>
      <c r="K16" s="16">
        <v>0.30980000000000002</v>
      </c>
      <c r="L16" s="16">
        <v>0.30690000000000001</v>
      </c>
      <c r="M16" s="45">
        <v>0.30430000000000001</v>
      </c>
      <c r="AT16" s="7"/>
      <c r="AU16" s="7"/>
      <c r="AV16" s="7"/>
      <c r="AW16" s="7"/>
      <c r="AX16" s="7"/>
    </row>
    <row r="17" spans="1:50" x14ac:dyDescent="0.35">
      <c r="A17" t="s">
        <v>76</v>
      </c>
      <c r="B17" s="44">
        <v>0.2495</v>
      </c>
      <c r="C17" s="16">
        <v>0.25209999999999999</v>
      </c>
      <c r="D17" s="16">
        <v>0.254</v>
      </c>
      <c r="E17" s="16">
        <v>0.25530000000000003</v>
      </c>
      <c r="F17" s="16">
        <v>0.25609999999999999</v>
      </c>
      <c r="G17" s="16">
        <v>0.25650000000000001</v>
      </c>
      <c r="H17" s="16">
        <v>0.25779999999999997</v>
      </c>
      <c r="I17" s="16">
        <v>0.2571</v>
      </c>
      <c r="J17" s="16">
        <v>0.25629999999999997</v>
      </c>
      <c r="K17" s="16">
        <v>0.25540000000000002</v>
      </c>
      <c r="L17" s="16">
        <v>0.25430000000000003</v>
      </c>
      <c r="M17" s="45">
        <v>0.25330000000000003</v>
      </c>
      <c r="AT17" s="7"/>
      <c r="AU17" s="7"/>
      <c r="AV17" s="7"/>
      <c r="AW17" s="7"/>
      <c r="AX17" s="7"/>
    </row>
    <row r="18" spans="1:50" x14ac:dyDescent="0.35">
      <c r="A18" t="s">
        <v>77</v>
      </c>
      <c r="B18" s="44">
        <v>0.18779999999999999</v>
      </c>
      <c r="C18" s="16">
        <v>0.19389999999999999</v>
      </c>
      <c r="D18" s="16">
        <v>0.1988</v>
      </c>
      <c r="E18" s="16">
        <v>0.20269999999999999</v>
      </c>
      <c r="F18" s="16">
        <v>0.2059</v>
      </c>
      <c r="G18" s="16">
        <v>0.20849999999999999</v>
      </c>
      <c r="H18" s="16">
        <v>0.21190000000000001</v>
      </c>
      <c r="I18" s="16">
        <v>0.21310000000000001</v>
      </c>
      <c r="J18" s="16">
        <v>0.21390000000000001</v>
      </c>
      <c r="K18" s="16">
        <v>0.2145</v>
      </c>
      <c r="L18" s="16">
        <v>0.21479999999999999</v>
      </c>
      <c r="M18" s="45">
        <v>0.21510000000000001</v>
      </c>
      <c r="AT18" s="7"/>
      <c r="AU18" s="7"/>
      <c r="AV18" s="7"/>
      <c r="AW18" s="7"/>
      <c r="AX18" s="7"/>
    </row>
    <row r="19" spans="1:50" x14ac:dyDescent="0.35">
      <c r="A19" t="s">
        <v>78</v>
      </c>
      <c r="B19" s="44">
        <v>0.1353</v>
      </c>
      <c r="C19" s="16">
        <v>0.1447</v>
      </c>
      <c r="D19" s="16">
        <v>0.15240000000000001</v>
      </c>
      <c r="E19" s="16">
        <v>0.15870000000000001</v>
      </c>
      <c r="F19" s="16">
        <v>0.1641</v>
      </c>
      <c r="G19" s="16">
        <v>0.1686</v>
      </c>
      <c r="H19" s="16">
        <v>0.1736</v>
      </c>
      <c r="I19" s="16">
        <v>0.1764</v>
      </c>
      <c r="J19" s="16">
        <v>0.1787</v>
      </c>
      <c r="K19" s="16">
        <v>0.1807</v>
      </c>
      <c r="L19" s="16">
        <v>0.1822</v>
      </c>
      <c r="M19" s="45">
        <v>0.18360000000000001</v>
      </c>
      <c r="AT19" s="7"/>
      <c r="AU19" s="7"/>
      <c r="AV19" s="7"/>
      <c r="AW19" s="7"/>
      <c r="AX19" s="7"/>
    </row>
    <row r="20" spans="1:50" x14ac:dyDescent="0.35">
      <c r="A20" t="s">
        <v>79</v>
      </c>
      <c r="B20" s="44">
        <v>8.7999999999999995E-2</v>
      </c>
      <c r="C20" s="16">
        <v>0.10050000000000001</v>
      </c>
      <c r="D20" s="16">
        <v>0.1109</v>
      </c>
      <c r="E20" s="16">
        <v>0.1197</v>
      </c>
      <c r="F20" s="16">
        <v>0.12709999999999999</v>
      </c>
      <c r="G20" s="16">
        <v>0.13339999999999999</v>
      </c>
      <c r="H20" s="16">
        <v>0.1399</v>
      </c>
      <c r="I20" s="16">
        <v>0.14430000000000001</v>
      </c>
      <c r="J20" s="16">
        <v>0.14799999999999999</v>
      </c>
      <c r="K20" s="16">
        <v>0.1512</v>
      </c>
      <c r="L20" s="16">
        <v>0.15390000000000001</v>
      </c>
      <c r="M20" s="45">
        <v>0.15629999999999999</v>
      </c>
      <c r="AT20" s="7"/>
      <c r="AU20" s="7"/>
      <c r="AV20" s="7"/>
      <c r="AW20" s="7"/>
      <c r="AX20" s="7"/>
    </row>
    <row r="21" spans="1:50" x14ac:dyDescent="0.35">
      <c r="A21" t="s">
        <v>80</v>
      </c>
      <c r="B21" s="44">
        <v>4.3299999999999998E-2</v>
      </c>
      <c r="C21" s="16">
        <v>5.9299999999999999E-2</v>
      </c>
      <c r="D21" s="16">
        <v>7.2499999999999995E-2</v>
      </c>
      <c r="E21" s="16">
        <v>8.3699999999999997E-2</v>
      </c>
      <c r="F21" s="16">
        <v>9.3200000000000005E-2</v>
      </c>
      <c r="G21" s="16">
        <v>0.1013</v>
      </c>
      <c r="H21" s="16">
        <v>0.10920000000000001</v>
      </c>
      <c r="I21" s="16">
        <v>0.115</v>
      </c>
      <c r="J21" s="16">
        <v>0.1201</v>
      </c>
      <c r="K21" s="16">
        <v>0.1245</v>
      </c>
      <c r="L21" s="16">
        <v>0.1283</v>
      </c>
      <c r="M21" s="45">
        <v>0.13159999999999999</v>
      </c>
      <c r="AT21" s="7"/>
      <c r="AU21" s="7"/>
      <c r="AV21" s="7"/>
      <c r="AW21" s="7"/>
      <c r="AX21" s="7"/>
    </row>
    <row r="22" spans="1:50" x14ac:dyDescent="0.35">
      <c r="A22" t="s">
        <v>81</v>
      </c>
      <c r="B22" s="44"/>
      <c r="C22" s="16">
        <v>1.9599999999999999E-2</v>
      </c>
      <c r="D22" s="16">
        <v>3.5900000000000001E-2</v>
      </c>
      <c r="E22" s="16">
        <v>4.9599999999999998E-2</v>
      </c>
      <c r="F22" s="16">
        <v>6.1199999999999997E-2</v>
      </c>
      <c r="G22" s="16">
        <v>7.1099999999999997E-2</v>
      </c>
      <c r="H22" s="16">
        <v>8.0399999999999999E-2</v>
      </c>
      <c r="I22" s="16">
        <v>8.7800000000000003E-2</v>
      </c>
      <c r="J22" s="16">
        <v>9.4100000000000003E-2</v>
      </c>
      <c r="K22" s="16">
        <v>9.9699999999999997E-2</v>
      </c>
      <c r="L22" s="16">
        <v>0.1046</v>
      </c>
      <c r="M22" s="45">
        <v>0.1089</v>
      </c>
      <c r="AT22" s="7"/>
      <c r="AU22" s="7"/>
      <c r="AV22" s="7"/>
      <c r="AW22" s="7"/>
      <c r="AX22" s="7"/>
    </row>
    <row r="23" spans="1:50" x14ac:dyDescent="0.35">
      <c r="A23" t="s">
        <v>82</v>
      </c>
      <c r="B23" s="44"/>
      <c r="C23" s="16"/>
      <c r="D23" s="16"/>
      <c r="E23" s="16">
        <v>1.6299999999999999E-2</v>
      </c>
      <c r="F23" s="16">
        <v>3.0300000000000001E-2</v>
      </c>
      <c r="G23" s="16">
        <v>4.2200000000000001E-2</v>
      </c>
      <c r="H23" s="16">
        <v>5.2999999999999999E-2</v>
      </c>
      <c r="I23" s="16">
        <v>6.1800000000000001E-2</v>
      </c>
      <c r="J23" s="16">
        <v>6.9599999999999995E-2</v>
      </c>
      <c r="K23" s="16">
        <v>7.6399999999999996E-2</v>
      </c>
      <c r="L23" s="16">
        <v>8.2299999999999998E-2</v>
      </c>
      <c r="M23" s="45">
        <v>8.7599999999999997E-2</v>
      </c>
      <c r="AT23" s="7"/>
      <c r="AU23" s="7"/>
      <c r="AV23" s="7"/>
      <c r="AW23" s="7"/>
      <c r="AX23" s="7"/>
    </row>
    <row r="24" spans="1:50" x14ac:dyDescent="0.35">
      <c r="A24" t="s">
        <v>83</v>
      </c>
      <c r="B24" s="44"/>
      <c r="C24" s="16"/>
      <c r="D24" s="16"/>
      <c r="E24" s="16"/>
      <c r="F24" s="16"/>
      <c r="G24" s="16">
        <v>1.4E-2</v>
      </c>
      <c r="H24" s="16">
        <v>2.63E-2</v>
      </c>
      <c r="I24" s="16">
        <v>3.6799999999999999E-2</v>
      </c>
      <c r="J24" s="16">
        <v>4.5900000000000003E-2</v>
      </c>
      <c r="K24" s="16">
        <v>5.3900000000000003E-2</v>
      </c>
      <c r="L24" s="16">
        <v>6.0999999999999999E-2</v>
      </c>
      <c r="M24" s="45">
        <v>6.7199999999999996E-2</v>
      </c>
      <c r="AT24" s="7"/>
      <c r="AU24" s="7"/>
      <c r="AV24" s="7"/>
      <c r="AW24" s="7"/>
      <c r="AX24" s="7"/>
    </row>
    <row r="25" spans="1:50" x14ac:dyDescent="0.35">
      <c r="A25" t="s">
        <v>84</v>
      </c>
      <c r="B25" s="40"/>
      <c r="C25" s="4"/>
      <c r="D25" s="4"/>
      <c r="E25" s="4"/>
      <c r="F25" s="4"/>
      <c r="G25" s="4"/>
      <c r="H25" s="4"/>
      <c r="I25" s="16">
        <v>1.2200000000000001E-2</v>
      </c>
      <c r="J25" s="16">
        <v>2.2800000000000001E-2</v>
      </c>
      <c r="K25" s="16">
        <v>3.2099999999999997E-2</v>
      </c>
      <c r="L25" s="16">
        <v>4.0300000000000002E-2</v>
      </c>
      <c r="M25" s="45">
        <v>4.7600000000000003E-2</v>
      </c>
      <c r="AT25" s="7"/>
      <c r="AU25" s="7"/>
      <c r="AV25" s="7"/>
      <c r="AW25" s="7"/>
      <c r="AX25" s="7"/>
    </row>
    <row r="26" spans="1:50" x14ac:dyDescent="0.35">
      <c r="A26" t="s">
        <v>85</v>
      </c>
      <c r="B26" s="40"/>
      <c r="C26" s="4"/>
      <c r="D26" s="4"/>
      <c r="E26" s="4"/>
      <c r="F26" s="4"/>
      <c r="G26" s="4"/>
      <c r="H26" s="4"/>
      <c r="I26" s="4"/>
      <c r="J26" s="16">
        <v>0</v>
      </c>
      <c r="K26" s="16">
        <v>1.0699999999999999E-2</v>
      </c>
      <c r="L26" s="16">
        <v>0.02</v>
      </c>
      <c r="M26" s="45">
        <v>2.8400000000000002E-2</v>
      </c>
      <c r="AT26" s="7"/>
      <c r="AU26" s="7"/>
      <c r="AV26" s="7"/>
      <c r="AW26" s="7"/>
      <c r="AX26" s="7"/>
    </row>
    <row r="27" spans="1:50" x14ac:dyDescent="0.35">
      <c r="A27" t="s">
        <v>86</v>
      </c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46">
        <v>0</v>
      </c>
      <c r="M27" s="47">
        <v>9.4000000000000004E-3</v>
      </c>
      <c r="AT27" s="7"/>
      <c r="AU27" s="7"/>
      <c r="AV27" s="7"/>
      <c r="AW27" s="7"/>
      <c r="AX27" s="7"/>
    </row>
    <row r="28" spans="1:50" x14ac:dyDescent="0.35">
      <c r="AT28" s="7"/>
      <c r="AU28" s="7"/>
      <c r="AV28" s="7"/>
      <c r="AW28" s="7"/>
      <c r="AX28" s="7"/>
    </row>
    <row r="29" spans="1:50" x14ac:dyDescent="0.35">
      <c r="A29" s="5" t="s">
        <v>73</v>
      </c>
      <c r="B29">
        <v>27</v>
      </c>
      <c r="C29">
        <f t="shared" ref="C29:M29" si="2">B29+1</f>
        <v>28</v>
      </c>
      <c r="D29">
        <f t="shared" si="2"/>
        <v>29</v>
      </c>
      <c r="E29">
        <f t="shared" si="2"/>
        <v>30</v>
      </c>
      <c r="F29">
        <f t="shared" si="2"/>
        <v>31</v>
      </c>
      <c r="G29">
        <f t="shared" si="2"/>
        <v>32</v>
      </c>
      <c r="H29">
        <f t="shared" si="2"/>
        <v>33</v>
      </c>
      <c r="I29">
        <f t="shared" si="2"/>
        <v>34</v>
      </c>
      <c r="J29">
        <f t="shared" si="2"/>
        <v>35</v>
      </c>
      <c r="K29">
        <f t="shared" si="2"/>
        <v>36</v>
      </c>
      <c r="L29">
        <f t="shared" si="2"/>
        <v>37</v>
      </c>
      <c r="M29">
        <f t="shared" si="2"/>
        <v>38</v>
      </c>
      <c r="AT29" s="7"/>
      <c r="AU29" s="7"/>
      <c r="AV29" s="7"/>
      <c r="AW29" s="7"/>
      <c r="AX29" s="7"/>
    </row>
    <row r="30" spans="1:50" x14ac:dyDescent="0.35">
      <c r="A30" t="s">
        <v>74</v>
      </c>
      <c r="B30" s="65">
        <v>0.43659999999999999</v>
      </c>
      <c r="C30" s="15">
        <v>0.43280000000000002</v>
      </c>
      <c r="D30" s="15">
        <v>0.42909999999999998</v>
      </c>
      <c r="E30" s="15">
        <v>0.4254</v>
      </c>
      <c r="F30" s="15">
        <v>0.42199999999999999</v>
      </c>
      <c r="G30" s="15">
        <v>0.41880000000000001</v>
      </c>
      <c r="H30" s="15">
        <v>0.41560000000000002</v>
      </c>
      <c r="I30" s="15">
        <v>0.41270000000000001</v>
      </c>
      <c r="J30" s="15">
        <v>0.40960000000000002</v>
      </c>
      <c r="K30" s="15">
        <v>0.40679999999999999</v>
      </c>
      <c r="L30" s="15">
        <v>0.40400000000000003</v>
      </c>
      <c r="M30" s="64">
        <v>0.40150000000000002</v>
      </c>
      <c r="AT30" s="7"/>
      <c r="AU30" s="7"/>
      <c r="AV30" s="7"/>
      <c r="AW30" s="7"/>
      <c r="AX30" s="7"/>
    </row>
    <row r="31" spans="1:50" x14ac:dyDescent="0.35">
      <c r="A31" t="s">
        <v>75</v>
      </c>
      <c r="B31" s="44">
        <v>0.30180000000000001</v>
      </c>
      <c r="C31" s="16">
        <v>0.29920000000000002</v>
      </c>
      <c r="D31" s="16">
        <v>0.29680000000000001</v>
      </c>
      <c r="E31" s="16">
        <v>0.2944</v>
      </c>
      <c r="F31" s="16">
        <v>0.29210000000000003</v>
      </c>
      <c r="G31" s="16">
        <v>0.2898</v>
      </c>
      <c r="H31" s="16">
        <v>0.28760000000000002</v>
      </c>
      <c r="I31" s="16">
        <v>0.28539999999999999</v>
      </c>
      <c r="J31" s="16">
        <v>0.28339999999999999</v>
      </c>
      <c r="K31" s="16">
        <v>0.28129999999999999</v>
      </c>
      <c r="L31" s="16">
        <v>0.27939999999999998</v>
      </c>
      <c r="M31" s="45">
        <v>0.27739999999999998</v>
      </c>
      <c r="AT31" s="7"/>
      <c r="AU31" s="7"/>
      <c r="AV31" s="7"/>
      <c r="AW31" s="7"/>
      <c r="AX31" s="7"/>
    </row>
    <row r="32" spans="1:50" x14ac:dyDescent="0.35">
      <c r="A32" t="s">
        <v>76</v>
      </c>
      <c r="B32" s="44">
        <v>0.25219999999999998</v>
      </c>
      <c r="C32" s="16">
        <v>0.251</v>
      </c>
      <c r="D32" s="16">
        <v>0.24990000000000001</v>
      </c>
      <c r="E32" s="16">
        <v>0.2487</v>
      </c>
      <c r="F32" s="16">
        <v>0.2475</v>
      </c>
      <c r="G32" s="16">
        <v>0.24629999999999999</v>
      </c>
      <c r="H32" s="16">
        <v>0.24510000000000001</v>
      </c>
      <c r="I32" s="16">
        <v>0.24390000000000001</v>
      </c>
      <c r="J32" s="16">
        <v>0.2427</v>
      </c>
      <c r="K32" s="16">
        <v>0.24149999999999999</v>
      </c>
      <c r="L32" s="16">
        <v>0.24030000000000001</v>
      </c>
      <c r="M32" s="45">
        <v>0.23910000000000001</v>
      </c>
      <c r="AT32" s="7"/>
      <c r="AU32" s="7"/>
      <c r="AV32" s="7"/>
      <c r="AW32" s="7"/>
      <c r="AX32" s="7"/>
    </row>
    <row r="33" spans="1:50" x14ac:dyDescent="0.35">
      <c r="A33" t="s">
        <v>77</v>
      </c>
      <c r="B33" s="44">
        <v>0.2152</v>
      </c>
      <c r="C33" s="16">
        <v>0.21510000000000001</v>
      </c>
      <c r="D33" s="16">
        <v>0.215</v>
      </c>
      <c r="E33" s="16">
        <v>0.21479999999999999</v>
      </c>
      <c r="F33" s="16">
        <v>0.2145</v>
      </c>
      <c r="G33" s="16">
        <v>0.21410000000000001</v>
      </c>
      <c r="H33" s="16">
        <v>0.2137</v>
      </c>
      <c r="I33" s="16">
        <v>0.2132</v>
      </c>
      <c r="J33" s="16">
        <v>0.2127</v>
      </c>
      <c r="K33" s="16">
        <v>0.21210000000000001</v>
      </c>
      <c r="L33" s="16">
        <v>0.21160000000000001</v>
      </c>
      <c r="M33" s="45">
        <v>0.21099999999999999</v>
      </c>
      <c r="AT33" s="7"/>
      <c r="AU33" s="7"/>
      <c r="AV33" s="7"/>
      <c r="AW33" s="7"/>
      <c r="AX33" s="7"/>
    </row>
    <row r="34" spans="1:50" x14ac:dyDescent="0.35">
      <c r="A34" t="s">
        <v>78</v>
      </c>
      <c r="B34" s="44">
        <v>0.18479999999999999</v>
      </c>
      <c r="C34" s="16">
        <v>0.1857</v>
      </c>
      <c r="D34" s="16">
        <v>0.18640000000000001</v>
      </c>
      <c r="E34" s="16">
        <v>0.187</v>
      </c>
      <c r="F34" s="16">
        <v>0.18740000000000001</v>
      </c>
      <c r="G34" s="16">
        <v>0.18779999999999999</v>
      </c>
      <c r="H34" s="16">
        <v>0.188</v>
      </c>
      <c r="I34" s="16">
        <v>0.18820000000000001</v>
      </c>
      <c r="J34" s="16">
        <v>0.1883</v>
      </c>
      <c r="K34" s="16">
        <v>0.1883</v>
      </c>
      <c r="L34" s="16">
        <v>0.1883</v>
      </c>
      <c r="M34" s="45">
        <v>0.18809999999999999</v>
      </c>
      <c r="AT34" s="7"/>
      <c r="AU34" s="7"/>
      <c r="AV34" s="7"/>
      <c r="AW34" s="7"/>
      <c r="AX34" s="7"/>
    </row>
    <row r="35" spans="1:50" x14ac:dyDescent="0.35">
      <c r="A35" t="s">
        <v>79</v>
      </c>
      <c r="B35" s="44">
        <v>0.15840000000000001</v>
      </c>
      <c r="C35" s="16">
        <v>0.16009999999999999</v>
      </c>
      <c r="D35" s="16">
        <v>0.16159999999999999</v>
      </c>
      <c r="E35" s="16">
        <v>0.16300000000000001</v>
      </c>
      <c r="F35" s="16">
        <v>0.1641</v>
      </c>
      <c r="G35" s="16">
        <v>0.1651</v>
      </c>
      <c r="H35" s="16">
        <v>0.16600000000000001</v>
      </c>
      <c r="I35" s="16">
        <v>0.16669999999999999</v>
      </c>
      <c r="J35" s="16">
        <v>0.1673</v>
      </c>
      <c r="K35" s="16">
        <v>0.1678</v>
      </c>
      <c r="L35" s="16">
        <v>0.16830000000000001</v>
      </c>
      <c r="M35" s="45">
        <v>0.1686</v>
      </c>
      <c r="AT35" s="7"/>
      <c r="AU35" s="7"/>
      <c r="AV35" s="7"/>
      <c r="AW35" s="7"/>
      <c r="AX35" s="7"/>
    </row>
    <row r="36" spans="1:50" x14ac:dyDescent="0.35">
      <c r="A36" t="s">
        <v>80</v>
      </c>
      <c r="B36" s="44">
        <v>0.1346</v>
      </c>
      <c r="C36" s="16">
        <v>0.13719999999999999</v>
      </c>
      <c r="D36" s="16">
        <v>0.13950000000000001</v>
      </c>
      <c r="E36" s="16">
        <v>0.14149999999999999</v>
      </c>
      <c r="F36" s="16">
        <v>0.14330000000000001</v>
      </c>
      <c r="G36" s="16">
        <v>0.1449</v>
      </c>
      <c r="H36" s="16">
        <v>0.14630000000000001</v>
      </c>
      <c r="I36" s="16">
        <v>0.14749999999999999</v>
      </c>
      <c r="J36" s="16">
        <v>0.1487</v>
      </c>
      <c r="K36" s="16">
        <v>0.14960000000000001</v>
      </c>
      <c r="L36" s="16">
        <v>0.15049999999999999</v>
      </c>
      <c r="M36" s="45">
        <v>0.15129999999999999</v>
      </c>
      <c r="AT36" s="7"/>
      <c r="AU36" s="7"/>
      <c r="AV36" s="7"/>
      <c r="AW36" s="7"/>
      <c r="AX36" s="7"/>
    </row>
    <row r="37" spans="1:50" x14ac:dyDescent="0.35">
      <c r="A37" t="s">
        <v>81</v>
      </c>
      <c r="B37" s="44">
        <v>0.1128</v>
      </c>
      <c r="C37" s="16">
        <v>0.1162</v>
      </c>
      <c r="D37" s="16">
        <v>0.1192</v>
      </c>
      <c r="E37" s="16">
        <v>0.12189999999999999</v>
      </c>
      <c r="F37" s="16">
        <v>0.12429999999999999</v>
      </c>
      <c r="G37" s="16">
        <v>0.1265</v>
      </c>
      <c r="H37" s="16">
        <v>0.12839999999999999</v>
      </c>
      <c r="I37" s="16">
        <v>0.13009999999999999</v>
      </c>
      <c r="J37" s="16">
        <v>0.13170000000000001</v>
      </c>
      <c r="K37" s="16">
        <v>0.1331</v>
      </c>
      <c r="L37" s="16">
        <v>0.13439999999999999</v>
      </c>
      <c r="M37" s="45">
        <v>0.1356</v>
      </c>
      <c r="AT37" s="7"/>
      <c r="AU37" s="7"/>
      <c r="AV37" s="7"/>
      <c r="AW37" s="7"/>
      <c r="AX37" s="7"/>
    </row>
    <row r="38" spans="1:50" x14ac:dyDescent="0.35">
      <c r="A38" t="s">
        <v>82</v>
      </c>
      <c r="B38" s="44">
        <v>9.2299999999999993E-2</v>
      </c>
      <c r="C38" s="16">
        <v>9.6500000000000002E-2</v>
      </c>
      <c r="D38" s="16">
        <v>0.1002</v>
      </c>
      <c r="E38" s="16">
        <v>0.1036</v>
      </c>
      <c r="F38" s="16">
        <v>0.1066</v>
      </c>
      <c r="G38" s="16">
        <v>0.10929999999999999</v>
      </c>
      <c r="H38" s="16">
        <v>0.1118</v>
      </c>
      <c r="I38" s="16">
        <v>0.114</v>
      </c>
      <c r="J38" s="16">
        <v>0.11600000000000001</v>
      </c>
      <c r="K38" s="16">
        <v>0.1179</v>
      </c>
      <c r="L38" s="16">
        <v>0.1196</v>
      </c>
      <c r="M38" s="45">
        <v>0.1211</v>
      </c>
      <c r="AT38" s="7"/>
      <c r="AU38" s="7"/>
      <c r="AV38" s="7"/>
      <c r="AW38" s="7"/>
      <c r="AX38" s="7"/>
    </row>
    <row r="39" spans="1:50" x14ac:dyDescent="0.35">
      <c r="A39" t="s">
        <v>83</v>
      </c>
      <c r="B39" s="44">
        <v>7.2800000000000004E-2</v>
      </c>
      <c r="C39" s="16">
        <v>7.7799999999999994E-2</v>
      </c>
      <c r="D39" s="16">
        <v>8.2199999999999995E-2</v>
      </c>
      <c r="E39" s="16">
        <v>8.6199999999999999E-2</v>
      </c>
      <c r="F39" s="16">
        <v>8.9899999999999994E-2</v>
      </c>
      <c r="G39" s="16">
        <v>9.3100000000000002E-2</v>
      </c>
      <c r="H39" s="16">
        <v>9.6100000000000005E-2</v>
      </c>
      <c r="I39" s="16">
        <v>9.8799999999999999E-2</v>
      </c>
      <c r="J39" s="16">
        <v>0.1013</v>
      </c>
      <c r="K39" s="16">
        <v>0.1036</v>
      </c>
      <c r="L39" s="16">
        <v>0.1056</v>
      </c>
      <c r="M39" s="45">
        <v>0.1075</v>
      </c>
      <c r="AT39" s="7"/>
      <c r="AU39" s="7"/>
      <c r="AV39" s="7"/>
      <c r="AW39" s="7"/>
      <c r="AX39" s="7"/>
    </row>
    <row r="40" spans="1:50" x14ac:dyDescent="0.35">
      <c r="A40" t="s">
        <v>84</v>
      </c>
      <c r="B40" s="44">
        <v>5.3999999999999999E-2</v>
      </c>
      <c r="C40" s="16">
        <v>5.9799999999999999E-2</v>
      </c>
      <c r="D40" s="16">
        <v>6.5000000000000002E-2</v>
      </c>
      <c r="E40" s="16">
        <v>6.9699999999999998E-2</v>
      </c>
      <c r="F40" s="16">
        <v>7.3899999999999993E-2</v>
      </c>
      <c r="G40" s="16">
        <v>7.7700000000000005E-2</v>
      </c>
      <c r="H40" s="16">
        <v>8.1199999999999994E-2</v>
      </c>
      <c r="I40" s="16">
        <v>8.4400000000000003E-2</v>
      </c>
      <c r="J40" s="16">
        <v>8.7300000000000003E-2</v>
      </c>
      <c r="K40" s="16">
        <v>0.09</v>
      </c>
      <c r="L40" s="16">
        <v>9.2399999999999996E-2</v>
      </c>
      <c r="M40" s="45">
        <v>9.4700000000000006E-2</v>
      </c>
      <c r="AT40" s="7"/>
      <c r="AU40" s="7"/>
      <c r="AV40" s="7"/>
      <c r="AW40" s="7"/>
      <c r="AX40" s="7"/>
    </row>
    <row r="41" spans="1:50" x14ac:dyDescent="0.35">
      <c r="A41" t="s">
        <v>85</v>
      </c>
      <c r="B41" s="44">
        <v>3.5799999999999998E-2</v>
      </c>
      <c r="C41" s="16">
        <v>4.24E-2</v>
      </c>
      <c r="D41" s="16">
        <v>4.8300000000000003E-2</v>
      </c>
      <c r="E41" s="16">
        <v>5.3699999999999998E-2</v>
      </c>
      <c r="F41" s="16">
        <v>5.8500000000000003E-2</v>
      </c>
      <c r="G41" s="16">
        <v>6.2899999999999998E-2</v>
      </c>
      <c r="H41" s="16">
        <v>6.6900000000000001E-2</v>
      </c>
      <c r="I41" s="16">
        <v>7.0599999999999996E-2</v>
      </c>
      <c r="J41" s="16">
        <v>7.3899999999999993E-2</v>
      </c>
      <c r="K41" s="16">
        <v>7.6999999999999999E-2</v>
      </c>
      <c r="L41" s="16">
        <v>7.9799999999999996E-2</v>
      </c>
      <c r="M41" s="45">
        <v>8.2400000000000001E-2</v>
      </c>
      <c r="AT41" s="7"/>
      <c r="AU41" s="7"/>
      <c r="AV41" s="7"/>
      <c r="AW41" s="7"/>
      <c r="AX41" s="7"/>
    </row>
    <row r="42" spans="1:50" x14ac:dyDescent="0.35">
      <c r="A42" t="s">
        <v>86</v>
      </c>
      <c r="B42" s="44">
        <v>1.78E-2</v>
      </c>
      <c r="C42" s="16">
        <v>2.53E-2</v>
      </c>
      <c r="D42" s="16">
        <v>3.2000000000000001E-2</v>
      </c>
      <c r="E42" s="16">
        <v>3.8100000000000002E-2</v>
      </c>
      <c r="F42" s="16">
        <v>4.3499999999999997E-2</v>
      </c>
      <c r="G42" s="16">
        <v>4.8500000000000001E-2</v>
      </c>
      <c r="H42" s="16">
        <v>5.2999999999999999E-2</v>
      </c>
      <c r="I42" s="16">
        <v>5.7200000000000001E-2</v>
      </c>
      <c r="J42" s="16">
        <v>6.0999999999999999E-2</v>
      </c>
      <c r="K42" s="16">
        <v>6.4500000000000002E-2</v>
      </c>
      <c r="L42" s="16">
        <v>6.7699999999999996E-2</v>
      </c>
      <c r="M42" s="45">
        <v>7.0599999999999996E-2</v>
      </c>
      <c r="AT42" s="7"/>
      <c r="AU42" s="7"/>
      <c r="AV42" s="7"/>
      <c r="AW42" s="7"/>
      <c r="AX42" s="7"/>
    </row>
    <row r="43" spans="1:50" x14ac:dyDescent="0.35">
      <c r="A43" t="s">
        <v>106</v>
      </c>
      <c r="B43" s="44">
        <v>0</v>
      </c>
      <c r="C43" s="16">
        <v>8.3999999999999995E-3</v>
      </c>
      <c r="D43" s="16">
        <v>1.5900000000000001E-2</v>
      </c>
      <c r="E43" s="16">
        <v>2.2700000000000001E-2</v>
      </c>
      <c r="F43" s="16">
        <v>2.8899999999999999E-2</v>
      </c>
      <c r="G43" s="16">
        <v>3.44E-2</v>
      </c>
      <c r="H43" s="16">
        <v>3.95E-2</v>
      </c>
      <c r="I43" s="16">
        <v>4.41E-2</v>
      </c>
      <c r="J43" s="16">
        <v>4.8399999999999999E-2</v>
      </c>
      <c r="K43" s="16">
        <v>5.2299999999999999E-2</v>
      </c>
      <c r="L43" s="16">
        <v>5.5899999999999998E-2</v>
      </c>
      <c r="M43" s="45">
        <v>5.9200000000000003E-2</v>
      </c>
      <c r="AT43" s="7"/>
      <c r="AU43" s="7"/>
      <c r="AV43" s="7"/>
      <c r="AW43" s="7"/>
      <c r="AX43" s="7"/>
    </row>
    <row r="44" spans="1:50" x14ac:dyDescent="0.35">
      <c r="A44" t="s">
        <v>107</v>
      </c>
      <c r="B44" s="44" t="s">
        <v>108</v>
      </c>
      <c r="C44" s="16" t="s">
        <v>108</v>
      </c>
      <c r="D44" s="16">
        <v>0</v>
      </c>
      <c r="E44" s="16">
        <v>7.6E-3</v>
      </c>
      <c r="F44" s="16">
        <v>1.44E-2</v>
      </c>
      <c r="G44" s="16">
        <v>2.06E-2</v>
      </c>
      <c r="H44" s="16">
        <v>2.6200000000000001E-2</v>
      </c>
      <c r="I44" s="16">
        <v>3.1399999999999997E-2</v>
      </c>
      <c r="J44" s="16">
        <v>3.61E-2</v>
      </c>
      <c r="K44" s="16">
        <v>4.0399999999999998E-2</v>
      </c>
      <c r="L44" s="16">
        <v>4.4400000000000002E-2</v>
      </c>
      <c r="M44" s="45">
        <v>4.8099999999999997E-2</v>
      </c>
      <c r="AT44" s="7"/>
      <c r="AU44" s="7"/>
      <c r="AV44" s="7"/>
      <c r="AW44" s="7"/>
      <c r="AX44" s="7"/>
    </row>
    <row r="45" spans="1:50" x14ac:dyDescent="0.35">
      <c r="A45" t="s">
        <v>109</v>
      </c>
      <c r="B45" s="44"/>
      <c r="C45" s="16"/>
      <c r="D45" s="16" t="s">
        <v>108</v>
      </c>
      <c r="E45" s="16" t="s">
        <v>108</v>
      </c>
      <c r="F45" s="16">
        <v>0</v>
      </c>
      <c r="G45" s="16">
        <v>6.7999999999999996E-3</v>
      </c>
      <c r="H45" s="16">
        <v>1.3100000000000001E-2</v>
      </c>
      <c r="I45" s="16">
        <v>1.8700000000000001E-2</v>
      </c>
      <c r="J45" s="16">
        <v>2.3900000000000001E-2</v>
      </c>
      <c r="K45" s="16">
        <v>2.87E-2</v>
      </c>
      <c r="L45" s="16">
        <v>3.3099999999999997E-2</v>
      </c>
      <c r="M45" s="45">
        <v>3.7199999999999997E-2</v>
      </c>
      <c r="AT45" s="7"/>
      <c r="AU45" s="7"/>
      <c r="AV45" s="7"/>
      <c r="AW45" s="7"/>
      <c r="AX45" s="7"/>
    </row>
    <row r="46" spans="1:50" x14ac:dyDescent="0.35">
      <c r="A46" t="s">
        <v>110</v>
      </c>
      <c r="B46" s="44"/>
      <c r="C46" s="16"/>
      <c r="D46" s="16" t="s">
        <v>108</v>
      </c>
      <c r="E46" s="16" t="s">
        <v>108</v>
      </c>
      <c r="F46" s="16" t="s">
        <v>108</v>
      </c>
      <c r="G46" s="16" t="s">
        <v>108</v>
      </c>
      <c r="H46" s="16">
        <v>0</v>
      </c>
      <c r="I46" s="16">
        <v>6.1999999999999998E-3</v>
      </c>
      <c r="J46" s="16">
        <v>1.1900000000000001E-2</v>
      </c>
      <c r="K46" s="16">
        <v>1.72E-2</v>
      </c>
      <c r="L46" s="16">
        <v>2.1999999999999999E-2</v>
      </c>
      <c r="M46" s="45">
        <v>2.64E-2</v>
      </c>
      <c r="AT46" s="7"/>
      <c r="AU46" s="7"/>
      <c r="AV46" s="7"/>
      <c r="AW46" s="7"/>
      <c r="AX46" s="7"/>
    </row>
    <row r="47" spans="1:50" x14ac:dyDescent="0.35">
      <c r="A47" t="s">
        <v>111</v>
      </c>
      <c r="B47" s="44"/>
      <c r="C47" s="16"/>
      <c r="D47" s="16" t="s">
        <v>108</v>
      </c>
      <c r="E47" s="16" t="s">
        <v>108</v>
      </c>
      <c r="F47" s="16" t="s">
        <v>108</v>
      </c>
      <c r="G47" s="16" t="s">
        <v>108</v>
      </c>
      <c r="H47" s="16" t="s">
        <v>108</v>
      </c>
      <c r="I47" s="16" t="s">
        <v>108</v>
      </c>
      <c r="J47" s="16">
        <v>0</v>
      </c>
      <c r="K47" s="16">
        <v>5.7000000000000002E-3</v>
      </c>
      <c r="L47" s="16">
        <v>1.0999999999999999E-2</v>
      </c>
      <c r="M47" s="45">
        <v>1.5800000000000002E-2</v>
      </c>
      <c r="AT47" s="7"/>
      <c r="AU47" s="7"/>
      <c r="AV47" s="7"/>
      <c r="AW47" s="7"/>
      <c r="AX47" s="7"/>
    </row>
    <row r="48" spans="1:50" x14ac:dyDescent="0.35">
      <c r="A48" t="s">
        <v>112</v>
      </c>
      <c r="B48" s="66"/>
      <c r="C48" s="67"/>
      <c r="D48" s="67"/>
      <c r="E48" s="31"/>
      <c r="F48" s="31"/>
      <c r="G48" s="31"/>
      <c r="H48" s="31"/>
      <c r="I48" s="31"/>
      <c r="J48" s="31"/>
      <c r="K48" s="31"/>
      <c r="L48" s="46">
        <v>0</v>
      </c>
      <c r="M48" s="47">
        <v>5.3E-3</v>
      </c>
      <c r="AT48" s="7"/>
      <c r="AU48" s="7"/>
      <c r="AV48" s="7"/>
      <c r="AW48" s="7"/>
      <c r="AX48" s="7"/>
    </row>
    <row r="49" spans="1:50" x14ac:dyDescent="0.35">
      <c r="B49" s="20"/>
      <c r="C49" s="20"/>
      <c r="D49" s="20"/>
      <c r="AT49" s="7"/>
      <c r="AU49" s="7"/>
      <c r="AV49" s="7"/>
      <c r="AW49" s="7"/>
      <c r="AX49" s="7"/>
    </row>
    <row r="50" spans="1:50" x14ac:dyDescent="0.35">
      <c r="A50" s="5" t="s">
        <v>73</v>
      </c>
      <c r="B50">
        <v>39</v>
      </c>
      <c r="C50">
        <f t="shared" ref="C50:M50" si="3">B50+1</f>
        <v>40</v>
      </c>
      <c r="D50">
        <f t="shared" si="3"/>
        <v>41</v>
      </c>
      <c r="E50">
        <f t="shared" si="3"/>
        <v>42</v>
      </c>
      <c r="F50">
        <f t="shared" si="3"/>
        <v>43</v>
      </c>
      <c r="G50">
        <f t="shared" si="3"/>
        <v>44</v>
      </c>
      <c r="H50">
        <f t="shared" si="3"/>
        <v>45</v>
      </c>
      <c r="I50">
        <f t="shared" si="3"/>
        <v>46</v>
      </c>
      <c r="J50">
        <f t="shared" si="3"/>
        <v>47</v>
      </c>
      <c r="K50">
        <f t="shared" si="3"/>
        <v>48</v>
      </c>
      <c r="L50">
        <f t="shared" si="3"/>
        <v>49</v>
      </c>
      <c r="M50">
        <f t="shared" si="3"/>
        <v>50</v>
      </c>
      <c r="AT50" s="7"/>
      <c r="AU50" s="7"/>
      <c r="AV50" s="7"/>
      <c r="AW50" s="7"/>
      <c r="AX50" s="7"/>
    </row>
    <row r="51" spans="1:50" x14ac:dyDescent="0.35">
      <c r="A51" t="s">
        <v>74</v>
      </c>
      <c r="B51" s="65">
        <v>0.39889999999999998</v>
      </c>
      <c r="C51" s="15">
        <v>0.39639999999999997</v>
      </c>
      <c r="D51" s="15">
        <v>0.39400000000000002</v>
      </c>
      <c r="E51" s="15">
        <v>0.39169999999999999</v>
      </c>
      <c r="F51" s="15">
        <v>0.38940000000000002</v>
      </c>
      <c r="G51" s="15">
        <v>0.38719999999999999</v>
      </c>
      <c r="H51" s="15">
        <v>0.38500000000000001</v>
      </c>
      <c r="I51" s="15">
        <v>0.38300000000000001</v>
      </c>
      <c r="J51" s="15">
        <v>0.38080000000000003</v>
      </c>
      <c r="K51" s="15">
        <v>0.37890000000000001</v>
      </c>
      <c r="L51" s="15">
        <v>0.377</v>
      </c>
      <c r="M51" s="64">
        <v>0.37509999999999999</v>
      </c>
      <c r="AT51" s="7"/>
      <c r="AU51" s="7"/>
      <c r="AV51" s="7"/>
      <c r="AW51" s="7"/>
      <c r="AX51" s="7"/>
    </row>
    <row r="52" spans="1:50" x14ac:dyDescent="0.35">
      <c r="A52" t="s">
        <v>75</v>
      </c>
      <c r="B52" s="44">
        <v>0.27550000000000002</v>
      </c>
      <c r="C52" s="16">
        <v>0.2737</v>
      </c>
      <c r="D52" s="16">
        <v>0.27189999999999998</v>
      </c>
      <c r="E52" s="16">
        <v>0.27010000000000001</v>
      </c>
      <c r="F52" s="16">
        <v>0.26840000000000003</v>
      </c>
      <c r="G52" s="16">
        <v>0.26669999999999999</v>
      </c>
      <c r="H52" s="16">
        <v>0.2651</v>
      </c>
      <c r="I52" s="16">
        <v>0.26350000000000001</v>
      </c>
      <c r="J52" s="16">
        <v>0.26200000000000001</v>
      </c>
      <c r="K52" s="16">
        <v>0.26040000000000002</v>
      </c>
      <c r="L52" s="16">
        <v>0.25890000000000002</v>
      </c>
      <c r="M52" s="45">
        <v>0.25740000000000002</v>
      </c>
      <c r="AT52" s="7"/>
      <c r="AU52" s="7"/>
      <c r="AV52" s="7"/>
      <c r="AW52" s="7"/>
      <c r="AX52" s="7"/>
    </row>
    <row r="53" spans="1:50" x14ac:dyDescent="0.35">
      <c r="A53" t="s">
        <v>76</v>
      </c>
      <c r="B53" s="44">
        <v>0.23799999999999999</v>
      </c>
      <c r="C53" s="16">
        <v>0.23680000000000001</v>
      </c>
      <c r="D53" s="16">
        <v>0.23569999999999999</v>
      </c>
      <c r="E53" s="16">
        <v>0.23449999999999999</v>
      </c>
      <c r="F53" s="16">
        <v>0.2334</v>
      </c>
      <c r="G53" s="16">
        <v>0.23230000000000001</v>
      </c>
      <c r="H53" s="16">
        <v>0.23130000000000001</v>
      </c>
      <c r="I53" s="16">
        <v>0.23019999999999999</v>
      </c>
      <c r="J53" s="16">
        <v>0.2291</v>
      </c>
      <c r="K53" s="16">
        <v>0.2281</v>
      </c>
      <c r="L53" s="16">
        <v>0.2271</v>
      </c>
      <c r="M53" s="45">
        <v>0.22600000000000001</v>
      </c>
      <c r="AT53" s="7"/>
      <c r="AU53" s="7"/>
      <c r="AV53" s="7"/>
      <c r="AW53" s="7"/>
      <c r="AX53" s="7"/>
    </row>
    <row r="54" spans="1:50" x14ac:dyDescent="0.35">
      <c r="A54" t="s">
        <v>77</v>
      </c>
      <c r="B54" s="44">
        <v>0.2104</v>
      </c>
      <c r="C54" s="16">
        <v>0.20979999999999999</v>
      </c>
      <c r="D54" s="16">
        <v>0.20910000000000001</v>
      </c>
      <c r="E54" s="16">
        <v>0.20849999999999999</v>
      </c>
      <c r="F54" s="16">
        <v>0.20780000000000001</v>
      </c>
      <c r="G54" s="16">
        <v>0.2072</v>
      </c>
      <c r="H54" s="16">
        <v>0.20649999999999999</v>
      </c>
      <c r="I54" s="16">
        <v>0.20580000000000001</v>
      </c>
      <c r="J54" s="16">
        <v>0.20519999999999999</v>
      </c>
      <c r="K54" s="16">
        <v>0.20449999999999999</v>
      </c>
      <c r="L54" s="16">
        <v>0.20380000000000001</v>
      </c>
      <c r="M54" s="45">
        <v>0.20319999999999999</v>
      </c>
      <c r="AT54" s="7"/>
      <c r="AU54" s="7"/>
      <c r="AV54" s="7"/>
      <c r="AW54" s="7"/>
      <c r="AX54" s="7"/>
    </row>
    <row r="55" spans="1:50" x14ac:dyDescent="0.35">
      <c r="A55" t="s">
        <v>78</v>
      </c>
      <c r="B55" s="44">
        <v>0.188</v>
      </c>
      <c r="C55" s="16">
        <v>0.18779999999999999</v>
      </c>
      <c r="D55" s="16">
        <v>0.18759999999999999</v>
      </c>
      <c r="E55" s="16">
        <v>0.18740000000000001</v>
      </c>
      <c r="F55" s="16">
        <v>0.18709999999999999</v>
      </c>
      <c r="G55" s="16">
        <v>0.18679999999999999</v>
      </c>
      <c r="H55" s="16">
        <v>0.1865</v>
      </c>
      <c r="I55" s="16">
        <v>0.1862</v>
      </c>
      <c r="J55" s="16">
        <v>0.18590000000000001</v>
      </c>
      <c r="K55" s="16">
        <v>0.1855</v>
      </c>
      <c r="L55" s="16">
        <v>0.18509999999999999</v>
      </c>
      <c r="M55" s="45">
        <v>0.1847</v>
      </c>
      <c r="AT55" s="7"/>
      <c r="AU55" s="7"/>
      <c r="AV55" s="7"/>
      <c r="AW55" s="7"/>
      <c r="AX55" s="7"/>
    </row>
    <row r="56" spans="1:50" x14ac:dyDescent="0.35">
      <c r="A56" t="s">
        <v>79</v>
      </c>
      <c r="B56" s="44">
        <v>0.16889999999999999</v>
      </c>
      <c r="C56" s="16">
        <v>0.1691</v>
      </c>
      <c r="D56" s="16">
        <v>0.16930000000000001</v>
      </c>
      <c r="E56" s="16">
        <v>0.1694</v>
      </c>
      <c r="F56" s="16">
        <v>0.16950000000000001</v>
      </c>
      <c r="G56" s="16">
        <v>0.16950000000000001</v>
      </c>
      <c r="H56" s="16">
        <v>0.16950000000000001</v>
      </c>
      <c r="I56" s="16">
        <v>0.16950000000000001</v>
      </c>
      <c r="J56" s="16">
        <v>0.16950000000000001</v>
      </c>
      <c r="K56" s="16">
        <v>0.16930000000000001</v>
      </c>
      <c r="L56" s="16">
        <v>0.16919999999999999</v>
      </c>
      <c r="M56" s="45">
        <v>0.1691</v>
      </c>
      <c r="AT56" s="7"/>
      <c r="AU56" s="7"/>
      <c r="AV56" s="7"/>
      <c r="AW56" s="7"/>
      <c r="AX56" s="7"/>
    </row>
    <row r="57" spans="1:50" x14ac:dyDescent="0.35">
      <c r="A57" t="s">
        <v>80</v>
      </c>
      <c r="B57" s="44">
        <v>0.152</v>
      </c>
      <c r="C57" s="16">
        <v>0.15260000000000001</v>
      </c>
      <c r="D57" s="16">
        <v>0.15310000000000001</v>
      </c>
      <c r="E57" s="16">
        <v>0.1535</v>
      </c>
      <c r="F57" s="16">
        <v>0.15390000000000001</v>
      </c>
      <c r="G57" s="16">
        <v>0.1542</v>
      </c>
      <c r="H57" s="16">
        <v>0.1545</v>
      </c>
      <c r="I57" s="16">
        <v>0.15479999999999999</v>
      </c>
      <c r="J57" s="16">
        <v>0.155</v>
      </c>
      <c r="K57" s="16">
        <v>0.15509999999999999</v>
      </c>
      <c r="L57" s="16">
        <v>0.15529999999999999</v>
      </c>
      <c r="M57" s="45">
        <v>0.15540000000000001</v>
      </c>
      <c r="AT57" s="7"/>
      <c r="AU57" s="7"/>
      <c r="AV57" s="7"/>
      <c r="AW57" s="7"/>
      <c r="AX57" s="7"/>
    </row>
    <row r="58" spans="1:50" x14ac:dyDescent="0.35">
      <c r="A58" t="s">
        <v>81</v>
      </c>
      <c r="B58" s="44">
        <v>0.1366</v>
      </c>
      <c r="C58" s="16">
        <v>0.1376</v>
      </c>
      <c r="D58" s="16">
        <v>0.1384</v>
      </c>
      <c r="E58" s="16">
        <v>0.13919999999999999</v>
      </c>
      <c r="F58" s="16">
        <v>0.13980000000000001</v>
      </c>
      <c r="G58" s="16">
        <v>0.14050000000000001</v>
      </c>
      <c r="H58" s="16">
        <v>0.14099999999999999</v>
      </c>
      <c r="I58" s="16">
        <v>0.14149999999999999</v>
      </c>
      <c r="J58" s="16">
        <v>0.14199999999999999</v>
      </c>
      <c r="K58" s="16">
        <v>0.14230000000000001</v>
      </c>
      <c r="L58" s="16">
        <v>0.14269999999999999</v>
      </c>
      <c r="M58" s="45">
        <v>0.14299999999999999</v>
      </c>
      <c r="AT58" s="7"/>
      <c r="AU58" s="7"/>
      <c r="AV58" s="7"/>
      <c r="AW58" s="7"/>
      <c r="AX58" s="7"/>
    </row>
    <row r="59" spans="1:50" x14ac:dyDescent="0.35">
      <c r="A59" t="s">
        <v>82</v>
      </c>
      <c r="B59" s="44">
        <v>0.1225</v>
      </c>
      <c r="C59" s="16">
        <v>0.1237</v>
      </c>
      <c r="D59" s="16">
        <v>0.1249</v>
      </c>
      <c r="E59" s="16">
        <v>0.12590000000000001</v>
      </c>
      <c r="F59" s="16">
        <v>0.12690000000000001</v>
      </c>
      <c r="G59" s="16">
        <v>0.1278</v>
      </c>
      <c r="H59" s="16">
        <v>0.12859999999999999</v>
      </c>
      <c r="I59" s="16">
        <v>0.1293</v>
      </c>
      <c r="J59" s="16">
        <v>0.13</v>
      </c>
      <c r="K59" s="16">
        <v>0.13059999999999999</v>
      </c>
      <c r="L59" s="16">
        <v>0.13120000000000001</v>
      </c>
      <c r="M59" s="45">
        <v>0.13170000000000001</v>
      </c>
      <c r="AT59" s="7"/>
      <c r="AU59" s="7"/>
      <c r="AV59" s="7"/>
      <c r="AW59" s="7"/>
      <c r="AX59" s="7"/>
    </row>
    <row r="60" spans="1:50" x14ac:dyDescent="0.35">
      <c r="A60" t="s">
        <v>83</v>
      </c>
      <c r="B60" s="44">
        <v>0.10920000000000001</v>
      </c>
      <c r="C60" s="16">
        <v>0.1108</v>
      </c>
      <c r="D60" s="16">
        <v>0.1123</v>
      </c>
      <c r="E60" s="16">
        <v>0.11360000000000001</v>
      </c>
      <c r="F60" s="16">
        <v>0.1149</v>
      </c>
      <c r="G60" s="16">
        <v>0.11600000000000001</v>
      </c>
      <c r="H60" s="16">
        <v>0.11700000000000001</v>
      </c>
      <c r="I60" s="16">
        <v>0.11799999999999999</v>
      </c>
      <c r="J60" s="16">
        <v>0.11890000000000001</v>
      </c>
      <c r="K60" s="16">
        <v>0.1197</v>
      </c>
      <c r="L60" s="16">
        <v>0.1205</v>
      </c>
      <c r="M60" s="45">
        <v>0.1212</v>
      </c>
      <c r="AT60" s="7"/>
      <c r="AU60" s="7"/>
      <c r="AV60" s="7"/>
      <c r="AW60" s="7"/>
      <c r="AX60" s="7"/>
    </row>
    <row r="61" spans="1:50" x14ac:dyDescent="0.35">
      <c r="A61" t="s">
        <v>84</v>
      </c>
      <c r="B61" s="44">
        <v>9.6699999999999994E-2</v>
      </c>
      <c r="C61" s="16">
        <v>9.8599999999999993E-2</v>
      </c>
      <c r="D61" s="16">
        <v>0.1004</v>
      </c>
      <c r="E61" s="16">
        <v>0.10199999999999999</v>
      </c>
      <c r="F61" s="16">
        <v>0.10349999999999999</v>
      </c>
      <c r="G61" s="16">
        <v>0.10489999999999999</v>
      </c>
      <c r="H61" s="16">
        <v>0.1062</v>
      </c>
      <c r="I61" s="16">
        <v>0.10730000000000001</v>
      </c>
      <c r="J61" s="16">
        <v>0.1085</v>
      </c>
      <c r="K61" s="16">
        <v>0.1095</v>
      </c>
      <c r="L61" s="16">
        <v>0.1105</v>
      </c>
      <c r="M61" s="45">
        <v>0.1113</v>
      </c>
      <c r="AT61" s="7"/>
      <c r="AU61" s="7"/>
      <c r="AV61" s="7"/>
      <c r="AW61" s="7"/>
      <c r="AX61" s="7"/>
    </row>
    <row r="62" spans="1:50" x14ac:dyDescent="0.35">
      <c r="A62" t="s">
        <v>85</v>
      </c>
      <c r="B62" s="44">
        <v>8.48E-2</v>
      </c>
      <c r="C62" s="16">
        <v>8.6999999999999994E-2</v>
      </c>
      <c r="D62" s="16">
        <v>8.9099999999999999E-2</v>
      </c>
      <c r="E62" s="16">
        <v>9.0899999999999995E-2</v>
      </c>
      <c r="F62" s="16">
        <v>9.2700000000000005E-2</v>
      </c>
      <c r="G62" s="16">
        <v>9.4299999999999995E-2</v>
      </c>
      <c r="H62" s="16">
        <v>9.5899999999999999E-2</v>
      </c>
      <c r="I62" s="16">
        <v>9.7199999999999995E-2</v>
      </c>
      <c r="J62" s="16">
        <v>9.8599999999999993E-2</v>
      </c>
      <c r="K62" s="16">
        <v>9.98E-2</v>
      </c>
      <c r="L62" s="16">
        <v>0.10100000000000001</v>
      </c>
      <c r="M62" s="45">
        <v>0.10199999999999999</v>
      </c>
      <c r="AT62" s="7"/>
      <c r="AU62" s="7"/>
      <c r="AV62" s="7"/>
      <c r="AW62" s="7"/>
      <c r="AX62" s="7"/>
    </row>
    <row r="63" spans="1:50" x14ac:dyDescent="0.35">
      <c r="A63" t="s">
        <v>86</v>
      </c>
      <c r="B63" s="44">
        <v>7.3300000000000004E-2</v>
      </c>
      <c r="C63" s="16">
        <v>7.5899999999999995E-2</v>
      </c>
      <c r="D63" s="16">
        <v>7.8200000000000006E-2</v>
      </c>
      <c r="E63" s="16">
        <v>8.0399999999999999E-2</v>
      </c>
      <c r="F63" s="16">
        <v>8.2400000000000001E-2</v>
      </c>
      <c r="G63" s="16">
        <v>8.4199999999999997E-2</v>
      </c>
      <c r="H63" s="16">
        <v>8.5999999999999993E-2</v>
      </c>
      <c r="I63" s="16">
        <v>8.7599999999999997E-2</v>
      </c>
      <c r="J63" s="16">
        <v>8.9200000000000002E-2</v>
      </c>
      <c r="K63" s="16">
        <v>9.06E-2</v>
      </c>
      <c r="L63" s="16">
        <v>0.91900000000000004</v>
      </c>
      <c r="M63" s="45">
        <v>9.3200000000000005E-2</v>
      </c>
      <c r="AT63" s="7"/>
      <c r="AU63" s="7"/>
      <c r="AV63" s="7"/>
      <c r="AW63" s="7"/>
      <c r="AX63" s="7"/>
    </row>
    <row r="64" spans="1:50" x14ac:dyDescent="0.35">
      <c r="A64" t="s">
        <v>106</v>
      </c>
      <c r="B64" s="44">
        <v>6.2199999999999998E-2</v>
      </c>
      <c r="C64" s="16">
        <v>6.5100000000000005E-2</v>
      </c>
      <c r="D64" s="16">
        <v>6.7699999999999996E-2</v>
      </c>
      <c r="E64" s="16">
        <v>7.0099999999999996E-2</v>
      </c>
      <c r="F64" s="16">
        <v>7.2400000000000006E-2</v>
      </c>
      <c r="G64" s="16">
        <v>7.4499999999999997E-2</v>
      </c>
      <c r="H64" s="16">
        <v>7.6499999999999999E-2</v>
      </c>
      <c r="I64" s="16">
        <v>7.8299999999999995E-2</v>
      </c>
      <c r="J64" s="16">
        <v>8.0100000000000005E-2</v>
      </c>
      <c r="K64" s="16">
        <v>8.1699999999999995E-2</v>
      </c>
      <c r="L64" s="16">
        <v>8.3199999999999996E-2</v>
      </c>
      <c r="M64" s="45">
        <v>8.4599999999999995E-2</v>
      </c>
      <c r="AT64" s="7"/>
      <c r="AU64" s="7"/>
      <c r="AV64" s="7"/>
      <c r="AW64" s="7"/>
      <c r="AX64" s="7"/>
    </row>
    <row r="65" spans="1:50" x14ac:dyDescent="0.35">
      <c r="A65" t="s">
        <v>107</v>
      </c>
      <c r="B65" s="44">
        <v>5.1499999999999997E-2</v>
      </c>
      <c r="C65" s="16">
        <v>5.4600000000000003E-2</v>
      </c>
      <c r="D65" s="16">
        <v>5.7500000000000002E-2</v>
      </c>
      <c r="E65" s="16">
        <v>6.0199999999999997E-2</v>
      </c>
      <c r="F65" s="16">
        <v>6.2799999999999995E-2</v>
      </c>
      <c r="G65" s="16">
        <v>6.5100000000000005E-2</v>
      </c>
      <c r="H65" s="16">
        <v>6.7299999999999999E-2</v>
      </c>
      <c r="I65" s="16">
        <v>6.9400000000000003E-2</v>
      </c>
      <c r="J65" s="16">
        <v>7.1300000000000002E-2</v>
      </c>
      <c r="K65" s="16">
        <v>7.3099999999999998E-2</v>
      </c>
      <c r="L65" s="16">
        <v>7.4800000000000005E-2</v>
      </c>
      <c r="M65" s="45">
        <v>7.6399999999999996E-2</v>
      </c>
      <c r="AT65" s="7"/>
      <c r="AU65" s="7"/>
      <c r="AV65" s="7"/>
      <c r="AW65" s="7"/>
      <c r="AX65" s="7"/>
    </row>
    <row r="66" spans="1:50" x14ac:dyDescent="0.35">
      <c r="A66" t="s">
        <v>109</v>
      </c>
      <c r="B66" s="44">
        <v>4.0899999999999999E-2</v>
      </c>
      <c r="C66" s="16">
        <v>4.4400000000000002E-2</v>
      </c>
      <c r="D66" s="16">
        <v>4.7600000000000003E-2</v>
      </c>
      <c r="E66" s="16">
        <v>5.0599999999999999E-2</v>
      </c>
      <c r="F66" s="16">
        <v>5.3400000000000003E-2</v>
      </c>
      <c r="G66" s="16">
        <v>5.6000000000000001E-2</v>
      </c>
      <c r="H66" s="16">
        <v>5.8400000000000001E-2</v>
      </c>
      <c r="I66" s="16">
        <v>6.0699999999999997E-2</v>
      </c>
      <c r="J66" s="16">
        <v>6.2799999999999995E-2</v>
      </c>
      <c r="K66" s="16">
        <v>6.4799999999999996E-2</v>
      </c>
      <c r="L66" s="16">
        <v>6.6699999999999995E-2</v>
      </c>
      <c r="M66" s="45">
        <v>6.8500000000000005E-2</v>
      </c>
      <c r="AT66" s="7"/>
      <c r="AU66" s="7"/>
      <c r="AV66" s="7"/>
      <c r="AW66" s="7"/>
      <c r="AX66" s="7"/>
    </row>
    <row r="67" spans="1:50" x14ac:dyDescent="0.35">
      <c r="A67" t="s">
        <v>110</v>
      </c>
      <c r="B67" s="44">
        <v>3.0499999999999999E-2</v>
      </c>
      <c r="C67" s="16">
        <v>3.4299999999999997E-2</v>
      </c>
      <c r="D67" s="16">
        <v>3.7900000000000003E-2</v>
      </c>
      <c r="E67" s="16">
        <v>4.1099999999999998E-2</v>
      </c>
      <c r="F67" s="16">
        <v>4.4200000000000003E-2</v>
      </c>
      <c r="G67" s="16">
        <v>4.7100000000000003E-2</v>
      </c>
      <c r="H67" s="16">
        <v>4.9700000000000001E-2</v>
      </c>
      <c r="I67" s="16">
        <v>5.2200000000000003E-2</v>
      </c>
      <c r="J67" s="16">
        <v>5.4600000000000003E-2</v>
      </c>
      <c r="K67" s="16">
        <v>5.6800000000000003E-2</v>
      </c>
      <c r="L67" s="16">
        <v>5.8799999999999998E-2</v>
      </c>
      <c r="M67" s="45">
        <v>6.08E-2</v>
      </c>
      <c r="AT67" s="7"/>
      <c r="AU67" s="7"/>
      <c r="AV67" s="7"/>
      <c r="AW67" s="7"/>
      <c r="AX67" s="7"/>
    </row>
    <row r="68" spans="1:50" x14ac:dyDescent="0.35">
      <c r="A68" t="s">
        <v>111</v>
      </c>
      <c r="B68" s="44">
        <v>2.0299999999999999E-2</v>
      </c>
      <c r="C68" s="16">
        <v>2.4400000000000002E-2</v>
      </c>
      <c r="D68" s="16">
        <v>2.8299999999999999E-2</v>
      </c>
      <c r="E68" s="16">
        <v>3.1800000000000002E-2</v>
      </c>
      <c r="F68" s="16">
        <v>3.5200000000000002E-2</v>
      </c>
      <c r="G68" s="16">
        <v>3.8300000000000001E-2</v>
      </c>
      <c r="H68" s="16">
        <v>4.1200000000000001E-2</v>
      </c>
      <c r="I68" s="16">
        <v>4.3900000000000002E-2</v>
      </c>
      <c r="J68" s="16">
        <v>4.65E-2</v>
      </c>
      <c r="K68" s="16">
        <v>4.8899999999999999E-2</v>
      </c>
      <c r="L68" s="16">
        <v>5.11E-2</v>
      </c>
      <c r="M68" s="45">
        <v>5.3199999999999997E-2</v>
      </c>
      <c r="AT68" s="7"/>
      <c r="AU68" s="7"/>
      <c r="AV68" s="7"/>
      <c r="AW68" s="7"/>
      <c r="AX68" s="7"/>
    </row>
    <row r="69" spans="1:50" x14ac:dyDescent="0.35">
      <c r="A69" t="s">
        <v>112</v>
      </c>
      <c r="B69" s="44">
        <v>1.01E-2</v>
      </c>
      <c r="C69" s="16">
        <v>1.46E-2</v>
      </c>
      <c r="D69" s="16">
        <v>1.8800000000000001E-2</v>
      </c>
      <c r="E69" s="16">
        <v>2.2700000000000001E-2</v>
      </c>
      <c r="F69" s="16">
        <v>2.63E-2</v>
      </c>
      <c r="G69" s="16">
        <v>2.9600000000000001E-2</v>
      </c>
      <c r="H69" s="16">
        <v>3.2800000000000003E-2</v>
      </c>
      <c r="I69" s="16">
        <v>3.5700000000000003E-2</v>
      </c>
      <c r="J69" s="16">
        <v>3.85E-2</v>
      </c>
      <c r="K69" s="16">
        <v>4.1099999999999998E-2</v>
      </c>
      <c r="L69" s="16">
        <v>4.36E-2</v>
      </c>
      <c r="M69" s="45">
        <v>4.5900000000000003E-2</v>
      </c>
      <c r="AT69" s="7"/>
      <c r="AU69" s="7"/>
      <c r="AV69" s="7"/>
      <c r="AW69" s="7"/>
      <c r="AX69" s="7"/>
    </row>
    <row r="70" spans="1:50" x14ac:dyDescent="0.35">
      <c r="A70" t="s">
        <v>113</v>
      </c>
      <c r="B70" s="44">
        <v>0</v>
      </c>
      <c r="C70" s="16">
        <v>4.8999999999999998E-3</v>
      </c>
      <c r="D70" s="16">
        <v>9.4000000000000004E-3</v>
      </c>
      <c r="E70" s="16">
        <v>1.3599999999999999E-2</v>
      </c>
      <c r="F70" s="16">
        <v>1.7500000000000002E-2</v>
      </c>
      <c r="G70" s="16">
        <v>2.1100000000000001E-2</v>
      </c>
      <c r="H70" s="16">
        <v>2.4500000000000001E-2</v>
      </c>
      <c r="I70" s="16">
        <v>2.7699999999999999E-2</v>
      </c>
      <c r="J70" s="16">
        <v>3.0700000000000002E-2</v>
      </c>
      <c r="K70" s="16">
        <v>3.3500000000000002E-2</v>
      </c>
      <c r="L70" s="16">
        <v>3.61E-2</v>
      </c>
      <c r="M70" s="45">
        <v>3.8600000000000002E-2</v>
      </c>
      <c r="AT70" s="7"/>
      <c r="AU70" s="7"/>
      <c r="AV70" s="7"/>
      <c r="AW70" s="7"/>
      <c r="AX70" s="7"/>
    </row>
    <row r="71" spans="1:50" x14ac:dyDescent="0.35">
      <c r="A71" t="s">
        <v>114</v>
      </c>
      <c r="B71" s="40"/>
      <c r="C71" s="4"/>
      <c r="D71" s="16">
        <v>0</v>
      </c>
      <c r="E71" s="16">
        <v>4.4999999999999997E-3</v>
      </c>
      <c r="F71" s="16">
        <v>8.6999999999999994E-3</v>
      </c>
      <c r="G71" s="16">
        <v>1.26E-2</v>
      </c>
      <c r="H71" s="16">
        <v>1.6299999999999999E-2</v>
      </c>
      <c r="I71" s="16">
        <v>1.9699999999999999E-2</v>
      </c>
      <c r="J71" s="16">
        <v>2.29E-2</v>
      </c>
      <c r="K71" s="16">
        <v>2.5899999999999999E-2</v>
      </c>
      <c r="L71" s="16">
        <v>2.8799999999999999E-2</v>
      </c>
      <c r="M71" s="45">
        <v>3.1399999999999997E-2</v>
      </c>
      <c r="AT71" s="7"/>
      <c r="AU71" s="7"/>
      <c r="AV71" s="7"/>
      <c r="AW71" s="7"/>
      <c r="AX71" s="7"/>
    </row>
    <row r="72" spans="1:50" x14ac:dyDescent="0.35">
      <c r="A72" t="s">
        <v>115</v>
      </c>
      <c r="B72" s="40"/>
      <c r="C72" s="4"/>
      <c r="D72" s="4"/>
      <c r="E72" s="4"/>
      <c r="F72" s="16">
        <v>0</v>
      </c>
      <c r="G72" s="16">
        <v>4.1999999999999997E-3</v>
      </c>
      <c r="H72" s="16">
        <v>8.0999999999999996E-3</v>
      </c>
      <c r="I72" s="16">
        <v>1.18E-2</v>
      </c>
      <c r="J72" s="16">
        <v>1.5299999999999999E-2</v>
      </c>
      <c r="K72" s="16">
        <v>1.8499999999999999E-2</v>
      </c>
      <c r="L72" s="16">
        <v>2.1499999999999998E-2</v>
      </c>
      <c r="M72" s="45">
        <v>2.4400000000000002E-2</v>
      </c>
      <c r="AT72" s="7"/>
      <c r="AU72" s="7"/>
      <c r="AV72" s="7"/>
      <c r="AW72" s="7"/>
      <c r="AX72" s="7"/>
    </row>
    <row r="73" spans="1:50" x14ac:dyDescent="0.35">
      <c r="A73" t="s">
        <v>116</v>
      </c>
      <c r="B73" s="40"/>
      <c r="C73" s="4"/>
      <c r="D73" s="4"/>
      <c r="E73" s="4"/>
      <c r="F73" s="4"/>
      <c r="G73" s="4"/>
      <c r="H73" s="16">
        <v>0</v>
      </c>
      <c r="I73" s="16">
        <v>3.8999999999999998E-3</v>
      </c>
      <c r="J73" s="16">
        <v>7.6E-3</v>
      </c>
      <c r="K73" s="16">
        <v>1.11E-2</v>
      </c>
      <c r="L73" s="16">
        <v>1.43E-2</v>
      </c>
      <c r="M73" s="45">
        <v>1.7399999999999999E-2</v>
      </c>
      <c r="AT73" s="7"/>
      <c r="AU73" s="7"/>
      <c r="AV73" s="7"/>
      <c r="AW73" s="7"/>
      <c r="AX73" s="7"/>
    </row>
    <row r="74" spans="1:50" x14ac:dyDescent="0.35">
      <c r="A74" t="s">
        <v>117</v>
      </c>
      <c r="B74" s="40"/>
      <c r="C74" s="4"/>
      <c r="D74" s="4"/>
      <c r="E74" s="4"/>
      <c r="F74" s="4"/>
      <c r="G74" s="4"/>
      <c r="H74" s="4"/>
      <c r="I74" s="16"/>
      <c r="J74" s="16">
        <v>0</v>
      </c>
      <c r="K74" s="16">
        <v>3.7000000000000002E-3</v>
      </c>
      <c r="L74" s="16">
        <v>7.1000000000000004E-3</v>
      </c>
      <c r="M74" s="45">
        <v>1.04E-2</v>
      </c>
      <c r="AT74" s="7"/>
      <c r="AU74" s="7"/>
      <c r="AV74" s="7"/>
      <c r="AW74" s="7"/>
      <c r="AX74" s="7"/>
    </row>
    <row r="75" spans="1:50" x14ac:dyDescent="0.35">
      <c r="A75" t="s">
        <v>118</v>
      </c>
      <c r="B75" s="30"/>
      <c r="C75" s="31"/>
      <c r="D75" s="31"/>
      <c r="E75" s="31"/>
      <c r="F75" s="31"/>
      <c r="G75" s="31"/>
      <c r="H75" s="31"/>
      <c r="I75" s="46"/>
      <c r="J75" s="46"/>
      <c r="K75" s="46"/>
      <c r="L75" s="46">
        <v>0</v>
      </c>
      <c r="M75" s="47">
        <v>3.5000000000000001E-3</v>
      </c>
      <c r="AT75" s="7"/>
      <c r="AU75" s="7"/>
      <c r="AV75" s="7"/>
      <c r="AW75" s="7"/>
      <c r="AX75" s="7"/>
    </row>
    <row r="76" spans="1:50" x14ac:dyDescent="0.35">
      <c r="AT76" s="7"/>
      <c r="AU76" s="7"/>
      <c r="AV76" s="7"/>
      <c r="AW76" s="7"/>
      <c r="AX76" s="7"/>
    </row>
    <row r="77" spans="1:50" x14ac:dyDescent="0.35">
      <c r="AT77" s="7"/>
      <c r="AU77" s="7"/>
      <c r="AV77" s="7"/>
      <c r="AW77" s="7"/>
      <c r="AX77" s="7"/>
    </row>
    <row r="78" spans="1:50" x14ac:dyDescent="0.35">
      <c r="A78" s="1" t="s">
        <v>132</v>
      </c>
    </row>
    <row r="79" spans="1:50" x14ac:dyDescent="0.35">
      <c r="A79" s="1"/>
      <c r="AA79"/>
      <c r="AB79"/>
      <c r="AC79"/>
    </row>
    <row r="80" spans="1:50" ht="24" x14ac:dyDescent="0.5">
      <c r="A80" t="s">
        <v>87</v>
      </c>
      <c r="B80">
        <v>0.01</v>
      </c>
      <c r="C80">
        <v>0.02</v>
      </c>
      <c r="D80">
        <v>0.05</v>
      </c>
      <c r="E80">
        <v>0.1</v>
      </c>
      <c r="F80">
        <v>0.5</v>
      </c>
      <c r="G80">
        <v>0.9</v>
      </c>
      <c r="H80">
        <v>0.95</v>
      </c>
      <c r="I80">
        <v>0.98</v>
      </c>
      <c r="J80">
        <v>0.99</v>
      </c>
      <c r="AA80"/>
      <c r="AB80"/>
      <c r="AC80"/>
    </row>
    <row r="81" spans="1:29" x14ac:dyDescent="0.35">
      <c r="A81">
        <v>3</v>
      </c>
      <c r="B81" s="57">
        <v>0.753</v>
      </c>
      <c r="C81" s="22">
        <v>0.75600000000000001</v>
      </c>
      <c r="D81" s="22">
        <v>0.76700000000000002</v>
      </c>
      <c r="E81" s="22">
        <v>0.78900000000000003</v>
      </c>
      <c r="F81" s="22">
        <v>0.95899999999999996</v>
      </c>
      <c r="G81" s="22">
        <v>0.998</v>
      </c>
      <c r="H81" s="22">
        <v>0.999</v>
      </c>
      <c r="I81" s="22">
        <v>1</v>
      </c>
      <c r="J81" s="58">
        <v>1</v>
      </c>
      <c r="AA81"/>
      <c r="AB81"/>
      <c r="AC81"/>
    </row>
    <row r="82" spans="1:29" x14ac:dyDescent="0.35">
      <c r="A82">
        <f>A81+1</f>
        <v>4</v>
      </c>
      <c r="B82" s="59">
        <v>0.68700000000000006</v>
      </c>
      <c r="C82" s="23">
        <v>0.70699999999999996</v>
      </c>
      <c r="D82" s="23">
        <v>0.748</v>
      </c>
      <c r="E82" s="23">
        <v>0.79200000000000004</v>
      </c>
      <c r="F82" s="23">
        <v>0.93500000000000005</v>
      </c>
      <c r="G82" s="23">
        <v>0.98699999999999999</v>
      </c>
      <c r="H82" s="23">
        <v>0.99199999999999999</v>
      </c>
      <c r="I82" s="23">
        <v>0.996</v>
      </c>
      <c r="J82" s="60">
        <v>0.997</v>
      </c>
      <c r="AA82"/>
      <c r="AB82"/>
      <c r="AC82"/>
    </row>
    <row r="83" spans="1:29" x14ac:dyDescent="0.35">
      <c r="A83">
        <f t="shared" ref="A83:A128" si="4">A82+1</f>
        <v>5</v>
      </c>
      <c r="B83" s="59">
        <v>0.68600000000000005</v>
      </c>
      <c r="C83" s="23">
        <v>0.71499999999999997</v>
      </c>
      <c r="D83" s="23">
        <v>0.76200000000000001</v>
      </c>
      <c r="E83" s="23">
        <v>0.80600000000000005</v>
      </c>
      <c r="F83" s="23">
        <v>0.92700000000000005</v>
      </c>
      <c r="G83" s="23">
        <v>0.97899999999999998</v>
      </c>
      <c r="H83" s="23">
        <v>0.98599999999999999</v>
      </c>
      <c r="I83" s="23">
        <v>0.99099999999999999</v>
      </c>
      <c r="J83" s="60">
        <v>0.99299999999999999</v>
      </c>
      <c r="AA83"/>
      <c r="AB83"/>
      <c r="AC83"/>
    </row>
    <row r="84" spans="1:29" x14ac:dyDescent="0.35">
      <c r="A84">
        <f t="shared" si="4"/>
        <v>6</v>
      </c>
      <c r="B84" s="59">
        <v>0.71299999999999997</v>
      </c>
      <c r="C84" s="23">
        <v>0.74299999999999999</v>
      </c>
      <c r="D84" s="23">
        <v>0.78800000000000003</v>
      </c>
      <c r="E84" s="23">
        <v>0.82599999999999996</v>
      </c>
      <c r="F84" s="23">
        <v>0.92700000000000005</v>
      </c>
      <c r="G84" s="23">
        <v>0.97399999999999998</v>
      </c>
      <c r="H84" s="23">
        <v>0.98099999999999998</v>
      </c>
      <c r="I84" s="23">
        <v>0.98599999999999999</v>
      </c>
      <c r="J84" s="60">
        <v>0.98899999999999999</v>
      </c>
      <c r="AA84"/>
      <c r="AB84"/>
      <c r="AC84"/>
    </row>
    <row r="85" spans="1:29" x14ac:dyDescent="0.35">
      <c r="A85">
        <f t="shared" si="4"/>
        <v>7</v>
      </c>
      <c r="B85" s="59">
        <v>0.73</v>
      </c>
      <c r="C85" s="23">
        <v>0.76</v>
      </c>
      <c r="D85" s="23">
        <v>0.80300000000000005</v>
      </c>
      <c r="E85" s="23">
        <v>0.83799999999999997</v>
      </c>
      <c r="F85" s="23">
        <v>0.92800000000000005</v>
      </c>
      <c r="G85" s="23">
        <v>0.97199999999999998</v>
      </c>
      <c r="H85" s="23">
        <v>0.97899999999999998</v>
      </c>
      <c r="I85" s="23">
        <v>0.98499999999999999</v>
      </c>
      <c r="J85" s="60">
        <v>0.98799999999999999</v>
      </c>
      <c r="AA85"/>
      <c r="AB85"/>
      <c r="AC85"/>
    </row>
    <row r="86" spans="1:29" x14ac:dyDescent="0.35">
      <c r="A86">
        <f t="shared" si="4"/>
        <v>8</v>
      </c>
      <c r="B86" s="59">
        <v>0.749</v>
      </c>
      <c r="C86" s="23">
        <v>0.77800000000000002</v>
      </c>
      <c r="D86" s="23">
        <v>0.81799999999999995</v>
      </c>
      <c r="E86" s="23">
        <v>0.85099999999999998</v>
      </c>
      <c r="F86" s="23">
        <v>0.93200000000000005</v>
      </c>
      <c r="G86" s="23">
        <v>0.97199999999999998</v>
      </c>
      <c r="H86" s="23">
        <v>0.97799999999999998</v>
      </c>
      <c r="I86" s="23">
        <v>0.98399999999999999</v>
      </c>
      <c r="J86" s="60">
        <v>0.98699999999999999</v>
      </c>
      <c r="AA86"/>
      <c r="AB86"/>
      <c r="AC86"/>
    </row>
    <row r="87" spans="1:29" x14ac:dyDescent="0.35">
      <c r="A87">
        <f t="shared" si="4"/>
        <v>9</v>
      </c>
      <c r="B87" s="59">
        <v>0.76400000000000001</v>
      </c>
      <c r="C87" s="23">
        <v>0.79100000000000004</v>
      </c>
      <c r="D87" s="23">
        <v>0.82899999999999996</v>
      </c>
      <c r="E87" s="23">
        <v>0.85899999999999999</v>
      </c>
      <c r="F87" s="23">
        <v>0.93500000000000005</v>
      </c>
      <c r="G87" s="23">
        <v>0.97199999999999998</v>
      </c>
      <c r="H87" s="23">
        <v>0.97799999999999998</v>
      </c>
      <c r="I87" s="23">
        <v>0.98399999999999999</v>
      </c>
      <c r="J87" s="60">
        <v>0.98599999999999999</v>
      </c>
      <c r="AA87"/>
      <c r="AB87"/>
      <c r="AC87"/>
    </row>
    <row r="88" spans="1:29" x14ac:dyDescent="0.35">
      <c r="A88">
        <f t="shared" si="4"/>
        <v>10</v>
      </c>
      <c r="B88" s="59">
        <v>0.78100000000000003</v>
      </c>
      <c r="C88" s="23">
        <v>0.80600000000000005</v>
      </c>
      <c r="D88" s="23">
        <v>0.84199999999999997</v>
      </c>
      <c r="E88" s="23">
        <v>0.86899999999999999</v>
      </c>
      <c r="F88" s="23">
        <v>0.93799999999999994</v>
      </c>
      <c r="G88" s="23">
        <v>0.97199999999999998</v>
      </c>
      <c r="H88" s="23">
        <v>0.97799999999999998</v>
      </c>
      <c r="I88" s="23">
        <v>0.98299999999999998</v>
      </c>
      <c r="J88" s="60">
        <v>0.98599999999999999</v>
      </c>
      <c r="AA88"/>
      <c r="AB88"/>
      <c r="AC88"/>
    </row>
    <row r="89" spans="1:29" x14ac:dyDescent="0.35">
      <c r="A89">
        <f t="shared" si="4"/>
        <v>11</v>
      </c>
      <c r="B89" s="59">
        <v>0.79200000000000004</v>
      </c>
      <c r="C89" s="23">
        <v>0.81699999999999995</v>
      </c>
      <c r="D89" s="23">
        <v>0.85</v>
      </c>
      <c r="E89" s="23">
        <v>0.876</v>
      </c>
      <c r="F89" s="23">
        <v>0.94</v>
      </c>
      <c r="G89" s="23">
        <v>0.97299999999999998</v>
      </c>
      <c r="H89" s="23">
        <v>0.97899999999999998</v>
      </c>
      <c r="I89" s="23">
        <v>0.98399999999999999</v>
      </c>
      <c r="J89" s="60">
        <v>0.98599999999999999</v>
      </c>
      <c r="AA89"/>
      <c r="AB89"/>
      <c r="AC89"/>
    </row>
    <row r="90" spans="1:29" x14ac:dyDescent="0.35">
      <c r="A90">
        <f t="shared" si="4"/>
        <v>12</v>
      </c>
      <c r="B90" s="59">
        <v>0.80500000000000005</v>
      </c>
      <c r="C90" s="23">
        <v>0.82799999999999996</v>
      </c>
      <c r="D90" s="23">
        <v>0.85899999999999999</v>
      </c>
      <c r="E90" s="23">
        <v>0.88300000000000001</v>
      </c>
      <c r="F90" s="23">
        <v>0.94299999999999995</v>
      </c>
      <c r="G90" s="23">
        <v>0.97299999999999998</v>
      </c>
      <c r="H90" s="23">
        <v>0.97899999999999998</v>
      </c>
      <c r="I90" s="23">
        <v>0.98399999999999999</v>
      </c>
      <c r="J90" s="60">
        <v>0.98599999999999999</v>
      </c>
      <c r="AA90"/>
      <c r="AB90"/>
      <c r="AC90"/>
    </row>
    <row r="91" spans="1:29" x14ac:dyDescent="0.35">
      <c r="A91">
        <f t="shared" si="4"/>
        <v>13</v>
      </c>
      <c r="B91" s="59">
        <v>0.81399999999999995</v>
      </c>
      <c r="C91" s="23">
        <v>0.83699999999999997</v>
      </c>
      <c r="D91" s="23">
        <v>0.86599999999999999</v>
      </c>
      <c r="E91" s="23">
        <v>0.88900000000000001</v>
      </c>
      <c r="F91" s="23">
        <v>0.94499999999999995</v>
      </c>
      <c r="G91" s="23">
        <v>0.97399999999999998</v>
      </c>
      <c r="H91" s="23">
        <v>0.97899999999999998</v>
      </c>
      <c r="I91" s="23">
        <v>0.98399999999999999</v>
      </c>
      <c r="J91" s="60">
        <v>0.98599999999999999</v>
      </c>
      <c r="AA91"/>
      <c r="AB91"/>
      <c r="AC91"/>
    </row>
    <row r="92" spans="1:29" x14ac:dyDescent="0.35">
      <c r="A92">
        <f t="shared" si="4"/>
        <v>14</v>
      </c>
      <c r="B92" s="59">
        <v>0.82499999999999996</v>
      </c>
      <c r="C92" s="23">
        <v>0.84599999999999997</v>
      </c>
      <c r="D92" s="23">
        <v>0.874</v>
      </c>
      <c r="E92" s="23">
        <v>0.89500000000000002</v>
      </c>
      <c r="F92" s="23">
        <v>0.94699999999999995</v>
      </c>
      <c r="G92" s="23">
        <v>0.97499999999999998</v>
      </c>
      <c r="H92" s="23">
        <v>0.98</v>
      </c>
      <c r="I92" s="23">
        <v>0.98399999999999999</v>
      </c>
      <c r="J92" s="60">
        <v>0.98599999999999999</v>
      </c>
      <c r="AA92"/>
      <c r="AB92"/>
      <c r="AC92"/>
    </row>
    <row r="93" spans="1:29" x14ac:dyDescent="0.35">
      <c r="A93">
        <f t="shared" si="4"/>
        <v>15</v>
      </c>
      <c r="B93" s="59">
        <v>0.83499999999999996</v>
      </c>
      <c r="C93" s="23">
        <v>0.85499999999999998</v>
      </c>
      <c r="D93" s="23">
        <v>0.88100000000000001</v>
      </c>
      <c r="E93" s="23">
        <v>0.90100000000000002</v>
      </c>
      <c r="F93" s="23">
        <v>0.95</v>
      </c>
      <c r="G93" s="23">
        <v>0.97499999999999998</v>
      </c>
      <c r="H93" s="23">
        <v>0.98</v>
      </c>
      <c r="I93" s="23">
        <v>0.98399999999999999</v>
      </c>
      <c r="J93" s="60">
        <v>0.98699999999999999</v>
      </c>
      <c r="AA93"/>
      <c r="AB93"/>
      <c r="AC93"/>
    </row>
    <row r="94" spans="1:29" x14ac:dyDescent="0.35">
      <c r="A94">
        <f t="shared" si="4"/>
        <v>16</v>
      </c>
      <c r="B94" s="59">
        <v>0.84399999999999997</v>
      </c>
      <c r="C94" s="23">
        <v>0.86299999999999999</v>
      </c>
      <c r="D94" s="23">
        <v>0.88700000000000001</v>
      </c>
      <c r="E94" s="23">
        <v>0.90600000000000003</v>
      </c>
      <c r="F94" s="23">
        <v>0.95199999999999996</v>
      </c>
      <c r="G94" s="23">
        <v>0.97599999999999998</v>
      </c>
      <c r="H94" s="23">
        <v>0.98099999999999998</v>
      </c>
      <c r="I94" s="23">
        <v>0.98499999999999999</v>
      </c>
      <c r="J94" s="60">
        <v>0.98699999999999999</v>
      </c>
      <c r="AA94"/>
      <c r="AB94"/>
      <c r="AC94"/>
    </row>
    <row r="95" spans="1:29" x14ac:dyDescent="0.35">
      <c r="A95">
        <f t="shared" si="4"/>
        <v>17</v>
      </c>
      <c r="B95" s="59">
        <v>0.85099999999999998</v>
      </c>
      <c r="C95" s="23">
        <v>0.86899999999999999</v>
      </c>
      <c r="D95" s="23">
        <v>0.89200000000000002</v>
      </c>
      <c r="E95" s="23">
        <v>0.91</v>
      </c>
      <c r="F95" s="23">
        <v>0.95399999999999996</v>
      </c>
      <c r="G95" s="23">
        <v>0.97699999999999998</v>
      </c>
      <c r="H95" s="23">
        <v>0.98099999999999998</v>
      </c>
      <c r="I95" s="23">
        <v>0.98499999999999999</v>
      </c>
      <c r="J95" s="60">
        <v>0.98699999999999999</v>
      </c>
      <c r="AA95"/>
      <c r="AB95"/>
      <c r="AC95"/>
    </row>
    <row r="96" spans="1:29" x14ac:dyDescent="0.35">
      <c r="A96">
        <f t="shared" si="4"/>
        <v>18</v>
      </c>
      <c r="B96" s="59">
        <v>0.85799999999999998</v>
      </c>
      <c r="C96" s="23">
        <v>0.874</v>
      </c>
      <c r="D96" s="23">
        <v>0.89700000000000002</v>
      </c>
      <c r="E96" s="23">
        <v>0.91400000000000003</v>
      </c>
      <c r="F96" s="23">
        <v>0.95599999999999996</v>
      </c>
      <c r="G96" s="23">
        <v>0.97799999999999998</v>
      </c>
      <c r="H96" s="23">
        <v>0.98199999999999998</v>
      </c>
      <c r="I96" s="23">
        <v>0.98599999999999999</v>
      </c>
      <c r="J96" s="60">
        <v>0.98799999999999999</v>
      </c>
      <c r="AA96"/>
      <c r="AB96"/>
      <c r="AC96"/>
    </row>
    <row r="97" spans="1:29" x14ac:dyDescent="0.35">
      <c r="A97">
        <f t="shared" si="4"/>
        <v>19</v>
      </c>
      <c r="B97" s="59">
        <v>0.86299999999999999</v>
      </c>
      <c r="C97" s="23">
        <v>0.879</v>
      </c>
      <c r="D97" s="23">
        <v>0.90100000000000002</v>
      </c>
      <c r="E97" s="23">
        <v>0.91700000000000004</v>
      </c>
      <c r="F97" s="23">
        <v>0.95699999999999996</v>
      </c>
      <c r="G97" s="23">
        <v>0.97799999999999998</v>
      </c>
      <c r="H97" s="23">
        <v>0.98199999999999998</v>
      </c>
      <c r="I97" s="23">
        <v>0.98599999999999999</v>
      </c>
      <c r="J97" s="60">
        <v>0.98799999999999999</v>
      </c>
      <c r="AA97"/>
      <c r="AB97"/>
      <c r="AC97"/>
    </row>
    <row r="98" spans="1:29" x14ac:dyDescent="0.35">
      <c r="A98">
        <f t="shared" si="4"/>
        <v>20</v>
      </c>
      <c r="B98" s="59">
        <v>0.86799999999999999</v>
      </c>
      <c r="C98" s="23">
        <v>0.88400000000000001</v>
      </c>
      <c r="D98" s="23">
        <v>0.90500000000000003</v>
      </c>
      <c r="E98" s="23">
        <v>0.92</v>
      </c>
      <c r="F98" s="23">
        <v>0.95899999999999996</v>
      </c>
      <c r="G98" s="23">
        <v>0.97899999999999998</v>
      </c>
      <c r="H98" s="23">
        <v>0.98299999999999998</v>
      </c>
      <c r="I98" s="23">
        <v>0.98599999999999999</v>
      </c>
      <c r="J98" s="60">
        <v>0.98799999999999999</v>
      </c>
      <c r="AA98"/>
      <c r="AB98"/>
      <c r="AC98"/>
    </row>
    <row r="99" spans="1:29" x14ac:dyDescent="0.35">
      <c r="A99">
        <f t="shared" si="4"/>
        <v>21</v>
      </c>
      <c r="B99" s="59">
        <v>0.873</v>
      </c>
      <c r="C99" s="23">
        <v>0.88800000000000001</v>
      </c>
      <c r="D99" s="23">
        <v>0.90800000000000003</v>
      </c>
      <c r="E99" s="23">
        <v>0.92300000000000004</v>
      </c>
      <c r="F99" s="23">
        <v>0.96</v>
      </c>
      <c r="G99" s="23">
        <v>0.98</v>
      </c>
      <c r="H99" s="23">
        <v>0.98299999999999998</v>
      </c>
      <c r="I99" s="23">
        <v>0.98699999999999999</v>
      </c>
      <c r="J99" s="60">
        <v>0.98899999999999999</v>
      </c>
      <c r="AA99"/>
      <c r="AB99"/>
      <c r="AC99"/>
    </row>
    <row r="100" spans="1:29" x14ac:dyDescent="0.35">
      <c r="A100">
        <f t="shared" si="4"/>
        <v>22</v>
      </c>
      <c r="B100" s="59">
        <v>0.878</v>
      </c>
      <c r="C100" s="23">
        <v>0.89200000000000002</v>
      </c>
      <c r="D100" s="23">
        <v>0.91100000000000003</v>
      </c>
      <c r="E100" s="23">
        <v>0.92600000000000005</v>
      </c>
      <c r="F100" s="23">
        <v>0.96099999999999997</v>
      </c>
      <c r="G100" s="23">
        <v>0.98</v>
      </c>
      <c r="H100" s="23">
        <v>0.98399999999999999</v>
      </c>
      <c r="I100" s="23">
        <v>0.98699999999999999</v>
      </c>
      <c r="J100" s="60">
        <v>0.98899999999999999</v>
      </c>
      <c r="AA100"/>
      <c r="AB100"/>
      <c r="AC100"/>
    </row>
    <row r="101" spans="1:29" x14ac:dyDescent="0.35">
      <c r="A101">
        <f t="shared" si="4"/>
        <v>23</v>
      </c>
      <c r="B101" s="59">
        <v>0.88100000000000001</v>
      </c>
      <c r="C101" s="23">
        <v>0.89500000000000002</v>
      </c>
      <c r="D101" s="23">
        <v>0.91400000000000003</v>
      </c>
      <c r="E101" s="23">
        <v>0.92800000000000005</v>
      </c>
      <c r="F101" s="23">
        <v>0.96199999999999997</v>
      </c>
      <c r="G101" s="23">
        <v>0.98099999999999998</v>
      </c>
      <c r="H101" s="23">
        <v>0.98399999999999999</v>
      </c>
      <c r="I101" s="23">
        <v>0.98699999999999999</v>
      </c>
      <c r="J101" s="60">
        <v>0.98899999999999999</v>
      </c>
      <c r="AA101"/>
      <c r="AB101"/>
      <c r="AC101"/>
    </row>
    <row r="102" spans="1:29" x14ac:dyDescent="0.35">
      <c r="A102">
        <f t="shared" si="4"/>
        <v>24</v>
      </c>
      <c r="B102" s="59">
        <v>0.88400000000000001</v>
      </c>
      <c r="C102" s="23">
        <v>0.89800000000000002</v>
      </c>
      <c r="D102" s="23">
        <v>0.91600000000000004</v>
      </c>
      <c r="E102" s="23">
        <v>0.93</v>
      </c>
      <c r="F102" s="23">
        <v>0.96299999999999997</v>
      </c>
      <c r="G102" s="23">
        <v>0.98099999999999998</v>
      </c>
      <c r="H102" s="23">
        <v>0.98399999999999999</v>
      </c>
      <c r="I102" s="23">
        <v>0.98699999999999999</v>
      </c>
      <c r="J102" s="60">
        <v>0.98899999999999999</v>
      </c>
      <c r="AA102"/>
      <c r="AB102"/>
      <c r="AC102"/>
    </row>
    <row r="103" spans="1:29" x14ac:dyDescent="0.35">
      <c r="A103">
        <f t="shared" si="4"/>
        <v>25</v>
      </c>
      <c r="B103" s="59">
        <v>0.88800000000000001</v>
      </c>
      <c r="C103" s="23">
        <v>0.90100000000000002</v>
      </c>
      <c r="D103" s="23">
        <v>0.91800000000000004</v>
      </c>
      <c r="E103" s="23">
        <v>0.93100000000000005</v>
      </c>
      <c r="F103" s="23">
        <v>0.96399999999999997</v>
      </c>
      <c r="G103" s="23">
        <v>0.98099999999999998</v>
      </c>
      <c r="H103" s="23">
        <v>0.98499999999999999</v>
      </c>
      <c r="I103" s="23">
        <v>0.98799999999999999</v>
      </c>
      <c r="J103" s="60">
        <v>0.98899999999999999</v>
      </c>
      <c r="AA103"/>
      <c r="AB103"/>
      <c r="AC103"/>
    </row>
    <row r="104" spans="1:29" x14ac:dyDescent="0.35">
      <c r="A104">
        <f t="shared" si="4"/>
        <v>26</v>
      </c>
      <c r="B104" s="59">
        <v>0.89100000000000001</v>
      </c>
      <c r="C104" s="23">
        <v>0.90400000000000003</v>
      </c>
      <c r="D104" s="23">
        <v>0.92</v>
      </c>
      <c r="E104" s="23">
        <v>0.93300000000000005</v>
      </c>
      <c r="F104" s="23">
        <v>0.96499999999999997</v>
      </c>
      <c r="G104" s="23">
        <v>0.98199999999999998</v>
      </c>
      <c r="H104" s="23">
        <v>0.98499999999999999</v>
      </c>
      <c r="I104" s="23">
        <v>0.98799999999999999</v>
      </c>
      <c r="J104" s="60">
        <v>0.98899999999999999</v>
      </c>
      <c r="AA104"/>
      <c r="AB104"/>
      <c r="AC104"/>
    </row>
    <row r="105" spans="1:29" x14ac:dyDescent="0.35">
      <c r="A105">
        <f t="shared" si="4"/>
        <v>27</v>
      </c>
      <c r="B105" s="59">
        <v>0.89400000000000002</v>
      </c>
      <c r="C105" s="23">
        <v>0.90600000000000003</v>
      </c>
      <c r="D105" s="23">
        <v>0.92300000000000004</v>
      </c>
      <c r="E105" s="23">
        <v>0.93500000000000005</v>
      </c>
      <c r="F105" s="23">
        <v>0.96499999999999997</v>
      </c>
      <c r="G105" s="23">
        <v>0.98199999999999998</v>
      </c>
      <c r="H105" s="23">
        <v>0.98499999999999999</v>
      </c>
      <c r="I105" s="23">
        <v>0.98799999999999999</v>
      </c>
      <c r="J105" s="60">
        <v>0.99</v>
      </c>
      <c r="AA105"/>
      <c r="AB105"/>
      <c r="AC105"/>
    </row>
    <row r="106" spans="1:29" x14ac:dyDescent="0.35">
      <c r="A106">
        <f t="shared" si="4"/>
        <v>28</v>
      </c>
      <c r="B106" s="59">
        <v>0.89600000000000002</v>
      </c>
      <c r="C106" s="23">
        <v>0.90800000000000003</v>
      </c>
      <c r="D106" s="23">
        <v>0.92400000000000004</v>
      </c>
      <c r="E106" s="23">
        <v>0.93600000000000005</v>
      </c>
      <c r="F106" s="23">
        <v>0.96599999999999997</v>
      </c>
      <c r="G106" s="23">
        <v>0.98199999999999998</v>
      </c>
      <c r="H106" s="23">
        <v>0.98499999999999999</v>
      </c>
      <c r="I106" s="23">
        <v>0.98799999999999999</v>
      </c>
      <c r="J106" s="60">
        <v>0.99</v>
      </c>
      <c r="AA106"/>
      <c r="AB106"/>
      <c r="AC106"/>
    </row>
    <row r="107" spans="1:29" x14ac:dyDescent="0.35">
      <c r="A107">
        <f t="shared" si="4"/>
        <v>29</v>
      </c>
      <c r="B107" s="59">
        <v>0.89800000000000002</v>
      </c>
      <c r="C107" s="23">
        <v>0.91</v>
      </c>
      <c r="D107" s="23">
        <v>0.92600000000000005</v>
      </c>
      <c r="E107" s="23">
        <v>0.93700000000000006</v>
      </c>
      <c r="F107" s="23">
        <v>0.96599999999999997</v>
      </c>
      <c r="G107" s="23">
        <v>0.98199999999999998</v>
      </c>
      <c r="H107" s="23">
        <v>0.98499999999999999</v>
      </c>
      <c r="I107" s="23">
        <v>0.98799999999999999</v>
      </c>
      <c r="J107" s="60">
        <v>0.99</v>
      </c>
      <c r="AA107"/>
      <c r="AB107"/>
      <c r="AC107"/>
    </row>
    <row r="108" spans="1:29" x14ac:dyDescent="0.35">
      <c r="A108">
        <f t="shared" si="4"/>
        <v>30</v>
      </c>
      <c r="B108" s="59">
        <v>0.9</v>
      </c>
      <c r="C108" s="23">
        <v>0.91200000000000003</v>
      </c>
      <c r="D108" s="23">
        <v>0.92700000000000005</v>
      </c>
      <c r="E108" s="23">
        <v>0.93899999999999995</v>
      </c>
      <c r="F108" s="23">
        <v>0.96699999999999997</v>
      </c>
      <c r="G108" s="23">
        <v>0.98299999999999998</v>
      </c>
      <c r="H108" s="23">
        <v>0.98499999999999999</v>
      </c>
      <c r="I108" s="23">
        <v>0.98799999999999999</v>
      </c>
      <c r="J108" s="60">
        <v>0.99</v>
      </c>
      <c r="AA108"/>
      <c r="AB108"/>
      <c r="AC108"/>
    </row>
    <row r="109" spans="1:29" x14ac:dyDescent="0.35">
      <c r="A109">
        <f t="shared" si="4"/>
        <v>31</v>
      </c>
      <c r="B109" s="59">
        <v>0.90200000000000002</v>
      </c>
      <c r="C109" s="23">
        <v>0.91400000000000003</v>
      </c>
      <c r="D109" s="23">
        <v>0.92900000000000005</v>
      </c>
      <c r="E109" s="23">
        <v>0.94</v>
      </c>
      <c r="F109" s="23">
        <v>0.96699999999999997</v>
      </c>
      <c r="G109" s="23">
        <v>0.98299999999999998</v>
      </c>
      <c r="H109" s="23">
        <v>0.98599999999999999</v>
      </c>
      <c r="I109" s="23">
        <v>0.98799999999999999</v>
      </c>
      <c r="J109" s="60">
        <v>0.99</v>
      </c>
      <c r="AA109"/>
      <c r="AB109"/>
      <c r="AC109"/>
    </row>
    <row r="110" spans="1:29" x14ac:dyDescent="0.35">
      <c r="A110">
        <f t="shared" si="4"/>
        <v>32</v>
      </c>
      <c r="B110" s="59">
        <v>0.90400000000000003</v>
      </c>
      <c r="C110" s="23">
        <v>0.91500000000000004</v>
      </c>
      <c r="D110" s="23">
        <v>0.93</v>
      </c>
      <c r="E110" s="23">
        <v>0.94099999999999995</v>
      </c>
      <c r="F110" s="23">
        <v>0.96799999999999997</v>
      </c>
      <c r="G110" s="23">
        <v>0.98299999999999998</v>
      </c>
      <c r="H110" s="23">
        <v>0.98599999999999999</v>
      </c>
      <c r="I110" s="23">
        <v>0.98799999999999999</v>
      </c>
      <c r="J110" s="60">
        <v>0.99</v>
      </c>
      <c r="AA110"/>
      <c r="AB110"/>
      <c r="AC110"/>
    </row>
    <row r="111" spans="1:29" x14ac:dyDescent="0.35">
      <c r="A111">
        <f t="shared" si="4"/>
        <v>33</v>
      </c>
      <c r="B111" s="59">
        <v>0.90600000000000003</v>
      </c>
      <c r="C111" s="23">
        <v>0.91700000000000004</v>
      </c>
      <c r="D111" s="23">
        <v>0.93100000000000005</v>
      </c>
      <c r="E111" s="23">
        <v>0.94199999999999995</v>
      </c>
      <c r="F111" s="23">
        <v>0.96799999999999997</v>
      </c>
      <c r="G111" s="23">
        <v>0.98299999999999998</v>
      </c>
      <c r="H111" s="23">
        <v>0.98599999999999999</v>
      </c>
      <c r="I111" s="23">
        <v>0.98899999999999999</v>
      </c>
      <c r="J111" s="60">
        <v>0.99</v>
      </c>
      <c r="AA111"/>
      <c r="AB111"/>
      <c r="AC111"/>
    </row>
    <row r="112" spans="1:29" x14ac:dyDescent="0.35">
      <c r="A112">
        <f t="shared" si="4"/>
        <v>34</v>
      </c>
      <c r="B112" s="59">
        <v>0.90800000000000003</v>
      </c>
      <c r="C112" s="23">
        <v>0.91900000000000004</v>
      </c>
      <c r="D112" s="23">
        <v>0.93300000000000005</v>
      </c>
      <c r="E112" s="23">
        <v>0.94299999999999995</v>
      </c>
      <c r="F112" s="23">
        <v>0.96899999999999997</v>
      </c>
      <c r="G112" s="23">
        <v>0.98299999999999998</v>
      </c>
      <c r="H112" s="23">
        <v>0.98599999999999999</v>
      </c>
      <c r="I112" s="23">
        <v>0.98899999999999999</v>
      </c>
      <c r="J112" s="60">
        <v>0.99</v>
      </c>
      <c r="AA112"/>
      <c r="AB112"/>
      <c r="AC112"/>
    </row>
    <row r="113" spans="1:29" x14ac:dyDescent="0.35">
      <c r="A113">
        <f t="shared" si="4"/>
        <v>35</v>
      </c>
      <c r="B113" s="59">
        <v>0.91</v>
      </c>
      <c r="C113" s="23">
        <v>0.92</v>
      </c>
      <c r="D113" s="23">
        <v>0.93400000000000005</v>
      </c>
      <c r="E113" s="23">
        <v>0.94399999999999995</v>
      </c>
      <c r="F113" s="23">
        <v>0.96899999999999997</v>
      </c>
      <c r="G113" s="23">
        <v>0.98399999999999999</v>
      </c>
      <c r="H113" s="23">
        <v>0.98599999999999999</v>
      </c>
      <c r="I113" s="23">
        <v>0.98899999999999999</v>
      </c>
      <c r="J113" s="60">
        <v>0.99</v>
      </c>
      <c r="AA113"/>
      <c r="AB113"/>
      <c r="AC113"/>
    </row>
    <row r="114" spans="1:29" x14ac:dyDescent="0.35">
      <c r="A114">
        <f t="shared" si="4"/>
        <v>36</v>
      </c>
      <c r="B114" s="59">
        <v>0.91200000000000003</v>
      </c>
      <c r="C114" s="23">
        <v>0.92200000000000004</v>
      </c>
      <c r="D114" s="23">
        <v>0.93500000000000005</v>
      </c>
      <c r="E114" s="23">
        <v>0.94499999999999995</v>
      </c>
      <c r="F114" s="23">
        <v>0.97</v>
      </c>
      <c r="G114" s="23">
        <v>0.98399999999999999</v>
      </c>
      <c r="H114" s="23">
        <v>0.98599999999999999</v>
      </c>
      <c r="I114" s="23">
        <v>0.98899999999999999</v>
      </c>
      <c r="J114" s="60">
        <v>0.99</v>
      </c>
      <c r="AA114"/>
      <c r="AB114"/>
      <c r="AC114"/>
    </row>
    <row r="115" spans="1:29" x14ac:dyDescent="0.35">
      <c r="A115">
        <f t="shared" si="4"/>
        <v>37</v>
      </c>
      <c r="B115" s="59">
        <v>0.91400000000000003</v>
      </c>
      <c r="C115" s="23">
        <v>0.92400000000000004</v>
      </c>
      <c r="D115" s="23">
        <v>0.93600000000000005</v>
      </c>
      <c r="E115" s="23">
        <v>0.94599999999999995</v>
      </c>
      <c r="F115" s="23">
        <v>0.97</v>
      </c>
      <c r="G115" s="23">
        <v>0.98399999999999999</v>
      </c>
      <c r="H115" s="23">
        <v>0.98699999999999999</v>
      </c>
      <c r="I115" s="23">
        <v>0.98899999999999999</v>
      </c>
      <c r="J115" s="60">
        <v>0.99</v>
      </c>
      <c r="AA115"/>
      <c r="AB115"/>
      <c r="AC115"/>
    </row>
    <row r="116" spans="1:29" x14ac:dyDescent="0.35">
      <c r="A116">
        <f t="shared" si="4"/>
        <v>38</v>
      </c>
      <c r="B116" s="59">
        <v>0.91600000000000004</v>
      </c>
      <c r="C116" s="23">
        <v>0.92500000000000004</v>
      </c>
      <c r="D116" s="23">
        <v>0.93799999999999994</v>
      </c>
      <c r="E116" s="23">
        <v>0.94699999999999995</v>
      </c>
      <c r="F116" s="23">
        <v>0.97099999999999997</v>
      </c>
      <c r="G116" s="23">
        <v>0.98399999999999999</v>
      </c>
      <c r="H116" s="23">
        <v>0.98699999999999999</v>
      </c>
      <c r="I116" s="23">
        <v>0.98899999999999999</v>
      </c>
      <c r="J116" s="60">
        <v>0.99</v>
      </c>
      <c r="AA116"/>
      <c r="AB116"/>
      <c r="AC116"/>
    </row>
    <row r="117" spans="1:29" x14ac:dyDescent="0.35">
      <c r="A117">
        <f t="shared" si="4"/>
        <v>39</v>
      </c>
      <c r="B117" s="59">
        <v>0.91700000000000004</v>
      </c>
      <c r="C117" s="23">
        <v>0.92700000000000005</v>
      </c>
      <c r="D117" s="23">
        <v>0.93899999999999995</v>
      </c>
      <c r="E117" s="23">
        <v>0.94799999999999995</v>
      </c>
      <c r="F117" s="23">
        <v>0.97099999999999997</v>
      </c>
      <c r="G117" s="23">
        <v>0.98399999999999999</v>
      </c>
      <c r="H117" s="23">
        <v>0.98699999999999999</v>
      </c>
      <c r="I117" s="23">
        <v>0.98899999999999999</v>
      </c>
      <c r="J117" s="60">
        <v>0.99099999999999999</v>
      </c>
      <c r="AA117"/>
      <c r="AB117"/>
      <c r="AC117"/>
    </row>
    <row r="118" spans="1:29" x14ac:dyDescent="0.35">
      <c r="A118">
        <f t="shared" si="4"/>
        <v>40</v>
      </c>
      <c r="B118" s="59">
        <v>0.91900000000000004</v>
      </c>
      <c r="C118" s="23">
        <v>0.92800000000000005</v>
      </c>
      <c r="D118" s="23">
        <v>0.94</v>
      </c>
      <c r="E118" s="23">
        <v>0.94899999999999995</v>
      </c>
      <c r="F118" s="23">
        <v>0.97199999999999998</v>
      </c>
      <c r="G118" s="23">
        <v>0.98499999999999999</v>
      </c>
      <c r="H118" s="23">
        <v>0.98699999999999999</v>
      </c>
      <c r="I118" s="23">
        <v>0.98899999999999999</v>
      </c>
      <c r="J118" s="60">
        <v>0.99099999999999999</v>
      </c>
      <c r="AA118"/>
      <c r="AB118"/>
      <c r="AC118"/>
    </row>
    <row r="119" spans="1:29" x14ac:dyDescent="0.35">
      <c r="A119">
        <f t="shared" si="4"/>
        <v>41</v>
      </c>
      <c r="B119" s="59">
        <v>0.92</v>
      </c>
      <c r="C119" s="23">
        <v>0.92900000000000005</v>
      </c>
      <c r="D119" s="23">
        <v>0.94099999999999995</v>
      </c>
      <c r="E119" s="23">
        <v>0.95</v>
      </c>
      <c r="F119" s="23">
        <v>0.97199999999999998</v>
      </c>
      <c r="G119" s="23">
        <v>0.98499999999999999</v>
      </c>
      <c r="H119" s="23">
        <v>0.98699999999999999</v>
      </c>
      <c r="I119" s="23">
        <v>0.98899999999999999</v>
      </c>
      <c r="J119" s="60">
        <v>0.99099999999999999</v>
      </c>
      <c r="AA119"/>
      <c r="AB119"/>
      <c r="AC119"/>
    </row>
    <row r="120" spans="1:29" x14ac:dyDescent="0.35">
      <c r="A120">
        <f t="shared" si="4"/>
        <v>42</v>
      </c>
      <c r="B120" s="59">
        <v>0.92200000000000004</v>
      </c>
      <c r="C120" s="23">
        <v>0.93</v>
      </c>
      <c r="D120" s="23">
        <v>0.94199999999999995</v>
      </c>
      <c r="E120" s="23">
        <v>0.95099999999999996</v>
      </c>
      <c r="F120" s="23">
        <v>0.97199999999999998</v>
      </c>
      <c r="G120" s="23">
        <v>0.98499999999999999</v>
      </c>
      <c r="H120" s="23">
        <v>0.98699999999999999</v>
      </c>
      <c r="I120" s="23">
        <v>0.98899999999999999</v>
      </c>
      <c r="J120" s="60">
        <v>0.99099999999999999</v>
      </c>
      <c r="AA120"/>
      <c r="AB120"/>
      <c r="AC120"/>
    </row>
    <row r="121" spans="1:29" x14ac:dyDescent="0.35">
      <c r="A121">
        <f t="shared" si="4"/>
        <v>43</v>
      </c>
      <c r="B121" s="59">
        <v>0.92300000000000004</v>
      </c>
      <c r="C121" s="23">
        <v>0.93200000000000005</v>
      </c>
      <c r="D121" s="23">
        <v>0.94299999999999995</v>
      </c>
      <c r="E121" s="23">
        <v>0.95099999999999996</v>
      </c>
      <c r="F121" s="23">
        <v>0.97299999999999998</v>
      </c>
      <c r="G121" s="23">
        <v>0.98499999999999999</v>
      </c>
      <c r="H121" s="23">
        <v>0.98699999999999999</v>
      </c>
      <c r="I121" s="23">
        <v>0.99</v>
      </c>
      <c r="J121" s="60">
        <v>0.99099999999999999</v>
      </c>
      <c r="AA121"/>
      <c r="AB121"/>
      <c r="AC121"/>
    </row>
    <row r="122" spans="1:29" x14ac:dyDescent="0.35">
      <c r="A122">
        <f t="shared" si="4"/>
        <v>44</v>
      </c>
      <c r="B122" s="59">
        <v>0.92400000000000004</v>
      </c>
      <c r="C122" s="23">
        <v>0.93300000000000005</v>
      </c>
      <c r="D122" s="23">
        <v>0.94399999999999995</v>
      </c>
      <c r="E122" s="23">
        <v>0.95199999999999996</v>
      </c>
      <c r="F122" s="23">
        <v>0.97299999999999998</v>
      </c>
      <c r="G122" s="23">
        <v>0.98499999999999999</v>
      </c>
      <c r="H122" s="23">
        <v>0.98699999999999999</v>
      </c>
      <c r="I122" s="23">
        <v>0.99</v>
      </c>
      <c r="J122" s="60">
        <v>0.99099999999999999</v>
      </c>
      <c r="AA122"/>
      <c r="AB122"/>
      <c r="AC122"/>
    </row>
    <row r="123" spans="1:29" x14ac:dyDescent="0.35">
      <c r="A123">
        <f t="shared" si="4"/>
        <v>45</v>
      </c>
      <c r="B123" s="59">
        <v>0.92600000000000005</v>
      </c>
      <c r="C123" s="23">
        <v>0.93400000000000005</v>
      </c>
      <c r="D123" s="23">
        <v>0.94499999999999995</v>
      </c>
      <c r="E123" s="4">
        <v>0.95299999999999996</v>
      </c>
      <c r="F123" s="23">
        <v>0.97299999999999998</v>
      </c>
      <c r="G123" s="23">
        <v>0.98499999999999999</v>
      </c>
      <c r="H123" s="4">
        <v>0.98799999999999999</v>
      </c>
      <c r="I123" s="23">
        <v>0.99</v>
      </c>
      <c r="J123" s="60">
        <v>0.99099999999999999</v>
      </c>
      <c r="AA123"/>
      <c r="AB123"/>
      <c r="AC123"/>
    </row>
    <row r="124" spans="1:29" x14ac:dyDescent="0.35">
      <c r="A124">
        <f t="shared" si="4"/>
        <v>46</v>
      </c>
      <c r="B124" s="59">
        <v>0.92700000000000005</v>
      </c>
      <c r="C124" s="23">
        <v>0.93500000000000005</v>
      </c>
      <c r="D124" s="23">
        <v>0.94499999999999995</v>
      </c>
      <c r="E124" s="4">
        <v>0.95299999999999996</v>
      </c>
      <c r="F124" s="4">
        <v>0.97399999999999998</v>
      </c>
      <c r="G124" s="23">
        <v>0.98499999999999999</v>
      </c>
      <c r="H124" s="4">
        <v>0.98799999999999999</v>
      </c>
      <c r="I124" s="23">
        <v>0.99</v>
      </c>
      <c r="J124" s="60">
        <v>0.99099999999999999</v>
      </c>
      <c r="AA124"/>
      <c r="AB124"/>
      <c r="AC124"/>
    </row>
    <row r="125" spans="1:29" x14ac:dyDescent="0.35">
      <c r="A125">
        <f t="shared" si="4"/>
        <v>47</v>
      </c>
      <c r="B125" s="59">
        <v>0.92800000000000005</v>
      </c>
      <c r="C125" s="23">
        <v>0.93600000000000005</v>
      </c>
      <c r="D125" s="23">
        <v>0.94599999999999995</v>
      </c>
      <c r="E125" s="4">
        <v>0.95399999999999996</v>
      </c>
      <c r="F125" s="4">
        <v>0.97399999999999998</v>
      </c>
      <c r="G125" s="23">
        <v>0.98499999999999999</v>
      </c>
      <c r="H125" s="4">
        <v>0.98799999999999999</v>
      </c>
      <c r="I125" s="23">
        <v>0.99</v>
      </c>
      <c r="J125" s="60">
        <v>0.99099999999999999</v>
      </c>
      <c r="AA125"/>
      <c r="AB125"/>
      <c r="AC125"/>
    </row>
    <row r="126" spans="1:29" x14ac:dyDescent="0.35">
      <c r="A126">
        <f t="shared" si="4"/>
        <v>48</v>
      </c>
      <c r="B126" s="59">
        <v>0.92900000000000005</v>
      </c>
      <c r="C126" s="23">
        <v>0.93700000000000006</v>
      </c>
      <c r="D126" s="23">
        <v>0.94699999999999995</v>
      </c>
      <c r="E126" s="4">
        <v>0.95399999999999996</v>
      </c>
      <c r="F126" s="4">
        <v>0.97399999999999998</v>
      </c>
      <c r="G126" s="23">
        <v>0.98499999999999999</v>
      </c>
      <c r="H126" s="4">
        <v>0.98799999999999999</v>
      </c>
      <c r="I126" s="23">
        <v>0.99</v>
      </c>
      <c r="J126" s="60">
        <v>0.99099999999999999</v>
      </c>
      <c r="AA126"/>
      <c r="AB126"/>
      <c r="AC126"/>
    </row>
    <row r="127" spans="1:29" x14ac:dyDescent="0.35">
      <c r="A127">
        <f t="shared" si="4"/>
        <v>49</v>
      </c>
      <c r="B127" s="59">
        <v>0.92900000000000005</v>
      </c>
      <c r="C127" s="23">
        <v>0.93899999999999995</v>
      </c>
      <c r="D127" s="23">
        <v>0.94699999999999995</v>
      </c>
      <c r="E127" s="4">
        <v>0.95499999999999996</v>
      </c>
      <c r="F127" s="4">
        <v>0.97399999999999998</v>
      </c>
      <c r="G127" s="23">
        <v>0.98499999999999999</v>
      </c>
      <c r="H127" s="4">
        <v>0.98799999999999999</v>
      </c>
      <c r="I127" s="23">
        <v>0.99</v>
      </c>
      <c r="J127" s="60">
        <v>0.99099999999999999</v>
      </c>
      <c r="AA127"/>
      <c r="AB127"/>
      <c r="AC127"/>
    </row>
    <row r="128" spans="1:29" x14ac:dyDescent="0.35">
      <c r="A128">
        <f t="shared" si="4"/>
        <v>50</v>
      </c>
      <c r="B128" s="61">
        <v>0.93</v>
      </c>
      <c r="C128" s="62">
        <v>0.93799999999999994</v>
      </c>
      <c r="D128" s="62">
        <v>0.94699999999999995</v>
      </c>
      <c r="E128" s="31">
        <v>0.95499999999999996</v>
      </c>
      <c r="F128" s="31">
        <v>0.97399999999999998</v>
      </c>
      <c r="G128" s="62">
        <v>0.98499999999999999</v>
      </c>
      <c r="H128" s="31">
        <v>0.98799999999999999</v>
      </c>
      <c r="I128" s="62">
        <v>0.99</v>
      </c>
      <c r="J128" s="63">
        <v>0.99099999999999999</v>
      </c>
      <c r="AA128"/>
      <c r="AB128"/>
      <c r="AC12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66"/>
  <dimension ref="A1:K32"/>
  <sheetViews>
    <sheetView workbookViewId="0">
      <selection sqref="A1:XFD1048576"/>
    </sheetView>
  </sheetViews>
  <sheetFormatPr defaultRowHeight="14.5" x14ac:dyDescent="0.35"/>
  <cols>
    <col min="1" max="1" width="10.1796875" customWidth="1"/>
    <col min="2" max="2" width="7.54296875" customWidth="1"/>
    <col min="3" max="11" width="7.453125" customWidth="1"/>
  </cols>
  <sheetData>
    <row r="1" spans="1:11" x14ac:dyDescent="0.35">
      <c r="A1" s="1" t="s">
        <v>349</v>
      </c>
    </row>
    <row r="2" spans="1:11" x14ac:dyDescent="0.35">
      <c r="C2" s="4"/>
      <c r="D2" s="4"/>
      <c r="E2" s="4"/>
      <c r="F2" s="4"/>
      <c r="G2" s="4"/>
      <c r="H2" s="4"/>
      <c r="I2" s="4"/>
      <c r="J2" s="4"/>
      <c r="K2" s="4"/>
    </row>
    <row r="3" spans="1:11" x14ac:dyDescent="0.35">
      <c r="C3">
        <v>1E-3</v>
      </c>
      <c r="D3">
        <v>5.0000000000000001E-3</v>
      </c>
      <c r="E3">
        <v>0.01</v>
      </c>
      <c r="F3">
        <v>2.5000000000000001E-2</v>
      </c>
      <c r="G3">
        <v>0.05</v>
      </c>
      <c r="H3">
        <v>0.1</v>
      </c>
      <c r="I3">
        <v>0.15</v>
      </c>
      <c r="J3">
        <v>0.25</v>
      </c>
      <c r="K3" s="4"/>
    </row>
    <row r="4" spans="1:11" x14ac:dyDescent="0.35">
      <c r="A4" t="s">
        <v>382</v>
      </c>
      <c r="C4" s="173">
        <v>5.9671000000000003</v>
      </c>
      <c r="D4" s="173">
        <v>4.4970999999999997</v>
      </c>
      <c r="E4" s="173">
        <v>3.8784000000000001</v>
      </c>
      <c r="F4" s="173">
        <v>3.0775000000000001</v>
      </c>
      <c r="G4" s="173">
        <v>2.4922</v>
      </c>
      <c r="H4" s="173">
        <v>1.9330000000000001</v>
      </c>
      <c r="I4" s="173">
        <v>1.6212</v>
      </c>
      <c r="J4" s="173">
        <v>1.2479</v>
      </c>
      <c r="K4" s="4"/>
    </row>
    <row r="5" spans="1:11" x14ac:dyDescent="0.35">
      <c r="C5" s="4"/>
      <c r="D5" s="4"/>
      <c r="E5" s="23"/>
      <c r="F5" s="23"/>
      <c r="G5" s="23"/>
      <c r="H5" s="23"/>
      <c r="I5" s="157"/>
      <c r="J5" s="156"/>
      <c r="K5" s="4"/>
    </row>
    <row r="6" spans="1:11" x14ac:dyDescent="0.35">
      <c r="C6" s="4">
        <v>2.5000000000000001E-3</v>
      </c>
      <c r="D6" s="4">
        <v>5.0000000000000001E-3</v>
      </c>
      <c r="E6" s="4">
        <v>0.01</v>
      </c>
      <c r="F6" s="4">
        <v>2.5000000000000001E-2</v>
      </c>
      <c r="G6" s="4">
        <v>0.05</v>
      </c>
      <c r="H6" s="156">
        <v>0.1</v>
      </c>
      <c r="I6" s="4">
        <v>0.15</v>
      </c>
      <c r="J6" s="156">
        <v>0.2</v>
      </c>
      <c r="K6" s="4">
        <v>0.25</v>
      </c>
    </row>
    <row r="7" spans="1:11" x14ac:dyDescent="0.35">
      <c r="A7" t="s">
        <v>187</v>
      </c>
      <c r="C7" s="174">
        <v>2.5339999999999998</v>
      </c>
      <c r="D7" s="174">
        <v>2.2440000000000002</v>
      </c>
      <c r="E7" s="174">
        <v>1.9590000000000001</v>
      </c>
      <c r="F7" s="174">
        <v>1.591</v>
      </c>
      <c r="G7" s="174">
        <v>1.321</v>
      </c>
      <c r="H7" s="174">
        <v>1.0620000000000001</v>
      </c>
      <c r="I7" s="174">
        <v>0.91600000000000004</v>
      </c>
      <c r="J7" s="174">
        <v>0.81599999999999995</v>
      </c>
      <c r="K7" s="174">
        <v>0.73599999999999999</v>
      </c>
    </row>
    <row r="8" spans="1:11" x14ac:dyDescent="0.35">
      <c r="C8" s="23"/>
      <c r="D8" s="23"/>
      <c r="E8" s="23"/>
      <c r="F8" s="23"/>
      <c r="G8" s="23"/>
      <c r="H8" s="23"/>
      <c r="I8" s="23"/>
      <c r="J8" s="23"/>
      <c r="K8" s="23"/>
    </row>
    <row r="9" spans="1:11" x14ac:dyDescent="0.35">
      <c r="A9" t="s">
        <v>383</v>
      </c>
      <c r="C9" s="4">
        <v>0.01</v>
      </c>
      <c r="D9" s="4">
        <v>2.5000000000000001E-2</v>
      </c>
      <c r="E9" s="4">
        <v>0.05</v>
      </c>
      <c r="F9" s="156">
        <v>0.1</v>
      </c>
      <c r="G9" s="4">
        <v>0.25</v>
      </c>
      <c r="J9" s="21"/>
    </row>
    <row r="10" spans="1:11" x14ac:dyDescent="0.35">
      <c r="A10" t="s">
        <v>186</v>
      </c>
      <c r="C10" s="174">
        <v>1.038</v>
      </c>
      <c r="D10" s="174">
        <v>0.877</v>
      </c>
      <c r="E10" s="174">
        <v>0.75700000000000001</v>
      </c>
      <c r="F10" s="174">
        <v>0.63700000000000001</v>
      </c>
      <c r="G10" s="174">
        <v>0.47399999999999998</v>
      </c>
      <c r="J10" s="21"/>
    </row>
    <row r="11" spans="1:11" x14ac:dyDescent="0.35">
      <c r="C11" s="23"/>
      <c r="D11" s="23"/>
      <c r="E11" s="23"/>
      <c r="F11" s="23"/>
      <c r="G11" s="23"/>
      <c r="J11" s="21"/>
    </row>
    <row r="12" spans="1:11" x14ac:dyDescent="0.35">
      <c r="C12" s="4">
        <v>5.0000000000000001E-3</v>
      </c>
      <c r="D12" s="4">
        <v>0.01</v>
      </c>
      <c r="E12" s="4">
        <v>2.5000000000000001E-2</v>
      </c>
      <c r="F12" s="4">
        <v>0.05</v>
      </c>
      <c r="G12" s="156">
        <v>0.1</v>
      </c>
      <c r="H12" s="4">
        <v>0.25</v>
      </c>
      <c r="J12" s="21"/>
    </row>
    <row r="13" spans="1:11" x14ac:dyDescent="0.35">
      <c r="A13" t="s">
        <v>384</v>
      </c>
      <c r="C13" s="174">
        <v>1.01</v>
      </c>
      <c r="D13" s="174">
        <v>0.90600000000000003</v>
      </c>
      <c r="E13" s="174">
        <v>0.76900000000000002</v>
      </c>
      <c r="F13" s="174">
        <v>0.66</v>
      </c>
      <c r="G13" s="174">
        <v>0.52300000000000002</v>
      </c>
      <c r="H13" s="174">
        <v>0.42599999999999999</v>
      </c>
      <c r="J13" s="21"/>
    </row>
    <row r="14" spans="1:11" x14ac:dyDescent="0.35">
      <c r="J14" s="21"/>
    </row>
    <row r="15" spans="1:11" x14ac:dyDescent="0.35">
      <c r="B15" s="169" t="s">
        <v>350</v>
      </c>
      <c r="C15" s="4">
        <v>5.0000000000000001E-3</v>
      </c>
      <c r="D15" s="4">
        <v>0.01</v>
      </c>
      <c r="E15" s="4">
        <v>2.5000000000000001E-2</v>
      </c>
      <c r="F15" s="4">
        <v>0.05</v>
      </c>
      <c r="G15" s="156">
        <v>0.1</v>
      </c>
      <c r="H15" s="4">
        <v>0.25</v>
      </c>
      <c r="J15" s="23"/>
    </row>
    <row r="16" spans="1:11" x14ac:dyDescent="0.35">
      <c r="A16" t="s">
        <v>179</v>
      </c>
      <c r="B16" s="169">
        <v>1</v>
      </c>
      <c r="C16" s="175">
        <v>1.2270000000000001</v>
      </c>
      <c r="D16" s="176">
        <v>1.0920000000000001</v>
      </c>
      <c r="E16" s="176">
        <v>0.91700000000000004</v>
      </c>
      <c r="F16" s="176">
        <v>0.78600000000000003</v>
      </c>
      <c r="G16" s="176">
        <v>0.65700000000000003</v>
      </c>
      <c r="H16" s="177">
        <v>0.48599999999999999</v>
      </c>
      <c r="I16" s="4"/>
      <c r="J16" s="23"/>
    </row>
    <row r="17" spans="1:10" x14ac:dyDescent="0.35">
      <c r="B17" s="169">
        <v>2</v>
      </c>
      <c r="C17" s="178">
        <v>1.19</v>
      </c>
      <c r="D17" s="23">
        <v>1.0620000000000001</v>
      </c>
      <c r="E17" s="23">
        <v>0.89400000000000002</v>
      </c>
      <c r="F17" s="23">
        <v>0.76800000000000002</v>
      </c>
      <c r="G17" s="23">
        <v>0.64300000000000002</v>
      </c>
      <c r="H17" s="60">
        <v>0.47699999999999998</v>
      </c>
      <c r="I17" s="4"/>
      <c r="J17" s="23"/>
    </row>
    <row r="18" spans="1:10" x14ac:dyDescent="0.35">
      <c r="B18" s="169">
        <v>3</v>
      </c>
      <c r="C18" s="178">
        <v>1.1779999999999999</v>
      </c>
      <c r="D18" s="23">
        <v>1.052</v>
      </c>
      <c r="E18" s="23">
        <v>0.88600000000000001</v>
      </c>
      <c r="F18" s="23">
        <v>0.76200000000000001</v>
      </c>
      <c r="G18" s="23">
        <v>0.63900000000000001</v>
      </c>
      <c r="H18" s="60">
        <v>0.47499999999999998</v>
      </c>
      <c r="I18" s="4"/>
      <c r="J18" s="23"/>
    </row>
    <row r="19" spans="1:10" x14ac:dyDescent="0.35">
      <c r="B19" s="169">
        <v>4</v>
      </c>
      <c r="C19" s="178">
        <v>1.173</v>
      </c>
      <c r="D19" s="23">
        <v>1.048</v>
      </c>
      <c r="E19" s="23">
        <v>0.88300000000000001</v>
      </c>
      <c r="F19" s="23">
        <v>0.75900000000000001</v>
      </c>
      <c r="G19" s="23">
        <v>0.63700000000000001</v>
      </c>
      <c r="H19" s="60">
        <v>0.47299999999999998</v>
      </c>
      <c r="I19" s="4"/>
      <c r="J19" s="23"/>
    </row>
    <row r="20" spans="1:10" x14ac:dyDescent="0.35">
      <c r="B20" s="169">
        <v>5</v>
      </c>
      <c r="C20" s="178">
        <v>1.17</v>
      </c>
      <c r="D20" s="23">
        <v>1.0449999999999999</v>
      </c>
      <c r="E20" s="23">
        <v>0.88100000000000001</v>
      </c>
      <c r="F20" s="23">
        <v>0.75800000000000001</v>
      </c>
      <c r="G20" s="23">
        <v>0.63500000000000001</v>
      </c>
      <c r="H20" s="60">
        <v>0.47199999999999998</v>
      </c>
      <c r="I20" s="4"/>
      <c r="J20" s="23"/>
    </row>
    <row r="21" spans="1:10" x14ac:dyDescent="0.35">
      <c r="B21" s="169">
        <v>6</v>
      </c>
      <c r="C21" s="178">
        <v>1.1679999999999999</v>
      </c>
      <c r="D21" s="23">
        <v>1.0429999999999999</v>
      </c>
      <c r="E21" s="23">
        <v>0.88</v>
      </c>
      <c r="F21" s="23">
        <v>0.75700000000000001</v>
      </c>
      <c r="G21" s="23">
        <v>0.63500000000000001</v>
      </c>
      <c r="H21" s="60">
        <v>0.47199999999999998</v>
      </c>
      <c r="I21" s="4"/>
      <c r="J21" s="23"/>
    </row>
    <row r="22" spans="1:10" x14ac:dyDescent="0.35">
      <c r="B22" s="169">
        <v>8</v>
      </c>
      <c r="C22" s="178">
        <v>1.165</v>
      </c>
      <c r="D22" s="23">
        <v>1.0409999999999999</v>
      </c>
      <c r="E22" s="23">
        <v>0.878</v>
      </c>
      <c r="F22" s="23">
        <v>0.755</v>
      </c>
      <c r="G22" s="23">
        <v>0.63400000000000001</v>
      </c>
      <c r="H22" s="60">
        <v>0.47099999999999997</v>
      </c>
      <c r="I22" s="4"/>
      <c r="J22" s="23"/>
    </row>
    <row r="23" spans="1:10" x14ac:dyDescent="0.35">
      <c r="B23" s="169">
        <v>10</v>
      </c>
      <c r="C23" s="178">
        <v>1.1639999999999999</v>
      </c>
      <c r="D23" s="23">
        <v>1.04</v>
      </c>
      <c r="E23" s="23">
        <v>0.877</v>
      </c>
      <c r="F23" s="23">
        <v>0.754</v>
      </c>
      <c r="G23" s="23">
        <v>0.63300000000000001</v>
      </c>
      <c r="H23" s="60">
        <v>0.47099999999999997</v>
      </c>
      <c r="I23" s="4"/>
      <c r="J23" s="23"/>
    </row>
    <row r="24" spans="1:10" x14ac:dyDescent="0.35">
      <c r="B24" s="169">
        <v>12</v>
      </c>
      <c r="C24" s="178">
        <v>1.1619999999999999</v>
      </c>
      <c r="D24" s="23">
        <v>1.038</v>
      </c>
      <c r="E24" s="23">
        <v>0.876</v>
      </c>
      <c r="F24" s="23">
        <v>0.754</v>
      </c>
      <c r="G24" s="23">
        <v>0.63300000000000001</v>
      </c>
      <c r="H24" s="60">
        <v>0.47099999999999997</v>
      </c>
      <c r="I24" s="4"/>
      <c r="J24" s="23"/>
    </row>
    <row r="25" spans="1:10" x14ac:dyDescent="0.35">
      <c r="B25" s="169">
        <v>15</v>
      </c>
      <c r="C25" s="178">
        <v>1.1619999999999999</v>
      </c>
      <c r="D25" s="23">
        <v>1.038</v>
      </c>
      <c r="E25" s="23">
        <v>0.876</v>
      </c>
      <c r="F25" s="23">
        <v>0.754</v>
      </c>
      <c r="G25" s="23">
        <v>0.63200000000000001</v>
      </c>
      <c r="H25" s="60">
        <v>0.47</v>
      </c>
      <c r="I25" s="4"/>
      <c r="J25" s="23"/>
    </row>
    <row r="26" spans="1:10" x14ac:dyDescent="0.35">
      <c r="B26" s="169">
        <v>20</v>
      </c>
      <c r="C26" s="178">
        <v>1.161</v>
      </c>
      <c r="D26" s="23">
        <v>1.0369999999999999</v>
      </c>
      <c r="E26" s="23">
        <v>0.875</v>
      </c>
      <c r="F26" s="23">
        <v>0.753</v>
      </c>
      <c r="G26" s="23">
        <v>0.63200000000000001</v>
      </c>
      <c r="H26" s="60">
        <v>0.47</v>
      </c>
      <c r="I26" s="4"/>
      <c r="J26" s="23"/>
    </row>
    <row r="27" spans="1:10" x14ac:dyDescent="0.35">
      <c r="B27" s="169" t="s">
        <v>385</v>
      </c>
      <c r="C27" s="179">
        <v>1.159</v>
      </c>
      <c r="D27" s="180">
        <v>1.0349999999999999</v>
      </c>
      <c r="E27" s="180">
        <v>0.873</v>
      </c>
      <c r="F27" s="180">
        <v>0.752</v>
      </c>
      <c r="G27" s="180">
        <v>0.63100000000000001</v>
      </c>
      <c r="H27" s="181">
        <v>0.47</v>
      </c>
      <c r="I27" s="4"/>
    </row>
    <row r="28" spans="1:10" x14ac:dyDescent="0.35">
      <c r="B28" s="169"/>
      <c r="C28" s="23"/>
      <c r="D28" s="23"/>
      <c r="E28" s="23"/>
      <c r="F28" s="23"/>
      <c r="G28" s="23"/>
      <c r="H28" s="23"/>
    </row>
    <row r="29" spans="1:10" x14ac:dyDescent="0.35">
      <c r="B29" s="26" t="s">
        <v>47</v>
      </c>
      <c r="C29" s="166">
        <v>5.0000000000000001E-3</v>
      </c>
      <c r="D29" s="166">
        <v>0.01</v>
      </c>
      <c r="E29" s="166">
        <v>2.5000000000000001E-2</v>
      </c>
      <c r="F29" s="166">
        <v>0.05</v>
      </c>
      <c r="G29" s="182">
        <v>0.1</v>
      </c>
      <c r="H29" s="182">
        <v>0.2</v>
      </c>
    </row>
    <row r="30" spans="1:10" x14ac:dyDescent="0.35">
      <c r="A30" t="s">
        <v>169</v>
      </c>
      <c r="B30" s="169" t="s">
        <v>41</v>
      </c>
      <c r="C30" s="97">
        <v>1.1577999999999999</v>
      </c>
      <c r="D30" s="97">
        <v>1.0347999999999999</v>
      </c>
      <c r="E30" s="97">
        <v>0.87280000000000002</v>
      </c>
      <c r="F30" s="97">
        <v>0.75139999999999996</v>
      </c>
      <c r="G30" s="97">
        <v>0.63049999999999995</v>
      </c>
      <c r="H30" s="97">
        <v>0.5091</v>
      </c>
    </row>
    <row r="31" spans="1:10" x14ac:dyDescent="0.35">
      <c r="A31" t="s">
        <v>386</v>
      </c>
      <c r="B31" s="169" t="s">
        <v>42</v>
      </c>
      <c r="C31" s="23">
        <v>1.0629999999999999</v>
      </c>
      <c r="D31" s="23">
        <v>1.0129999999999999</v>
      </c>
      <c r="E31" s="23">
        <v>0.88100000000000001</v>
      </c>
      <c r="F31" s="23">
        <v>0.79500000000000004</v>
      </c>
      <c r="G31" s="23">
        <v>0.75</v>
      </c>
      <c r="H31" s="23">
        <v>0.75600000000000001</v>
      </c>
    </row>
    <row r="32" spans="1:10" x14ac:dyDescent="0.35">
      <c r="B32" s="169" t="s">
        <v>43</v>
      </c>
      <c r="C32" s="183">
        <v>1.34</v>
      </c>
      <c r="D32" s="183">
        <v>0.93</v>
      </c>
      <c r="E32" s="183">
        <v>0.94</v>
      </c>
      <c r="F32" s="183">
        <v>0.89</v>
      </c>
      <c r="G32" s="183">
        <v>0.8</v>
      </c>
      <c r="H32" s="183">
        <v>0.39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"/>
  <dimension ref="A1:K68"/>
  <sheetViews>
    <sheetView workbookViewId="0">
      <selection activeCell="K19" sqref="K19"/>
    </sheetView>
  </sheetViews>
  <sheetFormatPr defaultRowHeight="14.5" x14ac:dyDescent="0.35"/>
  <cols>
    <col min="1" max="2" width="5" customWidth="1"/>
    <col min="3" max="3" width="4.1796875" customWidth="1"/>
    <col min="4" max="5" width="7.453125" style="21" customWidth="1"/>
    <col min="6" max="6" width="4.1796875" customWidth="1"/>
    <col min="7" max="8" width="7.453125" style="21" customWidth="1"/>
    <col min="9" max="9" width="4.1796875" customWidth="1"/>
    <col min="10" max="11" width="7.453125" style="21" customWidth="1"/>
  </cols>
  <sheetData>
    <row r="1" spans="1:11" x14ac:dyDescent="0.35">
      <c r="A1" s="1" t="s">
        <v>390</v>
      </c>
    </row>
    <row r="3" spans="1:11" x14ac:dyDescent="0.35">
      <c r="C3" s="4"/>
      <c r="D3" s="184" t="s">
        <v>88</v>
      </c>
      <c r="E3" s="185">
        <v>0.01</v>
      </c>
      <c r="F3" s="4"/>
      <c r="G3" s="184" t="s">
        <v>88</v>
      </c>
      <c r="H3" s="185">
        <v>0.05</v>
      </c>
      <c r="I3" s="4"/>
      <c r="J3" s="184" t="s">
        <v>88</v>
      </c>
      <c r="K3" s="185">
        <v>0.1</v>
      </c>
    </row>
    <row r="4" spans="1:11" x14ac:dyDescent="0.35">
      <c r="A4" s="165" t="s">
        <v>98</v>
      </c>
      <c r="B4" s="165" t="s">
        <v>30</v>
      </c>
      <c r="C4" s="4"/>
      <c r="D4" s="186" t="s">
        <v>173</v>
      </c>
      <c r="E4" s="186" t="s">
        <v>387</v>
      </c>
      <c r="F4" s="12"/>
      <c r="G4" s="186" t="s">
        <v>173</v>
      </c>
      <c r="H4" s="186" t="s">
        <v>387</v>
      </c>
      <c r="I4" s="12"/>
      <c r="J4" s="186" t="s">
        <v>173</v>
      </c>
      <c r="K4" s="186" t="s">
        <v>387</v>
      </c>
    </row>
    <row r="5" spans="1:11" x14ac:dyDescent="0.35">
      <c r="A5" s="12">
        <v>2</v>
      </c>
      <c r="B5" s="12">
        <v>4</v>
      </c>
      <c r="C5" s="12"/>
      <c r="D5" s="187" t="s">
        <v>388</v>
      </c>
      <c r="E5" s="187" t="s">
        <v>388</v>
      </c>
      <c r="F5" s="12"/>
      <c r="G5" s="187" t="s">
        <v>388</v>
      </c>
      <c r="H5" s="187" t="s">
        <v>388</v>
      </c>
      <c r="I5" s="12"/>
      <c r="J5" s="188">
        <v>2.25</v>
      </c>
      <c r="K5" s="188">
        <v>0.13300000000000001</v>
      </c>
    </row>
    <row r="6" spans="1:11" x14ac:dyDescent="0.35">
      <c r="A6" s="12">
        <v>2</v>
      </c>
      <c r="B6" s="12">
        <v>5</v>
      </c>
      <c r="C6" s="12"/>
      <c r="D6" s="187" t="s">
        <v>388</v>
      </c>
      <c r="E6" s="187" t="s">
        <v>388</v>
      </c>
      <c r="F6" s="12"/>
      <c r="G6" s="187" t="s">
        <v>388</v>
      </c>
      <c r="H6" s="187" t="s">
        <v>388</v>
      </c>
      <c r="I6" s="12"/>
      <c r="J6" s="188">
        <v>2.4769999999999999</v>
      </c>
      <c r="K6" s="188">
        <v>9.5000000000000001E-2</v>
      </c>
    </row>
    <row r="7" spans="1:11" x14ac:dyDescent="0.35">
      <c r="A7" s="12">
        <v>2</v>
      </c>
      <c r="B7" s="12">
        <v>6</v>
      </c>
      <c r="C7" s="12"/>
      <c r="D7" s="187" t="s">
        <v>388</v>
      </c>
      <c r="E7" s="187" t="s">
        <v>388</v>
      </c>
      <c r="F7" s="12"/>
      <c r="G7" s="188">
        <v>2.6760000000000002</v>
      </c>
      <c r="H7" s="188">
        <v>7.0999999999999994E-2</v>
      </c>
      <c r="I7" s="12"/>
      <c r="J7" s="188">
        <v>1.7869999999999999</v>
      </c>
      <c r="K7" s="188">
        <v>0.14299999999999999</v>
      </c>
    </row>
    <row r="8" spans="1:11" x14ac:dyDescent="0.35">
      <c r="A8" s="12">
        <v>2</v>
      </c>
      <c r="B8" s="12">
        <v>7</v>
      </c>
      <c r="C8" s="12"/>
      <c r="D8" s="187" t="s">
        <v>388</v>
      </c>
      <c r="E8" s="187" t="s">
        <v>388</v>
      </c>
      <c r="F8" s="12"/>
      <c r="G8" s="188">
        <v>2.855</v>
      </c>
      <c r="H8" s="188">
        <v>5.6000000000000001E-2</v>
      </c>
      <c r="I8" s="12"/>
      <c r="J8" s="188">
        <v>1.982</v>
      </c>
      <c r="K8" s="188">
        <v>0.111</v>
      </c>
    </row>
    <row r="9" spans="1:11" x14ac:dyDescent="0.35">
      <c r="A9" s="12">
        <v>2</v>
      </c>
      <c r="B9" s="12">
        <v>8</v>
      </c>
      <c r="C9" s="12"/>
      <c r="D9" s="187" t="s">
        <v>388</v>
      </c>
      <c r="E9" s="187" t="s">
        <v>388</v>
      </c>
      <c r="F9" s="12"/>
      <c r="G9" s="188">
        <v>3.0169999999999999</v>
      </c>
      <c r="H9" s="188">
        <v>4.3999999999999997E-2</v>
      </c>
      <c r="I9" s="12"/>
      <c r="J9" s="188">
        <v>2.157</v>
      </c>
      <c r="K9" s="188">
        <v>8.8999999999999996E-2</v>
      </c>
    </row>
    <row r="10" spans="1:11" x14ac:dyDescent="0.35">
      <c r="A10" s="12">
        <v>2</v>
      </c>
      <c r="B10" s="12">
        <v>9</v>
      </c>
      <c r="C10" s="12"/>
      <c r="D10" s="187" t="s">
        <v>388</v>
      </c>
      <c r="E10" s="187" t="s">
        <v>388</v>
      </c>
      <c r="F10" s="12"/>
      <c r="G10" s="188">
        <v>3.165</v>
      </c>
      <c r="H10" s="188">
        <v>3.5999999999999997E-2</v>
      </c>
      <c r="I10" s="12"/>
      <c r="J10" s="188">
        <v>1.889</v>
      </c>
      <c r="K10" s="188">
        <v>0.109</v>
      </c>
    </row>
    <row r="11" spans="1:11" x14ac:dyDescent="0.35">
      <c r="A11" s="12">
        <v>2</v>
      </c>
      <c r="B11" s="12">
        <v>10</v>
      </c>
      <c r="C11" s="12"/>
      <c r="D11" s="187" t="s">
        <v>388</v>
      </c>
      <c r="E11" s="187" t="s">
        <v>388</v>
      </c>
      <c r="F11" s="12"/>
      <c r="G11" s="188">
        <v>3.302</v>
      </c>
      <c r="H11" s="188">
        <v>0.03</v>
      </c>
      <c r="I11" s="12"/>
      <c r="J11" s="188">
        <v>2.0259999999999998</v>
      </c>
      <c r="K11" s="188">
        <v>8.1000000000000003E-2</v>
      </c>
    </row>
    <row r="12" spans="1:11" x14ac:dyDescent="0.35">
      <c r="A12">
        <v>2</v>
      </c>
      <c r="B12">
        <v>11</v>
      </c>
      <c r="D12" s="21">
        <v>3.43</v>
      </c>
      <c r="E12" s="21">
        <v>2.5999999999999999E-2</v>
      </c>
      <c r="G12" s="188">
        <v>2.597</v>
      </c>
      <c r="H12" s="188">
        <v>5.0999999999999997E-2</v>
      </c>
      <c r="I12" s="12"/>
      <c r="J12" s="188">
        <v>2.0649999999999999</v>
      </c>
      <c r="K12" s="188">
        <v>0.10299999999999999</v>
      </c>
    </row>
    <row r="13" spans="1:11" x14ac:dyDescent="0.35">
      <c r="A13">
        <v>2</v>
      </c>
      <c r="B13">
        <v>12</v>
      </c>
      <c r="D13" s="21">
        <v>3.5489999999999999</v>
      </c>
      <c r="E13" s="21">
        <v>2.1999999999999999E-2</v>
      </c>
      <c r="G13" s="188">
        <v>2.722</v>
      </c>
      <c r="H13" s="188">
        <v>4.3999999999999997E-2</v>
      </c>
      <c r="I13" s="12"/>
      <c r="J13" s="188">
        <v>1.8129999999999999</v>
      </c>
      <c r="K13" s="188">
        <v>0.11</v>
      </c>
    </row>
    <row r="14" spans="1:11" x14ac:dyDescent="0.35">
      <c r="A14">
        <v>2</v>
      </c>
      <c r="B14">
        <v>13</v>
      </c>
      <c r="D14" s="21">
        <v>3.66</v>
      </c>
      <c r="E14" s="21">
        <v>1.0999999999999999E-2</v>
      </c>
      <c r="G14" s="188">
        <v>2.3860000000000001</v>
      </c>
      <c r="H14" s="188">
        <v>5.2999999999999999E-2</v>
      </c>
      <c r="I14" s="12"/>
      <c r="J14" s="188">
        <v>1.93</v>
      </c>
      <c r="K14" s="188">
        <v>9.5000000000000001E-2</v>
      </c>
    </row>
    <row r="15" spans="1:11" x14ac:dyDescent="0.35">
      <c r="A15">
        <v>2</v>
      </c>
      <c r="B15">
        <v>14</v>
      </c>
      <c r="D15" s="21">
        <v>3.7650000000000001</v>
      </c>
      <c r="E15" s="21">
        <v>1.7000000000000001E-2</v>
      </c>
      <c r="G15" s="188">
        <v>2.492</v>
      </c>
      <c r="H15" s="188">
        <v>0.05</v>
      </c>
      <c r="I15" s="12"/>
      <c r="J15" s="188">
        <v>1.9650000000000001</v>
      </c>
      <c r="K15" s="188">
        <v>0.1</v>
      </c>
    </row>
    <row r="16" spans="1:11" x14ac:dyDescent="0.35">
      <c r="A16">
        <v>2</v>
      </c>
      <c r="B16">
        <v>16</v>
      </c>
      <c r="D16" s="21">
        <v>3.96</v>
      </c>
      <c r="E16" s="21">
        <v>1.2999999999999999E-2</v>
      </c>
      <c r="G16" s="188">
        <v>2.6259999999999999</v>
      </c>
      <c r="H16" s="188">
        <v>5.1999999999999998E-2</v>
      </c>
      <c r="I16" s="12"/>
      <c r="J16" s="188">
        <v>1.95</v>
      </c>
      <c r="K16" s="188">
        <v>0.105</v>
      </c>
    </row>
    <row r="17" spans="1:11" x14ac:dyDescent="0.35">
      <c r="A17">
        <v>2</v>
      </c>
      <c r="B17">
        <v>18</v>
      </c>
      <c r="D17" s="21">
        <v>4.1349999999999998</v>
      </c>
      <c r="E17" s="21">
        <v>1.0999999999999999E-2</v>
      </c>
      <c r="G17" s="188">
        <v>2.4279999999999999</v>
      </c>
      <c r="H17" s="188">
        <v>5.2999999999999999E-2</v>
      </c>
      <c r="I17" s="12"/>
      <c r="J17" s="188">
        <v>1.96</v>
      </c>
      <c r="K17" s="188">
        <v>9.5000000000000001E-2</v>
      </c>
    </row>
    <row r="18" spans="1:11" x14ac:dyDescent="0.35">
      <c r="A18">
        <v>3</v>
      </c>
      <c r="B18">
        <v>3</v>
      </c>
      <c r="D18" s="187" t="s">
        <v>388</v>
      </c>
      <c r="E18" s="187" t="s">
        <v>388</v>
      </c>
      <c r="G18" s="187" t="s">
        <v>388</v>
      </c>
      <c r="H18" s="187" t="s">
        <v>388</v>
      </c>
      <c r="I18" s="12"/>
      <c r="J18" s="188">
        <v>2.4</v>
      </c>
      <c r="K18" s="188">
        <v>0.1</v>
      </c>
    </row>
    <row r="19" spans="1:11" x14ac:dyDescent="0.35">
      <c r="A19">
        <v>3</v>
      </c>
      <c r="B19">
        <v>4</v>
      </c>
      <c r="D19" s="187" t="s">
        <v>388</v>
      </c>
      <c r="E19" s="187" t="s">
        <v>388</v>
      </c>
      <c r="G19" s="188">
        <v>2.7429999999999999</v>
      </c>
      <c r="H19" s="188">
        <v>5.7000000000000002E-2</v>
      </c>
      <c r="I19" s="12"/>
      <c r="J19" s="188">
        <v>1.917</v>
      </c>
      <c r="K19" s="188">
        <v>0.114</v>
      </c>
    </row>
    <row r="20" spans="1:11" x14ac:dyDescent="0.35">
      <c r="A20">
        <v>3</v>
      </c>
      <c r="B20">
        <v>5</v>
      </c>
      <c r="D20" s="187" t="s">
        <v>388</v>
      </c>
      <c r="E20" s="187" t="s">
        <v>388</v>
      </c>
      <c r="G20" s="188">
        <v>3.0390000000000001</v>
      </c>
      <c r="H20" s="188">
        <v>3.5999999999999997E-2</v>
      </c>
      <c r="I20" s="12"/>
      <c r="J20" s="188">
        <v>2.2570000000000001</v>
      </c>
      <c r="K20" s="188">
        <v>7.0999999999999994E-2</v>
      </c>
    </row>
    <row r="21" spans="1:11" x14ac:dyDescent="0.35">
      <c r="A21">
        <v>3</v>
      </c>
      <c r="B21">
        <v>6</v>
      </c>
      <c r="D21" s="21">
        <v>3.302</v>
      </c>
      <c r="E21" s="21">
        <v>2.4E-2</v>
      </c>
      <c r="G21" s="188">
        <v>2.552</v>
      </c>
      <c r="H21" s="188">
        <v>4.8000000000000001E-2</v>
      </c>
      <c r="I21" s="12"/>
      <c r="J21" s="188">
        <v>2.016</v>
      </c>
      <c r="K21" s="188">
        <v>9.5000000000000001E-2</v>
      </c>
    </row>
    <row r="22" spans="1:11" x14ac:dyDescent="0.35">
      <c r="A22">
        <v>3</v>
      </c>
      <c r="B22">
        <v>7</v>
      </c>
      <c r="D22" s="21">
        <v>3.5379999999999998</v>
      </c>
      <c r="E22" s="21">
        <v>1.7999999999999999E-2</v>
      </c>
      <c r="G22" s="188">
        <v>2.2970000000000002</v>
      </c>
      <c r="H22" s="188">
        <v>0.05</v>
      </c>
      <c r="I22" s="12"/>
      <c r="J22" s="188">
        <v>1.9159999999999999</v>
      </c>
      <c r="K22" s="188">
        <v>0.1</v>
      </c>
    </row>
    <row r="23" spans="1:11" x14ac:dyDescent="0.35">
      <c r="A23">
        <v>3</v>
      </c>
      <c r="B23">
        <v>8</v>
      </c>
      <c r="D23" s="21">
        <v>3.754</v>
      </c>
      <c r="E23" s="21">
        <v>1.2E-2</v>
      </c>
      <c r="G23" s="188">
        <v>2.512</v>
      </c>
      <c r="H23" s="188">
        <v>4.9000000000000002E-2</v>
      </c>
      <c r="I23" s="12"/>
      <c r="J23" s="188">
        <v>1.867</v>
      </c>
      <c r="K23" s="188">
        <v>9.0999999999999998E-2</v>
      </c>
    </row>
    <row r="24" spans="1:11" x14ac:dyDescent="0.35">
      <c r="A24">
        <v>3</v>
      </c>
      <c r="B24">
        <v>9</v>
      </c>
      <c r="D24" s="21">
        <v>3.952</v>
      </c>
      <c r="E24" s="21">
        <v>8.9999999999999993E-3</v>
      </c>
      <c r="G24" s="188">
        <v>2.4849999999999999</v>
      </c>
      <c r="H24" s="188">
        <v>5.6000000000000001E-2</v>
      </c>
      <c r="I24" s="12"/>
      <c r="J24" s="188">
        <v>1.855</v>
      </c>
      <c r="K24" s="188">
        <v>0.1</v>
      </c>
    </row>
    <row r="25" spans="1:11" x14ac:dyDescent="0.35">
      <c r="A25">
        <v>3</v>
      </c>
      <c r="B25">
        <v>10</v>
      </c>
      <c r="D25" s="21">
        <v>3.5230000000000001</v>
      </c>
      <c r="E25" s="21">
        <v>1.0999999999999999E-2</v>
      </c>
      <c r="G25" s="188">
        <v>2.4319999999999999</v>
      </c>
      <c r="H25" s="188">
        <v>4.9000000000000002E-2</v>
      </c>
      <c r="I25" s="12"/>
      <c r="J25" s="188">
        <v>1.8759999999999999</v>
      </c>
      <c r="K25" s="188">
        <v>9.8000000000000004E-2</v>
      </c>
    </row>
    <row r="26" spans="1:11" x14ac:dyDescent="0.35">
      <c r="A26">
        <v>3</v>
      </c>
      <c r="B26">
        <v>11</v>
      </c>
      <c r="D26" s="21">
        <v>3.64</v>
      </c>
      <c r="E26" s="21">
        <v>1.0999999999999999E-2</v>
      </c>
      <c r="G26" s="188">
        <v>2.36</v>
      </c>
      <c r="H26" s="188">
        <v>0.05</v>
      </c>
      <c r="I26" s="12"/>
      <c r="J26" s="188">
        <v>1.944</v>
      </c>
      <c r="K26" s="188">
        <v>9.9000000000000005E-2</v>
      </c>
    </row>
    <row r="27" spans="1:11" x14ac:dyDescent="0.35">
      <c r="A27">
        <v>3</v>
      </c>
      <c r="B27">
        <v>12</v>
      </c>
      <c r="D27" s="21">
        <v>3.81</v>
      </c>
      <c r="E27" s="21">
        <v>9.9000000000000005E-2</v>
      </c>
      <c r="G27" s="188">
        <v>2.423</v>
      </c>
      <c r="H27" s="188">
        <v>4.8000000000000001E-2</v>
      </c>
      <c r="I27" s="12"/>
      <c r="J27" s="188">
        <v>1.8759999999999999</v>
      </c>
      <c r="K27" s="188">
        <v>0.10100000000000001</v>
      </c>
    </row>
    <row r="28" spans="1:11" x14ac:dyDescent="0.35">
      <c r="A28">
        <v>3</v>
      </c>
      <c r="B28">
        <v>13</v>
      </c>
      <c r="D28" s="21">
        <v>3.4910000000000001</v>
      </c>
      <c r="E28" s="21">
        <v>1.0999999999999999E-2</v>
      </c>
      <c r="G28" s="188">
        <v>2.3639999999999999</v>
      </c>
      <c r="H28" s="188">
        <v>0.05</v>
      </c>
      <c r="I28" s="12"/>
      <c r="J28" s="188">
        <v>1.9419999999999999</v>
      </c>
      <c r="K28" s="188">
        <v>0.1</v>
      </c>
    </row>
    <row r="29" spans="1:11" x14ac:dyDescent="0.35">
      <c r="A29">
        <v>3</v>
      </c>
      <c r="B29">
        <v>14</v>
      </c>
      <c r="D29" s="21">
        <v>3.645</v>
      </c>
      <c r="E29" s="21">
        <v>8.9999999999999993E-3</v>
      </c>
      <c r="G29" s="188">
        <v>2.4049999999999998</v>
      </c>
      <c r="H29" s="188">
        <v>0.05</v>
      </c>
      <c r="I29" s="12"/>
      <c r="J29" s="188">
        <v>1.899</v>
      </c>
      <c r="K29" s="188">
        <v>0.1</v>
      </c>
    </row>
    <row r="30" spans="1:11" x14ac:dyDescent="0.35">
      <c r="A30">
        <v>3</v>
      </c>
      <c r="B30">
        <v>15</v>
      </c>
      <c r="D30" s="21">
        <v>3.637</v>
      </c>
      <c r="E30" s="21">
        <v>0.01</v>
      </c>
      <c r="G30" s="188">
        <v>2.3620000000000001</v>
      </c>
      <c r="H30" s="188">
        <v>4.9000000000000002E-2</v>
      </c>
      <c r="I30" s="12"/>
      <c r="J30" s="188">
        <v>1.992</v>
      </c>
      <c r="K30" s="188">
        <v>0.10100000000000001</v>
      </c>
    </row>
    <row r="31" spans="1:11" x14ac:dyDescent="0.35">
      <c r="A31">
        <v>3</v>
      </c>
      <c r="B31">
        <v>16</v>
      </c>
      <c r="D31" s="21">
        <v>3.5870000000000002</v>
      </c>
      <c r="E31" s="21">
        <v>0.01</v>
      </c>
      <c r="G31" s="188">
        <v>2.4289999999999998</v>
      </c>
      <c r="H31" s="188">
        <v>0.05</v>
      </c>
      <c r="I31" s="12"/>
      <c r="J31" s="188">
        <v>1.948</v>
      </c>
      <c r="K31" s="188">
        <v>9.9000000000000005E-2</v>
      </c>
    </row>
    <row r="32" spans="1:11" x14ac:dyDescent="0.35">
      <c r="A32">
        <v>3</v>
      </c>
      <c r="B32">
        <v>17</v>
      </c>
      <c r="D32" s="21">
        <v>3.6930000000000001</v>
      </c>
      <c r="E32" s="21">
        <v>1.0999999999999999E-2</v>
      </c>
      <c r="G32" s="188">
        <v>2.4089999999999998</v>
      </c>
      <c r="H32" s="188">
        <v>5.0999999999999997E-2</v>
      </c>
      <c r="I32" s="12"/>
      <c r="J32" s="188">
        <v>1.9350000000000001</v>
      </c>
      <c r="K32" s="188">
        <v>0.1</v>
      </c>
    </row>
    <row r="33" spans="1:11" x14ac:dyDescent="0.35">
      <c r="A33">
        <v>4</v>
      </c>
      <c r="B33">
        <v>4</v>
      </c>
      <c r="D33" s="21">
        <v>3.1520000000000001</v>
      </c>
      <c r="E33" s="21">
        <v>2.9000000000000001E-2</v>
      </c>
      <c r="G33" s="188">
        <v>2.4020000000000001</v>
      </c>
      <c r="H33" s="188">
        <v>5.7000000000000002E-2</v>
      </c>
      <c r="I33" s="12"/>
      <c r="J33" s="188">
        <v>1.869</v>
      </c>
      <c r="K33" s="188">
        <v>0.114</v>
      </c>
    </row>
    <row r="34" spans="1:11" x14ac:dyDescent="0.35">
      <c r="A34">
        <v>4</v>
      </c>
      <c r="B34">
        <v>5</v>
      </c>
      <c r="D34" s="21">
        <v>3.5070000000000001</v>
      </c>
      <c r="E34" s="21">
        <v>1.6E-2</v>
      </c>
      <c r="G34" s="188">
        <v>2.2919999999999998</v>
      </c>
      <c r="H34" s="188">
        <v>4.8000000000000001E-2</v>
      </c>
      <c r="I34" s="12"/>
      <c r="J34" s="188">
        <v>1.9119999999999999</v>
      </c>
      <c r="K34" s="188">
        <v>9.5000000000000001E-2</v>
      </c>
    </row>
    <row r="35" spans="1:11" x14ac:dyDescent="0.35">
      <c r="A35">
        <v>4</v>
      </c>
      <c r="B35">
        <v>6</v>
      </c>
      <c r="D35" s="21">
        <v>3.8220000000000001</v>
      </c>
      <c r="E35" s="21">
        <v>0.01</v>
      </c>
      <c r="G35" s="188">
        <v>2.282</v>
      </c>
      <c r="H35" s="188">
        <v>4.8000000000000001E-2</v>
      </c>
      <c r="I35" s="12"/>
      <c r="J35" s="188">
        <v>1.9390000000000001</v>
      </c>
      <c r="K35" s="188">
        <v>9.5000000000000001E-2</v>
      </c>
    </row>
    <row r="36" spans="1:11" x14ac:dyDescent="0.35">
      <c r="A36">
        <v>4</v>
      </c>
      <c r="B36">
        <v>7</v>
      </c>
      <c r="D36" s="21">
        <v>3.476</v>
      </c>
      <c r="E36" s="21">
        <v>1.2E-2</v>
      </c>
      <c r="G36" s="188">
        <v>2.4790000000000001</v>
      </c>
      <c r="H36" s="188">
        <v>4.9000000000000002E-2</v>
      </c>
      <c r="I36" s="12"/>
      <c r="J36" s="188">
        <v>1.9950000000000001</v>
      </c>
      <c r="K36" s="188">
        <v>9.7000000000000003E-2</v>
      </c>
    </row>
    <row r="37" spans="1:11" x14ac:dyDescent="0.35">
      <c r="A37">
        <v>4</v>
      </c>
      <c r="B37">
        <v>8</v>
      </c>
      <c r="D37" s="21">
        <v>3.2869999999999999</v>
      </c>
      <c r="E37" s="21">
        <v>1.2E-2</v>
      </c>
      <c r="G37" s="188">
        <v>2.4119999999999999</v>
      </c>
      <c r="H37" s="188">
        <v>4.9000000000000002E-2</v>
      </c>
      <c r="I37" s="12"/>
      <c r="J37" s="188">
        <v>1.8779999999999999</v>
      </c>
      <c r="K37" s="188">
        <v>0.1</v>
      </c>
    </row>
    <row r="38" spans="1:11" x14ac:dyDescent="0.35">
      <c r="A38">
        <v>4</v>
      </c>
      <c r="B38">
        <v>9</v>
      </c>
      <c r="D38" s="21">
        <v>3.556</v>
      </c>
      <c r="E38" s="21">
        <v>8.0000000000000002E-3</v>
      </c>
      <c r="G38" s="188">
        <v>2.3620000000000001</v>
      </c>
      <c r="H38" s="188">
        <v>0.05</v>
      </c>
      <c r="I38" s="12"/>
      <c r="J38" s="188">
        <v>1.8360000000000001</v>
      </c>
      <c r="K38" s="188">
        <v>0.10100000000000001</v>
      </c>
    </row>
    <row r="39" spans="1:11" x14ac:dyDescent="0.35">
      <c r="A39">
        <v>4</v>
      </c>
      <c r="B39">
        <v>10</v>
      </c>
      <c r="D39" s="21">
        <v>3.44</v>
      </c>
      <c r="E39" s="21">
        <v>0.01</v>
      </c>
      <c r="G39" s="188">
        <v>2.411</v>
      </c>
      <c r="H39" s="188">
        <v>0.05</v>
      </c>
      <c r="I39" s="12"/>
      <c r="J39" s="188">
        <v>1.875</v>
      </c>
      <c r="K39" s="188">
        <v>9.9000000000000005E-2</v>
      </c>
    </row>
    <row r="40" spans="1:11" x14ac:dyDescent="0.35">
      <c r="A40">
        <v>4</v>
      </c>
      <c r="B40">
        <v>11</v>
      </c>
      <c r="D40" s="21">
        <v>3.5510000000000002</v>
      </c>
      <c r="E40" s="21">
        <v>0.01</v>
      </c>
      <c r="G40" s="188">
        <v>2.468</v>
      </c>
      <c r="H40" s="188">
        <v>0.05</v>
      </c>
      <c r="I40" s="12"/>
      <c r="J40" s="188">
        <v>1.8720000000000001</v>
      </c>
      <c r="K40" s="188">
        <v>0.1</v>
      </c>
    </row>
    <row r="41" spans="1:11" x14ac:dyDescent="0.35">
      <c r="A41">
        <v>4</v>
      </c>
      <c r="B41">
        <v>12</v>
      </c>
      <c r="D41" s="21">
        <v>3.597</v>
      </c>
      <c r="E41" s="21">
        <v>0.01</v>
      </c>
      <c r="G41" s="188">
        <v>2.4039999999999999</v>
      </c>
      <c r="H41" s="188">
        <v>0.05</v>
      </c>
      <c r="I41" s="12"/>
      <c r="J41" s="188">
        <v>1.903</v>
      </c>
      <c r="K41" s="188">
        <v>0.10100000000000001</v>
      </c>
    </row>
    <row r="42" spans="1:11" x14ac:dyDescent="0.35">
      <c r="A42">
        <v>4</v>
      </c>
      <c r="B42">
        <v>14</v>
      </c>
      <c r="D42" s="21">
        <v>3.5350000000000001</v>
      </c>
      <c r="E42" s="21">
        <v>0.01</v>
      </c>
      <c r="G42" s="188">
        <v>2.3879999999999999</v>
      </c>
      <c r="H42" s="188">
        <v>0.05</v>
      </c>
      <c r="I42" s="12"/>
      <c r="J42" s="188">
        <v>1.8979999999999999</v>
      </c>
      <c r="K42" s="188">
        <v>0.1</v>
      </c>
    </row>
    <row r="43" spans="1:11" x14ac:dyDescent="0.35">
      <c r="A43">
        <v>4</v>
      </c>
      <c r="B43">
        <v>16</v>
      </c>
      <c r="D43" s="21">
        <v>3.5990000000000002</v>
      </c>
      <c r="E43" s="21">
        <v>0.01</v>
      </c>
      <c r="G43" s="188">
        <v>2.391</v>
      </c>
      <c r="H43" s="188">
        <v>0.05</v>
      </c>
      <c r="I43" s="12"/>
      <c r="J43" s="188">
        <v>1.8939999999999999</v>
      </c>
      <c r="K43" s="188">
        <v>0.1</v>
      </c>
    </row>
    <row r="44" spans="1:11" x14ac:dyDescent="0.35">
      <c r="A44">
        <v>5</v>
      </c>
      <c r="B44">
        <v>5</v>
      </c>
      <c r="D44" s="21">
        <v>3.9129999999999998</v>
      </c>
      <c r="E44" s="21">
        <v>8.0000000000000002E-3</v>
      </c>
      <c r="G44" s="188">
        <v>2.3919999999999999</v>
      </c>
      <c r="H44" s="188">
        <v>4.8000000000000001E-2</v>
      </c>
      <c r="I44" s="12"/>
      <c r="J44" s="188">
        <v>1.9530000000000001</v>
      </c>
      <c r="K44" s="188">
        <v>9.5000000000000001E-2</v>
      </c>
    </row>
    <row r="45" spans="1:11" x14ac:dyDescent="0.35">
      <c r="A45">
        <v>5</v>
      </c>
      <c r="B45">
        <v>6</v>
      </c>
      <c r="D45" s="21">
        <v>3.6749999999999998</v>
      </c>
      <c r="E45" s="21">
        <v>8.9999999999999993E-3</v>
      </c>
      <c r="G45" s="188">
        <v>2.3820000000000001</v>
      </c>
      <c r="H45" s="188">
        <v>5.1999999999999998E-2</v>
      </c>
      <c r="I45" s="12"/>
      <c r="J45" s="188">
        <v>1.861</v>
      </c>
      <c r="K45" s="188">
        <v>0.1</v>
      </c>
    </row>
    <row r="46" spans="1:11" x14ac:dyDescent="0.35">
      <c r="A46">
        <v>5</v>
      </c>
      <c r="B46">
        <v>7</v>
      </c>
      <c r="D46" s="21">
        <v>3.5619999999999998</v>
      </c>
      <c r="E46" s="21">
        <v>0.01</v>
      </c>
      <c r="G46" s="188">
        <v>2.391</v>
      </c>
      <c r="H46" s="188">
        <v>5.0999999999999997E-2</v>
      </c>
      <c r="I46" s="12"/>
      <c r="J46" s="188">
        <v>1.8260000000000001</v>
      </c>
      <c r="K46" s="188">
        <v>0.10100000000000001</v>
      </c>
    </row>
    <row r="47" spans="1:11" x14ac:dyDescent="0.35">
      <c r="A47">
        <v>5</v>
      </c>
      <c r="B47">
        <v>8</v>
      </c>
      <c r="D47" s="21">
        <v>3.456</v>
      </c>
      <c r="E47" s="21">
        <v>1.0999999999999999E-2</v>
      </c>
      <c r="G47" s="188">
        <v>2.38</v>
      </c>
      <c r="H47" s="188">
        <v>0.05</v>
      </c>
      <c r="I47" s="12"/>
      <c r="J47" s="188">
        <v>1.859</v>
      </c>
      <c r="K47" s="188">
        <v>0.1</v>
      </c>
    </row>
    <row r="48" spans="1:11" x14ac:dyDescent="0.35">
      <c r="A48">
        <v>5</v>
      </c>
      <c r="B48">
        <v>9</v>
      </c>
      <c r="D48" s="21">
        <v>3.4449999999999998</v>
      </c>
      <c r="E48" s="21">
        <v>0.01</v>
      </c>
      <c r="G48" s="188">
        <v>2.4129999999999998</v>
      </c>
      <c r="H48" s="188">
        <v>0.05</v>
      </c>
      <c r="I48" s="12"/>
      <c r="J48" s="188">
        <v>1.8580000000000001</v>
      </c>
      <c r="K48" s="188">
        <v>0.1</v>
      </c>
    </row>
    <row r="49" spans="1:11" x14ac:dyDescent="0.35">
      <c r="A49">
        <v>5</v>
      </c>
      <c r="B49">
        <v>10</v>
      </c>
      <c r="D49" s="21">
        <v>3.427</v>
      </c>
      <c r="E49" s="21">
        <v>0.01</v>
      </c>
      <c r="G49" s="188">
        <v>2.3780000000000001</v>
      </c>
      <c r="H49" s="188">
        <v>0.05</v>
      </c>
      <c r="I49" s="12"/>
      <c r="J49" s="188">
        <v>1.889</v>
      </c>
      <c r="K49" s="188">
        <v>0.1</v>
      </c>
    </row>
    <row r="50" spans="1:11" x14ac:dyDescent="0.35">
      <c r="A50">
        <v>5</v>
      </c>
      <c r="B50">
        <v>12</v>
      </c>
      <c r="D50" s="21">
        <v>3.5640000000000001</v>
      </c>
      <c r="E50" s="21">
        <v>0.01</v>
      </c>
      <c r="G50" s="188">
        <v>2.3809999999999998</v>
      </c>
      <c r="H50" s="188">
        <v>0.05</v>
      </c>
      <c r="I50" s="12"/>
      <c r="J50" s="188">
        <v>1.885</v>
      </c>
      <c r="K50" s="188">
        <v>0.1</v>
      </c>
    </row>
    <row r="51" spans="1:11" x14ac:dyDescent="0.35">
      <c r="A51">
        <v>5</v>
      </c>
      <c r="B51">
        <v>14</v>
      </c>
      <c r="D51" s="21">
        <v>3.6269999999999998</v>
      </c>
      <c r="E51" s="21">
        <v>0.01</v>
      </c>
      <c r="G51" s="188">
        <v>2.4079999999999999</v>
      </c>
      <c r="H51" s="188">
        <v>0.05</v>
      </c>
      <c r="I51" s="12"/>
      <c r="J51" s="188">
        <v>1.899</v>
      </c>
      <c r="K51" s="188">
        <v>0.1</v>
      </c>
    </row>
    <row r="52" spans="1:11" x14ac:dyDescent="0.35">
      <c r="A52">
        <v>5</v>
      </c>
      <c r="B52">
        <v>15</v>
      </c>
      <c r="D52" s="21">
        <v>3.589</v>
      </c>
      <c r="E52" s="21">
        <v>0.01</v>
      </c>
      <c r="G52" s="188">
        <v>2.4049999999999998</v>
      </c>
      <c r="H52" s="188">
        <v>0.05</v>
      </c>
      <c r="I52" s="12"/>
      <c r="J52" s="188">
        <v>1.8979999999999999</v>
      </c>
      <c r="K52" s="188">
        <v>0.1</v>
      </c>
    </row>
    <row r="53" spans="1:11" x14ac:dyDescent="0.35">
      <c r="A53">
        <v>6</v>
      </c>
      <c r="B53">
        <v>6</v>
      </c>
      <c r="D53" s="21">
        <v>3.6640000000000001</v>
      </c>
      <c r="E53" s="21">
        <v>8.9999999999999993E-3</v>
      </c>
      <c r="G53" s="188">
        <v>2.27</v>
      </c>
      <c r="H53" s="188">
        <v>5.3999999999999999E-2</v>
      </c>
      <c r="I53" s="12"/>
      <c r="J53" s="188">
        <v>1.865</v>
      </c>
      <c r="K53" s="188">
        <v>9.7000000000000003E-2</v>
      </c>
    </row>
    <row r="54" spans="1:11" x14ac:dyDescent="0.35">
      <c r="A54">
        <v>6</v>
      </c>
      <c r="B54">
        <v>7</v>
      </c>
      <c r="D54" s="21">
        <v>3.41</v>
      </c>
      <c r="E54" s="21">
        <v>1.0999999999999999E-2</v>
      </c>
      <c r="G54" s="188">
        <v>2.339</v>
      </c>
      <c r="H54" s="188">
        <v>0.05</v>
      </c>
      <c r="I54" s="12"/>
      <c r="J54" s="188">
        <v>1.8720000000000001</v>
      </c>
      <c r="K54" s="188">
        <v>0.1</v>
      </c>
    </row>
    <row r="55" spans="1:11" x14ac:dyDescent="0.35">
      <c r="A55">
        <v>6</v>
      </c>
      <c r="B55">
        <v>8</v>
      </c>
      <c r="D55" s="21">
        <v>3.4729999999999999</v>
      </c>
      <c r="E55" s="21">
        <v>1.0999999999999999E-2</v>
      </c>
      <c r="G55" s="188">
        <v>2.3740000000000001</v>
      </c>
      <c r="H55" s="188">
        <v>4.9000000000000002E-2</v>
      </c>
      <c r="I55" s="12"/>
      <c r="J55" s="188">
        <v>1.8939999999999999</v>
      </c>
      <c r="K55" s="188">
        <v>0.1</v>
      </c>
    </row>
    <row r="56" spans="1:11" x14ac:dyDescent="0.35">
      <c r="A56">
        <v>6</v>
      </c>
      <c r="B56">
        <v>9</v>
      </c>
      <c r="D56" s="21">
        <v>3.508</v>
      </c>
      <c r="E56" s="21">
        <v>0.01</v>
      </c>
      <c r="G56" s="188">
        <v>2.3660000000000001</v>
      </c>
      <c r="H56" s="188">
        <v>4.9000000000000002E-2</v>
      </c>
      <c r="I56" s="12"/>
      <c r="J56" s="188">
        <v>1.869</v>
      </c>
      <c r="K56" s="188">
        <v>0.1</v>
      </c>
    </row>
    <row r="57" spans="1:11" x14ac:dyDescent="0.35">
      <c r="A57">
        <v>6</v>
      </c>
      <c r="B57">
        <v>10</v>
      </c>
      <c r="D57" s="21">
        <v>3.5049999999999999</v>
      </c>
      <c r="E57" s="21">
        <v>0.01</v>
      </c>
      <c r="G57" s="188">
        <v>2.391</v>
      </c>
      <c r="H57" s="188">
        <v>0.05</v>
      </c>
      <c r="I57" s="12"/>
      <c r="J57" s="188">
        <v>1.8779999999999999</v>
      </c>
      <c r="K57" s="188">
        <v>0.1</v>
      </c>
    </row>
    <row r="58" spans="1:11" x14ac:dyDescent="0.35">
      <c r="A58">
        <v>6</v>
      </c>
      <c r="B58">
        <v>11</v>
      </c>
      <c r="D58" s="21">
        <v>3.5219999999999998</v>
      </c>
      <c r="E58" s="21">
        <v>0.01</v>
      </c>
      <c r="G58" s="188">
        <v>2.3959999999999999</v>
      </c>
      <c r="H58" s="188">
        <v>0.05</v>
      </c>
      <c r="I58" s="12"/>
      <c r="J58" s="188">
        <v>1.8779999999999999</v>
      </c>
      <c r="K58" s="188">
        <v>0.1</v>
      </c>
    </row>
    <row r="59" spans="1:11" x14ac:dyDescent="0.35">
      <c r="A59">
        <v>6</v>
      </c>
      <c r="B59">
        <v>12</v>
      </c>
      <c r="D59" s="21">
        <v>3.56</v>
      </c>
      <c r="E59" s="21">
        <v>0.01</v>
      </c>
      <c r="G59" s="188">
        <v>2.399</v>
      </c>
      <c r="H59" s="188">
        <v>0.05</v>
      </c>
      <c r="I59" s="12"/>
      <c r="J59" s="188">
        <v>1.887</v>
      </c>
      <c r="K59" s="188">
        <v>0.1</v>
      </c>
    </row>
    <row r="60" spans="1:11" x14ac:dyDescent="0.35">
      <c r="A60">
        <v>7</v>
      </c>
      <c r="B60">
        <v>7</v>
      </c>
      <c r="D60" s="21">
        <v>3.4729999999999999</v>
      </c>
      <c r="E60" s="21">
        <v>1.0999999999999999E-2</v>
      </c>
      <c r="G60" s="188">
        <v>2.3740000000000001</v>
      </c>
      <c r="H60" s="188">
        <v>4.9000000000000002E-2</v>
      </c>
      <c r="I60" s="12"/>
      <c r="J60" s="188">
        <v>1.859</v>
      </c>
      <c r="K60" s="188">
        <v>0.1</v>
      </c>
    </row>
    <row r="61" spans="1:11" x14ac:dyDescent="0.35">
      <c r="A61">
        <v>7</v>
      </c>
      <c r="B61">
        <v>8</v>
      </c>
      <c r="D61" s="21">
        <v>3.5609999999999999</v>
      </c>
      <c r="E61" s="21">
        <v>0.01</v>
      </c>
      <c r="G61" s="188">
        <v>2.3809999999999998</v>
      </c>
      <c r="H61" s="188">
        <v>0.05</v>
      </c>
      <c r="I61" s="12"/>
      <c r="J61" s="188">
        <v>1.859</v>
      </c>
      <c r="K61" s="188">
        <v>0.1</v>
      </c>
    </row>
    <row r="62" spans="1:11" x14ac:dyDescent="0.35">
      <c r="A62">
        <v>7</v>
      </c>
      <c r="B62">
        <v>9</v>
      </c>
      <c r="D62" s="21">
        <v>3.5259999999999998</v>
      </c>
      <c r="E62" s="21">
        <v>0.01</v>
      </c>
      <c r="G62" s="188">
        <v>2.4009999999999998</v>
      </c>
      <c r="H62" s="188">
        <v>0.05</v>
      </c>
      <c r="I62" s="12"/>
      <c r="J62" s="188">
        <v>1.8779999999999999</v>
      </c>
      <c r="K62" s="188">
        <v>0.1</v>
      </c>
    </row>
    <row r="63" spans="1:11" x14ac:dyDescent="0.35">
      <c r="A63">
        <v>7</v>
      </c>
      <c r="B63">
        <v>10</v>
      </c>
      <c r="D63" s="21">
        <v>3.5409999999999999</v>
      </c>
      <c r="E63" s="21">
        <v>0.01</v>
      </c>
      <c r="G63" s="188">
        <v>2.39</v>
      </c>
      <c r="H63" s="188">
        <v>0.05</v>
      </c>
      <c r="I63" s="12"/>
      <c r="J63" s="188">
        <v>1.873</v>
      </c>
      <c r="K63" s="188">
        <v>0.1</v>
      </c>
    </row>
    <row r="64" spans="1:11" x14ac:dyDescent="0.35">
      <c r="A64">
        <v>7</v>
      </c>
      <c r="B64">
        <v>11</v>
      </c>
      <c r="D64" s="21">
        <v>3.5510000000000002</v>
      </c>
      <c r="E64" s="21">
        <v>0.01</v>
      </c>
      <c r="G64" s="188">
        <v>2.383</v>
      </c>
      <c r="H64" s="188">
        <v>0.05</v>
      </c>
      <c r="I64" s="12"/>
      <c r="J64" s="188">
        <v>1.879</v>
      </c>
      <c r="K64" s="188">
        <v>0.1</v>
      </c>
    </row>
    <row r="65" spans="1:11" x14ac:dyDescent="0.35">
      <c r="A65">
        <v>8</v>
      </c>
      <c r="B65">
        <v>8</v>
      </c>
      <c r="C65" s="4"/>
      <c r="D65" s="21">
        <v>3.4940000000000002</v>
      </c>
      <c r="E65" s="21">
        <v>0.01</v>
      </c>
      <c r="F65" s="4"/>
      <c r="G65" s="188">
        <v>2.3559999999999999</v>
      </c>
      <c r="H65" s="188">
        <v>0.05</v>
      </c>
      <c r="I65" s="12"/>
      <c r="J65" s="188">
        <v>1.8959999999999999</v>
      </c>
      <c r="K65" s="188">
        <v>0.1</v>
      </c>
    </row>
    <row r="66" spans="1:11" x14ac:dyDescent="0.35">
      <c r="A66" s="189" t="s">
        <v>389</v>
      </c>
      <c r="B66" s="165" t="s">
        <v>389</v>
      </c>
      <c r="C66" s="12"/>
      <c r="D66" s="174">
        <v>3.8570000000000002</v>
      </c>
      <c r="E66" s="174"/>
      <c r="F66" s="4"/>
      <c r="G66" s="165">
        <v>2.492</v>
      </c>
      <c r="H66" s="165"/>
      <c r="I66" s="12"/>
      <c r="J66" s="165">
        <v>1.9330000000000001</v>
      </c>
      <c r="K66" s="165"/>
    </row>
    <row r="67" spans="1:11" x14ac:dyDescent="0.35">
      <c r="C67" s="4"/>
      <c r="F67" s="12"/>
      <c r="G67" s="188"/>
      <c r="H67" s="188"/>
      <c r="I67" s="12"/>
      <c r="J67" s="12"/>
      <c r="K67" s="12"/>
    </row>
    <row r="68" spans="1:11" x14ac:dyDescent="0.35">
      <c r="J68" s="23"/>
      <c r="K68" s="2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TOC0</vt:lpstr>
      <vt:lpstr>TOC</vt:lpstr>
      <vt:lpstr>Norm Histogram</vt:lpstr>
      <vt:lpstr>Norm QQ Plot 1</vt:lpstr>
      <vt:lpstr>Norm QQ Plot 2</vt:lpstr>
      <vt:lpstr>Norm Box Plot</vt:lpstr>
      <vt:lpstr>Log Trans</vt:lpstr>
      <vt:lpstr>Norm Chi-sq 1</vt:lpstr>
      <vt:lpstr>Norm Chi-sq 2</vt:lpstr>
      <vt:lpstr>KS A</vt:lpstr>
      <vt:lpstr>KS B</vt:lpstr>
      <vt:lpstr>Lil</vt:lpstr>
      <vt:lpstr>Lil 1</vt:lpstr>
      <vt:lpstr>SW 1</vt:lpstr>
      <vt:lpstr>SW 2</vt:lpstr>
      <vt:lpstr>SW 3</vt:lpstr>
      <vt:lpstr>SW 4</vt:lpstr>
      <vt:lpstr>DAgost</vt:lpstr>
      <vt:lpstr>KS 1</vt:lpstr>
      <vt:lpstr>KS 2</vt:lpstr>
      <vt:lpstr>KS 3</vt:lpstr>
      <vt:lpstr>AD 1</vt:lpstr>
      <vt:lpstr>AD 2</vt:lpstr>
      <vt:lpstr>AD 3</vt:lpstr>
      <vt:lpstr>AD2 1</vt:lpstr>
      <vt:lpstr>AD2 2</vt:lpstr>
      <vt:lpstr>AD2 2a</vt:lpstr>
      <vt:lpstr>GOF</vt:lpstr>
      <vt:lpstr>KS Table</vt:lpstr>
      <vt:lpstr>KS Table 1</vt:lpstr>
      <vt:lpstr>KS2 Table</vt:lpstr>
      <vt:lpstr>Lill Table</vt:lpstr>
      <vt:lpstr>Lill Table 1</vt:lpstr>
      <vt:lpstr>SW Table</vt:lpstr>
      <vt:lpstr>SW Table Formatted</vt:lpstr>
      <vt:lpstr>AD Table</vt:lpstr>
      <vt:lpstr>AD2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user</cp:lastModifiedBy>
  <cp:lastPrinted>2015-05-22T15:20:10Z</cp:lastPrinted>
  <dcterms:created xsi:type="dcterms:W3CDTF">2011-12-03T11:22:59Z</dcterms:created>
  <dcterms:modified xsi:type="dcterms:W3CDTF">2019-12-30T17:18:41Z</dcterms:modified>
</cp:coreProperties>
</file>